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77"/>
  <workbookPr defaultThemeVersion="166925"/>
  <mc:AlternateContent xmlns:mc="http://schemas.openxmlformats.org/markup-compatibility/2006">
    <mc:Choice Requires="x15">
      <x15ac:absPath xmlns:x15ac="http://schemas.microsoft.com/office/spreadsheetml/2010/11/ac" url="\\wsl$\Ubuntu\home\fernando\Projetos\vcnfacul\api_vcnafacul\test\files\"/>
    </mc:Choice>
  </mc:AlternateContent>
  <xr:revisionPtr revIDLastSave="0" documentId="8_{C91DF124-866F-4551-9F20-14A0C03C3BEB}" xr6:coauthVersionLast="36" xr6:coauthVersionMax="36" xr10:uidLastSave="{00000000-0000-0000-0000-000000000000}"/>
  <bookViews>
    <workbookView xWindow="0" yWindow="0" windowWidth="28800" windowHeight="12810" xr2:uid="{803C8242-199F-4329-AB23-992FF438D71B}"/>
  </bookViews>
  <sheets>
    <sheet name="Planilha1" sheetId="1" r:id="rId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Q412" i="1" l="1"/>
  <c r="P412" i="1"/>
  <c r="O412" i="1"/>
  <c r="N412" i="1"/>
  <c r="M412" i="1"/>
  <c r="L412" i="1"/>
  <c r="K412" i="1"/>
  <c r="J412" i="1"/>
  <c r="I412" i="1"/>
  <c r="F412" i="1"/>
  <c r="E412" i="1"/>
  <c r="D412" i="1"/>
  <c r="C412" i="1"/>
  <c r="B412" i="1"/>
  <c r="A412" i="1"/>
  <c r="Q411" i="1"/>
  <c r="P411" i="1"/>
  <c r="O411" i="1"/>
  <c r="N411" i="1"/>
  <c r="M411" i="1"/>
  <c r="L411" i="1"/>
  <c r="K411" i="1"/>
  <c r="J411" i="1"/>
  <c r="I411" i="1"/>
  <c r="F411" i="1"/>
  <c r="E411" i="1"/>
  <c r="D411" i="1"/>
  <c r="C411" i="1"/>
  <c r="B411" i="1"/>
  <c r="A411" i="1"/>
  <c r="Q410" i="1"/>
  <c r="P410" i="1"/>
  <c r="O410" i="1"/>
  <c r="N410" i="1"/>
  <c r="M410" i="1"/>
  <c r="L410" i="1"/>
  <c r="K410" i="1"/>
  <c r="J410" i="1"/>
  <c r="I410" i="1"/>
  <c r="F410" i="1"/>
  <c r="E410" i="1"/>
  <c r="D410" i="1"/>
  <c r="C410" i="1"/>
  <c r="B410" i="1"/>
  <c r="A410" i="1"/>
  <c r="Q409" i="1"/>
  <c r="P409" i="1"/>
  <c r="O409" i="1"/>
  <c r="N409" i="1"/>
  <c r="M409" i="1"/>
  <c r="L409" i="1"/>
  <c r="K409" i="1"/>
  <c r="J409" i="1"/>
  <c r="I409" i="1"/>
  <c r="F409" i="1"/>
  <c r="E409" i="1"/>
  <c r="D409" i="1"/>
  <c r="C409" i="1"/>
  <c r="B409" i="1"/>
  <c r="A409" i="1"/>
  <c r="Q408" i="1"/>
  <c r="P408" i="1"/>
  <c r="O408" i="1"/>
  <c r="N408" i="1"/>
  <c r="M408" i="1"/>
  <c r="L408" i="1"/>
  <c r="K408" i="1"/>
  <c r="J408" i="1"/>
  <c r="I408" i="1"/>
  <c r="F408" i="1"/>
  <c r="E408" i="1"/>
  <c r="D408" i="1"/>
  <c r="C408" i="1"/>
  <c r="B408" i="1"/>
  <c r="A408" i="1"/>
  <c r="Q407" i="1"/>
  <c r="P407" i="1"/>
  <c r="O407" i="1"/>
  <c r="N407" i="1"/>
  <c r="M407" i="1"/>
  <c r="L407" i="1"/>
  <c r="K407" i="1"/>
  <c r="J407" i="1"/>
  <c r="I407" i="1"/>
  <c r="F407" i="1"/>
  <c r="E407" i="1"/>
  <c r="D407" i="1"/>
  <c r="C407" i="1"/>
  <c r="B407" i="1"/>
  <c r="A407" i="1"/>
  <c r="Q406" i="1"/>
  <c r="P406" i="1"/>
  <c r="O406" i="1"/>
  <c r="N406" i="1"/>
  <c r="M406" i="1"/>
  <c r="L406" i="1"/>
  <c r="K406" i="1"/>
  <c r="J406" i="1"/>
  <c r="I406" i="1"/>
  <c r="F406" i="1"/>
  <c r="E406" i="1"/>
  <c r="D406" i="1"/>
  <c r="C406" i="1"/>
  <c r="B406" i="1"/>
  <c r="A406" i="1"/>
  <c r="Q405" i="1"/>
  <c r="P405" i="1"/>
  <c r="O405" i="1"/>
  <c r="N405" i="1"/>
  <c r="M405" i="1"/>
  <c r="L405" i="1"/>
  <c r="K405" i="1"/>
  <c r="J405" i="1"/>
  <c r="I405" i="1"/>
  <c r="F405" i="1"/>
  <c r="E405" i="1"/>
  <c r="D405" i="1"/>
  <c r="C405" i="1"/>
  <c r="B405" i="1"/>
  <c r="A405" i="1"/>
  <c r="Q404" i="1"/>
  <c r="P404" i="1"/>
  <c r="O404" i="1"/>
  <c r="N404" i="1"/>
  <c r="M404" i="1"/>
  <c r="L404" i="1"/>
  <c r="K404" i="1"/>
  <c r="J404" i="1"/>
  <c r="I404" i="1"/>
  <c r="F404" i="1"/>
  <c r="E404" i="1"/>
  <c r="D404" i="1"/>
  <c r="C404" i="1"/>
  <c r="B404" i="1"/>
  <c r="A404" i="1"/>
  <c r="Q403" i="1"/>
  <c r="P403" i="1"/>
  <c r="O403" i="1"/>
  <c r="N403" i="1"/>
  <c r="M403" i="1"/>
  <c r="L403" i="1"/>
  <c r="K403" i="1"/>
  <c r="J403" i="1"/>
  <c r="I403" i="1"/>
  <c r="F403" i="1"/>
  <c r="E403" i="1"/>
  <c r="D403" i="1"/>
  <c r="C403" i="1"/>
  <c r="B403" i="1"/>
  <c r="A403" i="1"/>
  <c r="Q402" i="1"/>
  <c r="P402" i="1"/>
  <c r="O402" i="1"/>
  <c r="N402" i="1"/>
  <c r="M402" i="1"/>
  <c r="L402" i="1"/>
  <c r="K402" i="1"/>
  <c r="J402" i="1"/>
  <c r="I402" i="1"/>
  <c r="F402" i="1"/>
  <c r="E402" i="1"/>
  <c r="D402" i="1"/>
  <c r="C402" i="1"/>
  <c r="B402" i="1"/>
  <c r="A402" i="1"/>
  <c r="Q401" i="1"/>
  <c r="P401" i="1"/>
  <c r="O401" i="1"/>
  <c r="N401" i="1"/>
  <c r="M401" i="1"/>
  <c r="L401" i="1"/>
  <c r="K401" i="1"/>
  <c r="J401" i="1"/>
  <c r="I401" i="1"/>
  <c r="F401" i="1"/>
  <c r="E401" i="1"/>
  <c r="D401" i="1"/>
  <c r="C401" i="1"/>
  <c r="B401" i="1"/>
  <c r="A401" i="1"/>
  <c r="Q400" i="1"/>
  <c r="P400" i="1"/>
  <c r="O400" i="1"/>
  <c r="N400" i="1"/>
  <c r="M400" i="1"/>
  <c r="L400" i="1"/>
  <c r="K400" i="1"/>
  <c r="J400" i="1"/>
  <c r="I400" i="1"/>
  <c r="F400" i="1"/>
  <c r="E400" i="1"/>
  <c r="D400" i="1"/>
  <c r="C400" i="1"/>
  <c r="B400" i="1"/>
  <c r="A400" i="1"/>
  <c r="Q399" i="1"/>
  <c r="P399" i="1"/>
  <c r="O399" i="1"/>
  <c r="N399" i="1"/>
  <c r="M399" i="1"/>
  <c r="L399" i="1"/>
  <c r="K399" i="1"/>
  <c r="J399" i="1"/>
  <c r="I399" i="1"/>
  <c r="F399" i="1"/>
  <c r="E399" i="1"/>
  <c r="D399" i="1"/>
  <c r="C399" i="1"/>
  <c r="B399" i="1"/>
  <c r="A399" i="1"/>
  <c r="Q398" i="1"/>
  <c r="P398" i="1"/>
  <c r="O398" i="1"/>
  <c r="N398" i="1"/>
  <c r="M398" i="1"/>
  <c r="L398" i="1"/>
  <c r="K398" i="1"/>
  <c r="J398" i="1"/>
  <c r="I398" i="1"/>
  <c r="F398" i="1"/>
  <c r="E398" i="1"/>
  <c r="D398" i="1"/>
  <c r="C398" i="1"/>
  <c r="B398" i="1"/>
  <c r="A398" i="1"/>
  <c r="Q397" i="1"/>
  <c r="P397" i="1"/>
  <c r="O397" i="1"/>
  <c r="N397" i="1"/>
  <c r="M397" i="1"/>
  <c r="L397" i="1"/>
  <c r="K397" i="1"/>
  <c r="J397" i="1"/>
  <c r="I397" i="1"/>
  <c r="F397" i="1"/>
  <c r="E397" i="1"/>
  <c r="D397" i="1"/>
  <c r="C397" i="1"/>
  <c r="B397" i="1"/>
  <c r="A397" i="1"/>
  <c r="Q396" i="1"/>
  <c r="P396" i="1"/>
  <c r="O396" i="1"/>
  <c r="N396" i="1"/>
  <c r="M396" i="1"/>
  <c r="L396" i="1"/>
  <c r="K396" i="1"/>
  <c r="J396" i="1"/>
  <c r="I396" i="1"/>
  <c r="F396" i="1"/>
  <c r="E396" i="1"/>
  <c r="D396" i="1"/>
  <c r="C396" i="1"/>
  <c r="B396" i="1"/>
  <c r="A396" i="1"/>
  <c r="Q395" i="1"/>
  <c r="P395" i="1"/>
  <c r="O395" i="1"/>
  <c r="N395" i="1"/>
  <c r="M395" i="1"/>
  <c r="L395" i="1"/>
  <c r="K395" i="1"/>
  <c r="J395" i="1"/>
  <c r="I395" i="1"/>
  <c r="F395" i="1"/>
  <c r="E395" i="1"/>
  <c r="D395" i="1"/>
  <c r="C395" i="1"/>
  <c r="B395" i="1"/>
  <c r="A395" i="1"/>
  <c r="Q394" i="1"/>
  <c r="P394" i="1"/>
  <c r="O394" i="1"/>
  <c r="N394" i="1"/>
  <c r="M394" i="1"/>
  <c r="L394" i="1"/>
  <c r="K394" i="1"/>
  <c r="J394" i="1"/>
  <c r="I394" i="1"/>
  <c r="F394" i="1"/>
  <c r="E394" i="1"/>
  <c r="D394" i="1"/>
  <c r="C394" i="1"/>
  <c r="B394" i="1"/>
  <c r="A394" i="1"/>
  <c r="Q393" i="1"/>
  <c r="P393" i="1"/>
  <c r="O393" i="1"/>
  <c r="N393" i="1"/>
  <c r="M393" i="1"/>
  <c r="L393" i="1"/>
  <c r="K393" i="1"/>
  <c r="J393" i="1"/>
  <c r="I393" i="1"/>
  <c r="F393" i="1"/>
  <c r="E393" i="1"/>
  <c r="D393" i="1"/>
  <c r="C393" i="1"/>
  <c r="B393" i="1"/>
  <c r="A393" i="1"/>
  <c r="Q392" i="1"/>
  <c r="P392" i="1"/>
  <c r="O392" i="1"/>
  <c r="N392" i="1"/>
  <c r="M392" i="1"/>
  <c r="L392" i="1"/>
  <c r="K392" i="1"/>
  <c r="J392" i="1"/>
  <c r="I392" i="1"/>
  <c r="F392" i="1"/>
  <c r="E392" i="1"/>
  <c r="D392" i="1"/>
  <c r="C392" i="1"/>
  <c r="B392" i="1"/>
  <c r="A392" i="1"/>
  <c r="Q391" i="1"/>
  <c r="P391" i="1"/>
  <c r="O391" i="1"/>
  <c r="N391" i="1"/>
  <c r="M391" i="1"/>
  <c r="L391" i="1"/>
  <c r="K391" i="1"/>
  <c r="J391" i="1"/>
  <c r="I391" i="1"/>
  <c r="F391" i="1"/>
  <c r="E391" i="1"/>
  <c r="D391" i="1"/>
  <c r="C391" i="1"/>
  <c r="B391" i="1"/>
  <c r="A391" i="1"/>
  <c r="Q390" i="1"/>
  <c r="P390" i="1"/>
  <c r="O390" i="1"/>
  <c r="N390" i="1"/>
  <c r="M390" i="1"/>
  <c r="L390" i="1"/>
  <c r="K390" i="1"/>
  <c r="J390" i="1"/>
  <c r="I390" i="1"/>
  <c r="F390" i="1"/>
  <c r="E390" i="1"/>
  <c r="D390" i="1"/>
  <c r="C390" i="1"/>
  <c r="B390" i="1"/>
  <c r="A390" i="1"/>
  <c r="Q389" i="1"/>
  <c r="P389" i="1"/>
  <c r="O389" i="1"/>
  <c r="N389" i="1"/>
  <c r="M389" i="1"/>
  <c r="L389" i="1"/>
  <c r="K389" i="1"/>
  <c r="J389" i="1"/>
  <c r="I389" i="1"/>
  <c r="F389" i="1"/>
  <c r="E389" i="1"/>
  <c r="D389" i="1"/>
  <c r="C389" i="1"/>
  <c r="B389" i="1"/>
  <c r="A389" i="1"/>
  <c r="Q388" i="1"/>
  <c r="P388" i="1"/>
  <c r="O388" i="1"/>
  <c r="N388" i="1"/>
  <c r="M388" i="1"/>
  <c r="L388" i="1"/>
  <c r="K388" i="1"/>
  <c r="J388" i="1"/>
  <c r="I388" i="1"/>
  <c r="F388" i="1"/>
  <c r="E388" i="1"/>
  <c r="D388" i="1"/>
  <c r="C388" i="1"/>
  <c r="B388" i="1"/>
  <c r="A388" i="1"/>
  <c r="Q387" i="1"/>
  <c r="P387" i="1"/>
  <c r="O387" i="1"/>
  <c r="N387" i="1"/>
  <c r="M387" i="1"/>
  <c r="L387" i="1"/>
  <c r="K387" i="1"/>
  <c r="J387" i="1"/>
  <c r="I387" i="1"/>
  <c r="F387" i="1"/>
  <c r="E387" i="1"/>
  <c r="D387" i="1"/>
  <c r="C387" i="1"/>
  <c r="B387" i="1"/>
  <c r="A387" i="1"/>
  <c r="Q386" i="1"/>
  <c r="P386" i="1"/>
  <c r="O386" i="1"/>
  <c r="N386" i="1"/>
  <c r="M386" i="1"/>
  <c r="L386" i="1"/>
  <c r="K386" i="1"/>
  <c r="J386" i="1"/>
  <c r="I386" i="1"/>
  <c r="F386" i="1"/>
  <c r="E386" i="1"/>
  <c r="D386" i="1"/>
  <c r="C386" i="1"/>
  <c r="B386" i="1"/>
  <c r="A386" i="1"/>
  <c r="Q385" i="1"/>
  <c r="P385" i="1"/>
  <c r="O385" i="1"/>
  <c r="N385" i="1"/>
  <c r="M385" i="1"/>
  <c r="L385" i="1"/>
  <c r="K385" i="1"/>
  <c r="J385" i="1"/>
  <c r="I385" i="1"/>
  <c r="F385" i="1"/>
  <c r="E385" i="1"/>
  <c r="D385" i="1"/>
  <c r="C385" i="1"/>
  <c r="B385" i="1"/>
  <c r="A385" i="1"/>
  <c r="Q384" i="1"/>
  <c r="P384" i="1"/>
  <c r="O384" i="1"/>
  <c r="N384" i="1"/>
  <c r="M384" i="1"/>
  <c r="L384" i="1"/>
  <c r="K384" i="1"/>
  <c r="J384" i="1"/>
  <c r="I384" i="1"/>
  <c r="F384" i="1"/>
  <c r="E384" i="1"/>
  <c r="D384" i="1"/>
  <c r="C384" i="1"/>
  <c r="B384" i="1"/>
  <c r="A384" i="1"/>
  <c r="Q383" i="1"/>
  <c r="P383" i="1"/>
  <c r="O383" i="1"/>
  <c r="N383" i="1"/>
  <c r="M383" i="1"/>
  <c r="L383" i="1"/>
  <c r="K383" i="1"/>
  <c r="J383" i="1"/>
  <c r="I383" i="1"/>
  <c r="F383" i="1"/>
  <c r="E383" i="1"/>
  <c r="D383" i="1"/>
  <c r="C383" i="1"/>
  <c r="B383" i="1"/>
  <c r="A383" i="1"/>
  <c r="Q382" i="1"/>
  <c r="P382" i="1"/>
  <c r="O382" i="1"/>
  <c r="N382" i="1"/>
  <c r="M382" i="1"/>
  <c r="L382" i="1"/>
  <c r="K382" i="1"/>
  <c r="J382" i="1"/>
  <c r="I382" i="1"/>
  <c r="F382" i="1"/>
  <c r="E382" i="1"/>
  <c r="D382" i="1"/>
  <c r="C382" i="1"/>
  <c r="B382" i="1"/>
  <c r="A382" i="1"/>
  <c r="Q381" i="1"/>
  <c r="P381" i="1"/>
  <c r="O381" i="1"/>
  <c r="N381" i="1"/>
  <c r="M381" i="1"/>
  <c r="L381" i="1"/>
  <c r="K381" i="1"/>
  <c r="J381" i="1"/>
  <c r="I381" i="1"/>
  <c r="F381" i="1"/>
  <c r="E381" i="1"/>
  <c r="D381" i="1"/>
  <c r="C381" i="1"/>
  <c r="B381" i="1"/>
  <c r="A381" i="1"/>
  <c r="Q380" i="1"/>
  <c r="P380" i="1"/>
  <c r="O380" i="1"/>
  <c r="N380" i="1"/>
  <c r="M380" i="1"/>
  <c r="L380" i="1"/>
  <c r="K380" i="1"/>
  <c r="J380" i="1"/>
  <c r="I380" i="1"/>
  <c r="F380" i="1"/>
  <c r="E380" i="1"/>
  <c r="D380" i="1"/>
  <c r="C380" i="1"/>
  <c r="B380" i="1"/>
  <c r="A380" i="1"/>
  <c r="Q379" i="1"/>
  <c r="P379" i="1"/>
  <c r="O379" i="1"/>
  <c r="N379" i="1"/>
  <c r="M379" i="1"/>
  <c r="L379" i="1"/>
  <c r="K379" i="1"/>
  <c r="J379" i="1"/>
  <c r="I379" i="1"/>
  <c r="F379" i="1"/>
  <c r="E379" i="1"/>
  <c r="D379" i="1"/>
  <c r="C379" i="1"/>
  <c r="B379" i="1"/>
  <c r="A379" i="1"/>
  <c r="Q378" i="1"/>
  <c r="P378" i="1"/>
  <c r="O378" i="1"/>
  <c r="N378" i="1"/>
  <c r="M378" i="1"/>
  <c r="L378" i="1"/>
  <c r="K378" i="1"/>
  <c r="J378" i="1"/>
  <c r="I378" i="1"/>
  <c r="F378" i="1"/>
  <c r="E378" i="1"/>
  <c r="D378" i="1"/>
  <c r="C378" i="1"/>
  <c r="B378" i="1"/>
  <c r="A378" i="1"/>
  <c r="Q377" i="1"/>
  <c r="P377" i="1"/>
  <c r="O377" i="1"/>
  <c r="N377" i="1"/>
  <c r="M377" i="1"/>
  <c r="L377" i="1"/>
  <c r="K377" i="1"/>
  <c r="J377" i="1"/>
  <c r="I377" i="1"/>
  <c r="G377" i="1"/>
  <c r="F377" i="1"/>
  <c r="E377" i="1"/>
  <c r="D377" i="1"/>
  <c r="C377" i="1"/>
  <c r="B377" i="1"/>
  <c r="A377" i="1"/>
  <c r="Q376" i="1"/>
  <c r="P376" i="1"/>
  <c r="O376" i="1"/>
  <c r="N376" i="1"/>
  <c r="M376" i="1"/>
  <c r="L376" i="1"/>
  <c r="K376" i="1"/>
  <c r="J376" i="1"/>
  <c r="I376" i="1"/>
  <c r="F376" i="1"/>
  <c r="E376" i="1"/>
  <c r="D376" i="1"/>
  <c r="C376" i="1"/>
  <c r="B376" i="1"/>
  <c r="A376" i="1"/>
  <c r="Q375" i="1"/>
  <c r="P375" i="1"/>
  <c r="O375" i="1"/>
  <c r="N375" i="1"/>
  <c r="M375" i="1"/>
  <c r="L375" i="1"/>
  <c r="K375" i="1"/>
  <c r="J375" i="1"/>
  <c r="I375" i="1"/>
  <c r="G375" i="1"/>
  <c r="F375" i="1"/>
  <c r="E375" i="1"/>
  <c r="D375" i="1"/>
  <c r="C375" i="1"/>
  <c r="B375" i="1"/>
  <c r="A375" i="1"/>
  <c r="Q374" i="1"/>
  <c r="P374" i="1"/>
  <c r="O374" i="1"/>
  <c r="N374" i="1"/>
  <c r="M374" i="1"/>
  <c r="L374" i="1"/>
  <c r="K374" i="1"/>
  <c r="J374" i="1"/>
  <c r="I374" i="1"/>
  <c r="F374" i="1"/>
  <c r="E374" i="1"/>
  <c r="D374" i="1"/>
  <c r="C374" i="1"/>
  <c r="B374" i="1"/>
  <c r="A374" i="1"/>
  <c r="Q373" i="1"/>
  <c r="P373" i="1"/>
  <c r="O373" i="1"/>
  <c r="N373" i="1"/>
  <c r="M373" i="1"/>
  <c r="L373" i="1"/>
  <c r="K373" i="1"/>
  <c r="J373" i="1"/>
  <c r="I373" i="1"/>
  <c r="F373" i="1"/>
  <c r="E373" i="1"/>
  <c r="D373" i="1"/>
  <c r="C373" i="1"/>
  <c r="B373" i="1"/>
  <c r="A373" i="1"/>
  <c r="Q372" i="1"/>
  <c r="P372" i="1"/>
  <c r="O372" i="1"/>
  <c r="N372" i="1"/>
  <c r="M372" i="1"/>
  <c r="L372" i="1"/>
  <c r="K372" i="1"/>
  <c r="J372" i="1"/>
  <c r="I372" i="1"/>
  <c r="F372" i="1"/>
  <c r="E372" i="1"/>
  <c r="D372" i="1"/>
  <c r="C372" i="1"/>
  <c r="B372" i="1"/>
  <c r="A372" i="1"/>
  <c r="Q371" i="1"/>
  <c r="P371" i="1"/>
  <c r="O371" i="1"/>
  <c r="N371" i="1"/>
  <c r="M371" i="1"/>
  <c r="L371" i="1"/>
  <c r="K371" i="1"/>
  <c r="J371" i="1"/>
  <c r="I371" i="1"/>
  <c r="F371" i="1"/>
  <c r="E371" i="1"/>
  <c r="D371" i="1"/>
  <c r="C371" i="1"/>
  <c r="B371" i="1"/>
  <c r="A371" i="1"/>
  <c r="Q370" i="1"/>
  <c r="P370" i="1"/>
  <c r="O370" i="1"/>
  <c r="N370" i="1"/>
  <c r="M370" i="1"/>
  <c r="L370" i="1"/>
  <c r="K370" i="1"/>
  <c r="J370" i="1"/>
  <c r="I370" i="1"/>
  <c r="F370" i="1"/>
  <c r="E370" i="1"/>
  <c r="D370" i="1"/>
  <c r="C370" i="1"/>
  <c r="B370" i="1"/>
  <c r="A370" i="1"/>
  <c r="Q369" i="1"/>
  <c r="P369" i="1"/>
  <c r="O369" i="1"/>
  <c r="N369" i="1"/>
  <c r="M369" i="1"/>
  <c r="L369" i="1"/>
  <c r="K369" i="1"/>
  <c r="J369" i="1"/>
  <c r="I369" i="1"/>
  <c r="F369" i="1"/>
  <c r="E369" i="1"/>
  <c r="D369" i="1"/>
  <c r="C369" i="1"/>
  <c r="B369" i="1"/>
  <c r="A369" i="1"/>
  <c r="Q368" i="1"/>
  <c r="P368" i="1"/>
  <c r="O368" i="1"/>
  <c r="N368" i="1"/>
  <c r="M368" i="1"/>
  <c r="L368" i="1"/>
  <c r="K368" i="1"/>
  <c r="J368" i="1"/>
  <c r="I368" i="1"/>
  <c r="F368" i="1"/>
  <c r="E368" i="1"/>
  <c r="D368" i="1"/>
  <c r="C368" i="1"/>
  <c r="B368" i="1"/>
  <c r="A368" i="1"/>
  <c r="Q367" i="1"/>
  <c r="P367" i="1"/>
  <c r="O367" i="1"/>
  <c r="N367" i="1"/>
  <c r="M367" i="1"/>
  <c r="L367" i="1"/>
  <c r="K367" i="1"/>
  <c r="J367" i="1"/>
  <c r="I367" i="1"/>
  <c r="F367" i="1"/>
  <c r="E367" i="1"/>
  <c r="D367" i="1"/>
  <c r="C367" i="1"/>
  <c r="B367" i="1"/>
  <c r="A367" i="1"/>
  <c r="Q366" i="1"/>
  <c r="P366" i="1"/>
  <c r="O366" i="1"/>
  <c r="N366" i="1"/>
  <c r="M366" i="1"/>
  <c r="L366" i="1"/>
  <c r="K366" i="1"/>
  <c r="J366" i="1"/>
  <c r="I366" i="1"/>
  <c r="F366" i="1"/>
  <c r="E366" i="1"/>
  <c r="D366" i="1"/>
  <c r="C366" i="1"/>
  <c r="B366" i="1"/>
  <c r="A366" i="1"/>
  <c r="Q365" i="1"/>
  <c r="P365" i="1"/>
  <c r="O365" i="1"/>
  <c r="N365" i="1"/>
  <c r="M365" i="1"/>
  <c r="L365" i="1"/>
  <c r="K365" i="1"/>
  <c r="J365" i="1"/>
  <c r="I365" i="1"/>
  <c r="G365" i="1"/>
  <c r="F365" i="1"/>
  <c r="E365" i="1"/>
  <c r="D365" i="1"/>
  <c r="C365" i="1"/>
  <c r="B365" i="1"/>
  <c r="A365" i="1"/>
  <c r="Q364" i="1"/>
  <c r="P364" i="1"/>
  <c r="O364" i="1"/>
  <c r="N364" i="1"/>
  <c r="M364" i="1"/>
  <c r="L364" i="1"/>
  <c r="K364" i="1"/>
  <c r="J364" i="1"/>
  <c r="I364" i="1"/>
  <c r="F364" i="1"/>
  <c r="E364" i="1"/>
  <c r="D364" i="1"/>
  <c r="C364" i="1"/>
  <c r="B364" i="1"/>
  <c r="A364" i="1"/>
  <c r="Q363" i="1"/>
  <c r="P363" i="1"/>
  <c r="O363" i="1"/>
  <c r="N363" i="1"/>
  <c r="M363" i="1"/>
  <c r="L363" i="1"/>
  <c r="K363" i="1"/>
  <c r="J363" i="1"/>
  <c r="I363" i="1"/>
  <c r="F363" i="1"/>
  <c r="E363" i="1"/>
  <c r="D363" i="1"/>
  <c r="C363" i="1"/>
  <c r="B363" i="1"/>
  <c r="A363" i="1"/>
  <c r="Q362" i="1"/>
  <c r="P362" i="1"/>
  <c r="O362" i="1"/>
  <c r="N362" i="1"/>
  <c r="M362" i="1"/>
  <c r="L362" i="1"/>
  <c r="K362" i="1"/>
  <c r="J362" i="1"/>
  <c r="I362" i="1"/>
  <c r="F362" i="1"/>
  <c r="E362" i="1"/>
  <c r="D362" i="1"/>
  <c r="C362" i="1"/>
  <c r="B362" i="1"/>
  <c r="A362" i="1"/>
  <c r="Q361" i="1"/>
  <c r="P361" i="1"/>
  <c r="O361" i="1"/>
  <c r="N361" i="1"/>
  <c r="M361" i="1"/>
  <c r="L361" i="1"/>
  <c r="K361" i="1"/>
  <c r="J361" i="1"/>
  <c r="I361" i="1"/>
  <c r="F361" i="1"/>
  <c r="E361" i="1"/>
  <c r="D361" i="1"/>
  <c r="C361" i="1"/>
  <c r="B361" i="1"/>
  <c r="A361" i="1"/>
  <c r="Q360" i="1"/>
  <c r="P360" i="1"/>
  <c r="O360" i="1"/>
  <c r="N360" i="1"/>
  <c r="M360" i="1"/>
  <c r="L360" i="1"/>
  <c r="K360" i="1"/>
  <c r="J360" i="1"/>
  <c r="I360" i="1"/>
  <c r="F360" i="1"/>
  <c r="E360" i="1"/>
  <c r="D360" i="1"/>
  <c r="C360" i="1"/>
  <c r="B360" i="1"/>
  <c r="A360" i="1"/>
  <c r="Q359" i="1"/>
  <c r="P359" i="1"/>
  <c r="O359" i="1"/>
  <c r="N359" i="1"/>
  <c r="M359" i="1"/>
  <c r="L359" i="1"/>
  <c r="K359" i="1"/>
  <c r="J359" i="1"/>
  <c r="I359" i="1"/>
  <c r="F359" i="1"/>
  <c r="E359" i="1"/>
  <c r="D359" i="1"/>
  <c r="C359" i="1"/>
  <c r="B359" i="1"/>
  <c r="A359" i="1"/>
  <c r="Q358" i="1"/>
  <c r="P358" i="1"/>
  <c r="O358" i="1"/>
  <c r="N358" i="1"/>
  <c r="M358" i="1"/>
  <c r="L358" i="1"/>
  <c r="K358" i="1"/>
  <c r="J358" i="1"/>
  <c r="I358" i="1"/>
  <c r="F358" i="1"/>
  <c r="E358" i="1"/>
  <c r="D358" i="1"/>
  <c r="C358" i="1"/>
  <c r="B358" i="1"/>
  <c r="A358" i="1"/>
  <c r="Q357" i="1"/>
  <c r="P357" i="1"/>
  <c r="O357" i="1"/>
  <c r="N357" i="1"/>
  <c r="M357" i="1"/>
  <c r="L357" i="1"/>
  <c r="K357" i="1"/>
  <c r="J357" i="1"/>
  <c r="I357" i="1"/>
  <c r="F357" i="1"/>
  <c r="E357" i="1"/>
  <c r="D357" i="1"/>
  <c r="C357" i="1"/>
  <c r="B357" i="1"/>
  <c r="A357" i="1"/>
  <c r="Q356" i="1"/>
  <c r="P356" i="1"/>
  <c r="O356" i="1"/>
  <c r="N356" i="1"/>
  <c r="M356" i="1"/>
  <c r="L356" i="1"/>
  <c r="K356" i="1"/>
  <c r="J356" i="1"/>
  <c r="I356" i="1"/>
  <c r="F356" i="1"/>
  <c r="E356" i="1"/>
  <c r="D356" i="1"/>
  <c r="C356" i="1"/>
  <c r="B356" i="1"/>
  <c r="A356" i="1"/>
  <c r="Q355" i="1"/>
  <c r="P355" i="1"/>
  <c r="O355" i="1"/>
  <c r="N355" i="1"/>
  <c r="M355" i="1"/>
  <c r="L355" i="1"/>
  <c r="K355" i="1"/>
  <c r="J355" i="1"/>
  <c r="I355" i="1"/>
  <c r="F355" i="1"/>
  <c r="E355" i="1"/>
  <c r="D355" i="1"/>
  <c r="C355" i="1"/>
  <c r="B355" i="1"/>
  <c r="A355" i="1"/>
  <c r="Q354" i="1"/>
  <c r="P354" i="1"/>
  <c r="O354" i="1"/>
  <c r="N354" i="1"/>
  <c r="M354" i="1"/>
  <c r="L354" i="1"/>
  <c r="K354" i="1"/>
  <c r="J354" i="1"/>
  <c r="I354" i="1"/>
  <c r="G354" i="1"/>
  <c r="F354" i="1"/>
  <c r="E354" i="1"/>
  <c r="D354" i="1"/>
  <c r="C354" i="1"/>
  <c r="B354" i="1"/>
  <c r="A354" i="1"/>
  <c r="Q353" i="1"/>
  <c r="P353" i="1"/>
  <c r="O353" i="1"/>
  <c r="N353" i="1"/>
  <c r="M353" i="1"/>
  <c r="L353" i="1"/>
  <c r="K353" i="1"/>
  <c r="J353" i="1"/>
  <c r="I353" i="1"/>
  <c r="F353" i="1"/>
  <c r="E353" i="1"/>
  <c r="D353" i="1"/>
  <c r="C353" i="1"/>
  <c r="B353" i="1"/>
  <c r="A353" i="1"/>
  <c r="Q352" i="1"/>
  <c r="P352" i="1"/>
  <c r="O352" i="1"/>
  <c r="N352" i="1"/>
  <c r="M352" i="1"/>
  <c r="L352" i="1"/>
  <c r="K352" i="1"/>
  <c r="J352" i="1"/>
  <c r="I352" i="1"/>
  <c r="F352" i="1"/>
  <c r="E352" i="1"/>
  <c r="D352" i="1"/>
  <c r="C352" i="1"/>
  <c r="B352" i="1"/>
  <c r="A352" i="1"/>
  <c r="Q351" i="1"/>
  <c r="P351" i="1"/>
  <c r="O351" i="1"/>
  <c r="N351" i="1"/>
  <c r="M351" i="1"/>
  <c r="L351" i="1"/>
  <c r="K351" i="1"/>
  <c r="J351" i="1"/>
  <c r="I351" i="1"/>
  <c r="F351" i="1"/>
  <c r="E351" i="1"/>
  <c r="D351" i="1"/>
  <c r="C351" i="1"/>
  <c r="B351" i="1"/>
  <c r="A351" i="1"/>
  <c r="Q350" i="1"/>
  <c r="P350" i="1"/>
  <c r="O350" i="1"/>
  <c r="N350" i="1"/>
  <c r="M350" i="1"/>
  <c r="L350" i="1"/>
  <c r="K350" i="1"/>
  <c r="J350" i="1"/>
  <c r="I350" i="1"/>
  <c r="F350" i="1"/>
  <c r="E350" i="1"/>
  <c r="D350" i="1"/>
  <c r="C350" i="1"/>
  <c r="B350" i="1"/>
  <c r="A350" i="1"/>
  <c r="Q349" i="1"/>
  <c r="P349" i="1"/>
  <c r="O349" i="1"/>
  <c r="N349" i="1"/>
  <c r="M349" i="1"/>
  <c r="L349" i="1"/>
  <c r="K349" i="1"/>
  <c r="J349" i="1"/>
  <c r="I349" i="1"/>
  <c r="F349" i="1"/>
  <c r="E349" i="1"/>
  <c r="D349" i="1"/>
  <c r="C349" i="1"/>
  <c r="B349" i="1"/>
  <c r="A349" i="1"/>
  <c r="Q348" i="1"/>
  <c r="P348" i="1"/>
  <c r="O348" i="1"/>
  <c r="N348" i="1"/>
  <c r="M348" i="1"/>
  <c r="L348" i="1"/>
  <c r="K348" i="1"/>
  <c r="J348" i="1"/>
  <c r="I348" i="1"/>
  <c r="G348" i="1"/>
  <c r="F348" i="1"/>
  <c r="E348" i="1"/>
  <c r="D348" i="1"/>
  <c r="C348" i="1"/>
  <c r="B348" i="1"/>
  <c r="A348" i="1"/>
  <c r="Q347" i="1"/>
  <c r="P347" i="1"/>
  <c r="O347" i="1"/>
  <c r="N347" i="1"/>
  <c r="M347" i="1"/>
  <c r="L347" i="1"/>
  <c r="K347" i="1"/>
  <c r="J347" i="1"/>
  <c r="I347" i="1"/>
  <c r="G347" i="1"/>
  <c r="F347" i="1"/>
  <c r="E347" i="1"/>
  <c r="D347" i="1"/>
  <c r="C347" i="1"/>
  <c r="B347" i="1"/>
  <c r="A347" i="1"/>
  <c r="Q346" i="1"/>
  <c r="P346" i="1"/>
  <c r="O346" i="1"/>
  <c r="N346" i="1"/>
  <c r="M346" i="1"/>
  <c r="L346" i="1"/>
  <c r="K346" i="1"/>
  <c r="J346" i="1"/>
  <c r="I346" i="1"/>
  <c r="F346" i="1"/>
  <c r="E346" i="1"/>
  <c r="D346" i="1"/>
  <c r="C346" i="1"/>
  <c r="B346" i="1"/>
  <c r="A346" i="1"/>
  <c r="Q345" i="1"/>
  <c r="P345" i="1"/>
  <c r="O345" i="1"/>
  <c r="N345" i="1"/>
  <c r="M345" i="1"/>
  <c r="L345" i="1"/>
  <c r="K345" i="1"/>
  <c r="J345" i="1"/>
  <c r="I345" i="1"/>
  <c r="G345" i="1"/>
  <c r="F345" i="1"/>
  <c r="E345" i="1"/>
  <c r="D345" i="1"/>
  <c r="C345" i="1"/>
  <c r="B345" i="1"/>
  <c r="A345" i="1"/>
  <c r="Q344" i="1"/>
  <c r="P344" i="1"/>
  <c r="O344" i="1"/>
  <c r="N344" i="1"/>
  <c r="M344" i="1"/>
  <c r="L344" i="1"/>
  <c r="K344" i="1"/>
  <c r="J344" i="1"/>
  <c r="I344" i="1"/>
  <c r="F344" i="1"/>
  <c r="E344" i="1"/>
  <c r="D344" i="1"/>
  <c r="C344" i="1"/>
  <c r="B344" i="1"/>
  <c r="A344" i="1"/>
  <c r="Q343" i="1"/>
  <c r="P343" i="1"/>
  <c r="O343" i="1"/>
  <c r="N343" i="1"/>
  <c r="M343" i="1"/>
  <c r="L343" i="1"/>
  <c r="K343" i="1"/>
  <c r="J343" i="1"/>
  <c r="I343" i="1"/>
  <c r="F343" i="1"/>
  <c r="E343" i="1"/>
  <c r="D343" i="1"/>
  <c r="C343" i="1"/>
  <c r="B343" i="1"/>
  <c r="A343" i="1"/>
  <c r="Q342" i="1"/>
  <c r="P342" i="1"/>
  <c r="O342" i="1"/>
  <c r="N342" i="1"/>
  <c r="M342" i="1"/>
  <c r="L342" i="1"/>
  <c r="K342" i="1"/>
  <c r="J342" i="1"/>
  <c r="I342" i="1"/>
  <c r="F342" i="1"/>
  <c r="E342" i="1"/>
  <c r="D342" i="1"/>
  <c r="C342" i="1"/>
  <c r="B342" i="1"/>
  <c r="A342" i="1"/>
  <c r="Q341" i="1"/>
  <c r="P341" i="1"/>
  <c r="O341" i="1"/>
  <c r="N341" i="1"/>
  <c r="M341" i="1"/>
  <c r="L341" i="1"/>
  <c r="K341" i="1"/>
  <c r="J341" i="1"/>
  <c r="I341" i="1"/>
  <c r="F341" i="1"/>
  <c r="E341" i="1"/>
  <c r="D341" i="1"/>
  <c r="C341" i="1"/>
  <c r="B341" i="1"/>
  <c r="A341" i="1"/>
  <c r="Q340" i="1"/>
  <c r="P340" i="1"/>
  <c r="O340" i="1"/>
  <c r="N340" i="1"/>
  <c r="M340" i="1"/>
  <c r="L340" i="1"/>
  <c r="K340" i="1"/>
  <c r="J340" i="1"/>
  <c r="I340" i="1"/>
  <c r="F340" i="1"/>
  <c r="E340" i="1"/>
  <c r="D340" i="1"/>
  <c r="C340" i="1"/>
  <c r="B340" i="1"/>
  <c r="A340" i="1"/>
  <c r="Q339" i="1"/>
  <c r="P339" i="1"/>
  <c r="O339" i="1"/>
  <c r="N339" i="1"/>
  <c r="M339" i="1"/>
  <c r="L339" i="1"/>
  <c r="K339" i="1"/>
  <c r="J339" i="1"/>
  <c r="I339" i="1"/>
  <c r="F339" i="1"/>
  <c r="E339" i="1"/>
  <c r="D339" i="1"/>
  <c r="C339" i="1"/>
  <c r="B339" i="1"/>
  <c r="A339" i="1"/>
  <c r="Q338" i="1"/>
  <c r="P338" i="1"/>
  <c r="O338" i="1"/>
  <c r="N338" i="1"/>
  <c r="M338" i="1"/>
  <c r="L338" i="1"/>
  <c r="K338" i="1"/>
  <c r="J338" i="1"/>
  <c r="I338" i="1"/>
  <c r="F338" i="1"/>
  <c r="E338" i="1"/>
  <c r="D338" i="1"/>
  <c r="C338" i="1"/>
  <c r="B338" i="1"/>
  <c r="A338" i="1"/>
  <c r="Q337" i="1"/>
  <c r="P337" i="1"/>
  <c r="O337" i="1"/>
  <c r="N337" i="1"/>
  <c r="M337" i="1"/>
  <c r="L337" i="1"/>
  <c r="K337" i="1"/>
  <c r="J337" i="1"/>
  <c r="I337" i="1"/>
  <c r="F337" i="1"/>
  <c r="E337" i="1"/>
  <c r="D337" i="1"/>
  <c r="C337" i="1"/>
  <c r="B337" i="1"/>
  <c r="A337" i="1"/>
  <c r="Q336" i="1"/>
  <c r="P336" i="1"/>
  <c r="O336" i="1"/>
  <c r="N336" i="1"/>
  <c r="M336" i="1"/>
  <c r="L336" i="1"/>
  <c r="K336" i="1"/>
  <c r="J336" i="1"/>
  <c r="I336" i="1"/>
  <c r="F336" i="1"/>
  <c r="E336" i="1"/>
  <c r="D336" i="1"/>
  <c r="C336" i="1"/>
  <c r="B336" i="1"/>
  <c r="A336" i="1"/>
  <c r="Q335" i="1"/>
  <c r="P335" i="1"/>
  <c r="O335" i="1"/>
  <c r="N335" i="1"/>
  <c r="M335" i="1"/>
  <c r="L335" i="1"/>
  <c r="K335" i="1"/>
  <c r="J335" i="1"/>
  <c r="I335" i="1"/>
  <c r="F335" i="1"/>
  <c r="E335" i="1"/>
  <c r="D335" i="1"/>
  <c r="C335" i="1"/>
  <c r="B335" i="1"/>
  <c r="A335" i="1"/>
  <c r="Q334" i="1"/>
  <c r="P334" i="1"/>
  <c r="O334" i="1"/>
  <c r="N334" i="1"/>
  <c r="M334" i="1"/>
  <c r="L334" i="1"/>
  <c r="K334" i="1"/>
  <c r="J334" i="1"/>
  <c r="I334" i="1"/>
  <c r="F334" i="1"/>
  <c r="E334" i="1"/>
  <c r="D334" i="1"/>
  <c r="C334" i="1"/>
  <c r="B334" i="1"/>
  <c r="A334" i="1"/>
  <c r="Q333" i="1"/>
  <c r="P333" i="1"/>
  <c r="O333" i="1"/>
  <c r="N333" i="1"/>
  <c r="M333" i="1"/>
  <c r="L333" i="1"/>
  <c r="K333" i="1"/>
  <c r="J333" i="1"/>
  <c r="I333" i="1"/>
  <c r="G333" i="1"/>
  <c r="F333" i="1"/>
  <c r="E333" i="1"/>
  <c r="D333" i="1"/>
  <c r="C333" i="1"/>
  <c r="B333" i="1"/>
  <c r="A333" i="1"/>
  <c r="Q332" i="1"/>
  <c r="P332" i="1"/>
  <c r="O332" i="1"/>
  <c r="N332" i="1"/>
  <c r="M332" i="1"/>
  <c r="L332" i="1"/>
  <c r="K332" i="1"/>
  <c r="J332" i="1"/>
  <c r="I332" i="1"/>
  <c r="F332" i="1"/>
  <c r="E332" i="1"/>
  <c r="D332" i="1"/>
  <c r="C332" i="1"/>
  <c r="B332" i="1"/>
  <c r="A332" i="1"/>
  <c r="Q331" i="1"/>
  <c r="P331" i="1"/>
  <c r="O331" i="1"/>
  <c r="N331" i="1"/>
  <c r="M331" i="1"/>
  <c r="L331" i="1"/>
  <c r="K331" i="1"/>
  <c r="J331" i="1"/>
  <c r="I331" i="1"/>
  <c r="F331" i="1"/>
  <c r="E331" i="1"/>
  <c r="D331" i="1"/>
  <c r="C331" i="1"/>
  <c r="B331" i="1"/>
  <c r="A331" i="1"/>
  <c r="Q330" i="1"/>
  <c r="P330" i="1"/>
  <c r="O330" i="1"/>
  <c r="N330" i="1"/>
  <c r="M330" i="1"/>
  <c r="L330" i="1"/>
  <c r="K330" i="1"/>
  <c r="J330" i="1"/>
  <c r="I330" i="1"/>
  <c r="F330" i="1"/>
  <c r="E330" i="1"/>
  <c r="D330" i="1"/>
  <c r="C330" i="1"/>
  <c r="B330" i="1"/>
  <c r="A330" i="1"/>
  <c r="Q329" i="1"/>
  <c r="P329" i="1"/>
  <c r="O329" i="1"/>
  <c r="N329" i="1"/>
  <c r="M329" i="1"/>
  <c r="L329" i="1"/>
  <c r="K329" i="1"/>
  <c r="J329" i="1"/>
  <c r="I329" i="1"/>
  <c r="F329" i="1"/>
  <c r="E329" i="1"/>
  <c r="D329" i="1"/>
  <c r="C329" i="1"/>
  <c r="B329" i="1"/>
  <c r="A329" i="1"/>
  <c r="Q328" i="1"/>
  <c r="P328" i="1"/>
  <c r="O328" i="1"/>
  <c r="N328" i="1"/>
  <c r="M328" i="1"/>
  <c r="L328" i="1"/>
  <c r="K328" i="1"/>
  <c r="J328" i="1"/>
  <c r="I328" i="1"/>
  <c r="F328" i="1"/>
  <c r="E328" i="1"/>
  <c r="D328" i="1"/>
  <c r="C328" i="1"/>
  <c r="B328" i="1"/>
  <c r="A328" i="1"/>
  <c r="Q327" i="1"/>
  <c r="P327" i="1"/>
  <c r="O327" i="1"/>
  <c r="N327" i="1"/>
  <c r="M327" i="1"/>
  <c r="L327" i="1"/>
  <c r="K327" i="1"/>
  <c r="J327" i="1"/>
  <c r="I327" i="1"/>
  <c r="F327" i="1"/>
  <c r="E327" i="1"/>
  <c r="D327" i="1"/>
  <c r="C327" i="1"/>
  <c r="B327" i="1"/>
  <c r="A327" i="1"/>
  <c r="Q326" i="1"/>
  <c r="P326" i="1"/>
  <c r="O326" i="1"/>
  <c r="N326" i="1"/>
  <c r="M326" i="1"/>
  <c r="L326" i="1"/>
  <c r="K326" i="1"/>
  <c r="J326" i="1"/>
  <c r="I326" i="1"/>
  <c r="F326" i="1"/>
  <c r="E326" i="1"/>
  <c r="D326" i="1"/>
  <c r="C326" i="1"/>
  <c r="B326" i="1"/>
  <c r="A326" i="1"/>
  <c r="Q325" i="1"/>
  <c r="P325" i="1"/>
  <c r="O325" i="1"/>
  <c r="N325" i="1"/>
  <c r="M325" i="1"/>
  <c r="L325" i="1"/>
  <c r="K325" i="1"/>
  <c r="J325" i="1"/>
  <c r="I325" i="1"/>
  <c r="G325" i="1"/>
  <c r="F325" i="1"/>
  <c r="E325" i="1"/>
  <c r="D325" i="1"/>
  <c r="C325" i="1"/>
  <c r="B325" i="1"/>
  <c r="A325" i="1"/>
  <c r="Q324" i="1"/>
  <c r="P324" i="1"/>
  <c r="O324" i="1"/>
  <c r="N324" i="1"/>
  <c r="M324" i="1"/>
  <c r="L324" i="1"/>
  <c r="K324" i="1"/>
  <c r="J324" i="1"/>
  <c r="I324" i="1"/>
  <c r="F324" i="1"/>
  <c r="E324" i="1"/>
  <c r="D324" i="1"/>
  <c r="C324" i="1"/>
  <c r="B324" i="1"/>
  <c r="A324" i="1"/>
  <c r="Q323" i="1"/>
  <c r="P323" i="1"/>
  <c r="O323" i="1"/>
  <c r="N323" i="1"/>
  <c r="M323" i="1"/>
  <c r="L323" i="1"/>
  <c r="K323" i="1"/>
  <c r="J323" i="1"/>
  <c r="I323" i="1"/>
  <c r="F323" i="1"/>
  <c r="E323" i="1"/>
  <c r="D323" i="1"/>
  <c r="C323" i="1"/>
  <c r="B323" i="1"/>
  <c r="A323" i="1"/>
  <c r="Q322" i="1"/>
  <c r="P322" i="1"/>
  <c r="O322" i="1"/>
  <c r="N322" i="1"/>
  <c r="M322" i="1"/>
  <c r="L322" i="1"/>
  <c r="K322" i="1"/>
  <c r="J322" i="1"/>
  <c r="I322" i="1"/>
  <c r="F322" i="1"/>
  <c r="E322" i="1"/>
  <c r="D322" i="1"/>
  <c r="C322" i="1"/>
  <c r="B322" i="1"/>
  <c r="A322" i="1"/>
  <c r="Q321" i="1"/>
  <c r="P321" i="1"/>
  <c r="O321" i="1"/>
  <c r="N321" i="1"/>
  <c r="M321" i="1"/>
  <c r="L321" i="1"/>
  <c r="K321" i="1"/>
  <c r="J321" i="1"/>
  <c r="I321" i="1"/>
  <c r="F321" i="1"/>
  <c r="E321" i="1"/>
  <c r="D321" i="1"/>
  <c r="C321" i="1"/>
  <c r="B321" i="1"/>
  <c r="A321" i="1"/>
  <c r="Q320" i="1"/>
  <c r="P320" i="1"/>
  <c r="O320" i="1"/>
  <c r="N320" i="1"/>
  <c r="M320" i="1"/>
  <c r="L320" i="1"/>
  <c r="K320" i="1"/>
  <c r="J320" i="1"/>
  <c r="I320" i="1"/>
  <c r="G320" i="1"/>
  <c r="F320" i="1"/>
  <c r="E320" i="1"/>
  <c r="D320" i="1"/>
  <c r="C320" i="1"/>
  <c r="B320" i="1"/>
  <c r="A320" i="1"/>
  <c r="Q319" i="1"/>
  <c r="P319" i="1"/>
  <c r="O319" i="1"/>
  <c r="N319" i="1"/>
  <c r="M319" i="1"/>
  <c r="L319" i="1"/>
  <c r="K319" i="1"/>
  <c r="J319" i="1"/>
  <c r="I319" i="1"/>
  <c r="F319" i="1"/>
  <c r="E319" i="1"/>
  <c r="D319" i="1"/>
  <c r="C319" i="1"/>
  <c r="B319" i="1"/>
  <c r="A319" i="1"/>
  <c r="Q318" i="1"/>
  <c r="P318" i="1"/>
  <c r="O318" i="1"/>
  <c r="N318" i="1"/>
  <c r="M318" i="1"/>
  <c r="L318" i="1"/>
  <c r="K318" i="1"/>
  <c r="J318" i="1"/>
  <c r="I318" i="1"/>
  <c r="F318" i="1"/>
  <c r="E318" i="1"/>
  <c r="D318" i="1"/>
  <c r="C318" i="1"/>
  <c r="B318" i="1"/>
  <c r="A318" i="1"/>
  <c r="Q317" i="1"/>
  <c r="P317" i="1"/>
  <c r="O317" i="1"/>
  <c r="N317" i="1"/>
  <c r="M317" i="1"/>
  <c r="L317" i="1"/>
  <c r="K317" i="1"/>
  <c r="J317" i="1"/>
  <c r="I317" i="1"/>
  <c r="F317" i="1"/>
  <c r="E317" i="1"/>
  <c r="D317" i="1"/>
  <c r="C317" i="1"/>
  <c r="B317" i="1"/>
  <c r="A317" i="1"/>
  <c r="Q316" i="1"/>
  <c r="P316" i="1"/>
  <c r="O316" i="1"/>
  <c r="N316" i="1"/>
  <c r="M316" i="1"/>
  <c r="L316" i="1"/>
  <c r="K316" i="1"/>
  <c r="J316" i="1"/>
  <c r="I316" i="1"/>
  <c r="G316" i="1"/>
  <c r="F316" i="1"/>
  <c r="E316" i="1"/>
  <c r="D316" i="1"/>
  <c r="C316" i="1"/>
  <c r="B316" i="1"/>
  <c r="A316" i="1"/>
  <c r="Q315" i="1"/>
  <c r="P315" i="1"/>
  <c r="O315" i="1"/>
  <c r="N315" i="1"/>
  <c r="M315" i="1"/>
  <c r="L315" i="1"/>
  <c r="K315" i="1"/>
  <c r="J315" i="1"/>
  <c r="I315" i="1"/>
  <c r="G315" i="1"/>
  <c r="F315" i="1"/>
  <c r="E315" i="1"/>
  <c r="D315" i="1"/>
  <c r="C315" i="1"/>
  <c r="B315" i="1"/>
  <c r="A315" i="1"/>
  <c r="Q314" i="1"/>
  <c r="P314" i="1"/>
  <c r="O314" i="1"/>
  <c r="N314" i="1"/>
  <c r="M314" i="1"/>
  <c r="L314" i="1"/>
  <c r="K314" i="1"/>
  <c r="J314" i="1"/>
  <c r="I314" i="1"/>
  <c r="F314" i="1"/>
  <c r="E314" i="1"/>
  <c r="D314" i="1"/>
  <c r="C314" i="1"/>
  <c r="B314" i="1"/>
  <c r="A314" i="1"/>
  <c r="Q313" i="1"/>
  <c r="P313" i="1"/>
  <c r="O313" i="1"/>
  <c r="N313" i="1"/>
  <c r="M313" i="1"/>
  <c r="L313" i="1"/>
  <c r="K313" i="1"/>
  <c r="J313" i="1"/>
  <c r="I313" i="1"/>
  <c r="F313" i="1"/>
  <c r="E313" i="1"/>
  <c r="D313" i="1"/>
  <c r="C313" i="1"/>
  <c r="B313" i="1"/>
  <c r="A313" i="1"/>
  <c r="Q312" i="1"/>
  <c r="P312" i="1"/>
  <c r="O312" i="1"/>
  <c r="N312" i="1"/>
  <c r="M312" i="1"/>
  <c r="L312" i="1"/>
  <c r="K312" i="1"/>
  <c r="J312" i="1"/>
  <c r="I312" i="1"/>
  <c r="F312" i="1"/>
  <c r="E312" i="1"/>
  <c r="D312" i="1"/>
  <c r="C312" i="1"/>
  <c r="B312" i="1"/>
  <c r="A312" i="1"/>
  <c r="Q311" i="1"/>
  <c r="P311" i="1"/>
  <c r="O311" i="1"/>
  <c r="N311" i="1"/>
  <c r="M311" i="1"/>
  <c r="L311" i="1"/>
  <c r="K311" i="1"/>
  <c r="J311" i="1"/>
  <c r="I311" i="1"/>
  <c r="F311" i="1"/>
  <c r="E311" i="1"/>
  <c r="D311" i="1"/>
  <c r="C311" i="1"/>
  <c r="B311" i="1"/>
  <c r="A311" i="1"/>
  <c r="Q310" i="1"/>
  <c r="P310" i="1"/>
  <c r="O310" i="1"/>
  <c r="N310" i="1"/>
  <c r="M310" i="1"/>
  <c r="L310" i="1"/>
  <c r="K310" i="1"/>
  <c r="J310" i="1"/>
  <c r="I310" i="1"/>
  <c r="F310" i="1"/>
  <c r="E310" i="1"/>
  <c r="D310" i="1"/>
  <c r="C310" i="1"/>
  <c r="B310" i="1"/>
  <c r="A310" i="1"/>
  <c r="Q309" i="1"/>
  <c r="P309" i="1"/>
  <c r="O309" i="1"/>
  <c r="N309" i="1"/>
  <c r="M309" i="1"/>
  <c r="L309" i="1"/>
  <c r="K309" i="1"/>
  <c r="J309" i="1"/>
  <c r="I309" i="1"/>
  <c r="F309" i="1"/>
  <c r="E309" i="1"/>
  <c r="D309" i="1"/>
  <c r="C309" i="1"/>
  <c r="B309" i="1"/>
  <c r="A309" i="1"/>
  <c r="Q308" i="1"/>
  <c r="P308" i="1"/>
  <c r="O308" i="1"/>
  <c r="N308" i="1"/>
  <c r="M308" i="1"/>
  <c r="L308" i="1"/>
  <c r="K308" i="1"/>
  <c r="J308" i="1"/>
  <c r="I308" i="1"/>
  <c r="F308" i="1"/>
  <c r="E308" i="1"/>
  <c r="D308" i="1"/>
  <c r="C308" i="1"/>
  <c r="B308" i="1"/>
  <c r="A308" i="1"/>
  <c r="Q307" i="1"/>
  <c r="P307" i="1"/>
  <c r="O307" i="1"/>
  <c r="N307" i="1"/>
  <c r="M307" i="1"/>
  <c r="L307" i="1"/>
  <c r="K307" i="1"/>
  <c r="J307" i="1"/>
  <c r="I307" i="1"/>
  <c r="F307" i="1"/>
  <c r="E307" i="1"/>
  <c r="D307" i="1"/>
  <c r="C307" i="1"/>
  <c r="B307" i="1"/>
  <c r="A307" i="1"/>
  <c r="Q306" i="1"/>
  <c r="P306" i="1"/>
  <c r="O306" i="1"/>
  <c r="N306" i="1"/>
  <c r="M306" i="1"/>
  <c r="L306" i="1"/>
  <c r="K306" i="1"/>
  <c r="J306" i="1"/>
  <c r="I306" i="1"/>
  <c r="F306" i="1"/>
  <c r="E306" i="1"/>
  <c r="D306" i="1"/>
  <c r="C306" i="1"/>
  <c r="B306" i="1"/>
  <c r="A306" i="1"/>
  <c r="Q305" i="1"/>
  <c r="P305" i="1"/>
  <c r="O305" i="1"/>
  <c r="N305" i="1"/>
  <c r="M305" i="1"/>
  <c r="L305" i="1"/>
  <c r="K305" i="1"/>
  <c r="J305" i="1"/>
  <c r="I305" i="1"/>
  <c r="F305" i="1"/>
  <c r="E305" i="1"/>
  <c r="D305" i="1"/>
  <c r="C305" i="1"/>
  <c r="B305" i="1"/>
  <c r="A305" i="1"/>
  <c r="Q304" i="1"/>
  <c r="P304" i="1"/>
  <c r="O304" i="1"/>
  <c r="N304" i="1"/>
  <c r="M304" i="1"/>
  <c r="L304" i="1"/>
  <c r="K304" i="1"/>
  <c r="J304" i="1"/>
  <c r="I304" i="1"/>
  <c r="F304" i="1"/>
  <c r="E304" i="1"/>
  <c r="D304" i="1"/>
  <c r="C304" i="1"/>
  <c r="B304" i="1"/>
  <c r="A304" i="1"/>
  <c r="Q303" i="1"/>
  <c r="P303" i="1"/>
  <c r="O303" i="1"/>
  <c r="N303" i="1"/>
  <c r="M303" i="1"/>
  <c r="L303" i="1"/>
  <c r="K303" i="1"/>
  <c r="J303" i="1"/>
  <c r="I303" i="1"/>
  <c r="F303" i="1"/>
  <c r="E303" i="1"/>
  <c r="D303" i="1"/>
  <c r="C303" i="1"/>
  <c r="B303" i="1"/>
  <c r="A303" i="1"/>
  <c r="Q302" i="1"/>
  <c r="P302" i="1"/>
  <c r="O302" i="1"/>
  <c r="N302" i="1"/>
  <c r="M302" i="1"/>
  <c r="L302" i="1"/>
  <c r="K302" i="1"/>
  <c r="J302" i="1"/>
  <c r="I302" i="1"/>
  <c r="F302" i="1"/>
  <c r="E302" i="1"/>
  <c r="D302" i="1"/>
  <c r="C302" i="1"/>
  <c r="B302" i="1"/>
  <c r="A302" i="1"/>
  <c r="Q301" i="1"/>
  <c r="P301" i="1"/>
  <c r="O301" i="1"/>
  <c r="N301" i="1"/>
  <c r="M301" i="1"/>
  <c r="L301" i="1"/>
  <c r="K301" i="1"/>
  <c r="J301" i="1"/>
  <c r="I301" i="1"/>
  <c r="F301" i="1"/>
  <c r="E301" i="1"/>
  <c r="D301" i="1"/>
  <c r="C301" i="1"/>
  <c r="B301" i="1"/>
  <c r="A301" i="1"/>
  <c r="Q300" i="1"/>
  <c r="P300" i="1"/>
  <c r="O300" i="1"/>
  <c r="N300" i="1"/>
  <c r="M300" i="1"/>
  <c r="L300" i="1"/>
  <c r="K300" i="1"/>
  <c r="J300" i="1"/>
  <c r="I300" i="1"/>
  <c r="F300" i="1"/>
  <c r="E300" i="1"/>
  <c r="D300" i="1"/>
  <c r="C300" i="1"/>
  <c r="B300" i="1"/>
  <c r="A300" i="1"/>
  <c r="Q299" i="1"/>
  <c r="P299" i="1"/>
  <c r="O299" i="1"/>
  <c r="N299" i="1"/>
  <c r="M299" i="1"/>
  <c r="L299" i="1"/>
  <c r="K299" i="1"/>
  <c r="J299" i="1"/>
  <c r="I299" i="1"/>
  <c r="F299" i="1"/>
  <c r="E299" i="1"/>
  <c r="D299" i="1"/>
  <c r="C299" i="1"/>
  <c r="B299" i="1"/>
  <c r="A299" i="1"/>
  <c r="Q298" i="1"/>
  <c r="P298" i="1"/>
  <c r="O298" i="1"/>
  <c r="N298" i="1"/>
  <c r="M298" i="1"/>
  <c r="L298" i="1"/>
  <c r="K298" i="1"/>
  <c r="J298" i="1"/>
  <c r="I298" i="1"/>
  <c r="F298" i="1"/>
  <c r="E298" i="1"/>
  <c r="D298" i="1"/>
  <c r="C298" i="1"/>
  <c r="B298" i="1"/>
  <c r="A298" i="1"/>
  <c r="Q297" i="1"/>
  <c r="P297" i="1"/>
  <c r="O297" i="1"/>
  <c r="N297" i="1"/>
  <c r="M297" i="1"/>
  <c r="L297" i="1"/>
  <c r="K297" i="1"/>
  <c r="J297" i="1"/>
  <c r="I297" i="1"/>
  <c r="F297" i="1"/>
  <c r="E297" i="1"/>
  <c r="D297" i="1"/>
  <c r="C297" i="1"/>
  <c r="B297" i="1"/>
  <c r="A297" i="1"/>
  <c r="Q296" i="1"/>
  <c r="P296" i="1"/>
  <c r="O296" i="1"/>
  <c r="N296" i="1"/>
  <c r="M296" i="1"/>
  <c r="L296" i="1"/>
  <c r="K296" i="1"/>
  <c r="J296" i="1"/>
  <c r="I296" i="1"/>
  <c r="F296" i="1"/>
  <c r="E296" i="1"/>
  <c r="D296" i="1"/>
  <c r="C296" i="1"/>
  <c r="B296" i="1"/>
  <c r="A296" i="1"/>
  <c r="Q295" i="1"/>
  <c r="P295" i="1"/>
  <c r="O295" i="1"/>
  <c r="N295" i="1"/>
  <c r="M295" i="1"/>
  <c r="L295" i="1"/>
  <c r="K295" i="1"/>
  <c r="J295" i="1"/>
  <c r="I295" i="1"/>
  <c r="G295" i="1"/>
  <c r="F295" i="1"/>
  <c r="E295" i="1"/>
  <c r="D295" i="1"/>
  <c r="C295" i="1"/>
  <c r="B295" i="1"/>
  <c r="A295" i="1"/>
  <c r="Q294" i="1"/>
  <c r="P294" i="1"/>
  <c r="O294" i="1"/>
  <c r="N294" i="1"/>
  <c r="M294" i="1"/>
  <c r="L294" i="1"/>
  <c r="K294" i="1"/>
  <c r="J294" i="1"/>
  <c r="I294" i="1"/>
  <c r="F294" i="1"/>
  <c r="E294" i="1"/>
  <c r="D294" i="1"/>
  <c r="C294" i="1"/>
  <c r="B294" i="1"/>
  <c r="A294" i="1"/>
  <c r="Q293" i="1"/>
  <c r="P293" i="1"/>
  <c r="O293" i="1"/>
  <c r="N293" i="1"/>
  <c r="M293" i="1"/>
  <c r="L293" i="1"/>
  <c r="K293" i="1"/>
  <c r="J293" i="1"/>
  <c r="I293" i="1"/>
  <c r="F293" i="1"/>
  <c r="E293" i="1"/>
  <c r="D293" i="1"/>
  <c r="C293" i="1"/>
  <c r="B293" i="1"/>
  <c r="A293" i="1"/>
  <c r="Q292" i="1"/>
  <c r="P292" i="1"/>
  <c r="O292" i="1"/>
  <c r="N292" i="1"/>
  <c r="M292" i="1"/>
  <c r="L292" i="1"/>
  <c r="K292" i="1"/>
  <c r="J292" i="1"/>
  <c r="I292" i="1"/>
  <c r="F292" i="1"/>
  <c r="E292" i="1"/>
  <c r="D292" i="1"/>
  <c r="C292" i="1"/>
  <c r="B292" i="1"/>
  <c r="A292" i="1"/>
  <c r="Q291" i="1"/>
  <c r="P291" i="1"/>
  <c r="O291" i="1"/>
  <c r="N291" i="1"/>
  <c r="M291" i="1"/>
  <c r="L291" i="1"/>
  <c r="K291" i="1"/>
  <c r="J291" i="1"/>
  <c r="I291" i="1"/>
  <c r="F291" i="1"/>
  <c r="E291" i="1"/>
  <c r="D291" i="1"/>
  <c r="C291" i="1"/>
  <c r="B291" i="1"/>
  <c r="A291" i="1"/>
  <c r="Q290" i="1"/>
  <c r="P290" i="1"/>
  <c r="O290" i="1"/>
  <c r="N290" i="1"/>
  <c r="M290" i="1"/>
  <c r="L290" i="1"/>
  <c r="K290" i="1"/>
  <c r="J290" i="1"/>
  <c r="I290" i="1"/>
  <c r="F290" i="1"/>
  <c r="E290" i="1"/>
  <c r="D290" i="1"/>
  <c r="C290" i="1"/>
  <c r="B290" i="1"/>
  <c r="A290" i="1"/>
  <c r="Q289" i="1"/>
  <c r="P289" i="1"/>
  <c r="O289" i="1"/>
  <c r="N289" i="1"/>
  <c r="M289" i="1"/>
  <c r="L289" i="1"/>
  <c r="K289" i="1"/>
  <c r="J289" i="1"/>
  <c r="I289" i="1"/>
  <c r="F289" i="1"/>
  <c r="E289" i="1"/>
  <c r="D289" i="1"/>
  <c r="C289" i="1"/>
  <c r="B289" i="1"/>
  <c r="A289" i="1"/>
  <c r="Q288" i="1"/>
  <c r="P288" i="1"/>
  <c r="O288" i="1"/>
  <c r="N288" i="1"/>
  <c r="M288" i="1"/>
  <c r="L288" i="1"/>
  <c r="K288" i="1"/>
  <c r="J288" i="1"/>
  <c r="I288" i="1"/>
  <c r="F288" i="1"/>
  <c r="E288" i="1"/>
  <c r="D288" i="1"/>
  <c r="C288" i="1"/>
  <c r="B288" i="1"/>
  <c r="A288" i="1"/>
  <c r="Q287" i="1"/>
  <c r="P287" i="1"/>
  <c r="O287" i="1"/>
  <c r="N287" i="1"/>
  <c r="M287" i="1"/>
  <c r="L287" i="1"/>
  <c r="K287" i="1"/>
  <c r="J287" i="1"/>
  <c r="I287" i="1"/>
  <c r="F287" i="1"/>
  <c r="E287" i="1"/>
  <c r="D287" i="1"/>
  <c r="C287" i="1"/>
  <c r="B287" i="1"/>
  <c r="A287" i="1"/>
  <c r="Q286" i="1"/>
  <c r="P286" i="1"/>
  <c r="O286" i="1"/>
  <c r="N286" i="1"/>
  <c r="M286" i="1"/>
  <c r="L286" i="1"/>
  <c r="K286" i="1"/>
  <c r="J286" i="1"/>
  <c r="I286" i="1"/>
  <c r="F286" i="1"/>
  <c r="E286" i="1"/>
  <c r="D286" i="1"/>
  <c r="C286" i="1"/>
  <c r="B286" i="1"/>
  <c r="A286" i="1"/>
  <c r="Q285" i="1"/>
  <c r="P285" i="1"/>
  <c r="O285" i="1"/>
  <c r="N285" i="1"/>
  <c r="M285" i="1"/>
  <c r="L285" i="1"/>
  <c r="K285" i="1"/>
  <c r="J285" i="1"/>
  <c r="I285" i="1"/>
  <c r="F285" i="1"/>
  <c r="E285" i="1"/>
  <c r="D285" i="1"/>
  <c r="C285" i="1"/>
  <c r="B285" i="1"/>
  <c r="A285" i="1"/>
  <c r="Q284" i="1"/>
  <c r="P284" i="1"/>
  <c r="O284" i="1"/>
  <c r="N284" i="1"/>
  <c r="M284" i="1"/>
  <c r="L284" i="1"/>
  <c r="K284" i="1"/>
  <c r="J284" i="1"/>
  <c r="I284" i="1"/>
  <c r="F284" i="1"/>
  <c r="E284" i="1"/>
  <c r="D284" i="1"/>
  <c r="C284" i="1"/>
  <c r="B284" i="1"/>
  <c r="A284" i="1"/>
  <c r="Q283" i="1"/>
  <c r="P283" i="1"/>
  <c r="O283" i="1"/>
  <c r="N283" i="1"/>
  <c r="M283" i="1"/>
  <c r="L283" i="1"/>
  <c r="K283" i="1"/>
  <c r="J283" i="1"/>
  <c r="I283" i="1"/>
  <c r="F283" i="1"/>
  <c r="E283" i="1"/>
  <c r="D283" i="1"/>
  <c r="C283" i="1"/>
  <c r="B283" i="1"/>
  <c r="A283" i="1"/>
  <c r="Q282" i="1"/>
  <c r="P282" i="1"/>
  <c r="O282" i="1"/>
  <c r="N282" i="1"/>
  <c r="M282" i="1"/>
  <c r="L282" i="1"/>
  <c r="K282" i="1"/>
  <c r="J282" i="1"/>
  <c r="I282" i="1"/>
  <c r="F282" i="1"/>
  <c r="E282" i="1"/>
  <c r="D282" i="1"/>
  <c r="C282" i="1"/>
  <c r="B282" i="1"/>
  <c r="A282" i="1"/>
  <c r="Q281" i="1"/>
  <c r="P281" i="1"/>
  <c r="O281" i="1"/>
  <c r="N281" i="1"/>
  <c r="M281" i="1"/>
  <c r="L281" i="1"/>
  <c r="K281" i="1"/>
  <c r="J281" i="1"/>
  <c r="I281" i="1"/>
  <c r="F281" i="1"/>
  <c r="E281" i="1"/>
  <c r="D281" i="1"/>
  <c r="C281" i="1"/>
  <c r="B281" i="1"/>
  <c r="A281" i="1"/>
  <c r="Q280" i="1"/>
  <c r="P280" i="1"/>
  <c r="O280" i="1"/>
  <c r="N280" i="1"/>
  <c r="M280" i="1"/>
  <c r="L280" i="1"/>
  <c r="K280" i="1"/>
  <c r="J280" i="1"/>
  <c r="I280" i="1"/>
  <c r="F280" i="1"/>
  <c r="E280" i="1"/>
  <c r="D280" i="1"/>
  <c r="C280" i="1"/>
  <c r="B280" i="1"/>
  <c r="A280" i="1"/>
  <c r="Q279" i="1"/>
  <c r="P279" i="1"/>
  <c r="O279" i="1"/>
  <c r="N279" i="1"/>
  <c r="M279" i="1"/>
  <c r="L279" i="1"/>
  <c r="K279" i="1"/>
  <c r="J279" i="1"/>
  <c r="I279" i="1"/>
  <c r="F279" i="1"/>
  <c r="E279" i="1"/>
  <c r="D279" i="1"/>
  <c r="C279" i="1"/>
  <c r="B279" i="1"/>
  <c r="A279" i="1"/>
  <c r="Q278" i="1"/>
  <c r="P278" i="1"/>
  <c r="O278" i="1"/>
  <c r="N278" i="1"/>
  <c r="M278" i="1"/>
  <c r="L278" i="1"/>
  <c r="K278" i="1"/>
  <c r="J278" i="1"/>
  <c r="I278" i="1"/>
  <c r="F278" i="1"/>
  <c r="E278" i="1"/>
  <c r="D278" i="1"/>
  <c r="C278" i="1"/>
  <c r="B278" i="1"/>
  <c r="A278" i="1"/>
  <c r="Q277" i="1"/>
  <c r="P277" i="1"/>
  <c r="O277" i="1"/>
  <c r="N277" i="1"/>
  <c r="M277" i="1"/>
  <c r="L277" i="1"/>
  <c r="K277" i="1"/>
  <c r="J277" i="1"/>
  <c r="I277" i="1"/>
  <c r="F277" i="1"/>
  <c r="E277" i="1"/>
  <c r="D277" i="1"/>
  <c r="C277" i="1"/>
  <c r="B277" i="1"/>
  <c r="A277" i="1"/>
  <c r="Q276" i="1"/>
  <c r="P276" i="1"/>
  <c r="O276" i="1"/>
  <c r="N276" i="1"/>
  <c r="M276" i="1"/>
  <c r="L276" i="1"/>
  <c r="K276" i="1"/>
  <c r="J276" i="1"/>
  <c r="I276" i="1"/>
  <c r="F276" i="1"/>
  <c r="E276" i="1"/>
  <c r="D276" i="1"/>
  <c r="C276" i="1"/>
  <c r="B276" i="1"/>
  <c r="A276" i="1"/>
  <c r="Q275" i="1"/>
  <c r="P275" i="1"/>
  <c r="O275" i="1"/>
  <c r="N275" i="1"/>
  <c r="M275" i="1"/>
  <c r="L275" i="1"/>
  <c r="K275" i="1"/>
  <c r="J275" i="1"/>
  <c r="I275" i="1"/>
  <c r="F275" i="1"/>
  <c r="E275" i="1"/>
  <c r="D275" i="1"/>
  <c r="C275" i="1"/>
  <c r="B275" i="1"/>
  <c r="A275" i="1"/>
  <c r="Q274" i="1"/>
  <c r="P274" i="1"/>
  <c r="O274" i="1"/>
  <c r="N274" i="1"/>
  <c r="M274" i="1"/>
  <c r="L274" i="1"/>
  <c r="K274" i="1"/>
  <c r="J274" i="1"/>
  <c r="I274" i="1"/>
  <c r="F274" i="1"/>
  <c r="E274" i="1"/>
  <c r="D274" i="1"/>
  <c r="C274" i="1"/>
  <c r="B274" i="1"/>
  <c r="A274" i="1"/>
  <c r="Q273" i="1"/>
  <c r="P273" i="1"/>
  <c r="O273" i="1"/>
  <c r="N273" i="1"/>
  <c r="M273" i="1"/>
  <c r="L273" i="1"/>
  <c r="K273" i="1"/>
  <c r="J273" i="1"/>
  <c r="I273" i="1"/>
  <c r="F273" i="1"/>
  <c r="E273" i="1"/>
  <c r="D273" i="1"/>
  <c r="C273" i="1"/>
  <c r="B273" i="1"/>
  <c r="A273" i="1"/>
  <c r="Q272" i="1"/>
  <c r="P272" i="1"/>
  <c r="O272" i="1"/>
  <c r="N272" i="1"/>
  <c r="M272" i="1"/>
  <c r="L272" i="1"/>
  <c r="K272" i="1"/>
  <c r="J272" i="1"/>
  <c r="I272" i="1"/>
  <c r="F272" i="1"/>
  <c r="E272" i="1"/>
  <c r="D272" i="1"/>
  <c r="C272" i="1"/>
  <c r="B272" i="1"/>
  <c r="A272" i="1"/>
  <c r="Q271" i="1"/>
  <c r="P271" i="1"/>
  <c r="O271" i="1"/>
  <c r="N271" i="1"/>
  <c r="M271" i="1"/>
  <c r="L271" i="1"/>
  <c r="K271" i="1"/>
  <c r="J271" i="1"/>
  <c r="I271" i="1"/>
  <c r="F271" i="1"/>
  <c r="E271" i="1"/>
  <c r="D271" i="1"/>
  <c r="C271" i="1"/>
  <c r="B271" i="1"/>
  <c r="A271" i="1"/>
  <c r="Q270" i="1"/>
  <c r="P270" i="1"/>
  <c r="O270" i="1"/>
  <c r="N270" i="1"/>
  <c r="M270" i="1"/>
  <c r="L270" i="1"/>
  <c r="K270" i="1"/>
  <c r="J270" i="1"/>
  <c r="I270" i="1"/>
  <c r="F270" i="1"/>
  <c r="E270" i="1"/>
  <c r="D270" i="1"/>
  <c r="C270" i="1"/>
  <c r="B270" i="1"/>
  <c r="A270" i="1"/>
  <c r="Q269" i="1"/>
  <c r="P269" i="1"/>
  <c r="O269" i="1"/>
  <c r="N269" i="1"/>
  <c r="M269" i="1"/>
  <c r="L269" i="1"/>
  <c r="K269" i="1"/>
  <c r="J269" i="1"/>
  <c r="I269" i="1"/>
  <c r="G269" i="1"/>
  <c r="F269" i="1"/>
  <c r="E269" i="1"/>
  <c r="D269" i="1"/>
  <c r="C269" i="1"/>
  <c r="B269" i="1"/>
  <c r="A269" i="1"/>
  <c r="Q268" i="1"/>
  <c r="P268" i="1"/>
  <c r="O268" i="1"/>
  <c r="N268" i="1"/>
  <c r="M268" i="1"/>
  <c r="L268" i="1"/>
  <c r="K268" i="1"/>
  <c r="J268" i="1"/>
  <c r="I268" i="1"/>
  <c r="F268" i="1"/>
  <c r="E268" i="1"/>
  <c r="D268" i="1"/>
  <c r="C268" i="1"/>
  <c r="B268" i="1"/>
  <c r="A268" i="1"/>
  <c r="Q267" i="1"/>
  <c r="P267" i="1"/>
  <c r="O267" i="1"/>
  <c r="N267" i="1"/>
  <c r="M267" i="1"/>
  <c r="L267" i="1"/>
  <c r="K267" i="1"/>
  <c r="J267" i="1"/>
  <c r="I267" i="1"/>
  <c r="F267" i="1"/>
  <c r="E267" i="1"/>
  <c r="D267" i="1"/>
  <c r="C267" i="1"/>
  <c r="B267" i="1"/>
  <c r="A267" i="1"/>
  <c r="Q266" i="1"/>
  <c r="P266" i="1"/>
  <c r="O266" i="1"/>
  <c r="N266" i="1"/>
  <c r="M266" i="1"/>
  <c r="L266" i="1"/>
  <c r="K266" i="1"/>
  <c r="J266" i="1"/>
  <c r="I266" i="1"/>
  <c r="F266" i="1"/>
  <c r="E266" i="1"/>
  <c r="D266" i="1"/>
  <c r="C266" i="1"/>
  <c r="B266" i="1"/>
  <c r="A266" i="1"/>
  <c r="Q265" i="1"/>
  <c r="P265" i="1"/>
  <c r="O265" i="1"/>
  <c r="N265" i="1"/>
  <c r="M265" i="1"/>
  <c r="L265" i="1"/>
  <c r="K265" i="1"/>
  <c r="J265" i="1"/>
  <c r="I265" i="1"/>
  <c r="F265" i="1"/>
  <c r="E265" i="1"/>
  <c r="D265" i="1"/>
  <c r="C265" i="1"/>
  <c r="B265" i="1"/>
  <c r="A265" i="1"/>
  <c r="Q264" i="1"/>
  <c r="P264" i="1"/>
  <c r="O264" i="1"/>
  <c r="N264" i="1"/>
  <c r="M264" i="1"/>
  <c r="L264" i="1"/>
  <c r="K264" i="1"/>
  <c r="J264" i="1"/>
  <c r="I264" i="1"/>
  <c r="F264" i="1"/>
  <c r="E264" i="1"/>
  <c r="D264" i="1"/>
  <c r="C264" i="1"/>
  <c r="B264" i="1"/>
  <c r="A264" i="1"/>
  <c r="Q263" i="1"/>
  <c r="P263" i="1"/>
  <c r="O263" i="1"/>
  <c r="N263" i="1"/>
  <c r="M263" i="1"/>
  <c r="L263" i="1"/>
  <c r="K263" i="1"/>
  <c r="J263" i="1"/>
  <c r="I263" i="1"/>
  <c r="G263" i="1"/>
  <c r="F263" i="1"/>
  <c r="E263" i="1"/>
  <c r="D263" i="1"/>
  <c r="C263" i="1"/>
  <c r="B263" i="1"/>
  <c r="A263" i="1"/>
  <c r="Q262" i="1"/>
  <c r="P262" i="1"/>
  <c r="O262" i="1"/>
  <c r="N262" i="1"/>
  <c r="M262" i="1"/>
  <c r="L262" i="1"/>
  <c r="K262" i="1"/>
  <c r="J262" i="1"/>
  <c r="I262" i="1"/>
  <c r="F262" i="1"/>
  <c r="E262" i="1"/>
  <c r="D262" i="1"/>
  <c r="C262" i="1"/>
  <c r="B262" i="1"/>
  <c r="A262" i="1"/>
  <c r="Q261" i="1"/>
  <c r="P261" i="1"/>
  <c r="O261" i="1"/>
  <c r="N261" i="1"/>
  <c r="M261" i="1"/>
  <c r="L261" i="1"/>
  <c r="K261" i="1"/>
  <c r="J261" i="1"/>
  <c r="I261" i="1"/>
  <c r="F261" i="1"/>
  <c r="E261" i="1"/>
  <c r="D261" i="1"/>
  <c r="C261" i="1"/>
  <c r="B261" i="1"/>
  <c r="A261" i="1"/>
  <c r="Q260" i="1"/>
  <c r="P260" i="1"/>
  <c r="O260" i="1"/>
  <c r="N260" i="1"/>
  <c r="M260" i="1"/>
  <c r="L260" i="1"/>
  <c r="K260" i="1"/>
  <c r="J260" i="1"/>
  <c r="I260" i="1"/>
  <c r="F260" i="1"/>
  <c r="E260" i="1"/>
  <c r="D260" i="1"/>
  <c r="C260" i="1"/>
  <c r="B260" i="1"/>
  <c r="A260" i="1"/>
  <c r="Q259" i="1"/>
  <c r="P259" i="1"/>
  <c r="O259" i="1"/>
  <c r="N259" i="1"/>
  <c r="M259" i="1"/>
  <c r="L259" i="1"/>
  <c r="K259" i="1"/>
  <c r="J259" i="1"/>
  <c r="I259" i="1"/>
  <c r="F259" i="1"/>
  <c r="E259" i="1"/>
  <c r="D259" i="1"/>
  <c r="C259" i="1"/>
  <c r="B259" i="1"/>
  <c r="A259" i="1"/>
  <c r="Q258" i="1"/>
  <c r="P258" i="1"/>
  <c r="O258" i="1"/>
  <c r="N258" i="1"/>
  <c r="M258" i="1"/>
  <c r="L258" i="1"/>
  <c r="K258" i="1"/>
  <c r="J258" i="1"/>
  <c r="I258" i="1"/>
  <c r="F258" i="1"/>
  <c r="E258" i="1"/>
  <c r="D258" i="1"/>
  <c r="C258" i="1"/>
  <c r="B258" i="1"/>
  <c r="A258" i="1"/>
  <c r="Q257" i="1"/>
  <c r="P257" i="1"/>
  <c r="O257" i="1"/>
  <c r="N257" i="1"/>
  <c r="M257" i="1"/>
  <c r="L257" i="1"/>
  <c r="K257" i="1"/>
  <c r="J257" i="1"/>
  <c r="I257" i="1"/>
  <c r="F257" i="1"/>
  <c r="E257" i="1"/>
  <c r="D257" i="1"/>
  <c r="C257" i="1"/>
  <c r="B257" i="1"/>
  <c r="A257" i="1"/>
  <c r="Q256" i="1"/>
  <c r="P256" i="1"/>
  <c r="O256" i="1"/>
  <c r="N256" i="1"/>
  <c r="M256" i="1"/>
  <c r="L256" i="1"/>
  <c r="K256" i="1"/>
  <c r="J256" i="1"/>
  <c r="I256" i="1"/>
  <c r="F256" i="1"/>
  <c r="E256" i="1"/>
  <c r="D256" i="1"/>
  <c r="C256" i="1"/>
  <c r="B256" i="1"/>
  <c r="A256" i="1"/>
  <c r="Q255" i="1"/>
  <c r="P255" i="1"/>
  <c r="O255" i="1"/>
  <c r="N255" i="1"/>
  <c r="M255" i="1"/>
  <c r="L255" i="1"/>
  <c r="K255" i="1"/>
  <c r="J255" i="1"/>
  <c r="I255" i="1"/>
  <c r="F255" i="1"/>
  <c r="E255" i="1"/>
  <c r="D255" i="1"/>
  <c r="C255" i="1"/>
  <c r="B255" i="1"/>
  <c r="A255" i="1"/>
  <c r="Q254" i="1"/>
  <c r="P254" i="1"/>
  <c r="O254" i="1"/>
  <c r="N254" i="1"/>
  <c r="M254" i="1"/>
  <c r="L254" i="1"/>
  <c r="K254" i="1"/>
  <c r="J254" i="1"/>
  <c r="I254" i="1"/>
  <c r="G254" i="1"/>
  <c r="F254" i="1"/>
  <c r="E254" i="1"/>
  <c r="D254" i="1"/>
  <c r="C254" i="1"/>
  <c r="B254" i="1"/>
  <c r="A254" i="1"/>
  <c r="Q253" i="1"/>
  <c r="P253" i="1"/>
  <c r="O253" i="1"/>
  <c r="N253" i="1"/>
  <c r="M253" i="1"/>
  <c r="L253" i="1"/>
  <c r="K253" i="1"/>
  <c r="J253" i="1"/>
  <c r="I253" i="1"/>
  <c r="F253" i="1"/>
  <c r="E253" i="1"/>
  <c r="D253" i="1"/>
  <c r="C253" i="1"/>
  <c r="B253" i="1"/>
  <c r="A253" i="1"/>
  <c r="Q252" i="1"/>
  <c r="P252" i="1"/>
  <c r="O252" i="1"/>
  <c r="N252" i="1"/>
  <c r="M252" i="1"/>
  <c r="L252" i="1"/>
  <c r="K252" i="1"/>
  <c r="J252" i="1"/>
  <c r="I252" i="1"/>
  <c r="G252" i="1"/>
  <c r="F252" i="1"/>
  <c r="E252" i="1"/>
  <c r="D252" i="1"/>
  <c r="C252" i="1"/>
  <c r="B252" i="1"/>
  <c r="A252" i="1"/>
  <c r="Q251" i="1"/>
  <c r="P251" i="1"/>
  <c r="O251" i="1"/>
  <c r="N251" i="1"/>
  <c r="M251" i="1"/>
  <c r="L251" i="1"/>
  <c r="K251" i="1"/>
  <c r="J251" i="1"/>
  <c r="I251" i="1"/>
  <c r="F251" i="1"/>
  <c r="E251" i="1"/>
  <c r="D251" i="1"/>
  <c r="C251" i="1"/>
  <c r="B251" i="1"/>
  <c r="A251" i="1"/>
  <c r="Q250" i="1"/>
  <c r="P250" i="1"/>
  <c r="O250" i="1"/>
  <c r="N250" i="1"/>
  <c r="M250" i="1"/>
  <c r="L250" i="1"/>
  <c r="K250" i="1"/>
  <c r="J250" i="1"/>
  <c r="I250" i="1"/>
  <c r="G250" i="1"/>
  <c r="F250" i="1"/>
  <c r="E250" i="1"/>
  <c r="D250" i="1"/>
  <c r="C250" i="1"/>
  <c r="B250" i="1"/>
  <c r="A250" i="1"/>
  <c r="Q249" i="1"/>
  <c r="P249" i="1"/>
  <c r="O249" i="1"/>
  <c r="N249" i="1"/>
  <c r="M249" i="1"/>
  <c r="L249" i="1"/>
  <c r="K249" i="1"/>
  <c r="J249" i="1"/>
  <c r="I249" i="1"/>
  <c r="F249" i="1"/>
  <c r="E249" i="1"/>
  <c r="D249" i="1"/>
  <c r="C249" i="1"/>
  <c r="B249" i="1"/>
  <c r="A249" i="1"/>
  <c r="Q248" i="1"/>
  <c r="P248" i="1"/>
  <c r="O248" i="1"/>
  <c r="N248" i="1"/>
  <c r="M248" i="1"/>
  <c r="L248" i="1"/>
  <c r="K248" i="1"/>
  <c r="J248" i="1"/>
  <c r="I248" i="1"/>
  <c r="F248" i="1"/>
  <c r="E248" i="1"/>
  <c r="D248" i="1"/>
  <c r="C248" i="1"/>
  <c r="B248" i="1"/>
  <c r="A248" i="1"/>
  <c r="Q247" i="1"/>
  <c r="P247" i="1"/>
  <c r="O247" i="1"/>
  <c r="N247" i="1"/>
  <c r="M247" i="1"/>
  <c r="L247" i="1"/>
  <c r="K247" i="1"/>
  <c r="J247" i="1"/>
  <c r="I247" i="1"/>
  <c r="F247" i="1"/>
  <c r="E247" i="1"/>
  <c r="D247" i="1"/>
  <c r="C247" i="1"/>
  <c r="B247" i="1"/>
  <c r="A247" i="1"/>
  <c r="Q246" i="1"/>
  <c r="P246" i="1"/>
  <c r="O246" i="1"/>
  <c r="N246" i="1"/>
  <c r="M246" i="1"/>
  <c r="L246" i="1"/>
  <c r="K246" i="1"/>
  <c r="J246" i="1"/>
  <c r="I246" i="1"/>
  <c r="F246" i="1"/>
  <c r="E246" i="1"/>
  <c r="D246" i="1"/>
  <c r="C246" i="1"/>
  <c r="B246" i="1"/>
  <c r="A246" i="1"/>
  <c r="Q245" i="1"/>
  <c r="P245" i="1"/>
  <c r="O245" i="1"/>
  <c r="N245" i="1"/>
  <c r="M245" i="1"/>
  <c r="L245" i="1"/>
  <c r="K245" i="1"/>
  <c r="J245" i="1"/>
  <c r="I245" i="1"/>
  <c r="F245" i="1"/>
  <c r="E245" i="1"/>
  <c r="D245" i="1"/>
  <c r="C245" i="1"/>
  <c r="B245" i="1"/>
  <c r="A245" i="1"/>
  <c r="Q244" i="1"/>
  <c r="P244" i="1"/>
  <c r="O244" i="1"/>
  <c r="N244" i="1"/>
  <c r="M244" i="1"/>
  <c r="L244" i="1"/>
  <c r="K244" i="1"/>
  <c r="J244" i="1"/>
  <c r="I244" i="1"/>
  <c r="F244" i="1"/>
  <c r="E244" i="1"/>
  <c r="D244" i="1"/>
  <c r="C244" i="1"/>
  <c r="B244" i="1"/>
  <c r="A244" i="1"/>
  <c r="Q243" i="1"/>
  <c r="P243" i="1"/>
  <c r="O243" i="1"/>
  <c r="N243" i="1"/>
  <c r="M243" i="1"/>
  <c r="L243" i="1"/>
  <c r="K243" i="1"/>
  <c r="J243" i="1"/>
  <c r="I243" i="1"/>
  <c r="F243" i="1"/>
  <c r="E243" i="1"/>
  <c r="D243" i="1"/>
  <c r="C243" i="1"/>
  <c r="B243" i="1"/>
  <c r="A243" i="1"/>
  <c r="Q242" i="1"/>
  <c r="P242" i="1"/>
  <c r="O242" i="1"/>
  <c r="N242" i="1"/>
  <c r="M242" i="1"/>
  <c r="L242" i="1"/>
  <c r="K242" i="1"/>
  <c r="J242" i="1"/>
  <c r="I242" i="1"/>
  <c r="F242" i="1"/>
  <c r="E242" i="1"/>
  <c r="D242" i="1"/>
  <c r="C242" i="1"/>
  <c r="B242" i="1"/>
  <c r="A242" i="1"/>
  <c r="Q241" i="1"/>
  <c r="P241" i="1"/>
  <c r="O241" i="1"/>
  <c r="N241" i="1"/>
  <c r="M241" i="1"/>
  <c r="L241" i="1"/>
  <c r="K241" i="1"/>
  <c r="J241" i="1"/>
  <c r="I241" i="1"/>
  <c r="F241" i="1"/>
  <c r="E241" i="1"/>
  <c r="D241" i="1"/>
  <c r="C241" i="1"/>
  <c r="B241" i="1"/>
  <c r="A241" i="1"/>
  <c r="Q240" i="1"/>
  <c r="P240" i="1"/>
  <c r="O240" i="1"/>
  <c r="N240" i="1"/>
  <c r="M240" i="1"/>
  <c r="L240" i="1"/>
  <c r="K240" i="1"/>
  <c r="J240" i="1"/>
  <c r="I240" i="1"/>
  <c r="F240" i="1"/>
  <c r="E240" i="1"/>
  <c r="D240" i="1"/>
  <c r="C240" i="1"/>
  <c r="B240" i="1"/>
  <c r="A240" i="1"/>
  <c r="Q239" i="1"/>
  <c r="P239" i="1"/>
  <c r="O239" i="1"/>
  <c r="N239" i="1"/>
  <c r="M239" i="1"/>
  <c r="L239" i="1"/>
  <c r="K239" i="1"/>
  <c r="J239" i="1"/>
  <c r="I239" i="1"/>
  <c r="F239" i="1"/>
  <c r="E239" i="1"/>
  <c r="D239" i="1"/>
  <c r="C239" i="1"/>
  <c r="B239" i="1"/>
  <c r="A239" i="1"/>
  <c r="Q238" i="1"/>
  <c r="P238" i="1"/>
  <c r="O238" i="1"/>
  <c r="N238" i="1"/>
  <c r="M238" i="1"/>
  <c r="L238" i="1"/>
  <c r="K238" i="1"/>
  <c r="J238" i="1"/>
  <c r="I238" i="1"/>
  <c r="F238" i="1"/>
  <c r="E238" i="1"/>
  <c r="D238" i="1"/>
  <c r="C238" i="1"/>
  <c r="B238" i="1"/>
  <c r="A238" i="1"/>
  <c r="Q237" i="1"/>
  <c r="P237" i="1"/>
  <c r="O237" i="1"/>
  <c r="N237" i="1"/>
  <c r="M237" i="1"/>
  <c r="L237" i="1"/>
  <c r="K237" i="1"/>
  <c r="J237" i="1"/>
  <c r="I237" i="1"/>
  <c r="F237" i="1"/>
  <c r="E237" i="1"/>
  <c r="D237" i="1"/>
  <c r="C237" i="1"/>
  <c r="B237" i="1"/>
  <c r="A237" i="1"/>
  <c r="Q236" i="1"/>
  <c r="P236" i="1"/>
  <c r="O236" i="1"/>
  <c r="N236" i="1"/>
  <c r="M236" i="1"/>
  <c r="L236" i="1"/>
  <c r="K236" i="1"/>
  <c r="J236" i="1"/>
  <c r="I236" i="1"/>
  <c r="F236" i="1"/>
  <c r="E236" i="1"/>
  <c r="D236" i="1"/>
  <c r="C236" i="1"/>
  <c r="B236" i="1"/>
  <c r="A236" i="1"/>
  <c r="Q235" i="1"/>
  <c r="P235" i="1"/>
  <c r="O235" i="1"/>
  <c r="N235" i="1"/>
  <c r="M235" i="1"/>
  <c r="L235" i="1"/>
  <c r="K235" i="1"/>
  <c r="J235" i="1"/>
  <c r="I235" i="1"/>
  <c r="F235" i="1"/>
  <c r="E235" i="1"/>
  <c r="D235" i="1"/>
  <c r="C235" i="1"/>
  <c r="B235" i="1"/>
  <c r="A235" i="1"/>
  <c r="Q234" i="1"/>
  <c r="P234" i="1"/>
  <c r="O234" i="1"/>
  <c r="N234" i="1"/>
  <c r="M234" i="1"/>
  <c r="L234" i="1"/>
  <c r="K234" i="1"/>
  <c r="J234" i="1"/>
  <c r="I234" i="1"/>
  <c r="F234" i="1"/>
  <c r="E234" i="1"/>
  <c r="D234" i="1"/>
  <c r="C234" i="1"/>
  <c r="B234" i="1"/>
  <c r="A234" i="1"/>
  <c r="Q233" i="1"/>
  <c r="P233" i="1"/>
  <c r="O233" i="1"/>
  <c r="N233" i="1"/>
  <c r="M233" i="1"/>
  <c r="L233" i="1"/>
  <c r="K233" i="1"/>
  <c r="J233" i="1"/>
  <c r="I233" i="1"/>
  <c r="F233" i="1"/>
  <c r="E233" i="1"/>
  <c r="D233" i="1"/>
  <c r="C233" i="1"/>
  <c r="B233" i="1"/>
  <c r="A233" i="1"/>
  <c r="Q232" i="1"/>
  <c r="P232" i="1"/>
  <c r="O232" i="1"/>
  <c r="N232" i="1"/>
  <c r="M232" i="1"/>
  <c r="L232" i="1"/>
  <c r="K232" i="1"/>
  <c r="J232" i="1"/>
  <c r="I232" i="1"/>
  <c r="F232" i="1"/>
  <c r="E232" i="1"/>
  <c r="D232" i="1"/>
  <c r="C232" i="1"/>
  <c r="B232" i="1"/>
  <c r="A232" i="1"/>
  <c r="Q231" i="1"/>
  <c r="P231" i="1"/>
  <c r="O231" i="1"/>
  <c r="N231" i="1"/>
  <c r="M231" i="1"/>
  <c r="L231" i="1"/>
  <c r="K231" i="1"/>
  <c r="J231" i="1"/>
  <c r="I231" i="1"/>
  <c r="F231" i="1"/>
  <c r="E231" i="1"/>
  <c r="D231" i="1"/>
  <c r="C231" i="1"/>
  <c r="B231" i="1"/>
  <c r="A231" i="1"/>
  <c r="Q230" i="1"/>
  <c r="P230" i="1"/>
  <c r="O230" i="1"/>
  <c r="N230" i="1"/>
  <c r="M230" i="1"/>
  <c r="L230" i="1"/>
  <c r="K230" i="1"/>
  <c r="J230" i="1"/>
  <c r="I230" i="1"/>
  <c r="F230" i="1"/>
  <c r="E230" i="1"/>
  <c r="D230" i="1"/>
  <c r="C230" i="1"/>
  <c r="B230" i="1"/>
  <c r="A230" i="1"/>
  <c r="Q229" i="1"/>
  <c r="P229" i="1"/>
  <c r="O229" i="1"/>
  <c r="N229" i="1"/>
  <c r="M229" i="1"/>
  <c r="L229" i="1"/>
  <c r="K229" i="1"/>
  <c r="J229" i="1"/>
  <c r="I229" i="1"/>
  <c r="F229" i="1"/>
  <c r="E229" i="1"/>
  <c r="D229" i="1"/>
  <c r="C229" i="1"/>
  <c r="B229" i="1"/>
  <c r="A229" i="1"/>
  <c r="Q228" i="1"/>
  <c r="P228" i="1"/>
  <c r="O228" i="1"/>
  <c r="N228" i="1"/>
  <c r="M228" i="1"/>
  <c r="L228" i="1"/>
  <c r="K228" i="1"/>
  <c r="J228" i="1"/>
  <c r="I228" i="1"/>
  <c r="F228" i="1"/>
  <c r="E228" i="1"/>
  <c r="D228" i="1"/>
  <c r="C228" i="1"/>
  <c r="B228" i="1"/>
  <c r="A228" i="1"/>
  <c r="Q227" i="1"/>
  <c r="P227" i="1"/>
  <c r="O227" i="1"/>
  <c r="N227" i="1"/>
  <c r="M227" i="1"/>
  <c r="L227" i="1"/>
  <c r="K227" i="1"/>
  <c r="J227" i="1"/>
  <c r="I227" i="1"/>
  <c r="F227" i="1"/>
  <c r="E227" i="1"/>
  <c r="D227" i="1"/>
  <c r="C227" i="1"/>
  <c r="B227" i="1"/>
  <c r="A227" i="1"/>
  <c r="Q226" i="1"/>
  <c r="P226" i="1"/>
  <c r="O226" i="1"/>
  <c r="N226" i="1"/>
  <c r="M226" i="1"/>
  <c r="L226" i="1"/>
  <c r="K226" i="1"/>
  <c r="J226" i="1"/>
  <c r="I226" i="1"/>
  <c r="F226" i="1"/>
  <c r="E226" i="1"/>
  <c r="D226" i="1"/>
  <c r="C226" i="1"/>
  <c r="B226" i="1"/>
  <c r="A226" i="1"/>
  <c r="Q225" i="1"/>
  <c r="P225" i="1"/>
  <c r="O225" i="1"/>
  <c r="N225" i="1"/>
  <c r="M225" i="1"/>
  <c r="L225" i="1"/>
  <c r="K225" i="1"/>
  <c r="J225" i="1"/>
  <c r="I225" i="1"/>
  <c r="F225" i="1"/>
  <c r="E225" i="1"/>
  <c r="D225" i="1"/>
  <c r="C225" i="1"/>
  <c r="B225" i="1"/>
  <c r="A225" i="1"/>
  <c r="Q224" i="1"/>
  <c r="P224" i="1"/>
  <c r="O224" i="1"/>
  <c r="N224" i="1"/>
  <c r="M224" i="1"/>
  <c r="L224" i="1"/>
  <c r="K224" i="1"/>
  <c r="J224" i="1"/>
  <c r="I224" i="1"/>
  <c r="F224" i="1"/>
  <c r="E224" i="1"/>
  <c r="D224" i="1"/>
  <c r="C224" i="1"/>
  <c r="B224" i="1"/>
  <c r="A224" i="1"/>
  <c r="Q223" i="1"/>
  <c r="P223" i="1"/>
  <c r="O223" i="1"/>
  <c r="N223" i="1"/>
  <c r="M223" i="1"/>
  <c r="L223" i="1"/>
  <c r="K223" i="1"/>
  <c r="J223" i="1"/>
  <c r="I223" i="1"/>
  <c r="F223" i="1"/>
  <c r="E223" i="1"/>
  <c r="D223" i="1"/>
  <c r="C223" i="1"/>
  <c r="B223" i="1"/>
  <c r="A223" i="1"/>
  <c r="Q222" i="1"/>
  <c r="P222" i="1"/>
  <c r="O222" i="1"/>
  <c r="N222" i="1"/>
  <c r="M222" i="1"/>
  <c r="L222" i="1"/>
  <c r="K222" i="1"/>
  <c r="J222" i="1"/>
  <c r="I222" i="1"/>
  <c r="F222" i="1"/>
  <c r="E222" i="1"/>
  <c r="D222" i="1"/>
  <c r="C222" i="1"/>
  <c r="B222" i="1"/>
  <c r="A222" i="1"/>
  <c r="Q221" i="1"/>
  <c r="P221" i="1"/>
  <c r="O221" i="1"/>
  <c r="N221" i="1"/>
  <c r="M221" i="1"/>
  <c r="L221" i="1"/>
  <c r="K221" i="1"/>
  <c r="J221" i="1"/>
  <c r="I221" i="1"/>
  <c r="G221" i="1"/>
  <c r="F221" i="1"/>
  <c r="E221" i="1"/>
  <c r="D221" i="1"/>
  <c r="C221" i="1"/>
  <c r="B221" i="1"/>
  <c r="A221" i="1"/>
  <c r="Q220" i="1"/>
  <c r="P220" i="1"/>
  <c r="O220" i="1"/>
  <c r="N220" i="1"/>
  <c r="M220" i="1"/>
  <c r="L220" i="1"/>
  <c r="K220" i="1"/>
  <c r="J220" i="1"/>
  <c r="I220" i="1"/>
  <c r="F220" i="1"/>
  <c r="E220" i="1"/>
  <c r="D220" i="1"/>
  <c r="C220" i="1"/>
  <c r="B220" i="1"/>
  <c r="A220" i="1"/>
  <c r="Q219" i="1"/>
  <c r="P219" i="1"/>
  <c r="O219" i="1"/>
  <c r="N219" i="1"/>
  <c r="M219" i="1"/>
  <c r="L219" i="1"/>
  <c r="K219" i="1"/>
  <c r="J219" i="1"/>
  <c r="I219" i="1"/>
  <c r="F219" i="1"/>
  <c r="E219" i="1"/>
  <c r="D219" i="1"/>
  <c r="C219" i="1"/>
  <c r="B219" i="1"/>
  <c r="A219" i="1"/>
  <c r="Q218" i="1"/>
  <c r="P218" i="1"/>
  <c r="O218" i="1"/>
  <c r="N218" i="1"/>
  <c r="M218" i="1"/>
  <c r="L218" i="1"/>
  <c r="K218" i="1"/>
  <c r="J218" i="1"/>
  <c r="I218" i="1"/>
  <c r="F218" i="1"/>
  <c r="E218" i="1"/>
  <c r="D218" i="1"/>
  <c r="C218" i="1"/>
  <c r="B218" i="1"/>
  <c r="A218" i="1"/>
  <c r="Q217" i="1"/>
  <c r="P217" i="1"/>
  <c r="O217" i="1"/>
  <c r="N217" i="1"/>
  <c r="M217" i="1"/>
  <c r="L217" i="1"/>
  <c r="K217" i="1"/>
  <c r="J217" i="1"/>
  <c r="I217" i="1"/>
  <c r="F217" i="1"/>
  <c r="E217" i="1"/>
  <c r="D217" i="1"/>
  <c r="C217" i="1"/>
  <c r="B217" i="1"/>
  <c r="A217" i="1"/>
  <c r="Q216" i="1"/>
  <c r="P216" i="1"/>
  <c r="O216" i="1"/>
  <c r="N216" i="1"/>
  <c r="M216" i="1"/>
  <c r="L216" i="1"/>
  <c r="K216" i="1"/>
  <c r="J216" i="1"/>
  <c r="I216" i="1"/>
  <c r="F216" i="1"/>
  <c r="E216" i="1"/>
  <c r="D216" i="1"/>
  <c r="C216" i="1"/>
  <c r="B216" i="1"/>
  <c r="A216" i="1"/>
  <c r="Q215" i="1"/>
  <c r="P215" i="1"/>
  <c r="O215" i="1"/>
  <c r="N215" i="1"/>
  <c r="M215" i="1"/>
  <c r="L215" i="1"/>
  <c r="K215" i="1"/>
  <c r="J215" i="1"/>
  <c r="I215" i="1"/>
  <c r="F215" i="1"/>
  <c r="E215" i="1"/>
  <c r="D215" i="1"/>
  <c r="C215" i="1"/>
  <c r="B215" i="1"/>
  <c r="A215" i="1"/>
  <c r="Q214" i="1"/>
  <c r="P214" i="1"/>
  <c r="O214" i="1"/>
  <c r="N214" i="1"/>
  <c r="M214" i="1"/>
  <c r="L214" i="1"/>
  <c r="K214" i="1"/>
  <c r="J214" i="1"/>
  <c r="I214" i="1"/>
  <c r="F214" i="1"/>
  <c r="E214" i="1"/>
  <c r="D214" i="1"/>
  <c r="C214" i="1"/>
  <c r="B214" i="1"/>
  <c r="A214" i="1"/>
  <c r="Q213" i="1"/>
  <c r="P213" i="1"/>
  <c r="O213" i="1"/>
  <c r="N213" i="1"/>
  <c r="M213" i="1"/>
  <c r="L213" i="1"/>
  <c r="K213" i="1"/>
  <c r="J213" i="1"/>
  <c r="I213" i="1"/>
  <c r="F213" i="1"/>
  <c r="E213" i="1"/>
  <c r="D213" i="1"/>
  <c r="C213" i="1"/>
  <c r="B213" i="1"/>
  <c r="A213" i="1"/>
  <c r="Q212" i="1"/>
  <c r="P212" i="1"/>
  <c r="O212" i="1"/>
  <c r="N212" i="1"/>
  <c r="M212" i="1"/>
  <c r="L212" i="1"/>
  <c r="K212" i="1"/>
  <c r="J212" i="1"/>
  <c r="I212" i="1"/>
  <c r="F212" i="1"/>
  <c r="E212" i="1"/>
  <c r="D212" i="1"/>
  <c r="C212" i="1"/>
  <c r="B212" i="1"/>
  <c r="A212" i="1"/>
  <c r="Q211" i="1"/>
  <c r="P211" i="1"/>
  <c r="O211" i="1"/>
  <c r="N211" i="1"/>
  <c r="M211" i="1"/>
  <c r="L211" i="1"/>
  <c r="K211" i="1"/>
  <c r="J211" i="1"/>
  <c r="I211" i="1"/>
  <c r="F211" i="1"/>
  <c r="E211" i="1"/>
  <c r="D211" i="1"/>
  <c r="C211" i="1"/>
  <c r="B211" i="1"/>
  <c r="A211" i="1"/>
  <c r="Q210" i="1"/>
  <c r="P210" i="1"/>
  <c r="O210" i="1"/>
  <c r="N210" i="1"/>
  <c r="M210" i="1"/>
  <c r="L210" i="1"/>
  <c r="K210" i="1"/>
  <c r="J210" i="1"/>
  <c r="I210" i="1"/>
  <c r="F210" i="1"/>
  <c r="E210" i="1"/>
  <c r="D210" i="1"/>
  <c r="C210" i="1"/>
  <c r="B210" i="1"/>
  <c r="A210" i="1"/>
  <c r="Q209" i="1"/>
  <c r="P209" i="1"/>
  <c r="O209" i="1"/>
  <c r="N209" i="1"/>
  <c r="M209" i="1"/>
  <c r="L209" i="1"/>
  <c r="K209" i="1"/>
  <c r="J209" i="1"/>
  <c r="I209" i="1"/>
  <c r="G209" i="1"/>
  <c r="F209" i="1"/>
  <c r="E209" i="1"/>
  <c r="D209" i="1"/>
  <c r="C209" i="1"/>
  <c r="B209" i="1"/>
  <c r="A209" i="1"/>
  <c r="Q208" i="1"/>
  <c r="P208" i="1"/>
  <c r="O208" i="1"/>
  <c r="N208" i="1"/>
  <c r="M208" i="1"/>
  <c r="L208" i="1"/>
  <c r="K208" i="1"/>
  <c r="J208" i="1"/>
  <c r="I208" i="1"/>
  <c r="F208" i="1"/>
  <c r="E208" i="1"/>
  <c r="D208" i="1"/>
  <c r="C208" i="1"/>
  <c r="B208" i="1"/>
  <c r="A208" i="1"/>
  <c r="Q207" i="1"/>
  <c r="P207" i="1"/>
  <c r="O207" i="1"/>
  <c r="N207" i="1"/>
  <c r="M207" i="1"/>
  <c r="L207" i="1"/>
  <c r="K207" i="1"/>
  <c r="J207" i="1"/>
  <c r="I207" i="1"/>
  <c r="G207" i="1"/>
  <c r="F207" i="1"/>
  <c r="E207" i="1"/>
  <c r="D207" i="1"/>
  <c r="C207" i="1"/>
  <c r="B207" i="1"/>
  <c r="A207" i="1"/>
  <c r="Q206" i="1"/>
  <c r="P206" i="1"/>
  <c r="O206" i="1"/>
  <c r="N206" i="1"/>
  <c r="M206" i="1"/>
  <c r="L206" i="1"/>
  <c r="K206" i="1"/>
  <c r="J206" i="1"/>
  <c r="I206" i="1"/>
  <c r="F206" i="1"/>
  <c r="E206" i="1"/>
  <c r="D206" i="1"/>
  <c r="C206" i="1"/>
  <c r="B206" i="1"/>
  <c r="A206" i="1"/>
  <c r="Q205" i="1"/>
  <c r="P205" i="1"/>
  <c r="O205" i="1"/>
  <c r="N205" i="1"/>
  <c r="M205" i="1"/>
  <c r="L205" i="1"/>
  <c r="K205" i="1"/>
  <c r="J205" i="1"/>
  <c r="I205" i="1"/>
  <c r="F205" i="1"/>
  <c r="E205" i="1"/>
  <c r="D205" i="1"/>
  <c r="C205" i="1"/>
  <c r="B205" i="1"/>
  <c r="A205" i="1"/>
  <c r="Q204" i="1"/>
  <c r="P204" i="1"/>
  <c r="O204" i="1"/>
  <c r="N204" i="1"/>
  <c r="M204" i="1"/>
  <c r="L204" i="1"/>
  <c r="K204" i="1"/>
  <c r="J204" i="1"/>
  <c r="I204" i="1"/>
  <c r="F204" i="1"/>
  <c r="E204" i="1"/>
  <c r="D204" i="1"/>
  <c r="C204" i="1"/>
  <c r="B204" i="1"/>
  <c r="A204" i="1"/>
  <c r="Q203" i="1"/>
  <c r="P203" i="1"/>
  <c r="O203" i="1"/>
  <c r="N203" i="1"/>
  <c r="M203" i="1"/>
  <c r="L203" i="1"/>
  <c r="K203" i="1"/>
  <c r="J203" i="1"/>
  <c r="I203" i="1"/>
  <c r="G203" i="1"/>
  <c r="F203" i="1"/>
  <c r="E203" i="1"/>
  <c r="D203" i="1"/>
  <c r="C203" i="1"/>
  <c r="B203" i="1"/>
  <c r="A203" i="1"/>
  <c r="Q202" i="1"/>
  <c r="P202" i="1"/>
  <c r="O202" i="1"/>
  <c r="N202" i="1"/>
  <c r="M202" i="1"/>
  <c r="L202" i="1"/>
  <c r="K202" i="1"/>
  <c r="J202" i="1"/>
  <c r="I202" i="1"/>
  <c r="F202" i="1"/>
  <c r="E202" i="1"/>
  <c r="D202" i="1"/>
  <c r="C202" i="1"/>
  <c r="B202" i="1"/>
  <c r="A202" i="1"/>
  <c r="Q201" i="1"/>
  <c r="P201" i="1"/>
  <c r="O201" i="1"/>
  <c r="N201" i="1"/>
  <c r="M201" i="1"/>
  <c r="L201" i="1"/>
  <c r="K201" i="1"/>
  <c r="J201" i="1"/>
  <c r="I201" i="1"/>
  <c r="G201" i="1"/>
  <c r="F201" i="1"/>
  <c r="E201" i="1"/>
  <c r="D201" i="1"/>
  <c r="C201" i="1"/>
  <c r="B201" i="1"/>
  <c r="A201" i="1"/>
  <c r="Q200" i="1"/>
  <c r="P200" i="1"/>
  <c r="O200" i="1"/>
  <c r="N200" i="1"/>
  <c r="M200" i="1"/>
  <c r="L200" i="1"/>
  <c r="K200" i="1"/>
  <c r="J200" i="1"/>
  <c r="I200" i="1"/>
  <c r="F200" i="1"/>
  <c r="E200" i="1"/>
  <c r="D200" i="1"/>
  <c r="C200" i="1"/>
  <c r="B200" i="1"/>
  <c r="A200" i="1"/>
  <c r="Q199" i="1"/>
  <c r="P199" i="1"/>
  <c r="O199" i="1"/>
  <c r="N199" i="1"/>
  <c r="M199" i="1"/>
  <c r="L199" i="1"/>
  <c r="K199" i="1"/>
  <c r="J199" i="1"/>
  <c r="I199" i="1"/>
  <c r="F199" i="1"/>
  <c r="E199" i="1"/>
  <c r="D199" i="1"/>
  <c r="C199" i="1"/>
  <c r="B199" i="1"/>
  <c r="A199" i="1"/>
  <c r="Q198" i="1"/>
  <c r="P198" i="1"/>
  <c r="O198" i="1"/>
  <c r="N198" i="1"/>
  <c r="M198" i="1"/>
  <c r="L198" i="1"/>
  <c r="K198" i="1"/>
  <c r="J198" i="1"/>
  <c r="I198" i="1"/>
  <c r="F198" i="1"/>
  <c r="E198" i="1"/>
  <c r="D198" i="1"/>
  <c r="C198" i="1"/>
  <c r="B198" i="1"/>
  <c r="A198" i="1"/>
  <c r="Q197" i="1"/>
  <c r="P197" i="1"/>
  <c r="O197" i="1"/>
  <c r="N197" i="1"/>
  <c r="M197" i="1"/>
  <c r="L197" i="1"/>
  <c r="K197" i="1"/>
  <c r="J197" i="1"/>
  <c r="I197" i="1"/>
  <c r="F197" i="1"/>
  <c r="E197" i="1"/>
  <c r="D197" i="1"/>
  <c r="C197" i="1"/>
  <c r="B197" i="1"/>
  <c r="A197" i="1"/>
  <c r="Q196" i="1"/>
  <c r="P196" i="1"/>
  <c r="O196" i="1"/>
  <c r="N196" i="1"/>
  <c r="M196" i="1"/>
  <c r="L196" i="1"/>
  <c r="K196" i="1"/>
  <c r="J196" i="1"/>
  <c r="I196" i="1"/>
  <c r="F196" i="1"/>
  <c r="E196" i="1"/>
  <c r="D196" i="1"/>
  <c r="C196" i="1"/>
  <c r="B196" i="1"/>
  <c r="A196" i="1"/>
  <c r="Q195" i="1"/>
  <c r="P195" i="1"/>
  <c r="O195" i="1"/>
  <c r="N195" i="1"/>
  <c r="M195" i="1"/>
  <c r="L195" i="1"/>
  <c r="K195" i="1"/>
  <c r="J195" i="1"/>
  <c r="I195" i="1"/>
  <c r="F195" i="1"/>
  <c r="E195" i="1"/>
  <c r="D195" i="1"/>
  <c r="C195" i="1"/>
  <c r="B195" i="1"/>
  <c r="A195" i="1"/>
  <c r="Q194" i="1"/>
  <c r="P194" i="1"/>
  <c r="O194" i="1"/>
  <c r="N194" i="1"/>
  <c r="M194" i="1"/>
  <c r="L194" i="1"/>
  <c r="K194" i="1"/>
  <c r="J194" i="1"/>
  <c r="I194" i="1"/>
  <c r="F194" i="1"/>
  <c r="E194" i="1"/>
  <c r="D194" i="1"/>
  <c r="C194" i="1"/>
  <c r="B194" i="1"/>
  <c r="A194" i="1"/>
  <c r="Q193" i="1"/>
  <c r="P193" i="1"/>
  <c r="O193" i="1"/>
  <c r="N193" i="1"/>
  <c r="M193" i="1"/>
  <c r="L193" i="1"/>
  <c r="K193" i="1"/>
  <c r="J193" i="1"/>
  <c r="I193" i="1"/>
  <c r="F193" i="1"/>
  <c r="E193" i="1"/>
  <c r="D193" i="1"/>
  <c r="C193" i="1"/>
  <c r="B193" i="1"/>
  <c r="A193" i="1"/>
  <c r="Q192" i="1"/>
  <c r="P192" i="1"/>
  <c r="O192" i="1"/>
  <c r="N192" i="1"/>
  <c r="M192" i="1"/>
  <c r="L192" i="1"/>
  <c r="K192" i="1"/>
  <c r="J192" i="1"/>
  <c r="I192" i="1"/>
  <c r="F192" i="1"/>
  <c r="E192" i="1"/>
  <c r="D192" i="1"/>
  <c r="C192" i="1"/>
  <c r="B192" i="1"/>
  <c r="A192" i="1"/>
  <c r="Q191" i="1"/>
  <c r="P191" i="1"/>
  <c r="O191" i="1"/>
  <c r="N191" i="1"/>
  <c r="M191" i="1"/>
  <c r="L191" i="1"/>
  <c r="K191" i="1"/>
  <c r="J191" i="1"/>
  <c r="I191" i="1"/>
  <c r="F191" i="1"/>
  <c r="E191" i="1"/>
  <c r="D191" i="1"/>
  <c r="C191" i="1"/>
  <c r="B191" i="1"/>
  <c r="A191" i="1"/>
  <c r="Q190" i="1"/>
  <c r="P190" i="1"/>
  <c r="O190" i="1"/>
  <c r="N190" i="1"/>
  <c r="M190" i="1"/>
  <c r="L190" i="1"/>
  <c r="K190" i="1"/>
  <c r="J190" i="1"/>
  <c r="I190" i="1"/>
  <c r="F190" i="1"/>
  <c r="E190" i="1"/>
  <c r="D190" i="1"/>
  <c r="C190" i="1"/>
  <c r="B190" i="1"/>
  <c r="A190" i="1"/>
  <c r="Q189" i="1"/>
  <c r="P189" i="1"/>
  <c r="O189" i="1"/>
  <c r="N189" i="1"/>
  <c r="M189" i="1"/>
  <c r="L189" i="1"/>
  <c r="K189" i="1"/>
  <c r="J189" i="1"/>
  <c r="I189" i="1"/>
  <c r="F189" i="1"/>
  <c r="E189" i="1"/>
  <c r="D189" i="1"/>
  <c r="C189" i="1"/>
  <c r="B189" i="1"/>
  <c r="A189" i="1"/>
  <c r="Q188" i="1"/>
  <c r="P188" i="1"/>
  <c r="O188" i="1"/>
  <c r="N188" i="1"/>
  <c r="M188" i="1"/>
  <c r="L188" i="1"/>
  <c r="K188" i="1"/>
  <c r="J188" i="1"/>
  <c r="I188" i="1"/>
  <c r="F188" i="1"/>
  <c r="E188" i="1"/>
  <c r="D188" i="1"/>
  <c r="C188" i="1"/>
  <c r="B188" i="1"/>
  <c r="A188" i="1"/>
  <c r="Q187" i="1"/>
  <c r="P187" i="1"/>
  <c r="O187" i="1"/>
  <c r="N187" i="1"/>
  <c r="M187" i="1"/>
  <c r="L187" i="1"/>
  <c r="K187" i="1"/>
  <c r="J187" i="1"/>
  <c r="I187" i="1"/>
  <c r="F187" i="1"/>
  <c r="E187" i="1"/>
  <c r="D187" i="1"/>
  <c r="C187" i="1"/>
  <c r="B187" i="1"/>
  <c r="A187" i="1"/>
  <c r="Q186" i="1"/>
  <c r="P186" i="1"/>
  <c r="O186" i="1"/>
  <c r="N186" i="1"/>
  <c r="M186" i="1"/>
  <c r="L186" i="1"/>
  <c r="K186" i="1"/>
  <c r="J186" i="1"/>
  <c r="I186" i="1"/>
  <c r="F186" i="1"/>
  <c r="E186" i="1"/>
  <c r="D186" i="1"/>
  <c r="C186" i="1"/>
  <c r="B186" i="1"/>
  <c r="A186" i="1"/>
  <c r="Q185" i="1"/>
  <c r="P185" i="1"/>
  <c r="O185" i="1"/>
  <c r="N185" i="1"/>
  <c r="M185" i="1"/>
  <c r="L185" i="1"/>
  <c r="K185" i="1"/>
  <c r="J185" i="1"/>
  <c r="I185" i="1"/>
  <c r="F185" i="1"/>
  <c r="E185" i="1"/>
  <c r="D185" i="1"/>
  <c r="C185" i="1"/>
  <c r="B185" i="1"/>
  <c r="A185" i="1"/>
  <c r="Q184" i="1"/>
  <c r="P184" i="1"/>
  <c r="O184" i="1"/>
  <c r="N184" i="1"/>
  <c r="M184" i="1"/>
  <c r="L184" i="1"/>
  <c r="K184" i="1"/>
  <c r="J184" i="1"/>
  <c r="I184" i="1"/>
  <c r="F184" i="1"/>
  <c r="E184" i="1"/>
  <c r="D184" i="1"/>
  <c r="C184" i="1"/>
  <c r="B184" i="1"/>
  <c r="A184" i="1"/>
  <c r="Q183" i="1"/>
  <c r="P183" i="1"/>
  <c r="O183" i="1"/>
  <c r="N183" i="1"/>
  <c r="M183" i="1"/>
  <c r="L183" i="1"/>
  <c r="K183" i="1"/>
  <c r="J183" i="1"/>
  <c r="I183" i="1"/>
  <c r="F183" i="1"/>
  <c r="E183" i="1"/>
  <c r="D183" i="1"/>
  <c r="C183" i="1"/>
  <c r="B183" i="1"/>
  <c r="A183" i="1"/>
  <c r="Q182" i="1"/>
  <c r="P182" i="1"/>
  <c r="O182" i="1"/>
  <c r="N182" i="1"/>
  <c r="M182" i="1"/>
  <c r="L182" i="1"/>
  <c r="K182" i="1"/>
  <c r="J182" i="1"/>
  <c r="I182" i="1"/>
  <c r="F182" i="1"/>
  <c r="E182" i="1"/>
  <c r="D182" i="1"/>
  <c r="C182" i="1"/>
  <c r="B182" i="1"/>
  <c r="A182" i="1"/>
  <c r="Q181" i="1"/>
  <c r="P181" i="1"/>
  <c r="O181" i="1"/>
  <c r="N181" i="1"/>
  <c r="M181" i="1"/>
  <c r="L181" i="1"/>
  <c r="K181" i="1"/>
  <c r="J181" i="1"/>
  <c r="I181" i="1"/>
  <c r="F181" i="1"/>
  <c r="E181" i="1"/>
  <c r="D181" i="1"/>
  <c r="C181" i="1"/>
  <c r="B181" i="1"/>
  <c r="A181" i="1"/>
  <c r="Q180" i="1"/>
  <c r="P180" i="1"/>
  <c r="O180" i="1"/>
  <c r="N180" i="1"/>
  <c r="M180" i="1"/>
  <c r="L180" i="1"/>
  <c r="K180" i="1"/>
  <c r="J180" i="1"/>
  <c r="I180" i="1"/>
  <c r="F180" i="1"/>
  <c r="E180" i="1"/>
  <c r="D180" i="1"/>
  <c r="C180" i="1"/>
  <c r="B180" i="1"/>
  <c r="A180" i="1"/>
  <c r="Q179" i="1"/>
  <c r="P179" i="1"/>
  <c r="O179" i="1"/>
  <c r="N179" i="1"/>
  <c r="M179" i="1"/>
  <c r="L179" i="1"/>
  <c r="K179" i="1"/>
  <c r="J179" i="1"/>
  <c r="I179" i="1"/>
  <c r="F179" i="1"/>
  <c r="E179" i="1"/>
  <c r="D179" i="1"/>
  <c r="C179" i="1"/>
  <c r="B179" i="1"/>
  <c r="A179" i="1"/>
  <c r="Q178" i="1"/>
  <c r="P178" i="1"/>
  <c r="O178" i="1"/>
  <c r="N178" i="1"/>
  <c r="M178" i="1"/>
  <c r="L178" i="1"/>
  <c r="K178" i="1"/>
  <c r="J178" i="1"/>
  <c r="I178" i="1"/>
  <c r="G178" i="1"/>
  <c r="F178" i="1"/>
  <c r="E178" i="1"/>
  <c r="D178" i="1"/>
  <c r="C178" i="1"/>
  <c r="B178" i="1"/>
  <c r="A178" i="1"/>
  <c r="Q177" i="1"/>
  <c r="P177" i="1"/>
  <c r="O177" i="1"/>
  <c r="N177" i="1"/>
  <c r="M177" i="1"/>
  <c r="L177" i="1"/>
  <c r="K177" i="1"/>
  <c r="J177" i="1"/>
  <c r="I177" i="1"/>
  <c r="F177" i="1"/>
  <c r="E177" i="1"/>
  <c r="D177" i="1"/>
  <c r="C177" i="1"/>
  <c r="B177" i="1"/>
  <c r="A177" i="1"/>
  <c r="Q176" i="1"/>
  <c r="P176" i="1"/>
  <c r="O176" i="1"/>
  <c r="N176" i="1"/>
  <c r="M176" i="1"/>
  <c r="L176" i="1"/>
  <c r="K176" i="1"/>
  <c r="J176" i="1"/>
  <c r="I176" i="1"/>
  <c r="F176" i="1"/>
  <c r="E176" i="1"/>
  <c r="D176" i="1"/>
  <c r="C176" i="1"/>
  <c r="B176" i="1"/>
  <c r="A176" i="1"/>
  <c r="Q175" i="1"/>
  <c r="P175" i="1"/>
  <c r="O175" i="1"/>
  <c r="N175" i="1"/>
  <c r="M175" i="1"/>
  <c r="L175" i="1"/>
  <c r="K175" i="1"/>
  <c r="J175" i="1"/>
  <c r="I175" i="1"/>
  <c r="F175" i="1"/>
  <c r="E175" i="1"/>
  <c r="D175" i="1"/>
  <c r="C175" i="1"/>
  <c r="B175" i="1"/>
  <c r="A175" i="1"/>
  <c r="Q174" i="1"/>
  <c r="P174" i="1"/>
  <c r="O174" i="1"/>
  <c r="N174" i="1"/>
  <c r="M174" i="1"/>
  <c r="L174" i="1"/>
  <c r="K174" i="1"/>
  <c r="J174" i="1"/>
  <c r="I174" i="1"/>
  <c r="F174" i="1"/>
  <c r="E174" i="1"/>
  <c r="D174" i="1"/>
  <c r="C174" i="1"/>
  <c r="B174" i="1"/>
  <c r="A174" i="1"/>
  <c r="Q173" i="1"/>
  <c r="P173" i="1"/>
  <c r="O173" i="1"/>
  <c r="N173" i="1"/>
  <c r="M173" i="1"/>
  <c r="L173" i="1"/>
  <c r="K173" i="1"/>
  <c r="J173" i="1"/>
  <c r="I173" i="1"/>
  <c r="G173" i="1"/>
  <c r="F173" i="1"/>
  <c r="E173" i="1"/>
  <c r="D173" i="1"/>
  <c r="C173" i="1"/>
  <c r="B173" i="1"/>
  <c r="A173" i="1"/>
  <c r="Q172" i="1"/>
  <c r="P172" i="1"/>
  <c r="O172" i="1"/>
  <c r="N172" i="1"/>
  <c r="M172" i="1"/>
  <c r="L172" i="1"/>
  <c r="K172" i="1"/>
  <c r="J172" i="1"/>
  <c r="I172" i="1"/>
  <c r="F172" i="1"/>
  <c r="E172" i="1"/>
  <c r="D172" i="1"/>
  <c r="C172" i="1"/>
  <c r="B172" i="1"/>
  <c r="A172" i="1"/>
  <c r="Q171" i="1"/>
  <c r="P171" i="1"/>
  <c r="O171" i="1"/>
  <c r="N171" i="1"/>
  <c r="M171" i="1"/>
  <c r="L171" i="1"/>
  <c r="K171" i="1"/>
  <c r="J171" i="1"/>
  <c r="I171" i="1"/>
  <c r="F171" i="1"/>
  <c r="E171" i="1"/>
  <c r="D171" i="1"/>
  <c r="C171" i="1"/>
  <c r="B171" i="1"/>
  <c r="A171" i="1"/>
  <c r="Q170" i="1"/>
  <c r="P170" i="1"/>
  <c r="O170" i="1"/>
  <c r="N170" i="1"/>
  <c r="M170" i="1"/>
  <c r="L170" i="1"/>
  <c r="K170" i="1"/>
  <c r="J170" i="1"/>
  <c r="I170" i="1"/>
  <c r="F170" i="1"/>
  <c r="E170" i="1"/>
  <c r="D170" i="1"/>
  <c r="C170" i="1"/>
  <c r="B170" i="1"/>
  <c r="A170" i="1"/>
  <c r="Q169" i="1"/>
  <c r="P169" i="1"/>
  <c r="O169" i="1"/>
  <c r="N169" i="1"/>
  <c r="M169" i="1"/>
  <c r="L169" i="1"/>
  <c r="K169" i="1"/>
  <c r="J169" i="1"/>
  <c r="I169" i="1"/>
  <c r="F169" i="1"/>
  <c r="E169" i="1"/>
  <c r="D169" i="1"/>
  <c r="C169" i="1"/>
  <c r="B169" i="1"/>
  <c r="A169" i="1"/>
  <c r="Q168" i="1"/>
  <c r="P168" i="1"/>
  <c r="O168" i="1"/>
  <c r="N168" i="1"/>
  <c r="M168" i="1"/>
  <c r="L168" i="1"/>
  <c r="K168" i="1"/>
  <c r="J168" i="1"/>
  <c r="I168" i="1"/>
  <c r="G168" i="1"/>
  <c r="F168" i="1"/>
  <c r="E168" i="1"/>
  <c r="D168" i="1"/>
  <c r="C168" i="1"/>
  <c r="B168" i="1"/>
  <c r="A168" i="1"/>
  <c r="Q167" i="1"/>
  <c r="P167" i="1"/>
  <c r="O167" i="1"/>
  <c r="N167" i="1"/>
  <c r="M167" i="1"/>
  <c r="L167" i="1"/>
  <c r="K167" i="1"/>
  <c r="J167" i="1"/>
  <c r="I167" i="1"/>
  <c r="F167" i="1"/>
  <c r="E167" i="1"/>
  <c r="D167" i="1"/>
  <c r="C167" i="1"/>
  <c r="B167" i="1"/>
  <c r="A167" i="1"/>
  <c r="Q166" i="1"/>
  <c r="P166" i="1"/>
  <c r="O166" i="1"/>
  <c r="N166" i="1"/>
  <c r="M166" i="1"/>
  <c r="L166" i="1"/>
  <c r="K166" i="1"/>
  <c r="J166" i="1"/>
  <c r="I166" i="1"/>
  <c r="F166" i="1"/>
  <c r="E166" i="1"/>
  <c r="D166" i="1"/>
  <c r="C166" i="1"/>
  <c r="B166" i="1"/>
  <c r="A166" i="1"/>
  <c r="Q165" i="1"/>
  <c r="P165" i="1"/>
  <c r="O165" i="1"/>
  <c r="N165" i="1"/>
  <c r="M165" i="1"/>
  <c r="L165" i="1"/>
  <c r="K165" i="1"/>
  <c r="J165" i="1"/>
  <c r="I165" i="1"/>
  <c r="F165" i="1"/>
  <c r="E165" i="1"/>
  <c r="D165" i="1"/>
  <c r="C165" i="1"/>
  <c r="B165" i="1"/>
  <c r="A165" i="1"/>
  <c r="Q164" i="1"/>
  <c r="P164" i="1"/>
  <c r="O164" i="1"/>
  <c r="N164" i="1"/>
  <c r="M164" i="1"/>
  <c r="L164" i="1"/>
  <c r="K164" i="1"/>
  <c r="J164" i="1"/>
  <c r="I164" i="1"/>
  <c r="F164" i="1"/>
  <c r="E164" i="1"/>
  <c r="D164" i="1"/>
  <c r="C164" i="1"/>
  <c r="B164" i="1"/>
  <c r="A164" i="1"/>
  <c r="Q163" i="1"/>
  <c r="P163" i="1"/>
  <c r="O163" i="1"/>
  <c r="N163" i="1"/>
  <c r="M163" i="1"/>
  <c r="L163" i="1"/>
  <c r="K163" i="1"/>
  <c r="J163" i="1"/>
  <c r="I163" i="1"/>
  <c r="F163" i="1"/>
  <c r="E163" i="1"/>
  <c r="D163" i="1"/>
  <c r="C163" i="1"/>
  <c r="B163" i="1"/>
  <c r="A163" i="1"/>
  <c r="Q162" i="1"/>
  <c r="P162" i="1"/>
  <c r="O162" i="1"/>
  <c r="N162" i="1"/>
  <c r="M162" i="1"/>
  <c r="L162" i="1"/>
  <c r="K162" i="1"/>
  <c r="J162" i="1"/>
  <c r="I162" i="1"/>
  <c r="G162" i="1"/>
  <c r="F162" i="1"/>
  <c r="E162" i="1"/>
  <c r="D162" i="1"/>
  <c r="C162" i="1"/>
  <c r="B162" i="1"/>
  <c r="A162" i="1"/>
  <c r="Q161" i="1"/>
  <c r="P161" i="1"/>
  <c r="O161" i="1"/>
  <c r="N161" i="1"/>
  <c r="M161" i="1"/>
  <c r="L161" i="1"/>
  <c r="K161" i="1"/>
  <c r="J161" i="1"/>
  <c r="I161" i="1"/>
  <c r="F161" i="1"/>
  <c r="E161" i="1"/>
  <c r="D161" i="1"/>
  <c r="C161" i="1"/>
  <c r="B161" i="1"/>
  <c r="A161" i="1"/>
  <c r="Q160" i="1"/>
  <c r="P160" i="1"/>
  <c r="O160" i="1"/>
  <c r="N160" i="1"/>
  <c r="M160" i="1"/>
  <c r="L160" i="1"/>
  <c r="K160" i="1"/>
  <c r="J160" i="1"/>
  <c r="I160" i="1"/>
  <c r="F160" i="1"/>
  <c r="E160" i="1"/>
  <c r="D160" i="1"/>
  <c r="C160" i="1"/>
  <c r="B160" i="1"/>
  <c r="A160" i="1"/>
  <c r="Q159" i="1"/>
  <c r="P159" i="1"/>
  <c r="O159" i="1"/>
  <c r="N159" i="1"/>
  <c r="M159" i="1"/>
  <c r="L159" i="1"/>
  <c r="K159" i="1"/>
  <c r="J159" i="1"/>
  <c r="I159" i="1"/>
  <c r="F159" i="1"/>
  <c r="E159" i="1"/>
  <c r="D159" i="1"/>
  <c r="C159" i="1"/>
  <c r="B159" i="1"/>
  <c r="A159" i="1"/>
  <c r="Q158" i="1"/>
  <c r="P158" i="1"/>
  <c r="O158" i="1"/>
  <c r="N158" i="1"/>
  <c r="M158" i="1"/>
  <c r="L158" i="1"/>
  <c r="K158" i="1"/>
  <c r="J158" i="1"/>
  <c r="I158" i="1"/>
  <c r="F158" i="1"/>
  <c r="E158" i="1"/>
  <c r="D158" i="1"/>
  <c r="C158" i="1"/>
  <c r="B158" i="1"/>
  <c r="A158" i="1"/>
  <c r="Q157" i="1"/>
  <c r="P157" i="1"/>
  <c r="O157" i="1"/>
  <c r="N157" i="1"/>
  <c r="M157" i="1"/>
  <c r="L157" i="1"/>
  <c r="K157" i="1"/>
  <c r="J157" i="1"/>
  <c r="I157" i="1"/>
  <c r="F157" i="1"/>
  <c r="E157" i="1"/>
  <c r="D157" i="1"/>
  <c r="C157" i="1"/>
  <c r="B157" i="1"/>
  <c r="A157" i="1"/>
  <c r="Q156" i="1"/>
  <c r="P156" i="1"/>
  <c r="O156" i="1"/>
  <c r="N156" i="1"/>
  <c r="M156" i="1"/>
  <c r="L156" i="1"/>
  <c r="K156" i="1"/>
  <c r="J156" i="1"/>
  <c r="I156" i="1"/>
  <c r="F156" i="1"/>
  <c r="E156" i="1"/>
  <c r="D156" i="1"/>
  <c r="C156" i="1"/>
  <c r="B156" i="1"/>
  <c r="A156" i="1"/>
  <c r="Q155" i="1"/>
  <c r="P155" i="1"/>
  <c r="O155" i="1"/>
  <c r="N155" i="1"/>
  <c r="M155" i="1"/>
  <c r="L155" i="1"/>
  <c r="K155" i="1"/>
  <c r="J155" i="1"/>
  <c r="I155" i="1"/>
  <c r="F155" i="1"/>
  <c r="E155" i="1"/>
  <c r="D155" i="1"/>
  <c r="C155" i="1"/>
  <c r="B155" i="1"/>
  <c r="A155" i="1"/>
  <c r="Q154" i="1"/>
  <c r="P154" i="1"/>
  <c r="O154" i="1"/>
  <c r="N154" i="1"/>
  <c r="M154" i="1"/>
  <c r="L154" i="1"/>
  <c r="K154" i="1"/>
  <c r="J154" i="1"/>
  <c r="I154" i="1"/>
  <c r="F154" i="1"/>
  <c r="E154" i="1"/>
  <c r="D154" i="1"/>
  <c r="C154" i="1"/>
  <c r="B154" i="1"/>
  <c r="A154" i="1"/>
  <c r="Q153" i="1"/>
  <c r="P153" i="1"/>
  <c r="O153" i="1"/>
  <c r="N153" i="1"/>
  <c r="M153" i="1"/>
  <c r="L153" i="1"/>
  <c r="K153" i="1"/>
  <c r="J153" i="1"/>
  <c r="I153" i="1"/>
  <c r="F153" i="1"/>
  <c r="E153" i="1"/>
  <c r="D153" i="1"/>
  <c r="C153" i="1"/>
  <c r="B153" i="1"/>
  <c r="A153" i="1"/>
  <c r="Q152" i="1"/>
  <c r="P152" i="1"/>
  <c r="O152" i="1"/>
  <c r="N152" i="1"/>
  <c r="M152" i="1"/>
  <c r="L152" i="1"/>
  <c r="K152" i="1"/>
  <c r="J152" i="1"/>
  <c r="I152" i="1"/>
  <c r="G152" i="1"/>
  <c r="F152" i="1"/>
  <c r="E152" i="1"/>
  <c r="D152" i="1"/>
  <c r="C152" i="1"/>
  <c r="B152" i="1"/>
  <c r="A152" i="1"/>
  <c r="Q151" i="1"/>
  <c r="P151" i="1"/>
  <c r="O151" i="1"/>
  <c r="N151" i="1"/>
  <c r="M151" i="1"/>
  <c r="L151" i="1"/>
  <c r="K151" i="1"/>
  <c r="J151" i="1"/>
  <c r="I151" i="1"/>
  <c r="G151" i="1"/>
  <c r="F151" i="1"/>
  <c r="E151" i="1"/>
  <c r="D151" i="1"/>
  <c r="C151" i="1"/>
  <c r="B151" i="1"/>
  <c r="A151" i="1"/>
  <c r="Q150" i="1"/>
  <c r="P150" i="1"/>
  <c r="O150" i="1"/>
  <c r="N150" i="1"/>
  <c r="M150" i="1"/>
  <c r="L150" i="1"/>
  <c r="K150" i="1"/>
  <c r="J150" i="1"/>
  <c r="I150" i="1"/>
  <c r="G150" i="1"/>
  <c r="F150" i="1"/>
  <c r="E150" i="1"/>
  <c r="D150" i="1"/>
  <c r="C150" i="1"/>
  <c r="B150" i="1"/>
  <c r="A150" i="1"/>
  <c r="Q149" i="1"/>
  <c r="P149" i="1"/>
  <c r="O149" i="1"/>
  <c r="N149" i="1"/>
  <c r="M149" i="1"/>
  <c r="L149" i="1"/>
  <c r="K149" i="1"/>
  <c r="J149" i="1"/>
  <c r="I149" i="1"/>
  <c r="G149" i="1"/>
  <c r="F149" i="1"/>
  <c r="E149" i="1"/>
  <c r="D149" i="1"/>
  <c r="C149" i="1"/>
  <c r="B149" i="1"/>
  <c r="A149" i="1"/>
  <c r="Q148" i="1"/>
  <c r="P148" i="1"/>
  <c r="O148" i="1"/>
  <c r="N148" i="1"/>
  <c r="M148" i="1"/>
  <c r="L148" i="1"/>
  <c r="K148" i="1"/>
  <c r="J148" i="1"/>
  <c r="I148" i="1"/>
  <c r="G148" i="1"/>
  <c r="F148" i="1"/>
  <c r="E148" i="1"/>
  <c r="D148" i="1"/>
  <c r="C148" i="1"/>
  <c r="B148" i="1"/>
  <c r="A148" i="1"/>
  <c r="Q147" i="1"/>
  <c r="P147" i="1"/>
  <c r="O147" i="1"/>
  <c r="N147" i="1"/>
  <c r="M147" i="1"/>
  <c r="L147" i="1"/>
  <c r="K147" i="1"/>
  <c r="J147" i="1"/>
  <c r="I147" i="1"/>
  <c r="G147" i="1"/>
  <c r="F147" i="1"/>
  <c r="E147" i="1"/>
  <c r="D147" i="1"/>
  <c r="C147" i="1"/>
  <c r="B147" i="1"/>
  <c r="A147" i="1"/>
  <c r="Q146" i="1"/>
  <c r="P146" i="1"/>
  <c r="O146" i="1"/>
  <c r="N146" i="1"/>
  <c r="M146" i="1"/>
  <c r="L146" i="1"/>
  <c r="K146" i="1"/>
  <c r="J146" i="1"/>
  <c r="I146" i="1"/>
  <c r="G146" i="1"/>
  <c r="F146" i="1"/>
  <c r="E146" i="1"/>
  <c r="D146" i="1"/>
  <c r="C146" i="1"/>
  <c r="B146" i="1"/>
  <c r="A146" i="1"/>
  <c r="Q145" i="1"/>
  <c r="P145" i="1"/>
  <c r="O145" i="1"/>
  <c r="N145" i="1"/>
  <c r="M145" i="1"/>
  <c r="L145" i="1"/>
  <c r="K145" i="1"/>
  <c r="J145" i="1"/>
  <c r="I145" i="1"/>
  <c r="G145" i="1"/>
  <c r="F145" i="1"/>
  <c r="E145" i="1"/>
  <c r="D145" i="1"/>
  <c r="C145" i="1"/>
  <c r="B145" i="1"/>
  <c r="A145" i="1"/>
  <c r="Q144" i="1"/>
  <c r="P144" i="1"/>
  <c r="O144" i="1"/>
  <c r="N144" i="1"/>
  <c r="M144" i="1"/>
  <c r="L144" i="1"/>
  <c r="K144" i="1"/>
  <c r="J144" i="1"/>
  <c r="I144" i="1"/>
  <c r="G144" i="1"/>
  <c r="F144" i="1"/>
  <c r="E144" i="1"/>
  <c r="D144" i="1"/>
  <c r="C144" i="1"/>
  <c r="B144" i="1"/>
  <c r="A144" i="1"/>
  <c r="Q143" i="1"/>
  <c r="P143" i="1"/>
  <c r="O143" i="1"/>
  <c r="N143" i="1"/>
  <c r="M143" i="1"/>
  <c r="L143" i="1"/>
  <c r="K143" i="1"/>
  <c r="J143" i="1"/>
  <c r="I143" i="1"/>
  <c r="H143" i="1"/>
  <c r="G143" i="1"/>
  <c r="F143" i="1"/>
  <c r="E143" i="1"/>
  <c r="D143" i="1"/>
  <c r="C143" i="1"/>
  <c r="B143" i="1"/>
  <c r="A143" i="1"/>
  <c r="Q142" i="1"/>
  <c r="P142" i="1"/>
  <c r="O142" i="1"/>
  <c r="N142" i="1"/>
  <c r="M142" i="1"/>
  <c r="L142" i="1"/>
  <c r="K142" i="1"/>
  <c r="J142" i="1"/>
  <c r="I142" i="1"/>
  <c r="F142" i="1"/>
  <c r="E142" i="1"/>
  <c r="D142" i="1"/>
  <c r="C142" i="1"/>
  <c r="B142" i="1"/>
  <c r="A142" i="1"/>
  <c r="Q141" i="1"/>
  <c r="P141" i="1"/>
  <c r="O141" i="1"/>
  <c r="N141" i="1"/>
  <c r="M141" i="1"/>
  <c r="L141" i="1"/>
  <c r="K141" i="1"/>
  <c r="J141" i="1"/>
  <c r="I141" i="1"/>
  <c r="F141" i="1"/>
  <c r="E141" i="1"/>
  <c r="D141" i="1"/>
  <c r="C141" i="1"/>
  <c r="B141" i="1"/>
  <c r="A141" i="1"/>
  <c r="Q140" i="1"/>
  <c r="P140" i="1"/>
  <c r="O140" i="1"/>
  <c r="N140" i="1"/>
  <c r="M140" i="1"/>
  <c r="L140" i="1"/>
  <c r="K140" i="1"/>
  <c r="J140" i="1"/>
  <c r="I140" i="1"/>
  <c r="F140" i="1"/>
  <c r="E140" i="1"/>
  <c r="D140" i="1"/>
  <c r="C140" i="1"/>
  <c r="B140" i="1"/>
  <c r="A140" i="1"/>
  <c r="Q139" i="1"/>
  <c r="P139" i="1"/>
  <c r="O139" i="1"/>
  <c r="N139" i="1"/>
  <c r="M139" i="1"/>
  <c r="L139" i="1"/>
  <c r="K139" i="1"/>
  <c r="J139" i="1"/>
  <c r="I139" i="1"/>
  <c r="F139" i="1"/>
  <c r="E139" i="1"/>
  <c r="D139" i="1"/>
  <c r="C139" i="1"/>
  <c r="B139" i="1"/>
  <c r="A139" i="1"/>
  <c r="Q138" i="1"/>
  <c r="P138" i="1"/>
  <c r="O138" i="1"/>
  <c r="N138" i="1"/>
  <c r="M138" i="1"/>
  <c r="L138" i="1"/>
  <c r="K138" i="1"/>
  <c r="J138" i="1"/>
  <c r="I138" i="1"/>
  <c r="F138" i="1"/>
  <c r="E138" i="1"/>
  <c r="D138" i="1"/>
  <c r="C138" i="1"/>
  <c r="B138" i="1"/>
  <c r="A138" i="1"/>
  <c r="Q137" i="1"/>
  <c r="P137" i="1"/>
  <c r="O137" i="1"/>
  <c r="N137" i="1"/>
  <c r="M137" i="1"/>
  <c r="L137" i="1"/>
  <c r="K137" i="1"/>
  <c r="J137" i="1"/>
  <c r="I137" i="1"/>
  <c r="F137" i="1"/>
  <c r="E137" i="1"/>
  <c r="D137" i="1"/>
  <c r="C137" i="1"/>
  <c r="B137" i="1"/>
  <c r="A137" i="1"/>
  <c r="Q136" i="1"/>
  <c r="P136" i="1"/>
  <c r="O136" i="1"/>
  <c r="N136" i="1"/>
  <c r="M136" i="1"/>
  <c r="L136" i="1"/>
  <c r="K136" i="1"/>
  <c r="J136" i="1"/>
  <c r="I136" i="1"/>
  <c r="F136" i="1"/>
  <c r="E136" i="1"/>
  <c r="D136" i="1"/>
  <c r="C136" i="1"/>
  <c r="B136" i="1"/>
  <c r="A136" i="1"/>
  <c r="Q135" i="1"/>
  <c r="P135" i="1"/>
  <c r="O135" i="1"/>
  <c r="N135" i="1"/>
  <c r="M135" i="1"/>
  <c r="L135" i="1"/>
  <c r="K135" i="1"/>
  <c r="J135" i="1"/>
  <c r="I135" i="1"/>
  <c r="F135" i="1"/>
  <c r="E135" i="1"/>
  <c r="D135" i="1"/>
  <c r="C135" i="1"/>
  <c r="B135" i="1"/>
  <c r="A135" i="1"/>
  <c r="Q134" i="1"/>
  <c r="P134" i="1"/>
  <c r="O134" i="1"/>
  <c r="N134" i="1"/>
  <c r="M134" i="1"/>
  <c r="L134" i="1"/>
  <c r="K134" i="1"/>
  <c r="J134" i="1"/>
  <c r="I134" i="1"/>
  <c r="F134" i="1"/>
  <c r="E134" i="1"/>
  <c r="D134" i="1"/>
  <c r="C134" i="1"/>
  <c r="B134" i="1"/>
  <c r="A134" i="1"/>
  <c r="Q133" i="1"/>
  <c r="P133" i="1"/>
  <c r="O133" i="1"/>
  <c r="N133" i="1"/>
  <c r="M133" i="1"/>
  <c r="L133" i="1"/>
  <c r="K133" i="1"/>
  <c r="J133" i="1"/>
  <c r="I133" i="1"/>
  <c r="F133" i="1"/>
  <c r="E133" i="1"/>
  <c r="D133" i="1"/>
  <c r="C133" i="1"/>
  <c r="B133" i="1"/>
  <c r="A133" i="1"/>
  <c r="Q132" i="1"/>
  <c r="P132" i="1"/>
  <c r="O132" i="1"/>
  <c r="N132" i="1"/>
  <c r="M132" i="1"/>
  <c r="L132" i="1"/>
  <c r="K132" i="1"/>
  <c r="J132" i="1"/>
  <c r="I132" i="1"/>
  <c r="F132" i="1"/>
  <c r="E132" i="1"/>
  <c r="D132" i="1"/>
  <c r="C132" i="1"/>
  <c r="B132" i="1"/>
  <c r="A132" i="1"/>
  <c r="Q131" i="1"/>
  <c r="P131" i="1"/>
  <c r="O131" i="1"/>
  <c r="N131" i="1"/>
  <c r="M131" i="1"/>
  <c r="L131" i="1"/>
  <c r="K131" i="1"/>
  <c r="J131" i="1"/>
  <c r="I131" i="1"/>
  <c r="F131" i="1"/>
  <c r="E131" i="1"/>
  <c r="D131" i="1"/>
  <c r="C131" i="1"/>
  <c r="B131" i="1"/>
  <c r="A131" i="1"/>
  <c r="Q130" i="1"/>
  <c r="P130" i="1"/>
  <c r="O130" i="1"/>
  <c r="N130" i="1"/>
  <c r="M130" i="1"/>
  <c r="L130" i="1"/>
  <c r="K130" i="1"/>
  <c r="J130" i="1"/>
  <c r="I130" i="1"/>
  <c r="F130" i="1"/>
  <c r="E130" i="1"/>
  <c r="D130" i="1"/>
  <c r="C130" i="1"/>
  <c r="B130" i="1"/>
  <c r="A130" i="1"/>
  <c r="Q129" i="1"/>
  <c r="P129" i="1"/>
  <c r="O129" i="1"/>
  <c r="N129" i="1"/>
  <c r="M129" i="1"/>
  <c r="L129" i="1"/>
  <c r="K129" i="1"/>
  <c r="J129" i="1"/>
  <c r="I129" i="1"/>
  <c r="F129" i="1"/>
  <c r="E129" i="1"/>
  <c r="D129" i="1"/>
  <c r="C129" i="1"/>
  <c r="B129" i="1"/>
  <c r="A129" i="1"/>
  <c r="Q128" i="1"/>
  <c r="P128" i="1"/>
  <c r="O128" i="1"/>
  <c r="N128" i="1"/>
  <c r="M128" i="1"/>
  <c r="L128" i="1"/>
  <c r="K128" i="1"/>
  <c r="J128" i="1"/>
  <c r="I128" i="1"/>
  <c r="F128" i="1"/>
  <c r="E128" i="1"/>
  <c r="D128" i="1"/>
  <c r="C128" i="1"/>
  <c r="B128" i="1"/>
  <c r="A128" i="1"/>
  <c r="Q127" i="1"/>
  <c r="P127" i="1"/>
  <c r="O127" i="1"/>
  <c r="N127" i="1"/>
  <c r="M127" i="1"/>
  <c r="L127" i="1"/>
  <c r="K127" i="1"/>
  <c r="J127" i="1"/>
  <c r="I127" i="1"/>
  <c r="F127" i="1"/>
  <c r="E127" i="1"/>
  <c r="D127" i="1"/>
  <c r="C127" i="1"/>
  <c r="B127" i="1"/>
  <c r="A127" i="1"/>
  <c r="Q126" i="1"/>
  <c r="P126" i="1"/>
  <c r="O126" i="1"/>
  <c r="N126" i="1"/>
  <c r="M126" i="1"/>
  <c r="L126" i="1"/>
  <c r="K126" i="1"/>
  <c r="J126" i="1"/>
  <c r="I126" i="1"/>
  <c r="F126" i="1"/>
  <c r="E126" i="1"/>
  <c r="D126" i="1"/>
  <c r="C126" i="1"/>
  <c r="B126" i="1"/>
  <c r="A126" i="1"/>
  <c r="Q125" i="1"/>
  <c r="P125" i="1"/>
  <c r="O125" i="1"/>
  <c r="N125" i="1"/>
  <c r="M125" i="1"/>
  <c r="L125" i="1"/>
  <c r="K125" i="1"/>
  <c r="J125" i="1"/>
  <c r="I125" i="1"/>
  <c r="G125" i="1"/>
  <c r="F125" i="1"/>
  <c r="E125" i="1"/>
  <c r="D125" i="1"/>
  <c r="C125" i="1"/>
  <c r="B125" i="1"/>
  <c r="A125" i="1"/>
  <c r="Q124" i="1"/>
  <c r="P124" i="1"/>
  <c r="O124" i="1"/>
  <c r="N124" i="1"/>
  <c r="M124" i="1"/>
  <c r="L124" i="1"/>
  <c r="K124" i="1"/>
  <c r="J124" i="1"/>
  <c r="I124" i="1"/>
  <c r="G124" i="1"/>
  <c r="F124" i="1"/>
  <c r="E124" i="1"/>
  <c r="D124" i="1"/>
  <c r="C124" i="1"/>
  <c r="B124" i="1"/>
  <c r="A124" i="1"/>
  <c r="Q123" i="1"/>
  <c r="P123" i="1"/>
  <c r="O123" i="1"/>
  <c r="N123" i="1"/>
  <c r="M123" i="1"/>
  <c r="L123" i="1"/>
  <c r="K123" i="1"/>
  <c r="J123" i="1"/>
  <c r="I123" i="1"/>
  <c r="G123" i="1"/>
  <c r="F123" i="1"/>
  <c r="E123" i="1"/>
  <c r="D123" i="1"/>
  <c r="C123" i="1"/>
  <c r="B123" i="1"/>
  <c r="A123" i="1"/>
  <c r="Q122" i="1"/>
  <c r="P122" i="1"/>
  <c r="O122" i="1"/>
  <c r="N122" i="1"/>
  <c r="M122" i="1"/>
  <c r="L122" i="1"/>
  <c r="K122" i="1"/>
  <c r="J122" i="1"/>
  <c r="I122" i="1"/>
  <c r="G122" i="1"/>
  <c r="F122" i="1"/>
  <c r="E122" i="1"/>
  <c r="D122" i="1"/>
  <c r="C122" i="1"/>
  <c r="B122" i="1"/>
  <c r="A122" i="1"/>
  <c r="Q121" i="1"/>
  <c r="P121" i="1"/>
  <c r="O121" i="1"/>
  <c r="N121" i="1"/>
  <c r="M121" i="1"/>
  <c r="L121" i="1"/>
  <c r="K121" i="1"/>
  <c r="J121" i="1"/>
  <c r="I121" i="1"/>
  <c r="F121" i="1"/>
  <c r="E121" i="1"/>
  <c r="D121" i="1"/>
  <c r="C121" i="1"/>
  <c r="B121" i="1"/>
  <c r="A121" i="1"/>
  <c r="Q120" i="1"/>
  <c r="P120" i="1"/>
  <c r="O120" i="1"/>
  <c r="N120" i="1"/>
  <c r="M120" i="1"/>
  <c r="L120" i="1"/>
  <c r="K120" i="1"/>
  <c r="J120" i="1"/>
  <c r="I120" i="1"/>
  <c r="F120" i="1"/>
  <c r="E120" i="1"/>
  <c r="D120" i="1"/>
  <c r="C120" i="1"/>
  <c r="B120" i="1"/>
  <c r="A120" i="1"/>
  <c r="Q119" i="1"/>
  <c r="P119" i="1"/>
  <c r="O119" i="1"/>
  <c r="N119" i="1"/>
  <c r="M119" i="1"/>
  <c r="L119" i="1"/>
  <c r="K119" i="1"/>
  <c r="J119" i="1"/>
  <c r="I119" i="1"/>
  <c r="G119" i="1"/>
  <c r="F119" i="1"/>
  <c r="E119" i="1"/>
  <c r="D119" i="1"/>
  <c r="C119" i="1"/>
  <c r="B119" i="1"/>
  <c r="A119" i="1"/>
  <c r="Q118" i="1"/>
  <c r="P118" i="1"/>
  <c r="O118" i="1"/>
  <c r="N118" i="1"/>
  <c r="M118" i="1"/>
  <c r="L118" i="1"/>
  <c r="K118" i="1"/>
  <c r="J118" i="1"/>
  <c r="I118" i="1"/>
  <c r="F118" i="1"/>
  <c r="E118" i="1"/>
  <c r="D118" i="1"/>
  <c r="C118" i="1"/>
  <c r="B118" i="1"/>
  <c r="A118" i="1"/>
  <c r="Q117" i="1"/>
  <c r="P117" i="1"/>
  <c r="O117" i="1"/>
  <c r="N117" i="1"/>
  <c r="M117" i="1"/>
  <c r="L117" i="1"/>
  <c r="K117" i="1"/>
  <c r="J117" i="1"/>
  <c r="I117" i="1"/>
  <c r="F117" i="1"/>
  <c r="E117" i="1"/>
  <c r="D117" i="1"/>
  <c r="C117" i="1"/>
  <c r="B117" i="1"/>
  <c r="A117" i="1"/>
  <c r="Q116" i="1"/>
  <c r="P116" i="1"/>
  <c r="O116" i="1"/>
  <c r="N116" i="1"/>
  <c r="M116" i="1"/>
  <c r="L116" i="1"/>
  <c r="K116" i="1"/>
  <c r="J116" i="1"/>
  <c r="I116" i="1"/>
  <c r="F116" i="1"/>
  <c r="E116" i="1"/>
  <c r="D116" i="1"/>
  <c r="C116" i="1"/>
  <c r="B116" i="1"/>
  <c r="A116" i="1"/>
  <c r="Q115" i="1"/>
  <c r="P115" i="1"/>
  <c r="O115" i="1"/>
  <c r="N115" i="1"/>
  <c r="M115" i="1"/>
  <c r="L115" i="1"/>
  <c r="K115" i="1"/>
  <c r="J115" i="1"/>
  <c r="I115" i="1"/>
  <c r="F115" i="1"/>
  <c r="E115" i="1"/>
  <c r="D115" i="1"/>
  <c r="C115" i="1"/>
  <c r="B115" i="1"/>
  <c r="A115" i="1"/>
  <c r="Q114" i="1"/>
  <c r="P114" i="1"/>
  <c r="O114" i="1"/>
  <c r="N114" i="1"/>
  <c r="M114" i="1"/>
  <c r="L114" i="1"/>
  <c r="K114" i="1"/>
  <c r="J114" i="1"/>
  <c r="I114" i="1"/>
  <c r="F114" i="1"/>
  <c r="E114" i="1"/>
  <c r="D114" i="1"/>
  <c r="C114" i="1"/>
  <c r="B114" i="1"/>
  <c r="A114" i="1"/>
  <c r="Q113" i="1"/>
  <c r="P113" i="1"/>
  <c r="O113" i="1"/>
  <c r="N113" i="1"/>
  <c r="M113" i="1"/>
  <c r="L113" i="1"/>
  <c r="K113" i="1"/>
  <c r="J113" i="1"/>
  <c r="I113" i="1"/>
  <c r="F113" i="1"/>
  <c r="E113" i="1"/>
  <c r="D113" i="1"/>
  <c r="C113" i="1"/>
  <c r="B113" i="1"/>
  <c r="A113" i="1"/>
  <c r="Q112" i="1"/>
  <c r="P112" i="1"/>
  <c r="O112" i="1"/>
  <c r="N112" i="1"/>
  <c r="M112" i="1"/>
  <c r="L112" i="1"/>
  <c r="K112" i="1"/>
  <c r="J112" i="1"/>
  <c r="I112" i="1"/>
  <c r="F112" i="1"/>
  <c r="E112" i="1"/>
  <c r="D112" i="1"/>
  <c r="C112" i="1"/>
  <c r="B112" i="1"/>
  <c r="A112" i="1"/>
  <c r="Q111" i="1"/>
  <c r="P111" i="1"/>
  <c r="O111" i="1"/>
  <c r="N111" i="1"/>
  <c r="M111" i="1"/>
  <c r="L111" i="1"/>
  <c r="K111" i="1"/>
  <c r="J111" i="1"/>
  <c r="I111" i="1"/>
  <c r="F111" i="1"/>
  <c r="E111" i="1"/>
  <c r="D111" i="1"/>
  <c r="C111" i="1"/>
  <c r="B111" i="1"/>
  <c r="A111" i="1"/>
  <c r="Q110" i="1"/>
  <c r="P110" i="1"/>
  <c r="O110" i="1"/>
  <c r="N110" i="1"/>
  <c r="M110" i="1"/>
  <c r="L110" i="1"/>
  <c r="K110" i="1"/>
  <c r="J110" i="1"/>
  <c r="I110" i="1"/>
  <c r="F110" i="1"/>
  <c r="E110" i="1"/>
  <c r="D110" i="1"/>
  <c r="C110" i="1"/>
  <c r="B110" i="1"/>
  <c r="A110" i="1"/>
  <c r="Q109" i="1"/>
  <c r="P109" i="1"/>
  <c r="O109" i="1"/>
  <c r="N109" i="1"/>
  <c r="M109" i="1"/>
  <c r="L109" i="1"/>
  <c r="K109" i="1"/>
  <c r="J109" i="1"/>
  <c r="I109" i="1"/>
  <c r="F109" i="1"/>
  <c r="E109" i="1"/>
  <c r="D109" i="1"/>
  <c r="C109" i="1"/>
  <c r="B109" i="1"/>
  <c r="A109" i="1"/>
  <c r="Q108" i="1"/>
  <c r="P108" i="1"/>
  <c r="O108" i="1"/>
  <c r="N108" i="1"/>
  <c r="M108" i="1"/>
  <c r="L108" i="1"/>
  <c r="K108" i="1"/>
  <c r="J108" i="1"/>
  <c r="I108" i="1"/>
  <c r="F108" i="1"/>
  <c r="E108" i="1"/>
  <c r="D108" i="1"/>
  <c r="C108" i="1"/>
  <c r="B108" i="1"/>
  <c r="A108" i="1"/>
  <c r="Q107" i="1"/>
  <c r="P107" i="1"/>
  <c r="O107" i="1"/>
  <c r="N107" i="1"/>
  <c r="M107" i="1"/>
  <c r="L107" i="1"/>
  <c r="K107" i="1"/>
  <c r="I107" i="1"/>
  <c r="F107" i="1"/>
  <c r="E107" i="1"/>
  <c r="D107" i="1"/>
  <c r="C107" i="1"/>
  <c r="B107" i="1"/>
  <c r="A107" i="1"/>
  <c r="Q106" i="1"/>
  <c r="P106" i="1"/>
  <c r="O106" i="1"/>
  <c r="N106" i="1"/>
  <c r="M106" i="1"/>
  <c r="L106" i="1"/>
  <c r="K106" i="1"/>
  <c r="I106" i="1"/>
  <c r="F106" i="1"/>
  <c r="E106" i="1"/>
  <c r="D106" i="1"/>
  <c r="C106" i="1"/>
  <c r="B106" i="1"/>
  <c r="A106" i="1"/>
  <c r="Q105" i="1"/>
  <c r="P105" i="1"/>
  <c r="O105" i="1"/>
  <c r="N105" i="1"/>
  <c r="M105" i="1"/>
  <c r="L105" i="1"/>
  <c r="K105" i="1"/>
  <c r="I105" i="1"/>
  <c r="F105" i="1"/>
  <c r="E105" i="1"/>
  <c r="D105" i="1"/>
  <c r="C105" i="1"/>
  <c r="B105" i="1"/>
  <c r="A105" i="1"/>
  <c r="Q104" i="1"/>
  <c r="P104" i="1"/>
  <c r="O104" i="1"/>
  <c r="N104" i="1"/>
  <c r="M104" i="1"/>
  <c r="L104" i="1"/>
  <c r="K104" i="1"/>
  <c r="I104" i="1"/>
  <c r="F104" i="1"/>
  <c r="E104" i="1"/>
  <c r="D104" i="1"/>
  <c r="C104" i="1"/>
  <c r="B104" i="1"/>
  <c r="A104" i="1"/>
  <c r="Q103" i="1"/>
  <c r="P103" i="1"/>
  <c r="O103" i="1"/>
  <c r="N103" i="1"/>
  <c r="M103" i="1"/>
  <c r="L103" i="1"/>
  <c r="K103" i="1"/>
  <c r="I103" i="1"/>
  <c r="F103" i="1"/>
  <c r="E103" i="1"/>
  <c r="D103" i="1"/>
  <c r="C103" i="1"/>
  <c r="B103" i="1"/>
  <c r="A103" i="1"/>
  <c r="Q102" i="1"/>
  <c r="P102" i="1"/>
  <c r="O102" i="1"/>
  <c r="N102" i="1"/>
  <c r="M102" i="1"/>
  <c r="L102" i="1"/>
  <c r="K102" i="1"/>
  <c r="J102" i="1"/>
  <c r="I102" i="1"/>
  <c r="F102" i="1"/>
  <c r="E102" i="1"/>
  <c r="D102" i="1"/>
  <c r="C102" i="1"/>
  <c r="B102" i="1"/>
  <c r="A102" i="1"/>
  <c r="Q101" i="1"/>
  <c r="P101" i="1"/>
  <c r="O101" i="1"/>
  <c r="N101" i="1"/>
  <c r="M101" i="1"/>
  <c r="L101" i="1"/>
  <c r="K101" i="1"/>
  <c r="J101" i="1"/>
  <c r="I101" i="1"/>
  <c r="F101" i="1"/>
  <c r="E101" i="1"/>
  <c r="D101" i="1"/>
  <c r="C101" i="1"/>
  <c r="B101" i="1"/>
  <c r="A101" i="1"/>
  <c r="Q100" i="1"/>
  <c r="P100" i="1"/>
  <c r="O100" i="1"/>
  <c r="N100" i="1"/>
  <c r="M100" i="1"/>
  <c r="L100" i="1"/>
  <c r="K100" i="1"/>
  <c r="J100" i="1"/>
  <c r="I100" i="1"/>
  <c r="F100" i="1"/>
  <c r="E100" i="1"/>
  <c r="D100" i="1"/>
  <c r="C100" i="1"/>
  <c r="B100" i="1"/>
  <c r="A100" i="1"/>
  <c r="Q99" i="1"/>
  <c r="P99" i="1"/>
  <c r="O99" i="1"/>
  <c r="N99" i="1"/>
  <c r="M99" i="1"/>
  <c r="L99" i="1"/>
  <c r="K99" i="1"/>
  <c r="J99" i="1"/>
  <c r="I99" i="1"/>
  <c r="F99" i="1"/>
  <c r="E99" i="1"/>
  <c r="D99" i="1"/>
  <c r="C99" i="1"/>
  <c r="B99" i="1"/>
  <c r="A99" i="1"/>
  <c r="Q98" i="1"/>
  <c r="P98" i="1"/>
  <c r="O98" i="1"/>
  <c r="N98" i="1"/>
  <c r="M98" i="1"/>
  <c r="L98" i="1"/>
  <c r="K98" i="1"/>
  <c r="J98" i="1"/>
  <c r="I98" i="1"/>
  <c r="F98" i="1"/>
  <c r="E98" i="1"/>
  <c r="D98" i="1"/>
  <c r="C98" i="1"/>
  <c r="B98" i="1"/>
  <c r="A98" i="1"/>
  <c r="Q97" i="1"/>
  <c r="P97" i="1"/>
  <c r="O97" i="1"/>
  <c r="N97" i="1"/>
  <c r="M97" i="1"/>
  <c r="L97" i="1"/>
  <c r="K97" i="1"/>
  <c r="J97" i="1"/>
  <c r="I97" i="1"/>
  <c r="F97" i="1"/>
  <c r="E97" i="1"/>
  <c r="D97" i="1"/>
  <c r="C97" i="1"/>
  <c r="B97" i="1"/>
  <c r="A97" i="1"/>
  <c r="Q96" i="1"/>
  <c r="P96" i="1"/>
  <c r="O96" i="1"/>
  <c r="N96" i="1"/>
  <c r="M96" i="1"/>
  <c r="L96" i="1"/>
  <c r="K96" i="1"/>
  <c r="J96" i="1"/>
  <c r="I96" i="1"/>
  <c r="F96" i="1"/>
  <c r="E96" i="1"/>
  <c r="D96" i="1"/>
  <c r="C96" i="1"/>
  <c r="B96" i="1"/>
  <c r="A96" i="1"/>
  <c r="Q95" i="1"/>
  <c r="P95" i="1"/>
  <c r="O95" i="1"/>
  <c r="N95" i="1"/>
  <c r="M95" i="1"/>
  <c r="L95" i="1"/>
  <c r="K95" i="1"/>
  <c r="J95" i="1"/>
  <c r="I95" i="1"/>
  <c r="F95" i="1"/>
  <c r="E95" i="1"/>
  <c r="D95" i="1"/>
  <c r="C95" i="1"/>
  <c r="B95" i="1"/>
  <c r="A95" i="1"/>
  <c r="Q94" i="1"/>
  <c r="P94" i="1"/>
  <c r="O94" i="1"/>
  <c r="N94" i="1"/>
  <c r="M94" i="1"/>
  <c r="L94" i="1"/>
  <c r="K94" i="1"/>
  <c r="J94" i="1"/>
  <c r="I94" i="1"/>
  <c r="F94" i="1"/>
  <c r="E94" i="1"/>
  <c r="D94" i="1"/>
  <c r="C94" i="1"/>
  <c r="B94" i="1"/>
  <c r="A94" i="1"/>
  <c r="Q93" i="1"/>
  <c r="P93" i="1"/>
  <c r="O93" i="1"/>
  <c r="N93" i="1"/>
  <c r="M93" i="1"/>
  <c r="L93" i="1"/>
  <c r="K93" i="1"/>
  <c r="J93" i="1"/>
  <c r="I93" i="1"/>
  <c r="F93" i="1"/>
  <c r="E93" i="1"/>
  <c r="D93" i="1"/>
  <c r="C93" i="1"/>
  <c r="B93" i="1"/>
  <c r="A93" i="1"/>
  <c r="Q92" i="1"/>
  <c r="P92" i="1"/>
  <c r="O92" i="1"/>
  <c r="N92" i="1"/>
  <c r="M92" i="1"/>
  <c r="L92" i="1"/>
  <c r="K92" i="1"/>
  <c r="J92" i="1"/>
  <c r="I92" i="1"/>
  <c r="G92" i="1"/>
  <c r="F92" i="1"/>
  <c r="E92" i="1"/>
  <c r="D92" i="1"/>
  <c r="C92" i="1"/>
  <c r="B92" i="1"/>
  <c r="A92" i="1"/>
  <c r="Q91" i="1"/>
  <c r="P91" i="1"/>
  <c r="O91" i="1"/>
  <c r="N91" i="1"/>
  <c r="M91" i="1"/>
  <c r="L91" i="1"/>
  <c r="K91" i="1"/>
  <c r="J91" i="1"/>
  <c r="I91" i="1"/>
  <c r="F91" i="1"/>
  <c r="E91" i="1"/>
  <c r="D91" i="1"/>
  <c r="C91" i="1"/>
  <c r="B91" i="1"/>
  <c r="A91" i="1"/>
  <c r="Q90" i="1"/>
  <c r="P90" i="1"/>
  <c r="O90" i="1"/>
  <c r="N90" i="1"/>
  <c r="M90" i="1"/>
  <c r="L90" i="1"/>
  <c r="K90" i="1"/>
  <c r="J90" i="1"/>
  <c r="I90" i="1"/>
  <c r="F90" i="1"/>
  <c r="E90" i="1"/>
  <c r="D90" i="1"/>
  <c r="C90" i="1"/>
  <c r="B90" i="1"/>
  <c r="A90" i="1"/>
  <c r="Q89" i="1"/>
  <c r="P89" i="1"/>
  <c r="O89" i="1"/>
  <c r="N89" i="1"/>
  <c r="M89" i="1"/>
  <c r="L89" i="1"/>
  <c r="K89" i="1"/>
  <c r="J89" i="1"/>
  <c r="I89" i="1"/>
  <c r="F89" i="1"/>
  <c r="E89" i="1"/>
  <c r="D89" i="1"/>
  <c r="C89" i="1"/>
  <c r="B89" i="1"/>
  <c r="A89" i="1"/>
  <c r="Q88" i="1"/>
  <c r="P88" i="1"/>
  <c r="O88" i="1"/>
  <c r="N88" i="1"/>
  <c r="M88" i="1"/>
  <c r="L88" i="1"/>
  <c r="K88" i="1"/>
  <c r="J88" i="1"/>
  <c r="I88" i="1"/>
  <c r="F88" i="1"/>
  <c r="E88" i="1"/>
  <c r="D88" i="1"/>
  <c r="C88" i="1"/>
  <c r="B88" i="1"/>
  <c r="A88" i="1"/>
  <c r="Q87" i="1"/>
  <c r="P87" i="1"/>
  <c r="O87" i="1"/>
  <c r="N87" i="1"/>
  <c r="M87" i="1"/>
  <c r="L87" i="1"/>
  <c r="K87" i="1"/>
  <c r="J87" i="1"/>
  <c r="I87" i="1"/>
  <c r="H87" i="1"/>
  <c r="G87" i="1"/>
  <c r="F87" i="1"/>
  <c r="E87" i="1"/>
  <c r="D87" i="1"/>
  <c r="C87" i="1"/>
  <c r="B87" i="1"/>
  <c r="A87" i="1"/>
  <c r="Q86" i="1"/>
  <c r="P86" i="1"/>
  <c r="O86" i="1"/>
  <c r="N86" i="1"/>
  <c r="M86" i="1"/>
  <c r="L86" i="1"/>
  <c r="K86" i="1"/>
  <c r="J86" i="1"/>
  <c r="I86" i="1"/>
  <c r="H86" i="1"/>
  <c r="G86" i="1"/>
  <c r="F86" i="1"/>
  <c r="E86" i="1"/>
  <c r="D86" i="1"/>
  <c r="C86" i="1"/>
  <c r="B86" i="1"/>
  <c r="A86" i="1"/>
  <c r="Q85" i="1"/>
  <c r="P85" i="1"/>
  <c r="O85" i="1"/>
  <c r="N85" i="1"/>
  <c r="M85" i="1"/>
  <c r="L85" i="1"/>
  <c r="K85" i="1"/>
  <c r="J85" i="1"/>
  <c r="I85" i="1"/>
  <c r="H85" i="1"/>
  <c r="G85" i="1"/>
  <c r="F85" i="1"/>
  <c r="E85" i="1"/>
  <c r="D85" i="1"/>
  <c r="C85" i="1"/>
  <c r="B85" i="1"/>
  <c r="A85" i="1"/>
  <c r="Q84" i="1"/>
  <c r="P84" i="1"/>
  <c r="O84" i="1"/>
  <c r="N84" i="1"/>
  <c r="M84" i="1"/>
  <c r="L84" i="1"/>
  <c r="K84" i="1"/>
  <c r="J84" i="1"/>
  <c r="I84" i="1"/>
  <c r="H84" i="1"/>
  <c r="G84" i="1"/>
  <c r="F84" i="1"/>
  <c r="E84" i="1"/>
  <c r="D84" i="1"/>
  <c r="C84" i="1"/>
  <c r="B84" i="1"/>
  <c r="A84" i="1"/>
  <c r="Q83" i="1"/>
  <c r="P83" i="1"/>
  <c r="O83" i="1"/>
  <c r="N83" i="1"/>
  <c r="M83" i="1"/>
  <c r="L83" i="1"/>
  <c r="K83" i="1"/>
  <c r="J83" i="1"/>
  <c r="I83" i="1"/>
  <c r="H83" i="1"/>
  <c r="G83" i="1"/>
  <c r="F83" i="1"/>
  <c r="E83" i="1"/>
  <c r="D83" i="1"/>
  <c r="C83" i="1"/>
  <c r="B83" i="1"/>
  <c r="A83" i="1"/>
  <c r="Q82" i="1"/>
  <c r="P82" i="1"/>
  <c r="O82" i="1"/>
  <c r="N82" i="1"/>
  <c r="M82" i="1"/>
  <c r="L82" i="1"/>
  <c r="K82" i="1"/>
  <c r="J82" i="1"/>
  <c r="I82" i="1"/>
  <c r="G82" i="1"/>
  <c r="F82" i="1"/>
  <c r="E82" i="1"/>
  <c r="D82" i="1"/>
  <c r="C82" i="1"/>
  <c r="B82" i="1"/>
  <c r="A82" i="1"/>
  <c r="Q81" i="1"/>
  <c r="P81" i="1"/>
  <c r="O81" i="1"/>
  <c r="N81" i="1"/>
  <c r="M81" i="1"/>
  <c r="L81" i="1"/>
  <c r="K81" i="1"/>
  <c r="J81" i="1"/>
  <c r="I81" i="1"/>
  <c r="F81" i="1"/>
  <c r="E81" i="1"/>
  <c r="D81" i="1"/>
  <c r="C81" i="1"/>
  <c r="B81" i="1"/>
  <c r="A81" i="1"/>
  <c r="Q80" i="1"/>
  <c r="P80" i="1"/>
  <c r="O80" i="1"/>
  <c r="N80" i="1"/>
  <c r="M80" i="1"/>
  <c r="L80" i="1"/>
  <c r="K80" i="1"/>
  <c r="J80" i="1"/>
  <c r="I80" i="1"/>
  <c r="F80" i="1"/>
  <c r="E80" i="1"/>
  <c r="D80" i="1"/>
  <c r="C80" i="1"/>
  <c r="B80" i="1"/>
  <c r="A80" i="1"/>
  <c r="Q79" i="1"/>
  <c r="P79" i="1"/>
  <c r="O79" i="1"/>
  <c r="N79" i="1"/>
  <c r="M79" i="1"/>
  <c r="L79" i="1"/>
  <c r="K79" i="1"/>
  <c r="J79" i="1"/>
  <c r="I79" i="1"/>
  <c r="F79" i="1"/>
  <c r="E79" i="1"/>
  <c r="D79" i="1"/>
  <c r="C79" i="1"/>
  <c r="B79" i="1"/>
  <c r="A79" i="1"/>
  <c r="Q78" i="1"/>
  <c r="P78" i="1"/>
  <c r="O78" i="1"/>
  <c r="N78" i="1"/>
  <c r="M78" i="1"/>
  <c r="L78" i="1"/>
  <c r="K78" i="1"/>
  <c r="J78" i="1"/>
  <c r="I78" i="1"/>
  <c r="F78" i="1"/>
  <c r="E78" i="1"/>
  <c r="D78" i="1"/>
  <c r="C78" i="1"/>
  <c r="B78" i="1"/>
  <c r="A78" i="1"/>
  <c r="Q77" i="1"/>
  <c r="P77" i="1"/>
  <c r="O77" i="1"/>
  <c r="N77" i="1"/>
  <c r="M77" i="1"/>
  <c r="L77" i="1"/>
  <c r="K77" i="1"/>
  <c r="J77" i="1"/>
  <c r="I77" i="1"/>
  <c r="F77" i="1"/>
  <c r="E77" i="1"/>
  <c r="D77" i="1"/>
  <c r="C77" i="1"/>
  <c r="B77" i="1"/>
  <c r="A77" i="1"/>
  <c r="Q76" i="1"/>
  <c r="P76" i="1"/>
  <c r="O76" i="1"/>
  <c r="N76" i="1"/>
  <c r="M76" i="1"/>
  <c r="L76" i="1"/>
  <c r="K76" i="1"/>
  <c r="J76" i="1"/>
  <c r="I76" i="1"/>
  <c r="F76" i="1"/>
  <c r="E76" i="1"/>
  <c r="D76" i="1"/>
  <c r="C76" i="1"/>
  <c r="B76" i="1"/>
  <c r="A76" i="1"/>
  <c r="Q75" i="1"/>
  <c r="P75" i="1"/>
  <c r="O75" i="1"/>
  <c r="N75" i="1"/>
  <c r="M75" i="1"/>
  <c r="L75" i="1"/>
  <c r="K75" i="1"/>
  <c r="J75" i="1"/>
  <c r="I75" i="1"/>
  <c r="F75" i="1"/>
  <c r="E75" i="1"/>
  <c r="D75" i="1"/>
  <c r="C75" i="1"/>
  <c r="B75" i="1"/>
  <c r="A75" i="1"/>
  <c r="Q74" i="1"/>
  <c r="P74" i="1"/>
  <c r="O74" i="1"/>
  <c r="N74" i="1"/>
  <c r="M74" i="1"/>
  <c r="L74" i="1"/>
  <c r="K74" i="1"/>
  <c r="J74" i="1"/>
  <c r="I74" i="1"/>
  <c r="F74" i="1"/>
  <c r="E74" i="1"/>
  <c r="D74" i="1"/>
  <c r="C74" i="1"/>
  <c r="B74" i="1"/>
  <c r="A74" i="1"/>
  <c r="Q73" i="1"/>
  <c r="P73" i="1"/>
  <c r="O73" i="1"/>
  <c r="N73" i="1"/>
  <c r="M73" i="1"/>
  <c r="L73" i="1"/>
  <c r="K73" i="1"/>
  <c r="J73" i="1"/>
  <c r="I73" i="1"/>
  <c r="F73" i="1"/>
  <c r="E73" i="1"/>
  <c r="D73" i="1"/>
  <c r="C73" i="1"/>
  <c r="B73" i="1"/>
  <c r="A73" i="1"/>
  <c r="Q72" i="1"/>
  <c r="P72" i="1"/>
  <c r="O72" i="1"/>
  <c r="N72" i="1"/>
  <c r="M72" i="1"/>
  <c r="L72" i="1"/>
  <c r="K72" i="1"/>
  <c r="I72" i="1"/>
  <c r="F72" i="1"/>
  <c r="E72" i="1"/>
  <c r="D72" i="1"/>
  <c r="C72" i="1"/>
  <c r="B72" i="1"/>
  <c r="A72" i="1"/>
  <c r="Q71" i="1"/>
  <c r="P71" i="1"/>
  <c r="O71" i="1"/>
  <c r="N71" i="1"/>
  <c r="M71" i="1"/>
  <c r="L71" i="1"/>
  <c r="K71" i="1"/>
  <c r="J71" i="1"/>
  <c r="I71" i="1"/>
  <c r="F71" i="1"/>
  <c r="E71" i="1"/>
  <c r="D71" i="1"/>
  <c r="C71" i="1"/>
  <c r="B71" i="1"/>
  <c r="A71" i="1"/>
  <c r="Q70" i="1"/>
  <c r="P70" i="1"/>
  <c r="O70" i="1"/>
  <c r="N70" i="1"/>
  <c r="M70" i="1"/>
  <c r="L70" i="1"/>
  <c r="K70" i="1"/>
  <c r="J70" i="1"/>
  <c r="I70" i="1"/>
  <c r="F70" i="1"/>
  <c r="E70" i="1"/>
  <c r="D70" i="1"/>
  <c r="C70" i="1"/>
  <c r="B70" i="1"/>
  <c r="A70" i="1"/>
  <c r="Q69" i="1"/>
  <c r="P69" i="1"/>
  <c r="O69" i="1"/>
  <c r="N69" i="1"/>
  <c r="M69" i="1"/>
  <c r="L69" i="1"/>
  <c r="K69" i="1"/>
  <c r="J69" i="1"/>
  <c r="I69" i="1"/>
  <c r="F69" i="1"/>
  <c r="E69" i="1"/>
  <c r="D69" i="1"/>
  <c r="C69" i="1"/>
  <c r="B69" i="1"/>
  <c r="A69" i="1"/>
  <c r="Q68" i="1"/>
  <c r="P68" i="1"/>
  <c r="O68" i="1"/>
  <c r="N68" i="1"/>
  <c r="M68" i="1"/>
  <c r="L68" i="1"/>
  <c r="K68" i="1"/>
  <c r="J68" i="1"/>
  <c r="I68" i="1"/>
  <c r="F68" i="1"/>
  <c r="E68" i="1"/>
  <c r="D68" i="1"/>
  <c r="C68" i="1"/>
  <c r="B68" i="1"/>
  <c r="A68" i="1"/>
  <c r="Q67" i="1"/>
  <c r="P67" i="1"/>
  <c r="O67" i="1"/>
  <c r="N67" i="1"/>
  <c r="M67" i="1"/>
  <c r="L67" i="1"/>
  <c r="K67" i="1"/>
  <c r="J67" i="1"/>
  <c r="I67" i="1"/>
  <c r="F67" i="1"/>
  <c r="E67" i="1"/>
  <c r="D67" i="1"/>
  <c r="C67" i="1"/>
  <c r="B67" i="1"/>
  <c r="A67" i="1"/>
  <c r="Q66" i="1"/>
  <c r="P66" i="1"/>
  <c r="O66" i="1"/>
  <c r="N66" i="1"/>
  <c r="M66" i="1"/>
  <c r="L66" i="1"/>
  <c r="K66" i="1"/>
  <c r="J66" i="1"/>
  <c r="I66" i="1"/>
  <c r="F66" i="1"/>
  <c r="E66" i="1"/>
  <c r="D66" i="1"/>
  <c r="C66" i="1"/>
  <c r="B66" i="1"/>
  <c r="A66" i="1"/>
  <c r="Q65" i="1"/>
  <c r="P65" i="1"/>
  <c r="O65" i="1"/>
  <c r="N65" i="1"/>
  <c r="M65" i="1"/>
  <c r="L65" i="1"/>
  <c r="K65" i="1"/>
  <c r="J65" i="1"/>
  <c r="I65" i="1"/>
  <c r="G65" i="1"/>
  <c r="F65" i="1"/>
  <c r="E65" i="1"/>
  <c r="D65" i="1"/>
  <c r="C65" i="1"/>
  <c r="B65" i="1"/>
  <c r="A65" i="1"/>
  <c r="Q64" i="1"/>
  <c r="P64" i="1"/>
  <c r="O64" i="1"/>
  <c r="N64" i="1"/>
  <c r="M64" i="1"/>
  <c r="L64" i="1"/>
  <c r="K64" i="1"/>
  <c r="J64" i="1"/>
  <c r="I64" i="1"/>
  <c r="F64" i="1"/>
  <c r="E64" i="1"/>
  <c r="D64" i="1"/>
  <c r="C64" i="1"/>
  <c r="B64" i="1"/>
  <c r="A64" i="1"/>
  <c r="Q63" i="1"/>
  <c r="P63" i="1"/>
  <c r="O63" i="1"/>
  <c r="N63" i="1"/>
  <c r="M63" i="1"/>
  <c r="L63" i="1"/>
  <c r="K63" i="1"/>
  <c r="J63" i="1"/>
  <c r="I63" i="1"/>
  <c r="F63" i="1"/>
  <c r="E63" i="1"/>
  <c r="D63" i="1"/>
  <c r="C63" i="1"/>
  <c r="B63" i="1"/>
  <c r="A63" i="1"/>
  <c r="Q62" i="1"/>
  <c r="P62" i="1"/>
  <c r="O62" i="1"/>
  <c r="N62" i="1"/>
  <c r="M62" i="1"/>
  <c r="L62" i="1"/>
  <c r="K62" i="1"/>
  <c r="J62" i="1"/>
  <c r="I62" i="1"/>
  <c r="F62" i="1"/>
  <c r="E62" i="1"/>
  <c r="D62" i="1"/>
  <c r="C62" i="1"/>
  <c r="B62" i="1"/>
  <c r="A62" i="1"/>
  <c r="Q61" i="1"/>
  <c r="P61" i="1"/>
  <c r="O61" i="1"/>
  <c r="N61" i="1"/>
  <c r="M61" i="1"/>
  <c r="L61" i="1"/>
  <c r="K61" i="1"/>
  <c r="J61" i="1"/>
  <c r="I61" i="1"/>
  <c r="F61" i="1"/>
  <c r="E61" i="1"/>
  <c r="D61" i="1"/>
  <c r="C61" i="1"/>
  <c r="B61" i="1"/>
  <c r="A61" i="1"/>
  <c r="Q60" i="1"/>
  <c r="P60" i="1"/>
  <c r="O60" i="1"/>
  <c r="N60" i="1"/>
  <c r="M60" i="1"/>
  <c r="L60" i="1"/>
  <c r="K60" i="1"/>
  <c r="J60" i="1"/>
  <c r="I60" i="1"/>
  <c r="F60" i="1"/>
  <c r="E60" i="1"/>
  <c r="D60" i="1"/>
  <c r="C60" i="1"/>
  <c r="B60" i="1"/>
  <c r="A60" i="1"/>
  <c r="Q59" i="1"/>
  <c r="P59" i="1"/>
  <c r="O59" i="1"/>
  <c r="N59" i="1"/>
  <c r="M59" i="1"/>
  <c r="L59" i="1"/>
  <c r="K59" i="1"/>
  <c r="J59" i="1"/>
  <c r="I59" i="1"/>
  <c r="F59" i="1"/>
  <c r="E59" i="1"/>
  <c r="D59" i="1"/>
  <c r="C59" i="1"/>
  <c r="B59" i="1"/>
  <c r="A59" i="1"/>
  <c r="Q58" i="1"/>
  <c r="P58" i="1"/>
  <c r="O58" i="1"/>
  <c r="N58" i="1"/>
  <c r="M58" i="1"/>
  <c r="L58" i="1"/>
  <c r="K58" i="1"/>
  <c r="J58" i="1"/>
  <c r="I58" i="1"/>
  <c r="G58" i="1"/>
  <c r="F58" i="1"/>
  <c r="E58" i="1"/>
  <c r="D58" i="1"/>
  <c r="C58" i="1"/>
  <c r="B58" i="1"/>
  <c r="A58" i="1"/>
  <c r="Q57" i="1"/>
  <c r="P57" i="1"/>
  <c r="O57" i="1"/>
  <c r="N57" i="1"/>
  <c r="M57" i="1"/>
  <c r="L57" i="1"/>
  <c r="K57" i="1"/>
  <c r="J57" i="1"/>
  <c r="I57" i="1"/>
  <c r="F57" i="1"/>
  <c r="E57" i="1"/>
  <c r="D57" i="1"/>
  <c r="C57" i="1"/>
  <c r="B57" i="1"/>
  <c r="A57" i="1"/>
  <c r="Q56" i="1"/>
  <c r="P56" i="1"/>
  <c r="O56" i="1"/>
  <c r="N56" i="1"/>
  <c r="M56" i="1"/>
  <c r="L56" i="1"/>
  <c r="K56" i="1"/>
  <c r="J56" i="1"/>
  <c r="I56" i="1"/>
  <c r="F56" i="1"/>
  <c r="E56" i="1"/>
  <c r="D56" i="1"/>
  <c r="C56" i="1"/>
  <c r="B56" i="1"/>
  <c r="A56" i="1"/>
  <c r="Q55" i="1"/>
  <c r="P55" i="1"/>
  <c r="O55" i="1"/>
  <c r="N55" i="1"/>
  <c r="M55" i="1"/>
  <c r="L55" i="1"/>
  <c r="K55" i="1"/>
  <c r="J55" i="1"/>
  <c r="I55" i="1"/>
  <c r="F55" i="1"/>
  <c r="E55" i="1"/>
  <c r="D55" i="1"/>
  <c r="C55" i="1"/>
  <c r="B55" i="1"/>
  <c r="A55" i="1"/>
  <c r="Q54" i="1"/>
  <c r="P54" i="1"/>
  <c r="O54" i="1"/>
  <c r="N54" i="1"/>
  <c r="M54" i="1"/>
  <c r="L54" i="1"/>
  <c r="K54" i="1"/>
  <c r="J54" i="1"/>
  <c r="I54" i="1"/>
  <c r="F54" i="1"/>
  <c r="E54" i="1"/>
  <c r="D54" i="1"/>
  <c r="C54" i="1"/>
  <c r="B54" i="1"/>
  <c r="A54" i="1"/>
  <c r="Q53" i="1"/>
  <c r="P53" i="1"/>
  <c r="O53" i="1"/>
  <c r="N53" i="1"/>
  <c r="M53" i="1"/>
  <c r="L53" i="1"/>
  <c r="K53" i="1"/>
  <c r="J53" i="1"/>
  <c r="I53" i="1"/>
  <c r="F53" i="1"/>
  <c r="E53" i="1"/>
  <c r="D53" i="1"/>
  <c r="C53" i="1"/>
  <c r="B53" i="1"/>
  <c r="A53" i="1"/>
  <c r="Q52" i="1"/>
  <c r="P52" i="1"/>
  <c r="O52" i="1"/>
  <c r="N52" i="1"/>
  <c r="M52" i="1"/>
  <c r="L52" i="1"/>
  <c r="K52" i="1"/>
  <c r="J52" i="1"/>
  <c r="I52" i="1"/>
  <c r="F52" i="1"/>
  <c r="E52" i="1"/>
  <c r="D52" i="1"/>
  <c r="C52" i="1"/>
  <c r="B52" i="1"/>
  <c r="A52" i="1"/>
  <c r="Q51" i="1"/>
  <c r="P51" i="1"/>
  <c r="O51" i="1"/>
  <c r="N51" i="1"/>
  <c r="M51" i="1"/>
  <c r="L51" i="1"/>
  <c r="K51" i="1"/>
  <c r="J51" i="1"/>
  <c r="I51" i="1"/>
  <c r="F51" i="1"/>
  <c r="E51" i="1"/>
  <c r="D51" i="1"/>
  <c r="C51" i="1"/>
  <c r="B51" i="1"/>
  <c r="A51" i="1"/>
  <c r="Q50" i="1"/>
  <c r="P50" i="1"/>
  <c r="O50" i="1"/>
  <c r="N50" i="1"/>
  <c r="M50" i="1"/>
  <c r="L50" i="1"/>
  <c r="K50" i="1"/>
  <c r="J50" i="1"/>
  <c r="I50" i="1"/>
  <c r="F50" i="1"/>
  <c r="E50" i="1"/>
  <c r="D50" i="1"/>
  <c r="C50" i="1"/>
  <c r="B50" i="1"/>
  <c r="A50" i="1"/>
  <c r="Q49" i="1"/>
  <c r="P49" i="1"/>
  <c r="O49" i="1"/>
  <c r="N49" i="1"/>
  <c r="M49" i="1"/>
  <c r="L49" i="1"/>
  <c r="K49" i="1"/>
  <c r="J49" i="1"/>
  <c r="I49" i="1"/>
  <c r="F49" i="1"/>
  <c r="E49" i="1"/>
  <c r="D49" i="1"/>
  <c r="C49" i="1"/>
  <c r="B49" i="1"/>
  <c r="A49" i="1"/>
  <c r="Q48" i="1"/>
  <c r="P48" i="1"/>
  <c r="O48" i="1"/>
  <c r="N48" i="1"/>
  <c r="M48" i="1"/>
  <c r="L48" i="1"/>
  <c r="K48" i="1"/>
  <c r="J48" i="1"/>
  <c r="I48" i="1"/>
  <c r="F48" i="1"/>
  <c r="E48" i="1"/>
  <c r="D48" i="1"/>
  <c r="C48" i="1"/>
  <c r="B48" i="1"/>
  <c r="A48" i="1"/>
  <c r="Q47" i="1"/>
  <c r="P47" i="1"/>
  <c r="O47" i="1"/>
  <c r="N47" i="1"/>
  <c r="M47" i="1"/>
  <c r="L47" i="1"/>
  <c r="K47" i="1"/>
  <c r="J47" i="1"/>
  <c r="I47" i="1"/>
  <c r="F47" i="1"/>
  <c r="E47" i="1"/>
  <c r="D47" i="1"/>
  <c r="C47" i="1"/>
  <c r="B47" i="1"/>
  <c r="A47" i="1"/>
  <c r="Q46" i="1"/>
  <c r="P46" i="1"/>
  <c r="O46" i="1"/>
  <c r="N46" i="1"/>
  <c r="M46" i="1"/>
  <c r="L46" i="1"/>
  <c r="K46" i="1"/>
  <c r="J46" i="1"/>
  <c r="I46" i="1"/>
  <c r="F46" i="1"/>
  <c r="E46" i="1"/>
  <c r="D46" i="1"/>
  <c r="C46" i="1"/>
  <c r="B46" i="1"/>
  <c r="A46" i="1"/>
  <c r="Q45" i="1"/>
  <c r="P45" i="1"/>
  <c r="O45" i="1"/>
  <c r="N45" i="1"/>
  <c r="M45" i="1"/>
  <c r="L45" i="1"/>
  <c r="K45" i="1"/>
  <c r="J45" i="1"/>
  <c r="I45" i="1"/>
  <c r="F45" i="1"/>
  <c r="E45" i="1"/>
  <c r="D45" i="1"/>
  <c r="C45" i="1"/>
  <c r="B45" i="1"/>
  <c r="A45" i="1"/>
  <c r="Q44" i="1"/>
  <c r="P44" i="1"/>
  <c r="O44" i="1"/>
  <c r="N44" i="1"/>
  <c r="M44" i="1"/>
  <c r="L44" i="1"/>
  <c r="K44" i="1"/>
  <c r="J44" i="1"/>
  <c r="I44" i="1"/>
  <c r="F44" i="1"/>
  <c r="E44" i="1"/>
  <c r="D44" i="1"/>
  <c r="C44" i="1"/>
  <c r="B44" i="1"/>
  <c r="A44" i="1"/>
  <c r="Q43" i="1"/>
  <c r="P43" i="1"/>
  <c r="O43" i="1"/>
  <c r="N43" i="1"/>
  <c r="M43" i="1"/>
  <c r="L43" i="1"/>
  <c r="K43" i="1"/>
  <c r="J43" i="1"/>
  <c r="I43" i="1"/>
  <c r="F43" i="1"/>
  <c r="E43" i="1"/>
  <c r="D43" i="1"/>
  <c r="C43" i="1"/>
  <c r="B43" i="1"/>
  <c r="A43" i="1"/>
  <c r="Q42" i="1"/>
  <c r="P42" i="1"/>
  <c r="O42" i="1"/>
  <c r="N42" i="1"/>
  <c r="M42" i="1"/>
  <c r="L42" i="1"/>
  <c r="K42" i="1"/>
  <c r="J42" i="1"/>
  <c r="I42" i="1"/>
  <c r="F42" i="1"/>
  <c r="E42" i="1"/>
  <c r="D42" i="1"/>
  <c r="C42" i="1"/>
  <c r="B42" i="1"/>
  <c r="A42" i="1"/>
  <c r="Q41" i="1"/>
  <c r="P41" i="1"/>
  <c r="O41" i="1"/>
  <c r="N41" i="1"/>
  <c r="M41" i="1"/>
  <c r="L41" i="1"/>
  <c r="K41" i="1"/>
  <c r="I41" i="1"/>
  <c r="F41" i="1"/>
  <c r="E41" i="1"/>
  <c r="D41" i="1"/>
  <c r="C41" i="1"/>
  <c r="B41" i="1"/>
  <c r="A41" i="1"/>
  <c r="Q40" i="1"/>
  <c r="P40" i="1"/>
  <c r="O40" i="1"/>
  <c r="N40" i="1"/>
  <c r="M40" i="1"/>
  <c r="L40" i="1"/>
  <c r="K40" i="1"/>
  <c r="J40" i="1"/>
  <c r="I40" i="1"/>
  <c r="F40" i="1"/>
  <c r="E40" i="1"/>
  <c r="D40" i="1"/>
  <c r="C40" i="1"/>
  <c r="B40" i="1"/>
  <c r="A40" i="1"/>
  <c r="Q39" i="1"/>
  <c r="P39" i="1"/>
  <c r="O39" i="1"/>
  <c r="N39" i="1"/>
  <c r="M39" i="1"/>
  <c r="L39" i="1"/>
  <c r="K39" i="1"/>
  <c r="J39" i="1"/>
  <c r="I39" i="1"/>
  <c r="G39" i="1"/>
  <c r="F39" i="1"/>
  <c r="E39" i="1"/>
  <c r="D39" i="1"/>
  <c r="C39" i="1"/>
  <c r="B39" i="1"/>
  <c r="A39" i="1"/>
  <c r="Q38" i="1"/>
  <c r="P38" i="1"/>
  <c r="O38" i="1"/>
  <c r="N38" i="1"/>
  <c r="M38" i="1"/>
  <c r="L38" i="1"/>
  <c r="K38" i="1"/>
  <c r="J38" i="1"/>
  <c r="I38" i="1"/>
  <c r="F38" i="1"/>
  <c r="E38" i="1"/>
  <c r="D38" i="1"/>
  <c r="C38" i="1"/>
  <c r="B38" i="1"/>
  <c r="A38" i="1"/>
  <c r="Q37" i="1"/>
  <c r="P37" i="1"/>
  <c r="O37" i="1"/>
  <c r="N37" i="1"/>
  <c r="M37" i="1"/>
  <c r="L37" i="1"/>
  <c r="K37" i="1"/>
  <c r="J37" i="1"/>
  <c r="I37" i="1"/>
  <c r="F37" i="1"/>
  <c r="E37" i="1"/>
  <c r="D37" i="1"/>
  <c r="C37" i="1"/>
  <c r="B37" i="1"/>
  <c r="A37" i="1"/>
  <c r="Q36" i="1"/>
  <c r="P36" i="1"/>
  <c r="O36" i="1"/>
  <c r="N36" i="1"/>
  <c r="M36" i="1"/>
  <c r="L36" i="1"/>
  <c r="K36" i="1"/>
  <c r="J36" i="1"/>
  <c r="I36" i="1"/>
  <c r="G36" i="1"/>
  <c r="F36" i="1"/>
  <c r="E36" i="1"/>
  <c r="D36" i="1"/>
  <c r="C36" i="1"/>
  <c r="B36" i="1"/>
  <c r="A36" i="1"/>
  <c r="Q35" i="1"/>
  <c r="P35" i="1"/>
  <c r="O35" i="1"/>
  <c r="N35" i="1"/>
  <c r="M35" i="1"/>
  <c r="L35" i="1"/>
  <c r="K35" i="1"/>
  <c r="J35" i="1"/>
  <c r="I35" i="1"/>
  <c r="G35" i="1"/>
  <c r="F35" i="1"/>
  <c r="E35" i="1"/>
  <c r="D35" i="1"/>
  <c r="C35" i="1"/>
  <c r="B35" i="1"/>
  <c r="A35" i="1"/>
  <c r="Q34" i="1"/>
  <c r="P34" i="1"/>
  <c r="O34" i="1"/>
  <c r="N34" i="1"/>
  <c r="M34" i="1"/>
  <c r="L34" i="1"/>
  <c r="K34" i="1"/>
  <c r="J34" i="1"/>
  <c r="I34" i="1"/>
  <c r="G34" i="1"/>
  <c r="F34" i="1"/>
  <c r="E34" i="1"/>
  <c r="D34" i="1"/>
  <c r="C34" i="1"/>
  <c r="B34" i="1"/>
  <c r="A34" i="1"/>
  <c r="Q33" i="1"/>
  <c r="P33" i="1"/>
  <c r="O33" i="1"/>
  <c r="N33" i="1"/>
  <c r="M33" i="1"/>
  <c r="L33" i="1"/>
  <c r="K33" i="1"/>
  <c r="J33" i="1"/>
  <c r="I33" i="1"/>
  <c r="G33" i="1"/>
  <c r="F33" i="1"/>
  <c r="E33" i="1"/>
  <c r="D33" i="1"/>
  <c r="C33" i="1"/>
  <c r="B33" i="1"/>
  <c r="A33" i="1"/>
  <c r="Q32" i="1"/>
  <c r="P32" i="1"/>
  <c r="O32" i="1"/>
  <c r="N32" i="1"/>
  <c r="M32" i="1"/>
  <c r="L32" i="1"/>
  <c r="K32" i="1"/>
  <c r="J32" i="1"/>
  <c r="I32" i="1"/>
  <c r="G32" i="1"/>
  <c r="F32" i="1"/>
  <c r="E32" i="1"/>
  <c r="D32" i="1"/>
  <c r="C32" i="1"/>
  <c r="B32" i="1"/>
  <c r="A32" i="1"/>
  <c r="Q31" i="1"/>
  <c r="P31" i="1"/>
  <c r="O31" i="1"/>
  <c r="N31" i="1"/>
  <c r="M31" i="1"/>
  <c r="L31" i="1"/>
  <c r="K31" i="1"/>
  <c r="J31" i="1"/>
  <c r="I31" i="1"/>
  <c r="G31" i="1"/>
  <c r="F31" i="1"/>
  <c r="E31" i="1"/>
  <c r="D31" i="1"/>
  <c r="C31" i="1"/>
  <c r="B31" i="1"/>
  <c r="A31" i="1"/>
  <c r="Q30" i="1"/>
  <c r="P30" i="1"/>
  <c r="O30" i="1"/>
  <c r="N30" i="1"/>
  <c r="M30" i="1"/>
  <c r="L30" i="1"/>
  <c r="K30" i="1"/>
  <c r="J30" i="1"/>
  <c r="I30" i="1"/>
  <c r="G30" i="1"/>
  <c r="F30" i="1"/>
  <c r="E30" i="1"/>
  <c r="D30" i="1"/>
  <c r="C30" i="1"/>
  <c r="B30" i="1"/>
  <c r="A30" i="1"/>
  <c r="Q29" i="1"/>
  <c r="P29" i="1"/>
  <c r="O29" i="1"/>
  <c r="N29" i="1"/>
  <c r="M29" i="1"/>
  <c r="L29" i="1"/>
  <c r="K29" i="1"/>
  <c r="J29" i="1"/>
  <c r="I29" i="1"/>
  <c r="F29" i="1"/>
  <c r="E29" i="1"/>
  <c r="D29" i="1"/>
  <c r="C29" i="1"/>
  <c r="B29" i="1"/>
  <c r="A29" i="1"/>
  <c r="Q28" i="1"/>
  <c r="P28" i="1"/>
  <c r="O28" i="1"/>
  <c r="N28" i="1"/>
  <c r="M28" i="1"/>
  <c r="L28" i="1"/>
  <c r="K28" i="1"/>
  <c r="J28" i="1"/>
  <c r="I28" i="1"/>
  <c r="G28" i="1"/>
  <c r="F28" i="1"/>
  <c r="E28" i="1"/>
  <c r="D28" i="1"/>
  <c r="C28" i="1"/>
  <c r="B28" i="1"/>
  <c r="A28" i="1"/>
  <c r="Q27" i="1"/>
  <c r="P27" i="1"/>
  <c r="O27" i="1"/>
  <c r="N27" i="1"/>
  <c r="M27" i="1"/>
  <c r="L27" i="1"/>
  <c r="K27" i="1"/>
  <c r="J27" i="1"/>
  <c r="I27" i="1"/>
  <c r="G27" i="1"/>
  <c r="F27" i="1"/>
  <c r="E27" i="1"/>
  <c r="D27" i="1"/>
  <c r="C27" i="1"/>
  <c r="B27" i="1"/>
  <c r="A27" i="1"/>
  <c r="Q26" i="1"/>
  <c r="P26" i="1"/>
  <c r="O26" i="1"/>
  <c r="N26" i="1"/>
  <c r="M26" i="1"/>
  <c r="L26" i="1"/>
  <c r="K26" i="1"/>
  <c r="I26" i="1"/>
  <c r="F26" i="1"/>
  <c r="E26" i="1"/>
  <c r="D26" i="1"/>
  <c r="C26" i="1"/>
  <c r="B26" i="1"/>
  <c r="A26" i="1"/>
  <c r="Q25" i="1"/>
  <c r="P25" i="1"/>
  <c r="O25" i="1"/>
  <c r="N25" i="1"/>
  <c r="M25" i="1"/>
  <c r="L25" i="1"/>
  <c r="K25" i="1"/>
  <c r="I25" i="1"/>
  <c r="G25" i="1"/>
  <c r="F25" i="1"/>
  <c r="E25" i="1"/>
  <c r="D25" i="1"/>
  <c r="C25" i="1"/>
  <c r="B25" i="1"/>
  <c r="A25" i="1"/>
  <c r="Q24" i="1"/>
  <c r="P24" i="1"/>
  <c r="O24" i="1"/>
  <c r="N24" i="1"/>
  <c r="M24" i="1"/>
  <c r="L24" i="1"/>
  <c r="K24" i="1"/>
  <c r="J24" i="1"/>
  <c r="I24" i="1"/>
  <c r="F24" i="1"/>
  <c r="E24" i="1"/>
  <c r="D24" i="1"/>
  <c r="C24" i="1"/>
  <c r="B24" i="1"/>
  <c r="A24" i="1"/>
  <c r="Q23" i="1"/>
  <c r="P23" i="1"/>
  <c r="O23" i="1"/>
  <c r="N23" i="1"/>
  <c r="M23" i="1"/>
  <c r="L23" i="1"/>
  <c r="K23" i="1"/>
  <c r="J23" i="1"/>
  <c r="I23" i="1"/>
  <c r="F23" i="1"/>
  <c r="E23" i="1"/>
  <c r="D23" i="1"/>
  <c r="C23" i="1"/>
  <c r="B23" i="1"/>
  <c r="A23" i="1"/>
  <c r="Q22" i="1"/>
  <c r="P22" i="1"/>
  <c r="O22" i="1"/>
  <c r="N22" i="1"/>
  <c r="M22" i="1"/>
  <c r="L22" i="1"/>
  <c r="K22" i="1"/>
  <c r="J22" i="1"/>
  <c r="I22" i="1"/>
  <c r="F22" i="1"/>
  <c r="E22" i="1"/>
  <c r="D22" i="1"/>
  <c r="C22" i="1"/>
  <c r="B22" i="1"/>
  <c r="A22" i="1"/>
  <c r="Q21" i="1"/>
  <c r="P21" i="1"/>
  <c r="O21" i="1"/>
  <c r="N21" i="1"/>
  <c r="M21" i="1"/>
  <c r="L21" i="1"/>
  <c r="K21" i="1"/>
  <c r="J21" i="1"/>
  <c r="I21" i="1"/>
  <c r="F21" i="1"/>
  <c r="E21" i="1"/>
  <c r="D21" i="1"/>
  <c r="C21" i="1"/>
  <c r="B21" i="1"/>
  <c r="A21" i="1"/>
  <c r="Q20" i="1"/>
  <c r="P20" i="1"/>
  <c r="O20" i="1"/>
  <c r="N20" i="1"/>
  <c r="M20" i="1"/>
  <c r="L20" i="1"/>
  <c r="K20" i="1"/>
  <c r="J20" i="1"/>
  <c r="I20" i="1"/>
  <c r="F20" i="1"/>
  <c r="E20" i="1"/>
  <c r="D20" i="1"/>
  <c r="C20" i="1"/>
  <c r="B20" i="1"/>
  <c r="A20" i="1"/>
  <c r="Q19" i="1"/>
  <c r="P19" i="1"/>
  <c r="O19" i="1"/>
  <c r="N19" i="1"/>
  <c r="M19" i="1"/>
  <c r="L19" i="1"/>
  <c r="K19" i="1"/>
  <c r="J19" i="1"/>
  <c r="I19" i="1"/>
  <c r="F19" i="1"/>
  <c r="E19" i="1"/>
  <c r="D19" i="1"/>
  <c r="C19" i="1"/>
  <c r="B19" i="1"/>
  <c r="A19" i="1"/>
  <c r="Q18" i="1"/>
  <c r="P18" i="1"/>
  <c r="O18" i="1"/>
  <c r="N18" i="1"/>
  <c r="M18" i="1"/>
  <c r="L18" i="1"/>
  <c r="K18" i="1"/>
  <c r="J18" i="1"/>
  <c r="I18" i="1"/>
  <c r="F18" i="1"/>
  <c r="E18" i="1"/>
  <c r="D18" i="1"/>
  <c r="C18" i="1"/>
  <c r="B18" i="1"/>
  <c r="A18" i="1"/>
  <c r="Q17" i="1"/>
  <c r="P17" i="1"/>
  <c r="O17" i="1"/>
  <c r="N17" i="1"/>
  <c r="M17" i="1"/>
  <c r="L17" i="1"/>
  <c r="K17" i="1"/>
  <c r="J17" i="1"/>
  <c r="I17" i="1"/>
  <c r="F17" i="1"/>
  <c r="E17" i="1"/>
  <c r="D17" i="1"/>
  <c r="C17" i="1"/>
  <c r="B17" i="1"/>
  <c r="A17" i="1"/>
  <c r="Q16" i="1"/>
  <c r="P16" i="1"/>
  <c r="O16" i="1"/>
  <c r="N16" i="1"/>
  <c r="M16" i="1"/>
  <c r="L16" i="1"/>
  <c r="K16" i="1"/>
  <c r="J16" i="1"/>
  <c r="I16" i="1"/>
  <c r="F16" i="1"/>
  <c r="E16" i="1"/>
  <c r="D16" i="1"/>
  <c r="C16" i="1"/>
  <c r="B16" i="1"/>
  <c r="A16" i="1"/>
  <c r="Q15" i="1"/>
  <c r="P15" i="1"/>
  <c r="O15" i="1"/>
  <c r="N15" i="1"/>
  <c r="M15" i="1"/>
  <c r="L15" i="1"/>
  <c r="K15" i="1"/>
  <c r="J15" i="1"/>
  <c r="I15" i="1"/>
  <c r="F15" i="1"/>
  <c r="E15" i="1"/>
  <c r="D15" i="1"/>
  <c r="C15" i="1"/>
  <c r="B15" i="1"/>
  <c r="A15" i="1"/>
  <c r="Q14" i="1"/>
  <c r="P14" i="1"/>
  <c r="O14" i="1"/>
  <c r="N14" i="1"/>
  <c r="M14" i="1"/>
  <c r="L14" i="1"/>
  <c r="K14" i="1"/>
  <c r="J14" i="1"/>
  <c r="I14" i="1"/>
  <c r="F14" i="1"/>
  <c r="E14" i="1"/>
  <c r="D14" i="1"/>
  <c r="C14" i="1"/>
  <c r="B14" i="1"/>
  <c r="A14" i="1"/>
  <c r="Q13" i="1"/>
  <c r="P13" i="1"/>
  <c r="O13" i="1"/>
  <c r="N13" i="1"/>
  <c r="M13" i="1"/>
  <c r="L13" i="1"/>
  <c r="K13" i="1"/>
  <c r="J13" i="1"/>
  <c r="I13" i="1"/>
  <c r="F13" i="1"/>
  <c r="E13" i="1"/>
  <c r="D13" i="1"/>
  <c r="C13" i="1"/>
  <c r="B13" i="1"/>
  <c r="A13" i="1"/>
  <c r="Q12" i="1"/>
  <c r="P12" i="1"/>
  <c r="O12" i="1"/>
  <c r="N12" i="1"/>
  <c r="M12" i="1"/>
  <c r="L12" i="1"/>
  <c r="K12" i="1"/>
  <c r="J12" i="1"/>
  <c r="I12" i="1"/>
  <c r="F12" i="1"/>
  <c r="E12" i="1"/>
  <c r="D12" i="1"/>
  <c r="C12" i="1"/>
  <c r="B12" i="1"/>
  <c r="A12" i="1"/>
  <c r="Q11" i="1"/>
  <c r="P11" i="1"/>
  <c r="O11" i="1"/>
  <c r="N11" i="1"/>
  <c r="M11" i="1"/>
  <c r="L11" i="1"/>
  <c r="K11" i="1"/>
  <c r="J11" i="1"/>
  <c r="I11" i="1"/>
  <c r="F11" i="1"/>
  <c r="E11" i="1"/>
  <c r="D11" i="1"/>
  <c r="C11" i="1"/>
  <c r="B11" i="1"/>
  <c r="A11" i="1"/>
  <c r="Q10" i="1"/>
  <c r="P10" i="1"/>
  <c r="O10" i="1"/>
  <c r="N10" i="1"/>
  <c r="M10" i="1"/>
  <c r="L10" i="1"/>
  <c r="K10" i="1"/>
  <c r="J10" i="1"/>
  <c r="I10" i="1"/>
  <c r="F10" i="1"/>
  <c r="E10" i="1"/>
  <c r="D10" i="1"/>
  <c r="C10" i="1"/>
  <c r="B10" i="1"/>
  <c r="A10" i="1"/>
  <c r="Q9" i="1"/>
  <c r="P9" i="1"/>
  <c r="O9" i="1"/>
  <c r="N9" i="1"/>
  <c r="M9" i="1"/>
  <c r="L9" i="1"/>
  <c r="K9" i="1"/>
  <c r="J9" i="1"/>
  <c r="I9" i="1"/>
  <c r="F9" i="1"/>
  <c r="E9" i="1"/>
  <c r="D9" i="1"/>
  <c r="C9" i="1"/>
  <c r="B9" i="1"/>
  <c r="A9" i="1"/>
  <c r="Q8" i="1"/>
  <c r="P8" i="1"/>
  <c r="O8" i="1"/>
  <c r="N8" i="1"/>
  <c r="M8" i="1"/>
  <c r="L8" i="1"/>
  <c r="K8" i="1"/>
  <c r="J8" i="1"/>
  <c r="I8" i="1"/>
  <c r="F8" i="1"/>
  <c r="E8" i="1"/>
  <c r="D8" i="1"/>
  <c r="C8" i="1"/>
  <c r="B8" i="1"/>
  <c r="A8" i="1"/>
  <c r="Q7" i="1"/>
  <c r="P7" i="1"/>
  <c r="O7" i="1"/>
  <c r="N7" i="1"/>
  <c r="M7" i="1"/>
  <c r="L7" i="1"/>
  <c r="K7" i="1"/>
  <c r="J7" i="1"/>
  <c r="I7" i="1"/>
  <c r="F7" i="1"/>
  <c r="E7" i="1"/>
  <c r="D7" i="1"/>
  <c r="C7" i="1"/>
  <c r="B7" i="1"/>
  <c r="A7" i="1"/>
  <c r="Q6" i="1"/>
  <c r="P6" i="1"/>
  <c r="O6" i="1"/>
  <c r="N6" i="1"/>
  <c r="M6" i="1"/>
  <c r="L6" i="1"/>
  <c r="K6" i="1"/>
  <c r="J6" i="1"/>
  <c r="I6" i="1"/>
  <c r="F6" i="1"/>
  <c r="E6" i="1"/>
  <c r="D6" i="1"/>
  <c r="C6" i="1"/>
  <c r="B6" i="1"/>
  <c r="A6" i="1"/>
  <c r="Q5" i="1"/>
  <c r="P5" i="1"/>
  <c r="O5" i="1"/>
  <c r="N5" i="1"/>
  <c r="M5" i="1"/>
  <c r="L5" i="1"/>
  <c r="K5" i="1"/>
  <c r="J5" i="1"/>
  <c r="I5" i="1"/>
  <c r="F5" i="1"/>
  <c r="E5" i="1"/>
  <c r="D5" i="1"/>
  <c r="C5" i="1"/>
  <c r="B5" i="1"/>
  <c r="A5" i="1"/>
  <c r="Q4" i="1"/>
  <c r="P4" i="1"/>
  <c r="O4" i="1"/>
  <c r="N4" i="1"/>
  <c r="M4" i="1"/>
  <c r="L4" i="1"/>
  <c r="K4" i="1"/>
  <c r="J4" i="1"/>
  <c r="I4" i="1"/>
  <c r="F4" i="1"/>
  <c r="E4" i="1"/>
  <c r="D4" i="1"/>
  <c r="C4" i="1"/>
  <c r="B4" i="1"/>
  <c r="A4" i="1"/>
  <c r="Q3" i="1"/>
  <c r="P3" i="1"/>
  <c r="O3" i="1"/>
  <c r="N3" i="1"/>
  <c r="M3" i="1"/>
  <c r="L3" i="1"/>
  <c r="K3" i="1"/>
  <c r="J3" i="1"/>
  <c r="I3" i="1"/>
  <c r="F3" i="1"/>
  <c r="E3" i="1"/>
  <c r="D3" i="1"/>
  <c r="C3" i="1"/>
  <c r="B3" i="1"/>
  <c r="A3" i="1"/>
  <c r="Q2" i="1"/>
  <c r="P2" i="1"/>
  <c r="O2" i="1"/>
  <c r="N2" i="1"/>
  <c r="M2" i="1"/>
  <c r="L2" i="1"/>
  <c r="K2" i="1"/>
  <c r="J2" i="1"/>
  <c r="I2" i="1"/>
  <c r="F2" i="1"/>
  <c r="E2" i="1"/>
  <c r="D2" i="1"/>
  <c r="C2" i="1"/>
  <c r="B2" i="1"/>
  <c r="A2" i="1"/>
</calcChain>
</file>

<file path=xl/sharedStrings.xml><?xml version="1.0" encoding="utf-8"?>
<sst xmlns="http://schemas.openxmlformats.org/spreadsheetml/2006/main" count="17" uniqueCount="17">
  <si>
    <t>ImagemLink</t>
  </si>
  <si>
    <t>Exam</t>
  </si>
  <si>
    <t>Ano</t>
  </si>
  <si>
    <t>EnemArea</t>
  </si>
  <si>
    <t>Materia</t>
  </si>
  <si>
    <t>Frente1</t>
  </si>
  <si>
    <t>Frente2</t>
  </si>
  <si>
    <t>Frente3</t>
  </si>
  <si>
    <t>Caderno</t>
  </si>
  <si>
    <t>Numero</t>
  </si>
  <si>
    <t>Alternativa</t>
  </si>
  <si>
    <t>TextoQuestao</t>
  </si>
  <si>
    <t>TextoAlternativaA</t>
  </si>
  <si>
    <t>TextoAlternativaB</t>
  </si>
  <si>
    <t>TextoAlternativaC</t>
  </si>
  <si>
    <t>TextoAlternativaD</t>
  </si>
  <si>
    <t>TextoAlternativaE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</si>
</sst>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0"/>
      <color theme="1"/>
      <name val="Arial"/>
    </font>
    <font>
      <u/>
      <sz val="10"/>
      <color rgb="FF0000FF"/>
      <name val="Arial"/>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0" fillId="0" borderId="0" xfId="0" applyFont="1" applyAlignment="1"/>
    <xf numFmtId="0" fontId="2" fillId="0" borderId="0" xfId="0" applyFont="1" applyAlignment="1">
      <alignment horizontal="center" vertical="center"/>
    </xf>
    <xf numFmtId="0" fontId="1" fillId="0" borderId="0" xfId="0" applyFont="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drive.google.com/open?id=1EiT1zqAJyXn8YR8Q8bSKqEN5szbQjNpP" TargetMode="External"/><Relationship Id="rId299" Type="http://schemas.openxmlformats.org/officeDocument/2006/relationships/hyperlink" Target="https://drive.google.com/open?id=1MZ7cYgXbYjQMXaqw-erdI_kFRitHW_d5" TargetMode="External"/><Relationship Id="rId21" Type="http://schemas.openxmlformats.org/officeDocument/2006/relationships/hyperlink" Target="https://drive.google.com/open?id=1dUMTCyjRypsydrj08-k6OsWvQPzmIIlC" TargetMode="External"/><Relationship Id="rId63" Type="http://schemas.openxmlformats.org/officeDocument/2006/relationships/hyperlink" Target="https://drive.google.com/open?id=1z-IqDCMAmZg9J8MDK9mcDeLOmJv_9sci" TargetMode="External"/><Relationship Id="rId159" Type="http://schemas.openxmlformats.org/officeDocument/2006/relationships/hyperlink" Target="https://drive.google.com/open?id=16MFDCTcUo3sybB3gDqAoOXJx-tD_L08whttps://drive.google.com/open?id=1pE0mlfAFSrhnxpSHuDpIcj1TrHNJWxn0" TargetMode="External"/><Relationship Id="rId324" Type="http://schemas.openxmlformats.org/officeDocument/2006/relationships/hyperlink" Target="https://drive.google.com/open?id=1FSI8EHkjimI-DEJl7rcsyie2EmrZlyAc" TargetMode="External"/><Relationship Id="rId366" Type="http://schemas.openxmlformats.org/officeDocument/2006/relationships/hyperlink" Target="https://drive.google.com/open?id=1RYL5Z9lFqeNLmxwRs-UBqlhxhlFIvY9O" TargetMode="External"/><Relationship Id="rId170" Type="http://schemas.openxmlformats.org/officeDocument/2006/relationships/hyperlink" Target="https://drive.google.com/open?id=1luy7J08rMLPOmweJomJPOevO_Wx_-rgZhttps://drive.google.com/open?id=1H-irdSWbWwTLCl26rletRK2manAvwkhq" TargetMode="External"/><Relationship Id="rId226" Type="http://schemas.openxmlformats.org/officeDocument/2006/relationships/hyperlink" Target="https://drive.google.com/open?id=18xFXfEzTX5WS88qX9LZ21_y2en6ojKzF" TargetMode="External"/><Relationship Id="rId268" Type="http://schemas.openxmlformats.org/officeDocument/2006/relationships/hyperlink" Target="https://drive.google.com/open?id=1T2PJMqfNiJoE-jX9td2xKg3HbSgxN0GE" TargetMode="External"/><Relationship Id="rId32" Type="http://schemas.openxmlformats.org/officeDocument/2006/relationships/hyperlink" Target="https://drive.google.com/open?id=1tlRMbSV292t1f4WpaDRLMdqqY7JRmkAp" TargetMode="External"/><Relationship Id="rId74" Type="http://schemas.openxmlformats.org/officeDocument/2006/relationships/hyperlink" Target="https://drive.google.com/open?id=1vdrArF8NH9JkVSaA6tkFCwkcOIQVjvGu" TargetMode="External"/><Relationship Id="rId128" Type="http://schemas.openxmlformats.org/officeDocument/2006/relationships/hyperlink" Target="https://drive.google.com/open?id=1YnDWl0sxoCRvNIzWLzK5myGTsJ8uswhn" TargetMode="External"/><Relationship Id="rId335" Type="http://schemas.openxmlformats.org/officeDocument/2006/relationships/hyperlink" Target="https://drive.google.com/open?id=1YiThsievsQPncO7CJcrGP_zORNLNUBy4" TargetMode="External"/><Relationship Id="rId377" Type="http://schemas.openxmlformats.org/officeDocument/2006/relationships/hyperlink" Target="https://drive.google.com/open?id=154DqWRke41bsLOrPiXAf1yxaNxH4iosm" TargetMode="External"/><Relationship Id="rId5" Type="http://schemas.openxmlformats.org/officeDocument/2006/relationships/hyperlink" Target="https://drive.google.com/open?id=1uzDafALIDiDvi4mGpEydY-hD1lvCAHFf" TargetMode="External"/><Relationship Id="rId181" Type="http://schemas.openxmlformats.org/officeDocument/2006/relationships/hyperlink" Target="https://drive.google.com/open?id=1uH6O5Tux_hje4hyJNodAgLSqSo1sRpGj" TargetMode="External"/><Relationship Id="rId237" Type="http://schemas.openxmlformats.org/officeDocument/2006/relationships/hyperlink" Target="https://drive.google.com/open?id=1a6JC4fvFHPwOJV2OKa3ThradS73PElFf" TargetMode="External"/><Relationship Id="rId402" Type="http://schemas.openxmlformats.org/officeDocument/2006/relationships/hyperlink" Target="https://drive.google.com/open?id=13eGMW5nFGUVaKfhuzACezV2nX8MrRBec" TargetMode="External"/><Relationship Id="rId279" Type="http://schemas.openxmlformats.org/officeDocument/2006/relationships/hyperlink" Target="https://drive.google.com/open?id=11FfD4a7u1VMNNtsb2a3suIt0jof9zGn_" TargetMode="External"/><Relationship Id="rId43" Type="http://schemas.openxmlformats.org/officeDocument/2006/relationships/hyperlink" Target="https://drive.google.com/open?id=1rUU8lBoVaTW6M1lo72OMt943he_AKbcy" TargetMode="External"/><Relationship Id="rId139" Type="http://schemas.openxmlformats.org/officeDocument/2006/relationships/hyperlink" Target="https://drive.google.com/open?id=1RyxCL9W6Oz3h6OzioQ9PVEJdIDuQLkki" TargetMode="External"/><Relationship Id="rId290" Type="http://schemas.openxmlformats.org/officeDocument/2006/relationships/hyperlink" Target="https://drive.google.com/open?id=1ih96SQQSiOtuGzDOatiQ7ioxoP7iWyC1" TargetMode="External"/><Relationship Id="rId304" Type="http://schemas.openxmlformats.org/officeDocument/2006/relationships/hyperlink" Target="https://drive.google.com/open?id=1SyynqRiKlsbeDmM5rhvqafENxrvEBSGb" TargetMode="External"/><Relationship Id="rId346" Type="http://schemas.openxmlformats.org/officeDocument/2006/relationships/hyperlink" Target="https://drive.google.com/open?id=1hZCaCtiyhAd5O-takKgh-6aCw1xoVGlI" TargetMode="External"/><Relationship Id="rId388" Type="http://schemas.openxmlformats.org/officeDocument/2006/relationships/hyperlink" Target="https://drive.google.com/open?id=1-3Shj3dw4r7tbiGrwU01WSrnVmCfywfd" TargetMode="External"/><Relationship Id="rId85" Type="http://schemas.openxmlformats.org/officeDocument/2006/relationships/hyperlink" Target="https://drive.google.com/open?id=19AQ5kfEefB6y84-_g3ozlKyxmT5m1yZi" TargetMode="External"/><Relationship Id="rId150" Type="http://schemas.openxmlformats.org/officeDocument/2006/relationships/hyperlink" Target="https://drive.google.com/open?id=1mQp1rs4JgNtFhpVj4mfqcWKAb8EUOQ-Chttps://drive.google.com/open?id=11vl4LNQiJ1TDkfOxmHAk3GoIHrfy8Vao" TargetMode="External"/><Relationship Id="rId192" Type="http://schemas.openxmlformats.org/officeDocument/2006/relationships/hyperlink" Target="https://drive.google.com/open?id=1Ed6H7jBRwo7R-nA2GMxmucRYug-ko6KB" TargetMode="External"/><Relationship Id="rId206" Type="http://schemas.openxmlformats.org/officeDocument/2006/relationships/hyperlink" Target="https://drive.google.com/open?id=150sqBRAWVHISku28wfN7QLs6Or9YvDqQ" TargetMode="External"/><Relationship Id="rId248" Type="http://schemas.openxmlformats.org/officeDocument/2006/relationships/hyperlink" Target="https://drive.google.com/open?id=1JOJ5XaaF6P8YWG-0OLVrsES08Njg5ur_" TargetMode="External"/><Relationship Id="rId12" Type="http://schemas.openxmlformats.org/officeDocument/2006/relationships/hyperlink" Target="https://drive.google.com/open?id=1KdFQmBYdp-9DOTGHsh0fZZMzjN74oZnz" TargetMode="External"/><Relationship Id="rId108" Type="http://schemas.openxmlformats.org/officeDocument/2006/relationships/hyperlink" Target="https://drive.google.com/open?id=10zZxHII0ar3JqDtJD1b2ROfNwWFhvq13" TargetMode="External"/><Relationship Id="rId315" Type="http://schemas.openxmlformats.org/officeDocument/2006/relationships/hyperlink" Target="https://drive.google.com/open?id=1MhOEhTdBbZTkc9vY2EkEv7_1Pf4zPdXB" TargetMode="External"/><Relationship Id="rId357" Type="http://schemas.openxmlformats.org/officeDocument/2006/relationships/hyperlink" Target="https://drive.google.com/open?id=1MlAe0X2OXvR074I3sDjpAFPu2h3MN2o8" TargetMode="External"/><Relationship Id="rId54" Type="http://schemas.openxmlformats.org/officeDocument/2006/relationships/hyperlink" Target="https://drive.google.com/open?id=1n9Qa1HwKCOhVWXGwtBahrkHDEt-zh6i9" TargetMode="External"/><Relationship Id="rId96" Type="http://schemas.openxmlformats.org/officeDocument/2006/relationships/hyperlink" Target="https://drive.google.com/open?id=1QC8LVv1-6-DdU9RebfNPorXi1xOyrbR8" TargetMode="External"/><Relationship Id="rId161" Type="http://schemas.openxmlformats.org/officeDocument/2006/relationships/hyperlink" Target="https://drive.google.com/open?id=1p2DGJBGfisg5kTM9sxfSdG0fB9H4l44Nhttps://drive.google.com/open?id=1Rmot-LA8wJMP80PDIix9iuEhYVx-Vxw_" TargetMode="External"/><Relationship Id="rId217" Type="http://schemas.openxmlformats.org/officeDocument/2006/relationships/hyperlink" Target="https://drive.google.com/open?id=1s4l5Sml4J7GyVDsXw_QTJG-5bDSezKrq" TargetMode="External"/><Relationship Id="rId399" Type="http://schemas.openxmlformats.org/officeDocument/2006/relationships/hyperlink" Target="https://drive.google.com/open?id=12Jgl5nTh8O2ykCr-OyBw32MtCTOVlPyh" TargetMode="External"/><Relationship Id="rId259" Type="http://schemas.openxmlformats.org/officeDocument/2006/relationships/hyperlink" Target="https://drive.google.com/open?id=18Ngn5ppvp6KzWeSfhOLKthYOM0cM2tzN" TargetMode="External"/><Relationship Id="rId23" Type="http://schemas.openxmlformats.org/officeDocument/2006/relationships/hyperlink" Target="https://drive.google.com/open?id=1ewME9Qe9bUU5H1FnEbFWqXsPLhU6RpjA" TargetMode="External"/><Relationship Id="rId119" Type="http://schemas.openxmlformats.org/officeDocument/2006/relationships/hyperlink" Target="https://drive.google.com/open?id=1ffkoKHEo8wYyUGQ10x4dNwjCXlDy4x8-" TargetMode="External"/><Relationship Id="rId270" Type="http://schemas.openxmlformats.org/officeDocument/2006/relationships/hyperlink" Target="https://drive.google.com/open?id=1gnY8-dCSPYx-ZPyadYC6yi99gyRKB1aK" TargetMode="External"/><Relationship Id="rId326" Type="http://schemas.openxmlformats.org/officeDocument/2006/relationships/hyperlink" Target="https://drive.google.com/open?id=1NTU692LZ-3c0dyWn5l1_hRnMd8xuEjj8" TargetMode="External"/><Relationship Id="rId65" Type="http://schemas.openxmlformats.org/officeDocument/2006/relationships/hyperlink" Target="https://drive.google.com/open?id=1HFCYZ_vH8xISsT3hNA16ow2h2KqXgjpE" TargetMode="External"/><Relationship Id="rId130" Type="http://schemas.openxmlformats.org/officeDocument/2006/relationships/hyperlink" Target="https://drive.google.com/open?id=1TVojd2X2BGJZeORsXuU0FSY4IBEiPunq" TargetMode="External"/><Relationship Id="rId368" Type="http://schemas.openxmlformats.org/officeDocument/2006/relationships/hyperlink" Target="https://drive.google.com/open?id=1omXsuxRtG8cgIjp6dv31QBKlqvEYA0nu" TargetMode="External"/><Relationship Id="rId172" Type="http://schemas.openxmlformats.org/officeDocument/2006/relationships/hyperlink" Target="https://drive.google.com/open?id=1Y-yApkDf1rRELI2KDwxVmaqT41gmGLW7https://drive.google.com/open?id=1-K8takIdGMTL4Inv1tgtcLjv3PAGM2cE" TargetMode="External"/><Relationship Id="rId228" Type="http://schemas.openxmlformats.org/officeDocument/2006/relationships/hyperlink" Target="https://drive.google.com/open?id=1M1F1OjCtrHInEt5tADTxHyqRwp4JZKBJ" TargetMode="External"/><Relationship Id="rId281" Type="http://schemas.openxmlformats.org/officeDocument/2006/relationships/hyperlink" Target="https://drive.google.com/open?id=1v4F3TcTve7bXz--yvTGPsieBXXcwHVUg" TargetMode="External"/><Relationship Id="rId337" Type="http://schemas.openxmlformats.org/officeDocument/2006/relationships/hyperlink" Target="https://drive.google.com/open?id=1sTOFuN9ZkJyNW_u3DiRGPbbc0lEzhxl1" TargetMode="External"/><Relationship Id="rId34" Type="http://schemas.openxmlformats.org/officeDocument/2006/relationships/hyperlink" Target="https://drive.google.com/open?id=1yRDd5R0-wP2OWRxoEcHykhLFLcFyaVgk" TargetMode="External"/><Relationship Id="rId76" Type="http://schemas.openxmlformats.org/officeDocument/2006/relationships/hyperlink" Target="https://drive.google.com/open?id=1vLP0xbx2AuARSTb8JSFa_n3sPyvSGAtn" TargetMode="External"/><Relationship Id="rId141" Type="http://schemas.openxmlformats.org/officeDocument/2006/relationships/hyperlink" Target="https://drive.google.com/open?id=1sUPyaOPRMBxHTCXnpk6QxBgn3Rnu8Bhrhttps://drive.google.com/open?id=1-KG0DeizlSpJgyeqzWBhp_AXK9UIaoIM" TargetMode="External"/><Relationship Id="rId379" Type="http://schemas.openxmlformats.org/officeDocument/2006/relationships/hyperlink" Target="https://drive.google.com/open?id=1VnG78ozuCj8g_4woShmSClQBWOjTOPf6" TargetMode="External"/><Relationship Id="rId7" Type="http://schemas.openxmlformats.org/officeDocument/2006/relationships/hyperlink" Target="https://drive.google.com/open?id=1r_Hxkz7t81ZvNmGdYvsf6zas4nGYeUjx" TargetMode="External"/><Relationship Id="rId183" Type="http://schemas.openxmlformats.org/officeDocument/2006/relationships/hyperlink" Target="https://drive.google.com/open?id=1c7nM0f-7oVoM5CE_3Wwk_6PJf-FVMhEb" TargetMode="External"/><Relationship Id="rId239" Type="http://schemas.openxmlformats.org/officeDocument/2006/relationships/hyperlink" Target="https://drive.google.com/open?id=108DWKo5FTcxRDvKtvLnXrGxy2Il0-E2h" TargetMode="External"/><Relationship Id="rId390" Type="http://schemas.openxmlformats.org/officeDocument/2006/relationships/hyperlink" Target="https://drive.google.com/open?id=1Qy6QB4U3LERm3qDw697zXeUmaewdLjrd" TargetMode="External"/><Relationship Id="rId404" Type="http://schemas.openxmlformats.org/officeDocument/2006/relationships/hyperlink" Target="https://drive.google.com/open?id=1bnWMMsVuKJmFpo4CiJ94AK5wxjk-70eJ" TargetMode="External"/><Relationship Id="rId250" Type="http://schemas.openxmlformats.org/officeDocument/2006/relationships/hyperlink" Target="https://drive.google.com/open?id=1FbNw78Xu5MAlmzl3l2YelBav4vnCPEwI" TargetMode="External"/><Relationship Id="rId292" Type="http://schemas.openxmlformats.org/officeDocument/2006/relationships/hyperlink" Target="https://drive.google.com/open?id=1v8OCa_Z2cL3u7FZNHVLJfHWmqiqPZeAW" TargetMode="External"/><Relationship Id="rId306" Type="http://schemas.openxmlformats.org/officeDocument/2006/relationships/hyperlink" Target="https://drive.google.com/open?id=1az-Pc2K0JoVNo3FOf_D4yFrnBOyjc51r" TargetMode="External"/><Relationship Id="rId45" Type="http://schemas.openxmlformats.org/officeDocument/2006/relationships/hyperlink" Target="https://drive.google.com/open?id=1GQTHkPIFEZZlimFiohJ9JAtja7-XPbiS" TargetMode="External"/><Relationship Id="rId87" Type="http://schemas.openxmlformats.org/officeDocument/2006/relationships/hyperlink" Target="https://drive.google.com/open?id=1CYL-JEu1m_NmjeNgx6ZFJcYaWjuotkHz" TargetMode="External"/><Relationship Id="rId110" Type="http://schemas.openxmlformats.org/officeDocument/2006/relationships/hyperlink" Target="https://drive.google.com/open?id=1DrtoMc2OvmYH7SFQcEFe3LybUFsD2Ziy" TargetMode="External"/><Relationship Id="rId348" Type="http://schemas.openxmlformats.org/officeDocument/2006/relationships/hyperlink" Target="https://drive.google.com/open?id=1T0lpDIDfcNHDXTmDe04l1vrT4C-tWFJ-" TargetMode="External"/><Relationship Id="rId152" Type="http://schemas.openxmlformats.org/officeDocument/2006/relationships/hyperlink" Target="https://drive.google.com/open?id=1bONn3hw8ScikEiYZ7dXoPVWfKu8MOc8Chttps://drive.google.com/open?id=1iKGZkLh-iSjjrxLuPqGLeKmmpMECDNHD" TargetMode="External"/><Relationship Id="rId194" Type="http://schemas.openxmlformats.org/officeDocument/2006/relationships/hyperlink" Target="https://drive.google.com/open?id=18sXE8pOiccw0760SQ-Nq9xHzus2pW_kN" TargetMode="External"/><Relationship Id="rId208" Type="http://schemas.openxmlformats.org/officeDocument/2006/relationships/hyperlink" Target="https://drive.google.com/open?id=1FcIxRy9P8soBu7tUxjcp95r-pNJaNO9E" TargetMode="External"/><Relationship Id="rId261" Type="http://schemas.openxmlformats.org/officeDocument/2006/relationships/hyperlink" Target="https://drive.google.com/open?id=1SmccmDCDT_fkB3GVE3yWPdZDrKEgbOYH" TargetMode="External"/><Relationship Id="rId14" Type="http://schemas.openxmlformats.org/officeDocument/2006/relationships/hyperlink" Target="https://drive.google.com/open?id=1Rk_iB589r0ZtTgPU99o2w2gKgbME94Mm" TargetMode="External"/><Relationship Id="rId56" Type="http://schemas.openxmlformats.org/officeDocument/2006/relationships/hyperlink" Target="https://drive.google.com/open?id=1TKcBDI1dkVnlY65t2vCSt_yAwMkS5-Oz" TargetMode="External"/><Relationship Id="rId317" Type="http://schemas.openxmlformats.org/officeDocument/2006/relationships/hyperlink" Target="https://drive.google.com/open?id=1kHMiT8M0MIsV1qszciHeSUW2QVQ4fn4D" TargetMode="External"/><Relationship Id="rId359" Type="http://schemas.openxmlformats.org/officeDocument/2006/relationships/hyperlink" Target="https://drive.google.com/open?id=1eIAJmYYl9tCskbOWOZh0kXxY8PCSFhXs" TargetMode="External"/><Relationship Id="rId98" Type="http://schemas.openxmlformats.org/officeDocument/2006/relationships/hyperlink" Target="https://drive.google.com/open?id=1MowGKBs4nVoP3rvaM3sCJPezFwd8DV5i" TargetMode="External"/><Relationship Id="rId121" Type="http://schemas.openxmlformats.org/officeDocument/2006/relationships/hyperlink" Target="https://drive.google.com/open?id=1TulMV1MLzHI0W_hn0WdlYhqeQrcdpdQZ" TargetMode="External"/><Relationship Id="rId163" Type="http://schemas.openxmlformats.org/officeDocument/2006/relationships/hyperlink" Target="https://drive.google.com/open?id=1eP831VaOQMjFuUB9SPx3JrEOKysTiRT9https://drive.google.com/open?id=1Dv5EEq0NvOurEK7O9T59VaEFhWWIhhSZ" TargetMode="External"/><Relationship Id="rId219" Type="http://schemas.openxmlformats.org/officeDocument/2006/relationships/hyperlink" Target="https://drive.google.com/open?id=1z2-uO9pXi2qV6jNI5XOIC5t78Le40Rdy" TargetMode="External"/><Relationship Id="rId370" Type="http://schemas.openxmlformats.org/officeDocument/2006/relationships/hyperlink" Target="https://drive.google.com/open?id=1S_dAvZM9VjZzXud-OJENlvdCQFRN-v9O" TargetMode="External"/><Relationship Id="rId230" Type="http://schemas.openxmlformats.org/officeDocument/2006/relationships/hyperlink" Target="https://drive.google.com/open?id=12OmEqMtuYrbXpmfLeXEKn-zP2uc5R3QX" TargetMode="External"/><Relationship Id="rId25" Type="http://schemas.openxmlformats.org/officeDocument/2006/relationships/hyperlink" Target="https://drive.google.com/open?id=13E-f3R8EniH08UWsUvE7i1j7cCPkq7hc" TargetMode="External"/><Relationship Id="rId67" Type="http://schemas.openxmlformats.org/officeDocument/2006/relationships/hyperlink" Target="https://drive.google.com/open?id=1nPIZ3ZQ8ARMv_0LEd7x5FI1xTIcrfYql" TargetMode="External"/><Relationship Id="rId272" Type="http://schemas.openxmlformats.org/officeDocument/2006/relationships/hyperlink" Target="https://drive.google.com/open?id=1QugM-io_phNWY1W8gXaO5gwHhJYjq8h0" TargetMode="External"/><Relationship Id="rId328" Type="http://schemas.openxmlformats.org/officeDocument/2006/relationships/hyperlink" Target="https://drive.google.com/open?id=1nFAJ270yXygFYltsrrEd4j1uRonL2Rfc" TargetMode="External"/><Relationship Id="rId132" Type="http://schemas.openxmlformats.org/officeDocument/2006/relationships/hyperlink" Target="https://drive.google.com/open?id=14twLiKWPk-Adh0eSkffy78XVoBqQmRwF" TargetMode="External"/><Relationship Id="rId174" Type="http://schemas.openxmlformats.org/officeDocument/2006/relationships/hyperlink" Target="https://drive.google.com/open?id=1lMXFbCnOfmkG1kfcp7pOJoKsPfKU6a08https://drive.google.com/open?id=1Jt-aUbIPxqzEIU_kLgbHOSbg28tBoQ_A" TargetMode="External"/><Relationship Id="rId381" Type="http://schemas.openxmlformats.org/officeDocument/2006/relationships/hyperlink" Target="https://drive.google.com/open?id=1JrWgrWhS6eKUTvrGXedQtsNMz6b4eX8d" TargetMode="External"/><Relationship Id="rId241" Type="http://schemas.openxmlformats.org/officeDocument/2006/relationships/hyperlink" Target="https://drive.google.com/open?id=1N7hhP5oN9Ki6mKbxRCOMhutlkU1O8EtC" TargetMode="External"/><Relationship Id="rId36" Type="http://schemas.openxmlformats.org/officeDocument/2006/relationships/hyperlink" Target="https://drive.google.com/open?id=1UuFIWlbjDb-HalIeajSh0TStzEH7Khtr" TargetMode="External"/><Relationship Id="rId283" Type="http://schemas.openxmlformats.org/officeDocument/2006/relationships/hyperlink" Target="https://drive.google.com/open?id=1MICzGtItGWzqNrY9ANjaNtVbQ3UoV6WV" TargetMode="External"/><Relationship Id="rId339" Type="http://schemas.openxmlformats.org/officeDocument/2006/relationships/hyperlink" Target="https://drive.google.com/open?id=1d-UK4GMAdsuQ2AKQb6uKS29nSEQrYT1q" TargetMode="External"/><Relationship Id="rId78" Type="http://schemas.openxmlformats.org/officeDocument/2006/relationships/hyperlink" Target="https://drive.google.com/open?id=15xdJnqzGszobad7URuO_lUfVxHcgivwk" TargetMode="External"/><Relationship Id="rId101" Type="http://schemas.openxmlformats.org/officeDocument/2006/relationships/hyperlink" Target="https://drive.google.com/open?id=1p13_hcjfbEhgGwgCS2UufCs9nEYsyeyy" TargetMode="External"/><Relationship Id="rId143" Type="http://schemas.openxmlformats.org/officeDocument/2006/relationships/hyperlink" Target="https://drive.google.com/open?id=12zUL6jw8xYiO6z9kNhc0iqkiHVAfFCRzhttps://drive.google.com/open?id=1aH9htJrxSfKXQ3UpFwJRwfG4NNpmlt8L" TargetMode="External"/><Relationship Id="rId185" Type="http://schemas.openxmlformats.org/officeDocument/2006/relationships/hyperlink" Target="https://drive.google.com/open?id=1yu1QPWEt3BJTFuDqTmipFUyDcnn203wd" TargetMode="External"/><Relationship Id="rId350" Type="http://schemas.openxmlformats.org/officeDocument/2006/relationships/hyperlink" Target="https://drive.google.com/open?id=1qQTEPL0xyAqnrwn8vBvQuT1x-F0AGRRp" TargetMode="External"/><Relationship Id="rId406" Type="http://schemas.openxmlformats.org/officeDocument/2006/relationships/hyperlink" Target="https://drive.google.com/open?id=17T6tdzh4ez1Y3vpWWAo8WnLPUgkT4Znf" TargetMode="External"/><Relationship Id="rId9" Type="http://schemas.openxmlformats.org/officeDocument/2006/relationships/hyperlink" Target="https://drive.google.com/open?id=1ByFEUzfnLHfdyA1zdFXnRhG4FeRr-Oua" TargetMode="External"/><Relationship Id="rId210" Type="http://schemas.openxmlformats.org/officeDocument/2006/relationships/hyperlink" Target="https://drive.google.com/open?id=15jhb7fXOiR-u6IWsy4IWivRRCdmvbunO" TargetMode="External"/><Relationship Id="rId392" Type="http://schemas.openxmlformats.org/officeDocument/2006/relationships/hyperlink" Target="https://drive.google.com/open?id=1tSErR0uuLQGAyiApoiCsC6LfYExP5Vdt" TargetMode="External"/><Relationship Id="rId252" Type="http://schemas.openxmlformats.org/officeDocument/2006/relationships/hyperlink" Target="https://drive.google.com/open?id=1cDN9i5BBo-279iTmJxlhQM5e1QMtVe7d" TargetMode="External"/><Relationship Id="rId294" Type="http://schemas.openxmlformats.org/officeDocument/2006/relationships/hyperlink" Target="https://drive.google.com/open?id=1QolNoQYJa9edebQ_LV0Ky1Hc6m_gtstC" TargetMode="External"/><Relationship Id="rId308" Type="http://schemas.openxmlformats.org/officeDocument/2006/relationships/hyperlink" Target="https://drive.google.com/open?id=1wD8QrHCgunKFas6QRVZKczA3iP2FHYu0" TargetMode="External"/><Relationship Id="rId47" Type="http://schemas.openxmlformats.org/officeDocument/2006/relationships/hyperlink" Target="https://drive.google.com/open?id=1NfG_j96BGZdXV8oBQHgHgDbEsXNId1bQ" TargetMode="External"/><Relationship Id="rId89" Type="http://schemas.openxmlformats.org/officeDocument/2006/relationships/hyperlink" Target="https://drive.google.com/open?id=1Ind4ZLaOr5EW4Vjo56f_G9QQ4dmq8_xa" TargetMode="External"/><Relationship Id="rId112" Type="http://schemas.openxmlformats.org/officeDocument/2006/relationships/hyperlink" Target="https://drive.google.com/open?id=1RwyTu3NwuNJsBjQOqfr4IgESawaaaASD" TargetMode="External"/><Relationship Id="rId154" Type="http://schemas.openxmlformats.org/officeDocument/2006/relationships/hyperlink" Target="https://drive.google.com/open?id=1yDlChVeed_586p7Q1KCCcNL6WI5HzyEehttps://drive.google.com/open?id=15NzyqVmVQ81RNDdqbZimtz1L9meu3VXB" TargetMode="External"/><Relationship Id="rId361" Type="http://schemas.openxmlformats.org/officeDocument/2006/relationships/hyperlink" Target="https://drive.google.com/open?id=1pg9ELYa-JE8ud4Mi4lxj8yAauICi0F04" TargetMode="External"/><Relationship Id="rId196" Type="http://schemas.openxmlformats.org/officeDocument/2006/relationships/hyperlink" Target="https://drive.google.com/open?id=1dab3aFpo-rh-K-x4S-0m0jb7DQuZe9T4" TargetMode="External"/><Relationship Id="rId16" Type="http://schemas.openxmlformats.org/officeDocument/2006/relationships/hyperlink" Target="https://drive.google.com/open?id=1KCmXWUiMBX2aNJdE3eHhnZ-KKIwgiGsB" TargetMode="External"/><Relationship Id="rId221" Type="http://schemas.openxmlformats.org/officeDocument/2006/relationships/hyperlink" Target="https://drive.google.com/open?id=1VdQkfM-Bov7KCxP2YFE45GWR7kjc1HY4" TargetMode="External"/><Relationship Id="rId263" Type="http://schemas.openxmlformats.org/officeDocument/2006/relationships/hyperlink" Target="https://drive.google.com/open?id=17NKrdnc7qzJ71cJXHBZE3XZUOaziPWtU" TargetMode="External"/><Relationship Id="rId319" Type="http://schemas.openxmlformats.org/officeDocument/2006/relationships/hyperlink" Target="https://drive.google.com/open?id=1WO6FE24E_G6ZTj1LIhfYyv5Ep2MdZhCS" TargetMode="External"/><Relationship Id="rId58" Type="http://schemas.openxmlformats.org/officeDocument/2006/relationships/hyperlink" Target="https://drive.google.com/open?id=1YE73np9jxPZ3rLrri_bO2gjwVjCAfvBN" TargetMode="External"/><Relationship Id="rId123" Type="http://schemas.openxmlformats.org/officeDocument/2006/relationships/hyperlink" Target="https://drive.google.com/open?id=1oVU0Tp6NHGicSIv18P11SgGccIUqsh0N" TargetMode="External"/><Relationship Id="rId330" Type="http://schemas.openxmlformats.org/officeDocument/2006/relationships/hyperlink" Target="https://drive.google.com/open?id=1I9tBD56MmH4k7ejTYCW9TWDa3KUkrfyP" TargetMode="External"/><Relationship Id="rId165" Type="http://schemas.openxmlformats.org/officeDocument/2006/relationships/hyperlink" Target="https://drive.google.com/open?id=1BbeBtFdSvpDfZLZS3JIbNIhqoCKZkaJNhttps://drive.google.com/open?id=1QygkOL8VEPFn4FRKwn_D5cOhWikHTILP" TargetMode="External"/><Relationship Id="rId372" Type="http://schemas.openxmlformats.org/officeDocument/2006/relationships/hyperlink" Target="https://drive.google.com/open?id=1wV5e95Evk34jozB3jlW52MkmtEg1n6wl" TargetMode="External"/><Relationship Id="rId232" Type="http://schemas.openxmlformats.org/officeDocument/2006/relationships/hyperlink" Target="https://drive.google.com/open?id=1DPbLakWjNCwHrmLj7ZChKEiGoG5TxkKu" TargetMode="External"/><Relationship Id="rId274" Type="http://schemas.openxmlformats.org/officeDocument/2006/relationships/hyperlink" Target="https://drive.google.com/open?id=1BYgK038E3Gse_Mx5smeODG66JfiTJh20" TargetMode="External"/><Relationship Id="rId27" Type="http://schemas.openxmlformats.org/officeDocument/2006/relationships/hyperlink" Target="https://drive.google.com/open?id=1rI2XVZdHqHtn2FGNZU1SuGF54qO-pRDZ" TargetMode="External"/><Relationship Id="rId48" Type="http://schemas.openxmlformats.org/officeDocument/2006/relationships/hyperlink" Target="https://drive.google.com/open?id=1nQXghGbqYcgUMmrLLxWIShh988mf-i-S" TargetMode="External"/><Relationship Id="rId69" Type="http://schemas.openxmlformats.org/officeDocument/2006/relationships/hyperlink" Target="https://drive.google.com/open?id=1OM08pH11kirVVZWGz267olVn1NJyuVD9" TargetMode="External"/><Relationship Id="rId113" Type="http://schemas.openxmlformats.org/officeDocument/2006/relationships/hyperlink" Target="https://drive.google.com/open?id=1uDtiaJjuX7-K0145GTyhVD67vWPq9n-R" TargetMode="External"/><Relationship Id="rId134" Type="http://schemas.openxmlformats.org/officeDocument/2006/relationships/hyperlink" Target="https://drive.google.com/open?id=1jXsd9H4eCm0nSxVNcNRJcVxY4Gvrc126" TargetMode="External"/><Relationship Id="rId320" Type="http://schemas.openxmlformats.org/officeDocument/2006/relationships/hyperlink" Target="https://drive.google.com/open?id=1zm8znbFV2hRS2YZIfvd0umglfqjIWK69" TargetMode="External"/><Relationship Id="rId80" Type="http://schemas.openxmlformats.org/officeDocument/2006/relationships/hyperlink" Target="https://drive.google.com/open?id=1cvRewWdWPWUOPDpFm5glm9STq65-PRzQ" TargetMode="External"/><Relationship Id="rId155" Type="http://schemas.openxmlformats.org/officeDocument/2006/relationships/hyperlink" Target="https://drive.google.com/open?id=1zVWOfvIA5TWMRCbuWcxoOvVdkO0DlOLHhttps://drive.google.com/open?id=1FETaYmJN2yYSQSh1aYekzHIG0AjpNyWF" TargetMode="External"/><Relationship Id="rId176" Type="http://schemas.openxmlformats.org/officeDocument/2006/relationships/hyperlink" Target="https://drive.google.com/open?id=1YQaqSQjp8VHg5l1hD-1TEWrne-4YlEE3https://drive.google.com/open?id=1ztPY_645gP3v0F8wSNLpCOEqN-RNbU0G" TargetMode="External"/><Relationship Id="rId197" Type="http://schemas.openxmlformats.org/officeDocument/2006/relationships/hyperlink" Target="https://drive.google.com/open?id=1L6nYxl-T1tfy0e5o3yTdR5BOts6CAthh" TargetMode="External"/><Relationship Id="rId341" Type="http://schemas.openxmlformats.org/officeDocument/2006/relationships/hyperlink" Target="https://drive.google.com/open?id=1LYF1sk3c0D-_wVgH5ZnLrcyNwp_Icuet" TargetMode="External"/><Relationship Id="rId362" Type="http://schemas.openxmlformats.org/officeDocument/2006/relationships/hyperlink" Target="https://drive.google.com/open?id=1ocFfK8CpgdEjSUdg-bHbggvSk2T_1U9w" TargetMode="External"/><Relationship Id="rId383" Type="http://schemas.openxmlformats.org/officeDocument/2006/relationships/hyperlink" Target="https://drive.google.com/open?id=197Rz0kSFEwNxXtNgE8EOV2TudcCMsJG6" TargetMode="External"/><Relationship Id="rId201" Type="http://schemas.openxmlformats.org/officeDocument/2006/relationships/hyperlink" Target="https://drive.google.com/open?id=10d6w-yNpk4N4B0hjlKGF9ZjXxmqNW-jo" TargetMode="External"/><Relationship Id="rId222" Type="http://schemas.openxmlformats.org/officeDocument/2006/relationships/hyperlink" Target="https://drive.google.com/open?id=1_3M12qYLQ3eUVrPbT4V80pbGz3zD9mnY" TargetMode="External"/><Relationship Id="rId243" Type="http://schemas.openxmlformats.org/officeDocument/2006/relationships/hyperlink" Target="https://drive.google.com/open?id=1k7yuKyg_gNu4rZnmfJyLYowcPKKg6Q0x" TargetMode="External"/><Relationship Id="rId264" Type="http://schemas.openxmlformats.org/officeDocument/2006/relationships/hyperlink" Target="https://drive.google.com/open?id=1UE14QlpfDHQJg_4ArfSOsI_Sbgw0vArL" TargetMode="External"/><Relationship Id="rId285" Type="http://schemas.openxmlformats.org/officeDocument/2006/relationships/hyperlink" Target="https://drive.google.com/open?id=1NEGKbeBO_wa0zVBfwNeH3U58q0W5cHw3" TargetMode="External"/><Relationship Id="rId17" Type="http://schemas.openxmlformats.org/officeDocument/2006/relationships/hyperlink" Target="https://drive.google.com/open?id=1PYl-Hdoh7Vke95qA2n8IltEdDadvlY5D" TargetMode="External"/><Relationship Id="rId38" Type="http://schemas.openxmlformats.org/officeDocument/2006/relationships/hyperlink" Target="https://drive.google.com/open?id=1L9d9arx-xDaz0JIx57HqiAt-I1okdIiI" TargetMode="External"/><Relationship Id="rId59" Type="http://schemas.openxmlformats.org/officeDocument/2006/relationships/hyperlink" Target="https://drive.google.com/open?id=1S-_4n-V8Tf_iuxqJYjR3Nv2Gj8oy6OhE" TargetMode="External"/><Relationship Id="rId103" Type="http://schemas.openxmlformats.org/officeDocument/2006/relationships/hyperlink" Target="https://drive.google.com/open?id=1GZ6mZzL0cbpOEbvnmBa9hQ2qupBULvwI" TargetMode="External"/><Relationship Id="rId124" Type="http://schemas.openxmlformats.org/officeDocument/2006/relationships/hyperlink" Target="https://drive.google.com/open?id=1HGck9r0yUGegbgHkBaxYvDxSlp2A8do_" TargetMode="External"/><Relationship Id="rId310" Type="http://schemas.openxmlformats.org/officeDocument/2006/relationships/hyperlink" Target="https://drive.google.com/open?id=1wTL42_lQj4JtAFjh7EPsM_Cj3-P98zLq" TargetMode="External"/><Relationship Id="rId70" Type="http://schemas.openxmlformats.org/officeDocument/2006/relationships/hyperlink" Target="https://drive.google.com/open?id=19IA3ziA80GpL4OeOnRnDE-GppPRaBjyj" TargetMode="External"/><Relationship Id="rId91" Type="http://schemas.openxmlformats.org/officeDocument/2006/relationships/hyperlink" Target="https://drive.google.com/open?id=1ONus_lRoFRa7HGeVFP6NJcxTFEHF6Hny" TargetMode="External"/><Relationship Id="rId145" Type="http://schemas.openxmlformats.org/officeDocument/2006/relationships/hyperlink" Target="https://drive.google.com/open?id=1stbxBH-HX0LcL1uraWe0p33d27xbHMU6https://drive.google.com/open?id=1vlc0BSCnymqSPSofCIgu_QVoYXXYuOfy" TargetMode="External"/><Relationship Id="rId166" Type="http://schemas.openxmlformats.org/officeDocument/2006/relationships/hyperlink" Target="https://drive.google.com/open?id=1TVPkr8fw4WcMeYzkODY4eg0kb7UKywCQhttps://drive.google.com/open?id=1Ca9VDqZD9LnoWa2iCuBVEkxRAvHZX9TJ" TargetMode="External"/><Relationship Id="rId187" Type="http://schemas.openxmlformats.org/officeDocument/2006/relationships/hyperlink" Target="https://drive.google.com/open?id=1O2FPsHdlnmyw1a7eJnzWj4xKzJJnlirX" TargetMode="External"/><Relationship Id="rId331" Type="http://schemas.openxmlformats.org/officeDocument/2006/relationships/hyperlink" Target="https://drive.google.com/open?id=1aO7t10AzC4dp8rlLaXLDZFiDFiXFkS5o" TargetMode="External"/><Relationship Id="rId352" Type="http://schemas.openxmlformats.org/officeDocument/2006/relationships/hyperlink" Target="https://drive.google.com/open?id=1QMy5hYdtLgwhhYRAO8O5ifJz4QK-R5oQ" TargetMode="External"/><Relationship Id="rId373" Type="http://schemas.openxmlformats.org/officeDocument/2006/relationships/hyperlink" Target="https://drive.google.com/open?id=1eGlGeMcEVOIuNMb5N6s-THi0JSvMV9bP" TargetMode="External"/><Relationship Id="rId394" Type="http://schemas.openxmlformats.org/officeDocument/2006/relationships/hyperlink" Target="https://drive.google.com/open?id=1JEz9cggDv6t28xhyXjkC95nVYIBIN8Ir" TargetMode="External"/><Relationship Id="rId408" Type="http://schemas.openxmlformats.org/officeDocument/2006/relationships/hyperlink" Target="https://drive.google.com/open?id=1YPdEULf85HlD5LH26LNELDIHaAuf-4Bs" TargetMode="External"/><Relationship Id="rId1" Type="http://schemas.openxmlformats.org/officeDocument/2006/relationships/hyperlink" Target="https://drive.google.com/open?id=1NL94g-7XybFSKTZgLX8eoEOTR7FKCSXQ" TargetMode="External"/><Relationship Id="rId212" Type="http://schemas.openxmlformats.org/officeDocument/2006/relationships/hyperlink" Target="https://drive.google.com/open?id=1kC0H4w9nGi6sbeXGtyNbQwiCOocvdJCy" TargetMode="External"/><Relationship Id="rId233" Type="http://schemas.openxmlformats.org/officeDocument/2006/relationships/hyperlink" Target="https://drive.google.com/open?id=1U49CwkQkyrK4PlqSdTqIiUjKrpEg0RNn" TargetMode="External"/><Relationship Id="rId254" Type="http://schemas.openxmlformats.org/officeDocument/2006/relationships/hyperlink" Target="https://drive.google.com/open?id=1xnHOf2CasJF_VvL_IWrLiSwSs8GY53Hd" TargetMode="External"/><Relationship Id="rId28" Type="http://schemas.openxmlformats.org/officeDocument/2006/relationships/hyperlink" Target="https://drive.google.com/open?id=1Fajx3W91ZYUeazTy9teqMEqfotqihoLn" TargetMode="External"/><Relationship Id="rId49" Type="http://schemas.openxmlformats.org/officeDocument/2006/relationships/hyperlink" Target="https://drive.google.com/open?id=1Fb_gSJOrlw0FUnDuPaByNMLu3Y0EpObV" TargetMode="External"/><Relationship Id="rId114" Type="http://schemas.openxmlformats.org/officeDocument/2006/relationships/hyperlink" Target="https://drive.google.com/open?id=1U3Ic2Fd2ZCvCl8nLZvuzsivwuINaPlLr" TargetMode="External"/><Relationship Id="rId275" Type="http://schemas.openxmlformats.org/officeDocument/2006/relationships/hyperlink" Target="https://drive.google.com/open?id=1Pl9XyvJtYF8Bu0jc5DIeHjYxqYY54ejo" TargetMode="External"/><Relationship Id="rId296" Type="http://schemas.openxmlformats.org/officeDocument/2006/relationships/hyperlink" Target="https://drive.google.com/open?id=1bzxd-bWMTd7boDG5WwZ36Ny8Zgv38q_U" TargetMode="External"/><Relationship Id="rId300" Type="http://schemas.openxmlformats.org/officeDocument/2006/relationships/hyperlink" Target="https://drive.google.com/open?id=1H4JL6Hhnua6hhZilyUBuvxToK3M06OaI" TargetMode="External"/><Relationship Id="rId60" Type="http://schemas.openxmlformats.org/officeDocument/2006/relationships/hyperlink" Target="https://drive.google.com/open?id=1LnGTO01S93F21u5q432zK3kIeHLiRikD" TargetMode="External"/><Relationship Id="rId81" Type="http://schemas.openxmlformats.org/officeDocument/2006/relationships/hyperlink" Target="https://drive.google.com/open?id=1Fb1xXFTBQQpc6DBpSD_w0maptRy-fk8e" TargetMode="External"/><Relationship Id="rId135" Type="http://schemas.openxmlformats.org/officeDocument/2006/relationships/hyperlink" Target="https://drive.google.com/open?id=1Doh8TojWc3FzRincyG9XxtUES6tu2DTD" TargetMode="External"/><Relationship Id="rId156" Type="http://schemas.openxmlformats.org/officeDocument/2006/relationships/hyperlink" Target="https://drive.google.com/open?id=15Czp3uw0VRNcYgCrBq68D98bVit7O-4zhttps://drive.google.com/open?id=1g100bGvfc9l8thp3hbu7SpMakF2xhryE" TargetMode="External"/><Relationship Id="rId177" Type="http://schemas.openxmlformats.org/officeDocument/2006/relationships/hyperlink" Target="https://drive.google.com/open?id=1AxfBueDabj-D8xYgrZlEAFgTl4c6OJPI" TargetMode="External"/><Relationship Id="rId198" Type="http://schemas.openxmlformats.org/officeDocument/2006/relationships/hyperlink" Target="https://drive.google.com/open?id=1yco3jo4qt7QTr_KAGobrqer9p-HshgNm" TargetMode="External"/><Relationship Id="rId321" Type="http://schemas.openxmlformats.org/officeDocument/2006/relationships/hyperlink" Target="https://drive.google.com/open?id=1CYl1qVOPS6-l9b5Zgf2V-Je-kM6KeSBX" TargetMode="External"/><Relationship Id="rId342" Type="http://schemas.openxmlformats.org/officeDocument/2006/relationships/hyperlink" Target="https://drive.google.com/open?id=1Fgnx9vTmVY3OVppDRtwxML85qvajgKzE" TargetMode="External"/><Relationship Id="rId363" Type="http://schemas.openxmlformats.org/officeDocument/2006/relationships/hyperlink" Target="https://drive.google.com/open?id=13sKCTaovZswoDUlslHH134XrLoo6jRfL" TargetMode="External"/><Relationship Id="rId384" Type="http://schemas.openxmlformats.org/officeDocument/2006/relationships/hyperlink" Target="https://drive.google.com/open?id=1BOIjHZuvFq5LL91K343gwsILmeJg8OJo" TargetMode="External"/><Relationship Id="rId202" Type="http://schemas.openxmlformats.org/officeDocument/2006/relationships/hyperlink" Target="https://drive.google.com/open?id=1SBXIIpHNMOMhdJYniGsCPDtFLNzK8N1b" TargetMode="External"/><Relationship Id="rId223" Type="http://schemas.openxmlformats.org/officeDocument/2006/relationships/hyperlink" Target="https://drive.google.com/open?id=1pWQW_13F3X4kkYHOMsyYc1fSMeY60CDW" TargetMode="External"/><Relationship Id="rId244" Type="http://schemas.openxmlformats.org/officeDocument/2006/relationships/hyperlink" Target="https://drive.google.com/open?id=1XXbHM30Y92bHx6Le7BCCKf-AbEBukpzK" TargetMode="External"/><Relationship Id="rId18" Type="http://schemas.openxmlformats.org/officeDocument/2006/relationships/hyperlink" Target="https://drive.google.com/open?id=1ORRrwk4uMkG-Mx6XU5jgpo55m9qYqTXq" TargetMode="External"/><Relationship Id="rId39" Type="http://schemas.openxmlformats.org/officeDocument/2006/relationships/hyperlink" Target="https://drive.google.com/open?id=1hQ40B9afsrCQZFsdn4vY4zgGKPW6EOmY" TargetMode="External"/><Relationship Id="rId265" Type="http://schemas.openxmlformats.org/officeDocument/2006/relationships/hyperlink" Target="https://drive.google.com/open?id=18rjfmfo4_Bh7q9aqlPNmqY_bPuKzaoU0" TargetMode="External"/><Relationship Id="rId286" Type="http://schemas.openxmlformats.org/officeDocument/2006/relationships/hyperlink" Target="https://drive.google.com/open?id=1EDTxavKuBDnsnPg0PmdUWWm6WmwyV3Fa" TargetMode="External"/><Relationship Id="rId50" Type="http://schemas.openxmlformats.org/officeDocument/2006/relationships/hyperlink" Target="https://drive.google.com/open?id=1iyxAiDKlRRbyVtODY80-ncAdZ38AGrC8" TargetMode="External"/><Relationship Id="rId104" Type="http://schemas.openxmlformats.org/officeDocument/2006/relationships/hyperlink" Target="https://drive.google.com/open?id=1BHVWnXWsSVxHdyjuHS2IVNlrSYfPT9cZ" TargetMode="External"/><Relationship Id="rId125" Type="http://schemas.openxmlformats.org/officeDocument/2006/relationships/hyperlink" Target="https://drive.google.com/open?id=1nk465PDBr0HOCaUk6sQdfhdUp0g0ist7" TargetMode="External"/><Relationship Id="rId146" Type="http://schemas.openxmlformats.org/officeDocument/2006/relationships/hyperlink" Target="https://drive.google.com/open?id=1vCTpIVIyMupMZzZhhXjixc1HVAk0_zI_https://drive.google.com/open?id=1lsC86tdWB3bWIJm9elaBzxzI9r6xpqWh" TargetMode="External"/><Relationship Id="rId167" Type="http://schemas.openxmlformats.org/officeDocument/2006/relationships/hyperlink" Target="https://drive.google.com/open?id=1Ir94gybubyFGyRZNhorRgABhsXVQowHshttps://drive.google.com/open?id=13e-2P-77tYn6DT8dB8-daXsmsqJnUlIf" TargetMode="External"/><Relationship Id="rId188" Type="http://schemas.openxmlformats.org/officeDocument/2006/relationships/hyperlink" Target="https://drive.google.com/open?id=1RiZ5EQfxKB6bLv7JbjSMFFDax6vc4oAD" TargetMode="External"/><Relationship Id="rId311" Type="http://schemas.openxmlformats.org/officeDocument/2006/relationships/hyperlink" Target="https://drive.google.com/open?id=1jjYW7kFxMgwvTSuovfYw7CzBtVQyapYN" TargetMode="External"/><Relationship Id="rId332" Type="http://schemas.openxmlformats.org/officeDocument/2006/relationships/hyperlink" Target="https://drive.google.com/open?id=1-cF_WJqlwIPs9bTKBhZcLC-RiLVc-h6m" TargetMode="External"/><Relationship Id="rId353" Type="http://schemas.openxmlformats.org/officeDocument/2006/relationships/hyperlink" Target="https://drive.google.com/open?id=1woKpHL_zIaf2MDPE9PcUq0ujlUOJ6cGK" TargetMode="External"/><Relationship Id="rId374" Type="http://schemas.openxmlformats.org/officeDocument/2006/relationships/hyperlink" Target="https://drive.google.com/open?id=1od6jRZh-jGUr_Cth9ugcTpG1EU6ttBps" TargetMode="External"/><Relationship Id="rId395" Type="http://schemas.openxmlformats.org/officeDocument/2006/relationships/hyperlink" Target="https://drive.google.com/open?id=1HCEF5c1m_wRB-2YlPHyDnr-2GWc4FkNp" TargetMode="External"/><Relationship Id="rId409" Type="http://schemas.openxmlformats.org/officeDocument/2006/relationships/hyperlink" Target="https://drive.google.com/open?id=15gaaT21DMkoCXDadtYm_-n2wtOXoH5VG" TargetMode="External"/><Relationship Id="rId71" Type="http://schemas.openxmlformats.org/officeDocument/2006/relationships/hyperlink" Target="https://drive.google.com/open?id=1vHSubPRDJZMn4uMwb-R3KljA3IyYq4al" TargetMode="External"/><Relationship Id="rId92" Type="http://schemas.openxmlformats.org/officeDocument/2006/relationships/hyperlink" Target="https://drive.google.com/open?id=16jeb4iL4gKmZ0f3fwubaaTbDsPkHjZeX" TargetMode="External"/><Relationship Id="rId213" Type="http://schemas.openxmlformats.org/officeDocument/2006/relationships/hyperlink" Target="https://drive.google.com/open?id=1vUwRx1Q0IbzQismY7D9pZLPqssd8Jr5t" TargetMode="External"/><Relationship Id="rId234" Type="http://schemas.openxmlformats.org/officeDocument/2006/relationships/hyperlink" Target="https://drive.google.com/open?id=13g_liksEzYoZh2gxQ2O33xRWDRw7WWw-" TargetMode="External"/><Relationship Id="rId2" Type="http://schemas.openxmlformats.org/officeDocument/2006/relationships/hyperlink" Target="https://drive.google.com/open?id=1W94bxs_7Z2-9dY7FBHCUS86gYt4Ot4GN" TargetMode="External"/><Relationship Id="rId29" Type="http://schemas.openxmlformats.org/officeDocument/2006/relationships/hyperlink" Target="https://drive.google.com/open?id=1vvIZ2hSqjXoxlAwxqTe50O9M3qPWTKi7" TargetMode="External"/><Relationship Id="rId255" Type="http://schemas.openxmlformats.org/officeDocument/2006/relationships/hyperlink" Target="https://drive.google.com/open?id=1SBZ33iZERrpvopanb9NqcbeqRs1yRTzd" TargetMode="External"/><Relationship Id="rId276" Type="http://schemas.openxmlformats.org/officeDocument/2006/relationships/hyperlink" Target="https://drive.google.com/open?id=1CYB-UvQhtkgSYookGOxi1qIOozrcABnf" TargetMode="External"/><Relationship Id="rId297" Type="http://schemas.openxmlformats.org/officeDocument/2006/relationships/hyperlink" Target="https://drive.google.com/open?id=1gpMfvj5AHFqivB5-9YIFDxy4z2NX_ceK" TargetMode="External"/><Relationship Id="rId40" Type="http://schemas.openxmlformats.org/officeDocument/2006/relationships/hyperlink" Target="https://drive.google.com/open?id=1FPM1V_XlBmHdPHFmJzjszrXiag7j86eh" TargetMode="External"/><Relationship Id="rId115" Type="http://schemas.openxmlformats.org/officeDocument/2006/relationships/hyperlink" Target="https://drive.google.com/open?id=1I3w-FfMGm_9pguQGzA0zEC8Oqo3itWL1" TargetMode="External"/><Relationship Id="rId136" Type="http://schemas.openxmlformats.org/officeDocument/2006/relationships/hyperlink" Target="https://drive.google.com/open?id=13eEBLrhPFeylDmP5j-leUpObx3C-en-Y" TargetMode="External"/><Relationship Id="rId157" Type="http://schemas.openxmlformats.org/officeDocument/2006/relationships/hyperlink" Target="https://drive.google.com/open?id=1IZYyBDTCFBl-IIi92gwM3i5ZmhPRazUKhttps://drive.google.com/open?id=14AcbRHzuxmSWnwLUY8F3EiuDWEkqKkNj" TargetMode="External"/><Relationship Id="rId178" Type="http://schemas.openxmlformats.org/officeDocument/2006/relationships/hyperlink" Target="https://drive.google.com/open?id=1gcLyhc27Ct0r_fgnRpCq-RIsEbp9l8z5" TargetMode="External"/><Relationship Id="rId301" Type="http://schemas.openxmlformats.org/officeDocument/2006/relationships/hyperlink" Target="https://drive.google.com/open?id=1ZhxYUrH4KoW9uL_aHwIwcxLVHqHyJTDK" TargetMode="External"/><Relationship Id="rId322" Type="http://schemas.openxmlformats.org/officeDocument/2006/relationships/hyperlink" Target="https://drive.google.com/open?id=1gfIn6SZ7gqyEfpMte4GzyFXd39l1uEs6" TargetMode="External"/><Relationship Id="rId343" Type="http://schemas.openxmlformats.org/officeDocument/2006/relationships/hyperlink" Target="https://drive.google.com/open?id=1SlvFzVfJkykZMR9wCeoGJiGvsJoxDgIj" TargetMode="External"/><Relationship Id="rId364" Type="http://schemas.openxmlformats.org/officeDocument/2006/relationships/hyperlink" Target="https://drive.google.com/open?id=1NmkGcxddX5DYXkr1uJC5q4AHcyQ7FlsS" TargetMode="External"/><Relationship Id="rId61" Type="http://schemas.openxmlformats.org/officeDocument/2006/relationships/hyperlink" Target="https://drive.google.com/open?id=1IQkfULACka2A1hijfhRsi7iArS-IXl6B" TargetMode="External"/><Relationship Id="rId82" Type="http://schemas.openxmlformats.org/officeDocument/2006/relationships/hyperlink" Target="https://drive.google.com/open?id=1uAheop3lSl_XZi3VWAoSDnPlZrOtZgzf" TargetMode="External"/><Relationship Id="rId199" Type="http://schemas.openxmlformats.org/officeDocument/2006/relationships/hyperlink" Target="https://drive.google.com/open?id=1Lfb8ja5_p2k_XkVvsKDiBXamEP4T13Gm" TargetMode="External"/><Relationship Id="rId203" Type="http://schemas.openxmlformats.org/officeDocument/2006/relationships/hyperlink" Target="https://drive.google.com/open?id=1luMfhLbX8qHd_ATmLKgO6bQuHv_UA7ta" TargetMode="External"/><Relationship Id="rId385" Type="http://schemas.openxmlformats.org/officeDocument/2006/relationships/hyperlink" Target="https://drive.google.com/open?id=1KNPiXc53wzrK2UL2IZLkhwFM_VUxkLUf" TargetMode="External"/><Relationship Id="rId19" Type="http://schemas.openxmlformats.org/officeDocument/2006/relationships/hyperlink" Target="https://drive.google.com/open?id=132IEnJiZ5dtzWAjQWBcgAsGfPMGHjHtv" TargetMode="External"/><Relationship Id="rId224" Type="http://schemas.openxmlformats.org/officeDocument/2006/relationships/hyperlink" Target="https://drive.google.com/open?id=1WvyYjfacBYr-n1Lm15CmG_dgDj-LUcXu" TargetMode="External"/><Relationship Id="rId245" Type="http://schemas.openxmlformats.org/officeDocument/2006/relationships/hyperlink" Target="https://drive.google.com/open?id=1xXse0koQTztlNSItMAJlhgc1RsAdNPCx" TargetMode="External"/><Relationship Id="rId266" Type="http://schemas.openxmlformats.org/officeDocument/2006/relationships/hyperlink" Target="https://drive.google.com/open?id=10Hwq4MA5KT85mWTjFiLUZVEukHTQBLzc" TargetMode="External"/><Relationship Id="rId287" Type="http://schemas.openxmlformats.org/officeDocument/2006/relationships/hyperlink" Target="https://drive.google.com/open?id=1KLtUwJoOpStCDhSSgrawV9BrKbWCP7XK" TargetMode="External"/><Relationship Id="rId410" Type="http://schemas.openxmlformats.org/officeDocument/2006/relationships/hyperlink" Target="https://drive.google.com/open?id=1PiXBTHpzXBTpv49lIFjnsr0EisZQDlC6" TargetMode="External"/><Relationship Id="rId30" Type="http://schemas.openxmlformats.org/officeDocument/2006/relationships/hyperlink" Target="https://drive.google.com/open?id=1kywtTt-ZdCFMbk7B8Z1Qomf_57KoJADR" TargetMode="External"/><Relationship Id="rId105" Type="http://schemas.openxmlformats.org/officeDocument/2006/relationships/hyperlink" Target="https://drive.google.com/open?id=1jcogJRrj8WE2o8CODTYkZ5i4SFH7wzkx" TargetMode="External"/><Relationship Id="rId126" Type="http://schemas.openxmlformats.org/officeDocument/2006/relationships/hyperlink" Target="https://drive.google.com/open?id=1MJkETpROneOvWMBgSz8iJbgM1TKc20qe" TargetMode="External"/><Relationship Id="rId147" Type="http://schemas.openxmlformats.org/officeDocument/2006/relationships/hyperlink" Target="https://drive.google.com/open?id=1oAzbKUPROwZn3gEcmGypAOH8IXHJX5hyhttps://drive.google.com/open?id=1XJUYKuOHKgXV-ejMfrhw9cEyDDbSPigi" TargetMode="External"/><Relationship Id="rId168" Type="http://schemas.openxmlformats.org/officeDocument/2006/relationships/hyperlink" Target="https://drive.google.com/open?id=1BXHYsu0-dFRNjf-zw7XPmYh0Cs9eWZ59https://drive.google.com/open?id=1umspcLB1UeBJmwU7Qnc56hT4E5l4G1gi" TargetMode="External"/><Relationship Id="rId312" Type="http://schemas.openxmlformats.org/officeDocument/2006/relationships/hyperlink" Target="https://drive.google.com/open?id=1XEvsOrE_USGvdMvIqeffV6EWSlpDiVOt" TargetMode="External"/><Relationship Id="rId333" Type="http://schemas.openxmlformats.org/officeDocument/2006/relationships/hyperlink" Target="https://drive.google.com/open?id=1oVPr8UHfCXih3fncyJtghI9V-PzPENCr" TargetMode="External"/><Relationship Id="rId354" Type="http://schemas.openxmlformats.org/officeDocument/2006/relationships/hyperlink" Target="https://drive.google.com/open?id=1lASF0wfJp-zP5CZUi-iZvo07PUPtptkh" TargetMode="External"/><Relationship Id="rId51" Type="http://schemas.openxmlformats.org/officeDocument/2006/relationships/hyperlink" Target="https://drive.google.com/open?id=1RX4O-IQN33YEVfTrFwekF9m_xFtCZXkh" TargetMode="External"/><Relationship Id="rId72" Type="http://schemas.openxmlformats.org/officeDocument/2006/relationships/hyperlink" Target="https://drive.google.com/open?id=1-rigo8wXxrWQ2WDfjt2o3oyATbfMdbvJ" TargetMode="External"/><Relationship Id="rId93" Type="http://schemas.openxmlformats.org/officeDocument/2006/relationships/hyperlink" Target="https://drive.google.com/open?id=1DMaorImdwq1KsxuynZYpwBuxX9ha4T3W" TargetMode="External"/><Relationship Id="rId189" Type="http://schemas.openxmlformats.org/officeDocument/2006/relationships/hyperlink" Target="https://drive.google.com/open?id=1NUuyCojwMQpLia9smX1Cr5m0vUWv3Mh0" TargetMode="External"/><Relationship Id="rId375" Type="http://schemas.openxmlformats.org/officeDocument/2006/relationships/hyperlink" Target="https://drive.google.com/open?id=1Ib-qr538UtJCFys82f_u3JVO9Uamkdl6" TargetMode="External"/><Relationship Id="rId396" Type="http://schemas.openxmlformats.org/officeDocument/2006/relationships/hyperlink" Target="https://drive.google.com/open?id=1NdktZB83ilrVe7ZSL31bHGWi_zWBwAX2" TargetMode="External"/><Relationship Id="rId3" Type="http://schemas.openxmlformats.org/officeDocument/2006/relationships/hyperlink" Target="https://drive.google.com/open?id=1yC594PHRYdASnExHXFvIV00MkjuuQbOk" TargetMode="External"/><Relationship Id="rId214" Type="http://schemas.openxmlformats.org/officeDocument/2006/relationships/hyperlink" Target="https://drive.google.com/open?id=1YFXN9KG-GOIQU-UY7trwe7_1uL3cbg9A" TargetMode="External"/><Relationship Id="rId235" Type="http://schemas.openxmlformats.org/officeDocument/2006/relationships/hyperlink" Target="https://drive.google.com/open?id=1lmo31LX7AApu4frVE3oWZWWT8JBDrwhr" TargetMode="External"/><Relationship Id="rId256" Type="http://schemas.openxmlformats.org/officeDocument/2006/relationships/hyperlink" Target="https://drive.google.com/open?id=1k_DbuusSfGhgmoS5pfKBRaF7dgW1FQZM" TargetMode="External"/><Relationship Id="rId277" Type="http://schemas.openxmlformats.org/officeDocument/2006/relationships/hyperlink" Target="https://drive.google.com/open?id=1zCXb9DdgBxuwFIGYBNxj5e2hPxr232Y5" TargetMode="External"/><Relationship Id="rId298" Type="http://schemas.openxmlformats.org/officeDocument/2006/relationships/hyperlink" Target="https://drive.google.com/open?id=1uhXy5sxACAZNm0R54ps9RfutkWYuhktX" TargetMode="External"/><Relationship Id="rId400" Type="http://schemas.openxmlformats.org/officeDocument/2006/relationships/hyperlink" Target="https://drive.google.com/open?id=13ZHothuZ8Q8piA1go9xkKnNLKg3Wlet1" TargetMode="External"/><Relationship Id="rId116" Type="http://schemas.openxmlformats.org/officeDocument/2006/relationships/hyperlink" Target="https://drive.google.com/open?id=1VWAsV3SYeDXhamjMVk3esak5QwR8CXsu" TargetMode="External"/><Relationship Id="rId137" Type="http://schemas.openxmlformats.org/officeDocument/2006/relationships/hyperlink" Target="https://drive.google.com/open?id=11uZHyQaBU74wlS08FDIB4g0rr6WLselm" TargetMode="External"/><Relationship Id="rId158" Type="http://schemas.openxmlformats.org/officeDocument/2006/relationships/hyperlink" Target="https://drive.google.com/open?id=1yHMV3O4MtWJOsKOgusJSbxvrlPN3gmuVhttps://drive.google.com/open?id=1C9TDFgxe8nJTsg4aWy40E3kTEtFrLwKt" TargetMode="External"/><Relationship Id="rId302" Type="http://schemas.openxmlformats.org/officeDocument/2006/relationships/hyperlink" Target="https://drive.google.com/open?id=1FVrHIn-HJKbmr6Z4yL75rTrmVpkQGMzF" TargetMode="External"/><Relationship Id="rId323" Type="http://schemas.openxmlformats.org/officeDocument/2006/relationships/hyperlink" Target="https://drive.google.com/open?id=1OffUtYM7H4mupwNHjkzhBA4RiBgSYGKS" TargetMode="External"/><Relationship Id="rId344" Type="http://schemas.openxmlformats.org/officeDocument/2006/relationships/hyperlink" Target="https://drive.google.com/open?id=1qbARzhJ4rldx4QEB89znqUL5Q8T-w3o3" TargetMode="External"/><Relationship Id="rId20" Type="http://schemas.openxmlformats.org/officeDocument/2006/relationships/hyperlink" Target="https://drive.google.com/open?id=1M229EJy5i7Nz08phWw2Wjk1cipPitI14" TargetMode="External"/><Relationship Id="rId41" Type="http://schemas.openxmlformats.org/officeDocument/2006/relationships/hyperlink" Target="https://drive.google.com/open?id=1fD0GYjVJCKiLY2xqKdkiGaB0qE7zMerg" TargetMode="External"/><Relationship Id="rId62" Type="http://schemas.openxmlformats.org/officeDocument/2006/relationships/hyperlink" Target="https://drive.google.com/open?id=15vGyAFLjwLpOzIzwcu4lyeYSdgJKo6Ne" TargetMode="External"/><Relationship Id="rId83" Type="http://schemas.openxmlformats.org/officeDocument/2006/relationships/hyperlink" Target="https://drive.google.com/open?id=16orVnjjB-g9Qq6UcwSa26Jbw7QSb-eVN" TargetMode="External"/><Relationship Id="rId179" Type="http://schemas.openxmlformats.org/officeDocument/2006/relationships/hyperlink" Target="https://drive.google.com/open?id=1W6Dq243q5fW2H1WCmbMJLEvyLOhvPAuM" TargetMode="External"/><Relationship Id="rId365" Type="http://schemas.openxmlformats.org/officeDocument/2006/relationships/hyperlink" Target="https://drive.google.com/open?id=1bxcTw6HFHltK3DGzbIyinJd2raTX8f9K" TargetMode="External"/><Relationship Id="rId386" Type="http://schemas.openxmlformats.org/officeDocument/2006/relationships/hyperlink" Target="https://drive.google.com/open?id=1uCdK0GLasONHydiHFrltbdHLXBECRTgp" TargetMode="External"/><Relationship Id="rId190" Type="http://schemas.openxmlformats.org/officeDocument/2006/relationships/hyperlink" Target="https://drive.google.com/open?id=1QPWof4NaRpuYDAY1pyX6UlK-BodwgZK1" TargetMode="External"/><Relationship Id="rId204" Type="http://schemas.openxmlformats.org/officeDocument/2006/relationships/hyperlink" Target="https://drive.google.com/open?id=1LMXsu2gv9w9BME3aLkE-ZnM61XIOuVYe" TargetMode="External"/><Relationship Id="rId225" Type="http://schemas.openxmlformats.org/officeDocument/2006/relationships/hyperlink" Target="https://drive.google.com/open?id=1RXt0Btc21O3OzMlnuW88ToX_4_moezm5" TargetMode="External"/><Relationship Id="rId246" Type="http://schemas.openxmlformats.org/officeDocument/2006/relationships/hyperlink" Target="https://drive.google.com/open?id=1VCWpZvjEgCZFjEaEtxkYrSZyFIV6kNfb" TargetMode="External"/><Relationship Id="rId267" Type="http://schemas.openxmlformats.org/officeDocument/2006/relationships/hyperlink" Target="https://drive.google.com/open?id=149QAH9XOyxlxZPD5GBBsdgiAH5nyXr0j" TargetMode="External"/><Relationship Id="rId288" Type="http://schemas.openxmlformats.org/officeDocument/2006/relationships/hyperlink" Target="https://drive.google.com/open?id=1eL2yZAoR9_rU9V9PLRcJrbap3_4fl6hl" TargetMode="External"/><Relationship Id="rId106" Type="http://schemas.openxmlformats.org/officeDocument/2006/relationships/hyperlink" Target="https://drive.google.com/open?id=1BO3b--hkAHXvopUSKRGe90BVssQ9uwb6" TargetMode="External"/><Relationship Id="rId127" Type="http://schemas.openxmlformats.org/officeDocument/2006/relationships/hyperlink" Target="https://drive.google.com/open?id=1qDtihalOEUQ07991VaH1Cc0aUzHy1GfS" TargetMode="External"/><Relationship Id="rId313" Type="http://schemas.openxmlformats.org/officeDocument/2006/relationships/hyperlink" Target="https://drive.google.com/open?id=1S4cQrdBj1brZkel4WR-X13tn0YzHQvzS" TargetMode="External"/><Relationship Id="rId10" Type="http://schemas.openxmlformats.org/officeDocument/2006/relationships/hyperlink" Target="https://drive.google.com/open?id=135ICu-nTszGnTy5HeGacY_0w-z3ugk95" TargetMode="External"/><Relationship Id="rId31" Type="http://schemas.openxmlformats.org/officeDocument/2006/relationships/hyperlink" Target="https://drive.google.com/open?id=1lEhdQ36teqoR2-cE1TviDr_MKiYRMRBO" TargetMode="External"/><Relationship Id="rId52" Type="http://schemas.openxmlformats.org/officeDocument/2006/relationships/hyperlink" Target="https://drive.google.com/open?id=1EgthPuR8Zhc6vekWTuZZvTdSyFZYRm-A" TargetMode="External"/><Relationship Id="rId73" Type="http://schemas.openxmlformats.org/officeDocument/2006/relationships/hyperlink" Target="https://drive.google.com/open?id=1YrAFNwYXPKKdbSLDuHgSYrwjHQhJURPn" TargetMode="External"/><Relationship Id="rId94" Type="http://schemas.openxmlformats.org/officeDocument/2006/relationships/hyperlink" Target="https://drive.google.com/open?id=12wJ06s4N1NmGQuDjk7kfBEVsCXf834rJ" TargetMode="External"/><Relationship Id="rId148" Type="http://schemas.openxmlformats.org/officeDocument/2006/relationships/hyperlink" Target="https://drive.google.com/open?id=1iBMsXpWH7DgNbiRPDDRlf3tR5c00kVNphttps://drive.google.com/open?id=1v_z3KgcwMpj7p8rdGy_LlnmIk5xke9_m" TargetMode="External"/><Relationship Id="rId169" Type="http://schemas.openxmlformats.org/officeDocument/2006/relationships/hyperlink" Target="https://drive.google.com/open?id=14jdPtEVsSoX1M292hxgsLOBSbXb9DY0Ihttps://drive.google.com/open?id=10c0l-pCoMWvP3D0i5-AJ-daRJ0ehXuM9" TargetMode="External"/><Relationship Id="rId334" Type="http://schemas.openxmlformats.org/officeDocument/2006/relationships/hyperlink" Target="https://drive.google.com/open?id=1yDqsqVOSy90j16RxSw0Rx5gqEYPTRxcj" TargetMode="External"/><Relationship Id="rId355" Type="http://schemas.openxmlformats.org/officeDocument/2006/relationships/hyperlink" Target="https://drive.google.com/open?id=1iY5KWuoR7NNCE4lU4bxzudCKnMzkcerE" TargetMode="External"/><Relationship Id="rId376" Type="http://schemas.openxmlformats.org/officeDocument/2006/relationships/hyperlink" Target="https://drive.google.com/open?id=1WaXfY_-dU4DSmNJd9dnThS4vKful44j5" TargetMode="External"/><Relationship Id="rId397" Type="http://schemas.openxmlformats.org/officeDocument/2006/relationships/hyperlink" Target="https://drive.google.com/open?id=1W0frMdPODw3DAlXl5kNdtsyY0isk9x6n" TargetMode="External"/><Relationship Id="rId4" Type="http://schemas.openxmlformats.org/officeDocument/2006/relationships/hyperlink" Target="https://drive.google.com/open?id=1_OChKYB3zALFaKVcWoIrvrI-vTqRqpXn" TargetMode="External"/><Relationship Id="rId180" Type="http://schemas.openxmlformats.org/officeDocument/2006/relationships/hyperlink" Target="https://drive.google.com/open?id=17h-ZIQyG2SXEFQz7j9cNT7aEoV2c2Fk6" TargetMode="External"/><Relationship Id="rId215" Type="http://schemas.openxmlformats.org/officeDocument/2006/relationships/hyperlink" Target="https://drive.google.com/open?id=1uhjV1EeYNMvUtdzRfXdz6CWI6ZETJTZ6" TargetMode="External"/><Relationship Id="rId236" Type="http://schemas.openxmlformats.org/officeDocument/2006/relationships/hyperlink" Target="https://drive.google.com/open?id=1n7aySAlp9n8FCNW1lZm3HDq475FTT6JV" TargetMode="External"/><Relationship Id="rId257" Type="http://schemas.openxmlformats.org/officeDocument/2006/relationships/hyperlink" Target="https://drive.google.com/open?id=15QyqOKQ7_CpM8gCCBRkzsza-XJIqESGD" TargetMode="External"/><Relationship Id="rId278" Type="http://schemas.openxmlformats.org/officeDocument/2006/relationships/hyperlink" Target="https://drive.google.com/open?id=1RocmkCpKY4eDV9p9YeGr01OArJvGo-DG" TargetMode="External"/><Relationship Id="rId401" Type="http://schemas.openxmlformats.org/officeDocument/2006/relationships/hyperlink" Target="https://drive.google.com/open?id=1B1B1aOi8HCDqXLVOaZUgYKpx5G2M3qmm" TargetMode="External"/><Relationship Id="rId303" Type="http://schemas.openxmlformats.org/officeDocument/2006/relationships/hyperlink" Target="https://drive.google.com/open?id=1vyMziOq2AyWTBhb1LfCEBEu5o9-XSUvO" TargetMode="External"/><Relationship Id="rId42" Type="http://schemas.openxmlformats.org/officeDocument/2006/relationships/hyperlink" Target="https://drive.google.com/open?id=1adcOIeS8WPunZcUsqvchJpcqj1qtOmqw" TargetMode="External"/><Relationship Id="rId84" Type="http://schemas.openxmlformats.org/officeDocument/2006/relationships/hyperlink" Target="https://drive.google.com/open?id=1ykvpp3K38nSriDoNDB58c9P-7pjLCmzc" TargetMode="External"/><Relationship Id="rId138" Type="http://schemas.openxmlformats.org/officeDocument/2006/relationships/hyperlink" Target="https://drive.google.com/open?id=1f1fT-coijxvXGyqcO2nOpK7T5RdPbbKX" TargetMode="External"/><Relationship Id="rId345" Type="http://schemas.openxmlformats.org/officeDocument/2006/relationships/hyperlink" Target="https://drive.google.com/open?id=1Fo67aawsTqni-8p1c6__dCSwjE18uzqP" TargetMode="External"/><Relationship Id="rId387" Type="http://schemas.openxmlformats.org/officeDocument/2006/relationships/hyperlink" Target="https://drive.google.com/open?id=1OEDYfS_F4Xr6YoMZFRkl5vnIsxzJDeME" TargetMode="External"/><Relationship Id="rId191" Type="http://schemas.openxmlformats.org/officeDocument/2006/relationships/hyperlink" Target="https://drive.google.com/open?id=1R8cqirk3A3nOKfKOlXjbK4EqavyvRlxP" TargetMode="External"/><Relationship Id="rId205" Type="http://schemas.openxmlformats.org/officeDocument/2006/relationships/hyperlink" Target="https://drive.google.com/open?id=18qAy46Y_A3PW5RduBH0cCOK-yeGPLGuv" TargetMode="External"/><Relationship Id="rId247" Type="http://schemas.openxmlformats.org/officeDocument/2006/relationships/hyperlink" Target="https://drive.google.com/open?id=1pD3COL79dFhDFEwDVOzl0YkQBoonVI1t" TargetMode="External"/><Relationship Id="rId107" Type="http://schemas.openxmlformats.org/officeDocument/2006/relationships/hyperlink" Target="https://drive.google.com/open?id=137fgTpOFGX32bK_DpeGGIC-ov595TO17" TargetMode="External"/><Relationship Id="rId289" Type="http://schemas.openxmlformats.org/officeDocument/2006/relationships/hyperlink" Target="https://drive.google.com/open?id=1ZPDiCe-fniN3ijgUN3ZBgn9Qxwv-pLHD" TargetMode="External"/><Relationship Id="rId11" Type="http://schemas.openxmlformats.org/officeDocument/2006/relationships/hyperlink" Target="https://drive.google.com/open?id=1RuSFsGGjpDV7Z_RMwdeJr60dwaiELRMM" TargetMode="External"/><Relationship Id="rId53" Type="http://schemas.openxmlformats.org/officeDocument/2006/relationships/hyperlink" Target="https://drive.google.com/open?id=1mqtMmPSA7WP8_zCbXIk3wJqzuhujQZoP" TargetMode="External"/><Relationship Id="rId149" Type="http://schemas.openxmlformats.org/officeDocument/2006/relationships/hyperlink" Target="https://drive.google.com/open?id=16ufMy_vgel02YE_LwrSnsm6G5f-HFMiShttps://drive.google.com/open?id=1c71SD3cUiHzU_umC6pq6YmIuRv_MKPm7" TargetMode="External"/><Relationship Id="rId314" Type="http://schemas.openxmlformats.org/officeDocument/2006/relationships/hyperlink" Target="https://drive.google.com/open?id=1YWkjNyrLm9-ATJWV3JPIRmWe8MZpisSf" TargetMode="External"/><Relationship Id="rId356" Type="http://schemas.openxmlformats.org/officeDocument/2006/relationships/hyperlink" Target="https://drive.google.com/open?id=1R_lBc_vJFfHrSVsYoTEDsVKpwaNmh5DQ" TargetMode="External"/><Relationship Id="rId398" Type="http://schemas.openxmlformats.org/officeDocument/2006/relationships/hyperlink" Target="https://drive.google.com/open?id=1zcooi5v5K2wxplI2ieWc6hugFEQtVIS0" TargetMode="External"/><Relationship Id="rId95" Type="http://schemas.openxmlformats.org/officeDocument/2006/relationships/hyperlink" Target="https://drive.google.com/open?id=1Sv-CtUVQLNPBLBph1dkJkJwzM7lLvwFg" TargetMode="External"/><Relationship Id="rId160" Type="http://schemas.openxmlformats.org/officeDocument/2006/relationships/hyperlink" Target="https://drive.google.com/open?id=12_IaxRvoIVsvtkC29BvvXZmasWOmqx93https://drive.google.com/open?id=1SfmkgPudUmbc_7P18wvghsurzfAh2wIg" TargetMode="External"/><Relationship Id="rId216" Type="http://schemas.openxmlformats.org/officeDocument/2006/relationships/hyperlink" Target="https://drive.google.com/open?id=1UxQIHcR6mGZJACpDV7JShq85qI04MvC6" TargetMode="External"/><Relationship Id="rId258" Type="http://schemas.openxmlformats.org/officeDocument/2006/relationships/hyperlink" Target="https://drive.google.com/open?id=1cAfVmu4Id158zC4lQLedfGWp1vaL8tIb" TargetMode="External"/><Relationship Id="rId22" Type="http://schemas.openxmlformats.org/officeDocument/2006/relationships/hyperlink" Target="https://drive.google.com/open?id=1Z9gGaJHiSFvTXMwznSNrPArtaHuqJufp" TargetMode="External"/><Relationship Id="rId64" Type="http://schemas.openxmlformats.org/officeDocument/2006/relationships/hyperlink" Target="https://drive.google.com/open?id=1h_SckoDRWeGkt-D783iNptVuA3DpL4tW" TargetMode="External"/><Relationship Id="rId118" Type="http://schemas.openxmlformats.org/officeDocument/2006/relationships/hyperlink" Target="https://drive.google.com/open?id=18eqQvfA0sKYFUUoZ6fm0CgH1fGgpLsmQ" TargetMode="External"/><Relationship Id="rId325" Type="http://schemas.openxmlformats.org/officeDocument/2006/relationships/hyperlink" Target="https://drive.google.com/open?id=1ShL0e8u1mAJlubTY46cYr1S02RrhdPDC" TargetMode="External"/><Relationship Id="rId367" Type="http://schemas.openxmlformats.org/officeDocument/2006/relationships/hyperlink" Target="https://drive.google.com/open?id=1yJ7tmjotYNxXZ7nVL_GTwM1TjzzRQqrs" TargetMode="External"/><Relationship Id="rId171" Type="http://schemas.openxmlformats.org/officeDocument/2006/relationships/hyperlink" Target="https://drive.google.com/open?id=1Hktw0Ndm3FSLoXnZHVkF0wwEDV0PkDR5https://drive.google.com/open?id=1uAInKvhHpVfJGwLkGnOF4-Ny8et7lDc5" TargetMode="External"/><Relationship Id="rId227" Type="http://schemas.openxmlformats.org/officeDocument/2006/relationships/hyperlink" Target="https://drive.google.com/open?id=1H8G69Umq1or4bjIynNXEULej2i-_Q6FN" TargetMode="External"/><Relationship Id="rId269" Type="http://schemas.openxmlformats.org/officeDocument/2006/relationships/hyperlink" Target="https://drive.google.com/open?id=1M3uS65H74WzdphAKi2DDRHTuQaHJefuD" TargetMode="External"/><Relationship Id="rId33" Type="http://schemas.openxmlformats.org/officeDocument/2006/relationships/hyperlink" Target="https://drive.google.com/open?id=1uu785Ijmm5i5hF1K63duqKTKxGcynaNl" TargetMode="External"/><Relationship Id="rId129" Type="http://schemas.openxmlformats.org/officeDocument/2006/relationships/hyperlink" Target="https://drive.google.com/open?id=1abH39npmAMxfu5iA8IuamqlTXnRE8eX8" TargetMode="External"/><Relationship Id="rId280" Type="http://schemas.openxmlformats.org/officeDocument/2006/relationships/hyperlink" Target="https://drive.google.com/open?id=1Ybh4NLrZAgZZDzy6VAI-vnwwLEBx_5FN" TargetMode="External"/><Relationship Id="rId336" Type="http://schemas.openxmlformats.org/officeDocument/2006/relationships/hyperlink" Target="https://drive.google.com/open?id=1vl-EXStra_4MgsmX8P23_nZQ3zAYa0tt" TargetMode="External"/><Relationship Id="rId75" Type="http://schemas.openxmlformats.org/officeDocument/2006/relationships/hyperlink" Target="https://drive.google.com/open?id=1MvUrXdH_ql0F_QudnOMKVva5ivwpk2Hr" TargetMode="External"/><Relationship Id="rId140" Type="http://schemas.openxmlformats.org/officeDocument/2006/relationships/hyperlink" Target="https://drive.google.com/open?id=1I8dP6jKzgC11rQkhWXFHihShLWr0Yu45" TargetMode="External"/><Relationship Id="rId182" Type="http://schemas.openxmlformats.org/officeDocument/2006/relationships/hyperlink" Target="https://drive.google.com/open?id=1l7QrWHwBtD7853C7VAD4Nv2MJ-LWrkXs" TargetMode="External"/><Relationship Id="rId378" Type="http://schemas.openxmlformats.org/officeDocument/2006/relationships/hyperlink" Target="https://drive.google.com/open?id=16nxt-dSNmb56MldgaTl5pKQRr2emx-V6" TargetMode="External"/><Relationship Id="rId403" Type="http://schemas.openxmlformats.org/officeDocument/2006/relationships/hyperlink" Target="https://drive.google.com/open?id=1jlIDxe5exYndsr1Mop-RBMgh3Zbz8x6E" TargetMode="External"/><Relationship Id="rId6" Type="http://schemas.openxmlformats.org/officeDocument/2006/relationships/hyperlink" Target="https://drive.google.com/open?id=1-C8HtaadAShQcjP0QHweCuz155BZBsqa" TargetMode="External"/><Relationship Id="rId238" Type="http://schemas.openxmlformats.org/officeDocument/2006/relationships/hyperlink" Target="https://drive.google.com/open?id=1ac1gccQ-nDYzmab5XLg-IYr0euvj8Xqk" TargetMode="External"/><Relationship Id="rId291" Type="http://schemas.openxmlformats.org/officeDocument/2006/relationships/hyperlink" Target="https://drive.google.com/open?id=1DejIHCQTMsXVBuGFsA7EiYDNw_tiHEUF" TargetMode="External"/><Relationship Id="rId305" Type="http://schemas.openxmlformats.org/officeDocument/2006/relationships/hyperlink" Target="https://drive.google.com/open?id=1_0lXLSkqrfwmdbrYeMHkW3YCPYcR_FHV" TargetMode="External"/><Relationship Id="rId347" Type="http://schemas.openxmlformats.org/officeDocument/2006/relationships/hyperlink" Target="https://drive.google.com/open?id=1q-RoAdVvURyM0h0dpdCb5fk5yWtlQsgs" TargetMode="External"/><Relationship Id="rId44" Type="http://schemas.openxmlformats.org/officeDocument/2006/relationships/hyperlink" Target="https://drive.google.com/open?id=1Uxn6aDc8498h7BYqFrKq8Z-y2p3BadmZ" TargetMode="External"/><Relationship Id="rId86" Type="http://schemas.openxmlformats.org/officeDocument/2006/relationships/hyperlink" Target="https://drive.google.com/open?id=1UpZW17UMtU_Yn4Zbh8UwC_a6VF7FR1De" TargetMode="External"/><Relationship Id="rId151" Type="http://schemas.openxmlformats.org/officeDocument/2006/relationships/hyperlink" Target="https://drive.google.com/open?id=1UJ3iFF_7L33FJUfNesMnbdIDqfJTb5_uhttps://drive.google.com/open?id=1kmFDmTqJF5DN13Zoc0Uxe0Rk9765GDl7" TargetMode="External"/><Relationship Id="rId389" Type="http://schemas.openxmlformats.org/officeDocument/2006/relationships/hyperlink" Target="https://drive.google.com/open?id=1aGH0tkRPCs2mH4i4o4sZ8gkq4rle5sla" TargetMode="External"/><Relationship Id="rId193" Type="http://schemas.openxmlformats.org/officeDocument/2006/relationships/hyperlink" Target="https://drive.google.com/open?id=1KrBZcH8zU3ZFwsIqH56bB3pOeqLt0YIx" TargetMode="External"/><Relationship Id="rId207" Type="http://schemas.openxmlformats.org/officeDocument/2006/relationships/hyperlink" Target="https://drive.google.com/open?id=1-Pt3ifAzfdv44M8ZjzcCXu-N1KbB4Ic9" TargetMode="External"/><Relationship Id="rId249" Type="http://schemas.openxmlformats.org/officeDocument/2006/relationships/hyperlink" Target="https://drive.google.com/open?id=1e5uwe_Lw6L_hVtqKLTRMB3ecTeoRxqEr" TargetMode="External"/><Relationship Id="rId13" Type="http://schemas.openxmlformats.org/officeDocument/2006/relationships/hyperlink" Target="https://drive.google.com/open?id=1MTTpFHPyYTMzeEVcIGHGV2i76jJxSe3_" TargetMode="External"/><Relationship Id="rId109" Type="http://schemas.openxmlformats.org/officeDocument/2006/relationships/hyperlink" Target="https://drive.google.com/open?id=13YkTf8-O7GM6-87B19EMyB5QKd3yyOfj" TargetMode="External"/><Relationship Id="rId260" Type="http://schemas.openxmlformats.org/officeDocument/2006/relationships/hyperlink" Target="https://drive.google.com/open?id=1wpcFQlI9iAORr_TLAT3bAlhO_YR5yDFH" TargetMode="External"/><Relationship Id="rId316" Type="http://schemas.openxmlformats.org/officeDocument/2006/relationships/hyperlink" Target="https://drive.google.com/open?id=1tCe1WLN_z764wLfuD8Az9vSWOn3ovHiP" TargetMode="External"/><Relationship Id="rId55" Type="http://schemas.openxmlformats.org/officeDocument/2006/relationships/hyperlink" Target="https://drive.google.com/open?id=1wRY2eSa5SY5MSOlaJK6TrCe_3TtmC2T3" TargetMode="External"/><Relationship Id="rId97" Type="http://schemas.openxmlformats.org/officeDocument/2006/relationships/hyperlink" Target="https://drive.google.com/open?id=1BwcruElr9-djNKE0aOT7wWHLAUjwyBDG" TargetMode="External"/><Relationship Id="rId120" Type="http://schemas.openxmlformats.org/officeDocument/2006/relationships/hyperlink" Target="https://drive.google.com/open?id=1JpeCOr9Q1qseJu2HGo7gwXpkMEJ5Sxps" TargetMode="External"/><Relationship Id="rId358" Type="http://schemas.openxmlformats.org/officeDocument/2006/relationships/hyperlink" Target="https://drive.google.com/open?id=1m_jvdxOrkiVd3Gib3jEzPpz_2gZMl5Gu" TargetMode="External"/><Relationship Id="rId162" Type="http://schemas.openxmlformats.org/officeDocument/2006/relationships/hyperlink" Target="https://drive.google.com/open?id=1I8UYaXpgmXnTiCT4oeGwV0eIFQx9aViDhttps://drive.google.com/open?id=1HF9RkamLFO89vHB-VEIYTGb9AKfr2rES" TargetMode="External"/><Relationship Id="rId218" Type="http://schemas.openxmlformats.org/officeDocument/2006/relationships/hyperlink" Target="https://drive.google.com/open?id=1zfDCePPtu9KDAGXYioAmDx8K2gSGY4th" TargetMode="External"/><Relationship Id="rId271" Type="http://schemas.openxmlformats.org/officeDocument/2006/relationships/hyperlink" Target="https://drive.google.com/open?id=1WJ7GuqKE_lGOr90OpLjwvo5jFWxyn3_n" TargetMode="External"/><Relationship Id="rId24" Type="http://schemas.openxmlformats.org/officeDocument/2006/relationships/hyperlink" Target="https://drive.google.com/open?id=1Lr6_P8bw9gVAhImAgDCpZ12iJfmwP7M7" TargetMode="External"/><Relationship Id="rId66" Type="http://schemas.openxmlformats.org/officeDocument/2006/relationships/hyperlink" Target="https://drive.google.com/open?id=1B-G-3yozFa-djBSBT4wu6WT4Qcrwae-n" TargetMode="External"/><Relationship Id="rId131" Type="http://schemas.openxmlformats.org/officeDocument/2006/relationships/hyperlink" Target="https://drive.google.com/open?id=1mRKBFVq0cODVyagwTS3lre3wTyYjUlDP" TargetMode="External"/><Relationship Id="rId327" Type="http://schemas.openxmlformats.org/officeDocument/2006/relationships/hyperlink" Target="https://drive.google.com/open?id=1CQT7RdnnSf3r_RuClfiV2xxOGLfyVCKs" TargetMode="External"/><Relationship Id="rId369" Type="http://schemas.openxmlformats.org/officeDocument/2006/relationships/hyperlink" Target="https://drive.google.com/open?id=1wkEQH6NcrH0nQSX-9y5FmsB7lCafM6S8" TargetMode="External"/><Relationship Id="rId173" Type="http://schemas.openxmlformats.org/officeDocument/2006/relationships/hyperlink" Target="https://drive.google.com/open?id=1fl1c8hDgI-hDDI3d0zadvqi2puV7wsBWhttps://drive.google.com/open?id=1Mzbc0OJKC5o-nTwMh3S3Dm-NmFE7sGf8" TargetMode="External"/><Relationship Id="rId229" Type="http://schemas.openxmlformats.org/officeDocument/2006/relationships/hyperlink" Target="https://drive.google.com/open?id=1etxKDhUwTi__KD2CLFibMaTM36cc4m4B" TargetMode="External"/><Relationship Id="rId380" Type="http://schemas.openxmlformats.org/officeDocument/2006/relationships/hyperlink" Target="https://drive.google.com/open?id=1SlvyGEix33ilaog6VvRFuk3AgXBR_Vim" TargetMode="External"/><Relationship Id="rId240" Type="http://schemas.openxmlformats.org/officeDocument/2006/relationships/hyperlink" Target="https://drive.google.com/open?id=1HGpgWIwD21kNK1yFQmmINrtyyEv6dWAt" TargetMode="External"/><Relationship Id="rId35" Type="http://schemas.openxmlformats.org/officeDocument/2006/relationships/hyperlink" Target="https://drive.google.com/open?id=15E22_LrVcx56GbhEOBU46KAi6mfeBWTy" TargetMode="External"/><Relationship Id="rId77" Type="http://schemas.openxmlformats.org/officeDocument/2006/relationships/hyperlink" Target="https://drive.google.com/open?id=1vb6SpnFpO7QpjL2NKKt3zcZffgjslj3K" TargetMode="External"/><Relationship Id="rId100" Type="http://schemas.openxmlformats.org/officeDocument/2006/relationships/hyperlink" Target="https://drive.google.com/open?id=11QZw9AwR3iac6mXk0ygtj_p2ZzGKGnxe" TargetMode="External"/><Relationship Id="rId282" Type="http://schemas.openxmlformats.org/officeDocument/2006/relationships/hyperlink" Target="https://drive.google.com/open?id=1fUnddcfDV4DWQUXCgS1uweO2i2AUkRR9" TargetMode="External"/><Relationship Id="rId338" Type="http://schemas.openxmlformats.org/officeDocument/2006/relationships/hyperlink" Target="https://drive.google.com/open?id=19vfyBAjk7KaAGyboukU2YSSfiwxRhJmS" TargetMode="External"/><Relationship Id="rId8" Type="http://schemas.openxmlformats.org/officeDocument/2006/relationships/hyperlink" Target="https://drive.google.com/open?id=1p96KNTNepar8SQY1dWS4CXXjqtorkjYp" TargetMode="External"/><Relationship Id="rId142" Type="http://schemas.openxmlformats.org/officeDocument/2006/relationships/hyperlink" Target="https://drive.google.com/open?id=1LLb5UVZ9qjFIadDmgnqt0kFehDZAvE_rhttps://drive.google.com/open?id=1-_TDkjqJhQ2jy1XbbKb5hi_lN8rYJIW1" TargetMode="External"/><Relationship Id="rId184" Type="http://schemas.openxmlformats.org/officeDocument/2006/relationships/hyperlink" Target="https://drive.google.com/open?id=1oUEOIiyEfYBrAc-DZkRtuKVni0DsHsVH" TargetMode="External"/><Relationship Id="rId391" Type="http://schemas.openxmlformats.org/officeDocument/2006/relationships/hyperlink" Target="https://drive.google.com/open?id=1HMwdqmcNKVknGpgpwusX-wGAPZmi2jSa" TargetMode="External"/><Relationship Id="rId405" Type="http://schemas.openxmlformats.org/officeDocument/2006/relationships/hyperlink" Target="https://drive.google.com/open?id=19rM8BhCj5MnYjzFQP2XPzAaXY7PFaKTv" TargetMode="External"/><Relationship Id="rId251" Type="http://schemas.openxmlformats.org/officeDocument/2006/relationships/hyperlink" Target="https://drive.google.com/open?id=1MqIIBaVKt3HUGzuA6MUuKkB5n8myHGdg" TargetMode="External"/><Relationship Id="rId46" Type="http://schemas.openxmlformats.org/officeDocument/2006/relationships/hyperlink" Target="https://drive.google.com/open?id=1S9fgBnGZZQgbWX3inKlrorqQ1B9QM4iT" TargetMode="External"/><Relationship Id="rId293" Type="http://schemas.openxmlformats.org/officeDocument/2006/relationships/hyperlink" Target="https://drive.google.com/open?id=17SKyFpwH1ntCIll8q8ZueLPiBG1XFQkr" TargetMode="External"/><Relationship Id="rId307" Type="http://schemas.openxmlformats.org/officeDocument/2006/relationships/hyperlink" Target="https://drive.google.com/open?id=1yHNS6j3hspVRyYfw7h2iflVFLiRPl3qT" TargetMode="External"/><Relationship Id="rId349" Type="http://schemas.openxmlformats.org/officeDocument/2006/relationships/hyperlink" Target="https://drive.google.com/open?id=1xw7TMXurcS-l-LGFf4WRIo7O_WlpUlCl" TargetMode="External"/><Relationship Id="rId88" Type="http://schemas.openxmlformats.org/officeDocument/2006/relationships/hyperlink" Target="https://drive.google.com/open?id=1HId2s5OCE9AGyUxf9PbjLJJtWDH_OEoJ" TargetMode="External"/><Relationship Id="rId111" Type="http://schemas.openxmlformats.org/officeDocument/2006/relationships/hyperlink" Target="https://drive.google.com/open?id=1Pbm7zidEC3Z67dtP6cE62pwTkGv65cEp" TargetMode="External"/><Relationship Id="rId153" Type="http://schemas.openxmlformats.org/officeDocument/2006/relationships/hyperlink" Target="https://drive.google.com/open?id=1AQLL-zzuGtkE9IGct9Py-2ApP-td_Ourhttps://drive.google.com/open?id=1rM0Dg-f2-X1v3E3yuPbAIB_aKMeRRqre" TargetMode="External"/><Relationship Id="rId195" Type="http://schemas.openxmlformats.org/officeDocument/2006/relationships/hyperlink" Target="https://drive.google.com/open?id=1YAm1qh0Z3vE55q3RFhffgRmWYWdNUCXP" TargetMode="External"/><Relationship Id="rId209" Type="http://schemas.openxmlformats.org/officeDocument/2006/relationships/hyperlink" Target="https://drive.google.com/open?id=1Dm1l7bN4ZK-dSYcS_dKrzOe0ERPc5dN0" TargetMode="External"/><Relationship Id="rId360" Type="http://schemas.openxmlformats.org/officeDocument/2006/relationships/hyperlink" Target="https://drive.google.com/open?id=1_FDKv2Qgbis-payvI1sVbNFiJQm3_UFg" TargetMode="External"/><Relationship Id="rId220" Type="http://schemas.openxmlformats.org/officeDocument/2006/relationships/hyperlink" Target="https://drive.google.com/open?id=1fLwJ_RSZsgZd8EZMDaugb0lB_Pghnp8c" TargetMode="External"/><Relationship Id="rId15" Type="http://schemas.openxmlformats.org/officeDocument/2006/relationships/hyperlink" Target="https://drive.google.com/open?id=1EF9DaX4W3zpjiErNVOmoqCe0GDKAL4y6" TargetMode="External"/><Relationship Id="rId57" Type="http://schemas.openxmlformats.org/officeDocument/2006/relationships/hyperlink" Target="https://drive.google.com/open?id=1GDqefiWkPRpPRC_TDB5xrUtkLShKTWC2" TargetMode="External"/><Relationship Id="rId262" Type="http://schemas.openxmlformats.org/officeDocument/2006/relationships/hyperlink" Target="https://drive.google.com/open?id=1Oo7Sh3qeOIqAuwdn_jVRefQ_jOegwQQZ" TargetMode="External"/><Relationship Id="rId318" Type="http://schemas.openxmlformats.org/officeDocument/2006/relationships/hyperlink" Target="https://drive.google.com/open?id=1Qk5enES8-H4MXmz8yOsN8fjvxq2Qa5dn" TargetMode="External"/><Relationship Id="rId99" Type="http://schemas.openxmlformats.org/officeDocument/2006/relationships/hyperlink" Target="https://drive.google.com/open?id=1JnMZZ1F1Ig4jFsudxFxhnPwVwRJhgCxd" TargetMode="External"/><Relationship Id="rId122" Type="http://schemas.openxmlformats.org/officeDocument/2006/relationships/hyperlink" Target="https://drive.google.com/open?id=1cRfWbGO5HDLNvl7fHjSLhEgRluD92u1M" TargetMode="External"/><Relationship Id="rId164" Type="http://schemas.openxmlformats.org/officeDocument/2006/relationships/hyperlink" Target="https://drive.google.com/open?id=1JLTuc_d2q3se3TrAGn32pJdN7v82kqPGhttps://drive.google.com/open?id=1EPYnPKn-fVQASBt6zitC5mfoDscFrAJ2" TargetMode="External"/><Relationship Id="rId371" Type="http://schemas.openxmlformats.org/officeDocument/2006/relationships/hyperlink" Target="https://drive.google.com/open?id=16bMcZWrFxrKKDj3ut_TyCS6RxYSjV2Gi" TargetMode="External"/><Relationship Id="rId26" Type="http://schemas.openxmlformats.org/officeDocument/2006/relationships/hyperlink" Target="https://drive.google.com/open?id=1pazox9q6mRBAYc2UPy6FMsBJEHaXnQsJ" TargetMode="External"/><Relationship Id="rId231" Type="http://schemas.openxmlformats.org/officeDocument/2006/relationships/hyperlink" Target="https://drive.google.com/open?id=18e4SIOMb8NNveNs3pypqLpKZ-wWDV63-" TargetMode="External"/><Relationship Id="rId273" Type="http://schemas.openxmlformats.org/officeDocument/2006/relationships/hyperlink" Target="https://drive.google.com/open?id=1Dtoj0QrWyPecpihFjR5hsIOgVmM6VZH0" TargetMode="External"/><Relationship Id="rId329" Type="http://schemas.openxmlformats.org/officeDocument/2006/relationships/hyperlink" Target="https://drive.google.com/open?id=1tBNo79iyXXVzh6r6XQBFNjY5MiIBnIAX" TargetMode="External"/><Relationship Id="rId68" Type="http://schemas.openxmlformats.org/officeDocument/2006/relationships/hyperlink" Target="https://drive.google.com/open?id=1WaLJIWXqQk6YHdyRTD9KnGIgh703astR" TargetMode="External"/><Relationship Id="rId133" Type="http://schemas.openxmlformats.org/officeDocument/2006/relationships/hyperlink" Target="https://drive.google.com/open?id=1_aCUYxQvIv1SDm6h9qUv2SkpjPmSy5fA" TargetMode="External"/><Relationship Id="rId175" Type="http://schemas.openxmlformats.org/officeDocument/2006/relationships/hyperlink" Target="https://drive.google.com/open?id=1lss1Ly3sY6wX8sPqJnjEnTbetjOmulnxhttps://drive.google.com/open?id=1cc4bO-F5Kpxt5OHzTdIMnRc215SWHm9t" TargetMode="External"/><Relationship Id="rId340" Type="http://schemas.openxmlformats.org/officeDocument/2006/relationships/hyperlink" Target="https://drive.google.com/open?id=1CKdn0xSI9zOSwUWAbJrBv1qTwTHISI5p" TargetMode="External"/><Relationship Id="rId200" Type="http://schemas.openxmlformats.org/officeDocument/2006/relationships/hyperlink" Target="https://drive.google.com/open?id=1D72RSsVl1i2kefC_fkyaxN8GX6qo43lu" TargetMode="External"/><Relationship Id="rId382" Type="http://schemas.openxmlformats.org/officeDocument/2006/relationships/hyperlink" Target="https://drive.google.com/open?id=1P1QzKRenSYIg3PeIqDvX90E6RbH4RARw" TargetMode="External"/><Relationship Id="rId242" Type="http://schemas.openxmlformats.org/officeDocument/2006/relationships/hyperlink" Target="https://drive.google.com/open?id=1viLRXWzr1FbdC4YKub-5vUrlGUns56Nz" TargetMode="External"/><Relationship Id="rId284" Type="http://schemas.openxmlformats.org/officeDocument/2006/relationships/hyperlink" Target="https://drive.google.com/open?id=1WooVHZNWb8uyVxT4r-Whv5MOD6vQ_Jj1" TargetMode="External"/><Relationship Id="rId37" Type="http://schemas.openxmlformats.org/officeDocument/2006/relationships/hyperlink" Target="https://drive.google.com/open?id=1ZR1rhznUwxAQclUYF6tqXvdKhGuWq9Ta" TargetMode="External"/><Relationship Id="rId79" Type="http://schemas.openxmlformats.org/officeDocument/2006/relationships/hyperlink" Target="https://drive.google.com/open?id=14Bv8y_3du3aUApVTkh9lMshEAH7dN1ug" TargetMode="External"/><Relationship Id="rId102" Type="http://schemas.openxmlformats.org/officeDocument/2006/relationships/hyperlink" Target="https://drive.google.com/open?id=1Y-0kNtJM9zL6o3vYwuBAev7jLQWuJ9pU" TargetMode="External"/><Relationship Id="rId144" Type="http://schemas.openxmlformats.org/officeDocument/2006/relationships/hyperlink" Target="https://drive.google.com/open?id=1pUwzCOiwCVkrjNEt2FuMotBuYoNaTitnhttps://drive.google.com/open?id=1k973UnhUTDlM10S1UoPsJldtYcN49Nn_" TargetMode="External"/><Relationship Id="rId90" Type="http://schemas.openxmlformats.org/officeDocument/2006/relationships/hyperlink" Target="https://drive.google.com/open?id=1DbhU2WJAYm1gpf6aS-ePuZ09bn5JcdAs" TargetMode="External"/><Relationship Id="rId186" Type="http://schemas.openxmlformats.org/officeDocument/2006/relationships/hyperlink" Target="https://drive.google.com/open?id=11jQiNgRAgPw1GjnCuMlsIvZp0g_FuFFA" TargetMode="External"/><Relationship Id="rId351" Type="http://schemas.openxmlformats.org/officeDocument/2006/relationships/hyperlink" Target="https://drive.google.com/open?id=1-EG5p9L7DbojsXwFjmQESe7QANB2FR2-" TargetMode="External"/><Relationship Id="rId393" Type="http://schemas.openxmlformats.org/officeDocument/2006/relationships/hyperlink" Target="https://drive.google.com/open?id=1LiS9el9VPKwAH512WTaD-BU7x8gljh4Q" TargetMode="External"/><Relationship Id="rId407" Type="http://schemas.openxmlformats.org/officeDocument/2006/relationships/hyperlink" Target="https://drive.google.com/open?id=16AooVCfuapwqZ35XCyUGZgnIl25dGsET" TargetMode="External"/><Relationship Id="rId211" Type="http://schemas.openxmlformats.org/officeDocument/2006/relationships/hyperlink" Target="https://drive.google.com/open?id=1FtQZ0JNmgiyy7ZyWCOpgtGx_9q5bpjnb" TargetMode="External"/><Relationship Id="rId253" Type="http://schemas.openxmlformats.org/officeDocument/2006/relationships/hyperlink" Target="https://drive.google.com/open?id=1y2xmdO0WWSmWS8t_TTx1hS_hy_HWRzjC" TargetMode="External"/><Relationship Id="rId295" Type="http://schemas.openxmlformats.org/officeDocument/2006/relationships/hyperlink" Target="https://drive.google.com/open?id=1acVWT2B9ayQmVjdBZ4T33H5pTaLKRHia" TargetMode="External"/><Relationship Id="rId309" Type="http://schemas.openxmlformats.org/officeDocument/2006/relationships/hyperlink" Target="https://drive.google.com/open?id=15Z2vUoZOsNHEdy_kjRhi8MU0CFtEstC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E4CD9F-A82A-4403-962C-EBFE010568E0}">
  <dimension ref="A1:Z1000"/>
  <sheetViews>
    <sheetView tabSelected="1" workbookViewId="0">
      <selection sqref="A1:XFD1048576"/>
    </sheetView>
  </sheetViews>
  <sheetFormatPr defaultColWidth="14.42578125" defaultRowHeight="15" x14ac:dyDescent="0.25"/>
  <cols>
    <col min="1" max="1" width="29.7109375" style="2" customWidth="1"/>
    <col min="2" max="2" width="9.5703125" style="2" customWidth="1"/>
    <col min="3" max="3" width="9" style="2" customWidth="1"/>
    <col min="4" max="4" width="19.42578125" style="2" customWidth="1"/>
    <col min="5" max="5" width="11.7109375" style="2" customWidth="1"/>
    <col min="6" max="6" width="12.7109375" style="2" customWidth="1"/>
    <col min="7" max="7" width="10.140625" style="2" customWidth="1"/>
    <col min="8" max="8" width="11.28515625" style="2" customWidth="1"/>
    <col min="9" max="9" width="12.140625" style="2" customWidth="1"/>
    <col min="10" max="10" width="9.85546875" style="2" customWidth="1"/>
    <col min="11" max="11" width="16.85546875" style="2" customWidth="1"/>
    <col min="12" max="26" width="29.7109375" style="2" customWidth="1"/>
    <col min="27" max="16384" width="14.42578125" style="2"/>
  </cols>
  <sheetData>
    <row r="1" spans="1:26"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row>
    <row r="2" spans="1:26" x14ac:dyDescent="0.25">
      <c r="A2" s="3" t="str">
        <f ca="1">IFERROR(__xludf.DUMMYFUNCTION("QUERY(IMPORTRANGE(""1xtmzQhqT772mZYlT6urz_NlJC1NqE4TJNOroYEqkZ5Y"",""Respostas ao formulário_2021_08_08!B2:S""),""Select Col2, Col3, Col4, Col7, Col8, Col9, Col10, Col11, Col5, Col6, Col12, Col13, Col14, Col15, Col16, Col17, Col18 where Col2 is not null"""&amp;")"),"https://drive.google.com/open?id=197QDIt-e1ui6GvG8ySFHPyIbwGbFz1fP")</f>
        <v>https://drive.google.com/open?id=197QDIt-e1ui6GvG8ySFHPyIbwGbFz1fP</v>
      </c>
      <c r="B2" s="4" t="str">
        <f ca="1">IFERROR(__xludf.DUMMYFUNCTION("""COMPUTED_VALUE"""),"Enem")</f>
        <v>Enem</v>
      </c>
      <c r="C2" s="4">
        <f ca="1">IFERROR(__xludf.DUMMYFUNCTION("""COMPUTED_VALUE"""),2018)</f>
        <v>2018</v>
      </c>
      <c r="D2" s="4" t="str">
        <f ca="1">IFERROR(__xludf.DUMMYFUNCTION("""COMPUTED_VALUE"""),"Ciências Humanas")</f>
        <v>Ciências Humanas</v>
      </c>
      <c r="E2" s="4" t="str">
        <f ca="1">IFERROR(__xludf.DUMMYFUNCTION("""COMPUTED_VALUE"""),"Sociologia")</f>
        <v>Sociologia</v>
      </c>
      <c r="F2" s="4" t="str">
        <f ca="1">IFERROR(__xludf.DUMMYFUNCTION("""COMPUTED_VALUE"""),"Sociologia")</f>
        <v>Sociologia</v>
      </c>
      <c r="G2" s="4"/>
      <c r="H2" s="4"/>
      <c r="I2" s="4" t="str">
        <f ca="1">IFERROR(__xludf.DUMMYFUNCTION("""COMPUTED_VALUE"""),"Azul")</f>
        <v>Azul</v>
      </c>
      <c r="J2" s="4">
        <f ca="1">IFERROR(__xludf.DUMMYFUNCTION("""COMPUTED_VALUE"""),48)</f>
        <v>48</v>
      </c>
      <c r="K2" s="4" t="str">
        <f ca="1">IFERROR(__xludf.DUMMYFUNCTION("""COMPUTED_VALUE"""),"C")</f>
        <v>C</v>
      </c>
      <c r="L2" s="4" t="str">
        <f ca="1">IFERROR(__xludf.DUMMYFUNCTION("""COMPUTED_VALUE"""),"A tribo não possui um rei, mas um chefe que não é chefe de Estado. O que significa isso? Simplesmente que o chefe não dispõe de nenhuma autoridade, de nenhum poder de coerção, de nenhum meio de dar uma ordem. O chefe não é um comandante, as pessoas da tri"&amp;"bo não têm nenhum dever de obediência. O espaço da chefia não é o lugar do poder. Essencialmente encarregado de eliminar conflitos que podem surgir entre indivíduos, famílias e linhagens, o chefe só dispõe, para restabelecer a ordem e a concórdia, do pres"&amp;"tígio que lhe reconhece a sociedade. Mas evidentemente prestígio não significa poder, e os meios que o chefe detém para realizar sua tarefa de pacificador limitam-se ao uso exclusivo da palavra. CLASTRES, P A sociedade contra o Estado. Rio de Janeiro: Fra"&amp;"ncisco Alves, 1982 (adaptado).
O modelo político das sociedades discutidas no texto contrasta com o do Estado liberal burguês porque se baseia em:
")</f>
        <v xml:space="preserve">A tribo não possui um rei, mas um chefe que não é chefe de Estado. O que significa isso? Simplesmente que o chefe não dispõe de nenhuma autoridade, de nenhum poder de coerção, de nenhum meio de dar uma ordem. O chefe não é um comandante, as pessoas da tribo não têm nenhum dever de obediência. O espaço da chefia não é o lugar do poder. Essencialmente encarregado de eliminar conflitos que podem surgir entre indivíduos, famílias e linhagens, o chefe só dispõe, para restabelecer a ordem e a concórdia, do prestígio que lhe reconhece a sociedade. Mas evidentemente prestígio não significa poder, e os meios que o chefe detém para realizar sua tarefa de pacificador limitam-se ao uso exclusivo da palavra. CLASTRES, P A sociedade contra o Estado. Rio de Janeiro: Francisco Alves, 1982 (adaptado).
O modelo político das sociedades discutidas no texto contrasta com o do Estado liberal burguês porque se baseia em:
</v>
      </c>
      <c r="M2" s="4" t="str">
        <f ca="1">IFERROR(__xludf.DUMMYFUNCTION("""COMPUTED_VALUE"""),"Imposição ideológica e normas hierárquicas.")</f>
        <v>Imposição ideológica e normas hierárquicas.</v>
      </c>
      <c r="N2" s="4" t="str">
        <f ca="1">IFERROR(__xludf.DUMMYFUNCTION("""COMPUTED_VALUE"""),"Determinação divina e soberania monárquica.")</f>
        <v>Determinação divina e soberania monárquica.</v>
      </c>
      <c r="O2" s="4" t="str">
        <f ca="1">IFERROR(__xludf.DUMMYFUNCTION("""COMPUTED_VALUE"""),"Intervenção consensual e autonomia comunitária.")</f>
        <v>Intervenção consensual e autonomia comunitária.</v>
      </c>
      <c r="P2" s="4" t="str">
        <f ca="1">IFERROR(__xludf.DUMMYFUNCTION("""COMPUTED_VALUE"""),"Mediação jurídica e regras contratualistas.")</f>
        <v>Mediação jurídica e regras contratualistas.</v>
      </c>
      <c r="Q2" s="4" t="str">
        <f ca="1">IFERROR(__xludf.DUMMYFUNCTION("""COMPUTED_VALUE"""),"Gestão coletiva e obrigações tributárias.")</f>
        <v>Gestão coletiva e obrigações tributárias.</v>
      </c>
      <c r="R2" s="4"/>
      <c r="S2" s="4"/>
      <c r="T2" s="4"/>
      <c r="U2" s="4"/>
      <c r="V2" s="4"/>
      <c r="W2" s="4"/>
      <c r="X2" s="4"/>
      <c r="Y2" s="4"/>
      <c r="Z2" s="4"/>
    </row>
    <row r="3" spans="1:26" x14ac:dyDescent="0.25">
      <c r="A3" s="3" t="str">
        <f ca="1">IFERROR(__xludf.DUMMYFUNCTION("""COMPUTED_VALUE"""),"https://drive.google.com/open?id=1NL94g-7XybFSKTZgLX8eoEOTR7FKCSXQ")</f>
        <v>https://drive.google.com/open?id=1NL94g-7XybFSKTZgLX8eoEOTR7FKCSXQ</v>
      </c>
      <c r="B3" s="4" t="str">
        <f ca="1">IFERROR(__xludf.DUMMYFUNCTION("""COMPUTED_VALUE"""),"Enem")</f>
        <v>Enem</v>
      </c>
      <c r="C3" s="4">
        <f ca="1">IFERROR(__xludf.DUMMYFUNCTION("""COMPUTED_VALUE"""),2018)</f>
        <v>2018</v>
      </c>
      <c r="D3" s="4" t="str">
        <f ca="1">IFERROR(__xludf.DUMMYFUNCTION("""COMPUTED_VALUE"""),"Ciências Humanas")</f>
        <v>Ciências Humanas</v>
      </c>
      <c r="E3" s="4" t="str">
        <f ca="1">IFERROR(__xludf.DUMMYFUNCTION("""COMPUTED_VALUE"""),"Sociologia")</f>
        <v>Sociologia</v>
      </c>
      <c r="F3" s="4" t="str">
        <f ca="1">IFERROR(__xludf.DUMMYFUNCTION("""COMPUTED_VALUE"""),"Sociologia")</f>
        <v>Sociologia</v>
      </c>
      <c r="G3" s="4"/>
      <c r="H3" s="4"/>
      <c r="I3" s="4" t="str">
        <f ca="1">IFERROR(__xludf.DUMMYFUNCTION("""COMPUTED_VALUE"""),"Azul")</f>
        <v>Azul</v>
      </c>
      <c r="J3" s="4">
        <f ca="1">IFERROR(__xludf.DUMMYFUNCTION("""COMPUTED_VALUE"""),52)</f>
        <v>52</v>
      </c>
      <c r="K3" s="4" t="str">
        <f ca="1">IFERROR(__xludf.DUMMYFUNCTION("""COMPUTED_VALUE"""),"D")</f>
        <v>D</v>
      </c>
      <c r="L3" s="4" t="str">
        <f ca="1">IFERROR(__xludf.DUMMYFUNCTION("""COMPUTED_VALUE"""),"TEXTO I
Tudo aquilo que é válido para um tempo de guerra, em que todo homem é inimigo de todo homem, é válido também para o tempo durante o qual os homens vivem sem outra segurança senão a que lhes pode ser oferecida por sua própria força e invenção.HOBBE"&amp;"S, T. Leviatã. São Paulo: Abril Cultural, 1983.
TEXTO II
Não vamos concluir, com Hobbes que, por não ter nenhuma ideia de bondade, o homem seja naturalmente mau. Esse autor deveria dizer que, sendo o estado de natureza aquele em que o cuidado de nossa con"&amp;"servação é menos prejudicial à dos outros, esse estado era, por conseguinte, o mais próprio à paz e o mais conveniente ao gênero humano.ROUSSEAU, J.-J. Discurso sobre a origem e o fundamento da desigualdade entre os homens. São Paulo: Martins Fontes, 1993"&amp;" (adaptado).
Os trechos apresentam divergências conceituais entre autores que sustentam um entendimento segundo o qual a igualdade entre os homens se dá em razão de uma
")</f>
        <v xml:space="preserve">TEXTO I
Tudo aquilo que é válido para um tempo de guerra, em que todo homem é inimigo de todo homem, é válido também para o tempo durante o qual os homens vivem sem outra segurança senão a que lhes pode ser oferecida por sua própria força e invenção.HOBBES, T. Leviatã. São Paulo: Abril Cultural, 1983.
TEXTO II
Não vamos concluir, com Hobbes que, por não ter nenhuma ideia de bondade, o homem seja naturalmente mau. Esse autor deveria dizer que, sendo o estado de natureza aquele em que o cuidado de nossa conservação é menos prejudicial à dos outros, esse estado era, por conseguinte, o mais próprio à paz e o mais conveniente ao gênero humano.ROUSSEAU, J.-J. Discurso sobre a origem e o fundamento da desigualdade entre os homens. São Paulo: Martins Fontes, 1993 (adaptado).
Os trechos apresentam divergências conceituais entre autores que sustentam um entendimento segundo o qual a igualdade entre os homens se dá em razão de uma
</v>
      </c>
      <c r="M3" s="4" t="str">
        <f ca="1">IFERROR(__xludf.DUMMYFUNCTION("""COMPUTED_VALUE"""),"predisposição ao conhecimento.
")</f>
        <v xml:space="preserve">predisposição ao conhecimento.
</v>
      </c>
      <c r="N3" s="4" t="str">
        <f ca="1">IFERROR(__xludf.DUMMYFUNCTION("""COMPUTED_VALUE"""),"submissão ao transcendente.")</f>
        <v>submissão ao transcendente.</v>
      </c>
      <c r="O3" s="4" t="str">
        <f ca="1">IFERROR(__xludf.DUMMYFUNCTION("""COMPUTED_VALUE"""),"tradição epistemológica.")</f>
        <v>tradição epistemológica.</v>
      </c>
      <c r="P3" s="4" t="str">
        <f ca="1">IFERROR(__xludf.DUMMYFUNCTION("""COMPUTED_VALUE"""),"condição original.")</f>
        <v>condição original.</v>
      </c>
      <c r="Q3" s="4" t="str">
        <f ca="1">IFERROR(__xludf.DUMMYFUNCTION("""COMPUTED_VALUE"""),"vocação política.")</f>
        <v>vocação política.</v>
      </c>
      <c r="R3" s="4"/>
      <c r="S3" s="4"/>
      <c r="T3" s="4"/>
      <c r="U3" s="4"/>
      <c r="V3" s="4"/>
      <c r="W3" s="4"/>
      <c r="X3" s="4"/>
      <c r="Y3" s="4"/>
      <c r="Z3" s="4"/>
    </row>
    <row r="4" spans="1:26" x14ac:dyDescent="0.25">
      <c r="A4" s="3" t="str">
        <f ca="1">IFERROR(__xludf.DUMMYFUNCTION("""COMPUTED_VALUE"""),"https://drive.google.com/open?id=1W94bxs_7Z2-9dY7FBHCUS86gYt4Ot4GN")</f>
        <v>https://drive.google.com/open?id=1W94bxs_7Z2-9dY7FBHCUS86gYt4Ot4GN</v>
      </c>
      <c r="B4" s="4" t="str">
        <f ca="1">IFERROR(__xludf.DUMMYFUNCTION("""COMPUTED_VALUE"""),"Enem")</f>
        <v>Enem</v>
      </c>
      <c r="C4" s="4">
        <f ca="1">IFERROR(__xludf.DUMMYFUNCTION("""COMPUTED_VALUE"""),2018)</f>
        <v>2018</v>
      </c>
      <c r="D4" s="4" t="str">
        <f ca="1">IFERROR(__xludf.DUMMYFUNCTION("""COMPUTED_VALUE"""),"Ciências Humanas")</f>
        <v>Ciências Humanas</v>
      </c>
      <c r="E4" s="4" t="str">
        <f ca="1">IFERROR(__xludf.DUMMYFUNCTION("""COMPUTED_VALUE"""),"Sociologia")</f>
        <v>Sociologia</v>
      </c>
      <c r="F4" s="4" t="str">
        <f ca="1">IFERROR(__xludf.DUMMYFUNCTION("""COMPUTED_VALUE"""),"Sociologia")</f>
        <v>Sociologia</v>
      </c>
      <c r="G4" s="4"/>
      <c r="H4" s="4"/>
      <c r="I4" s="4" t="str">
        <f ca="1">IFERROR(__xludf.DUMMYFUNCTION("""COMPUTED_VALUE"""),"Azul")</f>
        <v>Azul</v>
      </c>
      <c r="J4" s="4">
        <f ca="1">IFERROR(__xludf.DUMMYFUNCTION("""COMPUTED_VALUE"""),64)</f>
        <v>64</v>
      </c>
      <c r="K4" s="4" t="str">
        <f ca="1">IFERROR(__xludf.DUMMYFUNCTION("""COMPUTED_VALUE"""),"E")</f>
        <v>E</v>
      </c>
      <c r="L4" s="4" t="str">
        <f ca="1">IFERROR(__xludf.DUMMYFUNCTION("""COMPUTED_VALUE"""),"Outra importante manifestação das crenças e tradições africanas na Colônia eram os objetos conhecidos como “bolsas de mandinga”. A insegurança tanto física como espiritual gerava uma necessidade generalizada de proteção: das catástrofes da natureza, das d"&amp;"oenças, da má sorte, da violência dos núcleos urbanos, dos roubos, das brigas, dos malefícios de feiticeiros etc. Também para trazer sorte, dinheiro e até atrair mulheres, o costume era corrente nas primeiras décadas do século XVIII, envolvendo não apenas"&amp;" escravos, mas também homens brancos.CALAINHO, D. B. Feitiços e feiticeiros. In: FIGUEIREDO, L. História do Brasil para ocupados.Rio de Janeiro: Casa da Palavra, 2013 (adaptado).
A prática histórico-cultural de matriz africana descrita no texto representa"&amp;"va um(a)
")</f>
        <v xml:space="preserve">Outra importante manifestação das crenças e tradições africanas na Colônia eram os objetos conhecidos como “bolsas de mandinga”. A insegurança tanto física como espiritual gerava uma necessidade generalizada de proteção: das catástrofes da natureza, das doenças, da má sorte, da violência dos núcleos urbanos, dos roubos, das brigas, dos malefícios de feiticeiros etc. Também para trazer sorte, dinheiro e até atrair mulheres, o costume era corrente nas primeiras décadas do século XVIII, envolvendo não apenas escravos, mas também homens brancos.CALAINHO, D. B. Feitiços e feiticeiros. In: FIGUEIREDO, L. História do Brasil para ocupados.Rio de Janeiro: Casa da Palavra, 2013 (adaptado).
A prática histórico-cultural de matriz africana descrita no texto representava um(a)
</v>
      </c>
      <c r="M4" s="4" t="str">
        <f ca="1">IFERROR(__xludf.DUMMYFUNCTION("""COMPUTED_VALUE"""),"expressão do valor das festividades da população pobre.
")</f>
        <v xml:space="preserve">expressão do valor das festividades da população pobre.
</v>
      </c>
      <c r="N4" s="4" t="str">
        <f ca="1">IFERROR(__xludf.DUMMYFUNCTION("""COMPUTED_VALUE"""),"ferramenta para submeter os cativos ao trabalho forçado.")</f>
        <v>ferramenta para submeter os cativos ao trabalho forçado.</v>
      </c>
      <c r="O4" s="4" t="str">
        <f ca="1">IFERROR(__xludf.DUMMYFUNCTION("""COMPUTED_VALUE"""),"estratégia de subversão do poder da monarquia portuguesa.")</f>
        <v>estratégia de subversão do poder da monarquia portuguesa.</v>
      </c>
      <c r="P4" s="4" t="str">
        <f ca="1">IFERROR(__xludf.DUMMYFUNCTION("""COMPUTED_VALUE"""),"elemento de conversão dos escravos ao catolicismo romano.")</f>
        <v>elemento de conversão dos escravos ao catolicismo romano.</v>
      </c>
      <c r="Q4" s="4" t="str">
        <f ca="1">IFERROR(__xludf.DUMMYFUNCTION("""COMPUTED_VALUE"""),"instrumento para minimizar o sentimento de desamparo social.")</f>
        <v>instrumento para minimizar o sentimento de desamparo social.</v>
      </c>
      <c r="R4" s="4"/>
      <c r="S4" s="4"/>
      <c r="T4" s="4"/>
      <c r="U4" s="4"/>
      <c r="V4" s="4"/>
      <c r="W4" s="4"/>
      <c r="X4" s="4"/>
      <c r="Y4" s="4"/>
      <c r="Z4" s="4"/>
    </row>
    <row r="5" spans="1:26" x14ac:dyDescent="0.25">
      <c r="A5" s="3" t="str">
        <f ca="1">IFERROR(__xludf.DUMMYFUNCTION("""COMPUTED_VALUE"""),"https://drive.google.com/open?id=1yC594PHRYdASnExHXFvIV00MkjuuQbOk")</f>
        <v>https://drive.google.com/open?id=1yC594PHRYdASnExHXFvIV00MkjuuQbOk</v>
      </c>
      <c r="B5" s="4" t="str">
        <f ca="1">IFERROR(__xludf.DUMMYFUNCTION("""COMPUTED_VALUE"""),"Enem")</f>
        <v>Enem</v>
      </c>
      <c r="C5" s="4">
        <f ca="1">IFERROR(__xludf.DUMMYFUNCTION("""COMPUTED_VALUE"""),2018)</f>
        <v>2018</v>
      </c>
      <c r="D5" s="4" t="str">
        <f ca="1">IFERROR(__xludf.DUMMYFUNCTION("""COMPUTED_VALUE"""),"Ciências Humanas")</f>
        <v>Ciências Humanas</v>
      </c>
      <c r="E5" s="4" t="str">
        <f ca="1">IFERROR(__xludf.DUMMYFUNCTION("""COMPUTED_VALUE"""),"Sociologia")</f>
        <v>Sociologia</v>
      </c>
      <c r="F5" s="4" t="str">
        <f ca="1">IFERROR(__xludf.DUMMYFUNCTION("""COMPUTED_VALUE"""),"Sociologia")</f>
        <v>Sociologia</v>
      </c>
      <c r="G5" s="4"/>
      <c r="H5" s="4"/>
      <c r="I5" s="4" t="str">
        <f ca="1">IFERROR(__xludf.DUMMYFUNCTION("""COMPUTED_VALUE"""),"Azul")</f>
        <v>Azul</v>
      </c>
      <c r="J5" s="4">
        <f ca="1">IFERROR(__xludf.DUMMYFUNCTION("""COMPUTED_VALUE"""),70)</f>
        <v>70</v>
      </c>
      <c r="K5" s="4" t="str">
        <f ca="1">IFERROR(__xludf.DUMMYFUNCTION("""COMPUTED_VALUE"""),"B")</f>
        <v>B</v>
      </c>
      <c r="L5" s="4" t="str">
        <f ca="1">IFERROR(__xludf.DUMMYFUNCTION("""COMPUTED_VALUE"""),"A primeira fase da dominação da economia sobre a vida social acarretou, no modo de definir toda realização humana, uma evidente degradação do ser para o ter. A fase atual, em que a vida social está totalmente tomada pelos resultados da economia, leva a um"&amp;" deslizamento generalizado do ter para o parecer, do qual todo ter efetivo deve extrair seu prestígio imediato e sua função última. Ao mesmo tempo, toda realidade individual tornou-se social, diretamente dependente da força social, moldada por ela.DEBORD,"&amp;" G. A sociedade do espetáculo. Rio de Janeiro: Contraponto, 2015
Uma manifestação contemporânea do fenômeno descrito no texto é o(a)
")</f>
        <v xml:space="preserve">A primeira fase da dominação da economia sobre a vida social acarretou, no modo de definir toda realização humana, uma evidente degradação do ser para o ter. A fase atual, em que a vida social está totalmente tomada pelos resultados da economia, leva a um deslizamento generalizado do ter para o parecer, do qual todo ter efetivo deve extrair seu prestígio imediato e sua função última. Ao mesmo tempo, toda realidade individual tornou-se social, diretamente dependente da força social, moldada por ela.DEBORD, G. A sociedade do espetáculo. Rio de Janeiro: Contraponto, 2015
Uma manifestação contemporânea do fenômeno descrito no texto é o(a)
</v>
      </c>
      <c r="M5" s="4" t="str">
        <f ca="1">IFERROR(__xludf.DUMMYFUNCTION("""COMPUTED_VALUE"""),"valorização dos conhecimentos acumulados.")</f>
        <v>valorização dos conhecimentos acumulados.</v>
      </c>
      <c r="N5" s="4" t="str">
        <f ca="1">IFERROR(__xludf.DUMMYFUNCTION("""COMPUTED_VALUE"""),"exposição nos meios de comunicação.")</f>
        <v>exposição nos meios de comunicação.</v>
      </c>
      <c r="O5" s="4" t="str">
        <f ca="1">IFERROR(__xludf.DUMMYFUNCTION("""COMPUTED_VALUE"""),"aprofundamento da vivência espiritual.")</f>
        <v>aprofundamento da vivência espiritual.</v>
      </c>
      <c r="P5" s="4" t="str">
        <f ca="1">IFERROR(__xludf.DUMMYFUNCTION("""COMPUTED_VALUE"""),"fortalecimento das relações interpessoais.")</f>
        <v>fortalecimento das relações interpessoais.</v>
      </c>
      <c r="Q5" s="4" t="str">
        <f ca="1">IFERROR(__xludf.DUMMYFUNCTION("""COMPUTED_VALUE"""),"reconhecimento na esfera artística.")</f>
        <v>reconhecimento na esfera artística.</v>
      </c>
      <c r="R5" s="4"/>
      <c r="S5" s="4"/>
      <c r="T5" s="4"/>
      <c r="U5" s="4"/>
      <c r="V5" s="4"/>
      <c r="W5" s="4"/>
      <c r="X5" s="4"/>
      <c r="Y5" s="4"/>
      <c r="Z5" s="4"/>
    </row>
    <row r="6" spans="1:26" x14ac:dyDescent="0.25">
      <c r="A6" s="3" t="str">
        <f ca="1">IFERROR(__xludf.DUMMYFUNCTION("""COMPUTED_VALUE"""),"https://drive.google.com/open?id=1_OChKYB3zALFaKVcWoIrvrI-vTqRqpXn")</f>
        <v>https://drive.google.com/open?id=1_OChKYB3zALFaKVcWoIrvrI-vTqRqpXn</v>
      </c>
      <c r="B6" s="4" t="str">
        <f ca="1">IFERROR(__xludf.DUMMYFUNCTION("""COMPUTED_VALUE"""),"Enem")</f>
        <v>Enem</v>
      </c>
      <c r="C6" s="4">
        <f ca="1">IFERROR(__xludf.DUMMYFUNCTION("""COMPUTED_VALUE"""),2018)</f>
        <v>2018</v>
      </c>
      <c r="D6" s="4" t="str">
        <f ca="1">IFERROR(__xludf.DUMMYFUNCTION("""COMPUTED_VALUE"""),"Ciências Humanas")</f>
        <v>Ciências Humanas</v>
      </c>
      <c r="E6" s="4" t="str">
        <f ca="1">IFERROR(__xludf.DUMMYFUNCTION("""COMPUTED_VALUE"""),"Sociologia")</f>
        <v>Sociologia</v>
      </c>
      <c r="F6" s="4" t="str">
        <f ca="1">IFERROR(__xludf.DUMMYFUNCTION("""COMPUTED_VALUE"""),"Sociologia")</f>
        <v>Sociologia</v>
      </c>
      <c r="G6" s="4"/>
      <c r="H6" s="4"/>
      <c r="I6" s="4" t="str">
        <f ca="1">IFERROR(__xludf.DUMMYFUNCTION("""COMPUTED_VALUE"""),"Azul")</f>
        <v>Azul</v>
      </c>
      <c r="J6" s="4">
        <f ca="1">IFERROR(__xludf.DUMMYFUNCTION("""COMPUTED_VALUE"""),78)</f>
        <v>78</v>
      </c>
      <c r="K6" s="4" t="str">
        <f ca="1">IFERROR(__xludf.DUMMYFUNCTION("""COMPUTED_VALUE"""),"E")</f>
        <v>E</v>
      </c>
      <c r="L6" s="4" t="str">
        <f ca="1">IFERROR(__xludf.DUMMYFUNCTION("""COMPUTED_VALUE"""),"O marco inicial das discussões parlamentares em torno do direito do voto feminino são os debates que antecederam a Constituição de 1824, que não trazia qualquer impedimento ao exercício dos direitos políticos por mulheres, mas, por outro lado, também não "&amp;"era explícita quanto à possibilidade desse exercício. Foi somente em 1932, dois anos antes de estabelecido o voto aos 18 anos, que as mulheres obtiveram o direito de votar, o que veio a se concretizar no ano seguinte. Isso ocorreu a partir da aprovação do"&amp;" Código Eleitoral de 1932. Disponível em: http://tse.jusbrasil.com.br. Acesso em: 14 maio 2018.
Um dos fatores que contribuíram para a efetivação da medida mencionada no texto foi a
")</f>
        <v xml:space="preserve">O marco inicial das discussões parlamentares em torno do direito do voto feminino são os debates que antecederam a Constituição de 1824, que não trazia qualquer impedimento ao exercício dos direitos políticos por mulheres, mas, por outro lado, também não era explícita quanto à possibilidade desse exercício. Foi somente em 1932, dois anos antes de estabelecido o voto aos 18 anos, que as mulheres obtiveram o direito de votar, o que veio a se concretizar no ano seguinte. Isso ocorreu a partir da aprovação do Código Eleitoral de 1932. Disponível em: http://tse.jusbrasil.com.br. Acesso em: 14 maio 2018.
Um dos fatores que contribuíram para a efetivação da medida mencionada no texto foi a
</v>
      </c>
      <c r="M6" s="4" t="str">
        <f ca="1">IFERROR(__xludf.DUMMYFUNCTION("""COMPUTED_VALUE"""),"superação da cultura patriarcal.")</f>
        <v>superação da cultura patriarcal.</v>
      </c>
      <c r="N6" s="4" t="str">
        <f ca="1">IFERROR(__xludf.DUMMYFUNCTION("""COMPUTED_VALUE"""),"influência de igrejas protestantes.")</f>
        <v>influência de igrejas protestantes.</v>
      </c>
      <c r="O6" s="4" t="str">
        <f ca="1">IFERROR(__xludf.DUMMYFUNCTION("""COMPUTED_VALUE"""),"pressão do governo revolucionário.")</f>
        <v>pressão do governo revolucionário.</v>
      </c>
      <c r="P6" s="4" t="str">
        <f ca="1">IFERROR(__xludf.DUMMYFUNCTION("""COMPUTED_VALUE"""),"fragilidade das oligarquias regionais.")</f>
        <v>fragilidade das oligarquias regionais.</v>
      </c>
      <c r="Q6" s="4" t="str">
        <f ca="1">IFERROR(__xludf.DUMMYFUNCTION("""COMPUTED_VALUE"""),"campanha de extensão da cidadania.")</f>
        <v>campanha de extensão da cidadania.</v>
      </c>
      <c r="R6" s="4"/>
      <c r="S6" s="4"/>
      <c r="T6" s="4"/>
      <c r="U6" s="4"/>
      <c r="V6" s="4"/>
      <c r="W6" s="4"/>
      <c r="X6" s="4"/>
      <c r="Y6" s="4"/>
      <c r="Z6" s="4"/>
    </row>
    <row r="7" spans="1:26" x14ac:dyDescent="0.25">
      <c r="A7" s="3" t="str">
        <f ca="1">IFERROR(__xludf.DUMMYFUNCTION("""COMPUTED_VALUE"""),"https://drive.google.com/open?id=1uzDafALIDiDvi4mGpEydY-hD1lvCAHFf")</f>
        <v>https://drive.google.com/open?id=1uzDafALIDiDvi4mGpEydY-hD1lvCAHFf</v>
      </c>
      <c r="B7" s="4" t="str">
        <f ca="1">IFERROR(__xludf.DUMMYFUNCTION("""COMPUTED_VALUE"""),"Enem")</f>
        <v>Enem</v>
      </c>
      <c r="C7" s="4">
        <f ca="1">IFERROR(__xludf.DUMMYFUNCTION("""COMPUTED_VALUE"""),2018)</f>
        <v>2018</v>
      </c>
      <c r="D7" s="4" t="str">
        <f ca="1">IFERROR(__xludf.DUMMYFUNCTION("""COMPUTED_VALUE"""),"Ciências Humanas")</f>
        <v>Ciências Humanas</v>
      </c>
      <c r="E7" s="4" t="str">
        <f ca="1">IFERROR(__xludf.DUMMYFUNCTION("""COMPUTED_VALUE"""),"Sociologia")</f>
        <v>Sociologia</v>
      </c>
      <c r="F7" s="4" t="str">
        <f ca="1">IFERROR(__xludf.DUMMYFUNCTION("""COMPUTED_VALUE"""),"Sociologia")</f>
        <v>Sociologia</v>
      </c>
      <c r="G7" s="4"/>
      <c r="H7" s="4"/>
      <c r="I7" s="4" t="str">
        <f ca="1">IFERROR(__xludf.DUMMYFUNCTION("""COMPUTED_VALUE"""),"Azul")</f>
        <v>Azul</v>
      </c>
      <c r="J7" s="4">
        <f ca="1">IFERROR(__xludf.DUMMYFUNCTION("""COMPUTED_VALUE"""),80)</f>
        <v>80</v>
      </c>
      <c r="K7" s="4" t="str">
        <f ca="1">IFERROR(__xludf.DUMMYFUNCTION("""COMPUTED_VALUE"""),"B")</f>
        <v>B</v>
      </c>
      <c r="L7" s="4" t="str">
        <f ca="1">IFERROR(__xludf.DUMMYFUNCTION("""COMPUTED_VALUE"""),"Em algumas línguas de Moçambique não existe a palavra “pobre”. O indivíduo é pobre quando não tem parentes. A pobreza é a solidão, a ruptura das relações familiares que, na sociedade rural, servem de apoio à sobrevivência. Os consultores internacionais, e"&amp;"specialistas em elaborar relatórios sobre a miséria, talvez não tenham em conta o impacto dramático da destruição dos laços familiares e das relações de entreajuda. Nações inteiras estão tornando-se “órfãs”, e a mendicidade parece ser a única via de uma a"&amp;"gonizante sobrevivência.COUTO, M. E se Obama fosse africano? &amp; outras intervenções.Portugal: Caminho, 2009 (adaptado).
Em uma leitura que extrapola a esfera econômica, o autor associa o acirramento da pobreza à
")</f>
        <v xml:space="preserve">Em algumas línguas de Moçambique não existe a palavra “pobre”. O indivíduo é pobre quando não tem parentes. A pobreza é a solidão, a ruptura das relações familiares que, na sociedade rural, servem de apoio à sobrevivência. Os consultores internacionais, especialistas em elaborar relatórios sobre a miséria, talvez não tenham em conta o impacto dramático da destruição dos laços familiares e das relações de entreajuda. Nações inteiras estão tornando-se “órfãs”, e a mendicidade parece ser a única via de uma agonizante sobrevivência.COUTO, M. E se Obama fosse africano? &amp; outras intervenções.Portugal: Caminho, 2009 (adaptado).
Em uma leitura que extrapola a esfera econômica, o autor associa o acirramento da pobreza à
</v>
      </c>
      <c r="M7" s="4" t="str">
        <f ca="1">IFERROR(__xludf.DUMMYFUNCTION("""COMPUTED_VALUE"""),"afirmação das origens ancestrais.")</f>
        <v>afirmação das origens ancestrais.</v>
      </c>
      <c r="N7" s="4" t="str">
        <f ca="1">IFERROR(__xludf.DUMMYFUNCTION("""COMPUTED_VALUE"""),"fragilização das redes de sociabilidade.")</f>
        <v>fragilização das redes de sociabilidade.</v>
      </c>
      <c r="O7" s="4" t="str">
        <f ca="1">IFERROR(__xludf.DUMMYFUNCTION("""COMPUTED_VALUE"""),"padronização das políticas educacionais.")</f>
        <v>padronização das políticas educacionais.</v>
      </c>
      <c r="P7" s="4" t="str">
        <f ca="1">IFERROR(__xludf.DUMMYFUNCTION("""COMPUTED_VALUE""")," fragmentação das propriedades agrícolas.")</f>
        <v xml:space="preserve"> fragmentação das propriedades agrícolas.</v>
      </c>
      <c r="Q7" s="4" t="str">
        <f ca="1">IFERROR(__xludf.DUMMYFUNCTION("""COMPUTED_VALUE"""),"globalização das tecnologias de comunicação.")</f>
        <v>globalização das tecnologias de comunicação.</v>
      </c>
      <c r="R7" s="4"/>
      <c r="S7" s="4"/>
      <c r="T7" s="4"/>
      <c r="U7" s="4"/>
      <c r="V7" s="4"/>
      <c r="W7" s="4"/>
      <c r="X7" s="4"/>
      <c r="Y7" s="4"/>
      <c r="Z7" s="4"/>
    </row>
    <row r="8" spans="1:26" x14ac:dyDescent="0.25">
      <c r="A8" s="3" t="str">
        <f ca="1">IFERROR(__xludf.DUMMYFUNCTION("""COMPUTED_VALUE"""),"https://drive.google.com/open?id=1-C8HtaadAShQcjP0QHweCuz155BZBsqa")</f>
        <v>https://drive.google.com/open?id=1-C8HtaadAShQcjP0QHweCuz155BZBsqa</v>
      </c>
      <c r="B8" s="4" t="str">
        <f ca="1">IFERROR(__xludf.DUMMYFUNCTION("""COMPUTED_VALUE"""),"Enem")</f>
        <v>Enem</v>
      </c>
      <c r="C8" s="4">
        <f ca="1">IFERROR(__xludf.DUMMYFUNCTION("""COMPUTED_VALUE"""),2018)</f>
        <v>2018</v>
      </c>
      <c r="D8" s="4" t="str">
        <f ca="1">IFERROR(__xludf.DUMMYFUNCTION("""COMPUTED_VALUE"""),"Ciências Humanas")</f>
        <v>Ciências Humanas</v>
      </c>
      <c r="E8" s="4" t="str">
        <f ca="1">IFERROR(__xludf.DUMMYFUNCTION("""COMPUTED_VALUE"""),"Sociologia")</f>
        <v>Sociologia</v>
      </c>
      <c r="F8" s="4" t="str">
        <f ca="1">IFERROR(__xludf.DUMMYFUNCTION("""COMPUTED_VALUE"""),"Sociologia")</f>
        <v>Sociologia</v>
      </c>
      <c r="G8" s="4"/>
      <c r="H8" s="4"/>
      <c r="I8" s="4" t="str">
        <f ca="1">IFERROR(__xludf.DUMMYFUNCTION("""COMPUTED_VALUE"""),"Azul")</f>
        <v>Azul</v>
      </c>
      <c r="J8" s="4">
        <f ca="1">IFERROR(__xludf.DUMMYFUNCTION("""COMPUTED_VALUE"""),81)</f>
        <v>81</v>
      </c>
      <c r="K8" s="4" t="str">
        <f ca="1">IFERROR(__xludf.DUMMYFUNCTION("""COMPUTED_VALUE"""),"E")</f>
        <v>E</v>
      </c>
      <c r="L8" s="4" t="str">
        <f ca="1">IFERROR(__xludf.DUMMYFUNCTION("""COMPUTED_VALUE"""),"TEXTO I
As fronteiras, ao mesmo tempo que se separam, unem e articulam, por elas passando discursos de legitimação da ordem social tanto quanto do conflito.CUNHA, L. Terras lusitanas e gentes dos brasis: a nação e o seu retrato literário. Revista Ciências"&amp;" Sociais, n. 2, 2009.
TEXTO II
As últimas barreiras ao livre movimento do dinheiro e das mercadorias e informação que rendem dinheiro andam de mãos dadas com a pressão para cavar novos fossos e erigir novas muralhas que barrem o movimento daqueles que em "&amp;"consequência perdem, física ou espiritualmente, suas raízes. BAUMAN, Z. Globalização: as consequências humanas. Rio de Janeiro: Jorge Zahar, 1999.
A ressignificação contemporânea da ideia de fronteira compreende a
")</f>
        <v xml:space="preserve">TEXTO I
As fronteiras, ao mesmo tempo que se separam, unem e articulam, por elas passando discursos de legitimação da ordem social tanto quanto do conflito.CUNHA, L. Terras lusitanas e gentes dos brasis: a nação e o seu retrato literário. Revista Ciências Sociais, n. 2, 2009.
TEXTO II
As últimas barreiras ao livre movimento do dinheiro e das mercadorias e informação que rendem dinheiro andam de mãos dadas com a pressão para cavar novos fossos e erigir novas muralhas que barrem o movimento daqueles que em consequência perdem, física ou espiritualmente, suas raízes. BAUMAN, Z. Globalização: as consequências humanas. Rio de Janeiro: Jorge Zahar, 1999.
A ressignificação contemporânea da ideia de fronteira compreende a
</v>
      </c>
      <c r="M8" s="4" t="str">
        <f ca="1">IFERROR(__xludf.DUMMYFUNCTION("""COMPUTED_VALUE"""),"liberação da circulação de pessoas.")</f>
        <v>liberação da circulação de pessoas.</v>
      </c>
      <c r="N8" s="4" t="str">
        <f ca="1">IFERROR(__xludf.DUMMYFUNCTION("""COMPUTED_VALUE"""),"preponderância dos limites naturais.")</f>
        <v>preponderância dos limites naturais.</v>
      </c>
      <c r="O8" s="4" t="str">
        <f ca="1">IFERROR(__xludf.DUMMYFUNCTION("""COMPUTED_VALUE"""),"supressão dos obstáculos aduaneiros.")</f>
        <v>supressão dos obstáculos aduaneiros.</v>
      </c>
      <c r="P8" s="4" t="str">
        <f ca="1">IFERROR(__xludf.DUMMYFUNCTION("""COMPUTED_VALUE"""),"desvalorização da noção de nacionalismo.")</f>
        <v>desvalorização da noção de nacionalismo.</v>
      </c>
      <c r="Q8" s="4" t="str">
        <f ca="1">IFERROR(__xludf.DUMMYFUNCTION("""COMPUTED_VALUE"""),"seletividade dos mecanismos segregadores.")</f>
        <v>seletividade dos mecanismos segregadores.</v>
      </c>
      <c r="R8" s="4"/>
      <c r="S8" s="4"/>
      <c r="T8" s="4"/>
      <c r="U8" s="4"/>
      <c r="V8" s="4"/>
      <c r="W8" s="4"/>
      <c r="X8" s="4"/>
      <c r="Y8" s="4"/>
      <c r="Z8" s="4"/>
    </row>
    <row r="9" spans="1:26" x14ac:dyDescent="0.25">
      <c r="A9" s="3" t="str">
        <f ca="1">IFERROR(__xludf.DUMMYFUNCTION("""COMPUTED_VALUE"""),"https://drive.google.com/open?id=1r_Hxkz7t81ZvNmGdYvsf6zas4nGYeUjx")</f>
        <v>https://drive.google.com/open?id=1r_Hxkz7t81ZvNmGdYvsf6zas4nGYeUjx</v>
      </c>
      <c r="B9" s="4" t="str">
        <f ca="1">IFERROR(__xludf.DUMMYFUNCTION("""COMPUTED_VALUE"""),"Enem")</f>
        <v>Enem</v>
      </c>
      <c r="C9" s="4">
        <f ca="1">IFERROR(__xludf.DUMMYFUNCTION("""COMPUTED_VALUE"""),2018)</f>
        <v>2018</v>
      </c>
      <c r="D9" s="4" t="str">
        <f ca="1">IFERROR(__xludf.DUMMYFUNCTION("""COMPUTED_VALUE"""),"Ciências Humanas")</f>
        <v>Ciências Humanas</v>
      </c>
      <c r="E9" s="4" t="str">
        <f ca="1">IFERROR(__xludf.DUMMYFUNCTION("""COMPUTED_VALUE"""),"Sociologia")</f>
        <v>Sociologia</v>
      </c>
      <c r="F9" s="4" t="str">
        <f ca="1">IFERROR(__xludf.DUMMYFUNCTION("""COMPUTED_VALUE"""),"Sociologia")</f>
        <v>Sociologia</v>
      </c>
      <c r="G9" s="4"/>
      <c r="H9" s="4"/>
      <c r="I9" s="4" t="str">
        <f ca="1">IFERROR(__xludf.DUMMYFUNCTION("""COMPUTED_VALUE"""),"Azul")</f>
        <v>Azul</v>
      </c>
      <c r="J9" s="4">
        <f ca="1">IFERROR(__xludf.DUMMYFUNCTION("""COMPUTED_VALUE"""),87)</f>
        <v>87</v>
      </c>
      <c r="K9" s="4" t="str">
        <f ca="1">IFERROR(__xludf.DUMMYFUNCTION("""COMPUTED_VALUE"""),"B")</f>
        <v>B</v>
      </c>
      <c r="L9" s="4" t="str">
        <f ca="1">IFERROR(__xludf.DUMMYFUNCTION("""COMPUTED_VALUE"""),"[Imagem contida no arquivo]
Tônico para a saúde da mulher. Disponível em: www.propagandashistoricas.com.br. Acesso em: 28 nov. 2017.
O anúncio publicitário da década de 1940 reforça os seguintes estereótipos atribuídos historicamente a uma suposta nature"&amp;"za feminina:
")</f>
        <v xml:space="preserve">[Imagem contida no arquivo]
Tônico para a saúde da mulher. Disponível em: www.propagandashistoricas.com.br. Acesso em: 28 nov. 2017.
O anúncio publicitário da década de 1940 reforça os seguintes estereótipos atribuídos historicamente a uma suposta natureza feminina:
</v>
      </c>
      <c r="M9" s="4" t="str">
        <f ca="1">IFERROR(__xludf.DUMMYFUNCTION("""COMPUTED_VALUE"""),"Pudor inato e instinto maternal.")</f>
        <v>Pudor inato e instinto maternal.</v>
      </c>
      <c r="N9" s="4" t="str">
        <f ca="1">IFERROR(__xludf.DUMMYFUNCTION("""COMPUTED_VALUE"""),"Fragilidade física e necessidade de aceitação. ")</f>
        <v xml:space="preserve">Fragilidade física e necessidade de aceitação. </v>
      </c>
      <c r="O9" s="4" t="str">
        <f ca="1">IFERROR(__xludf.DUMMYFUNCTION("""COMPUTED_VALUE""")," Isolamento social e procura de autoconhecimento.")</f>
        <v xml:space="preserve"> Isolamento social e procura de autoconhecimento.</v>
      </c>
      <c r="P9" s="4" t="str">
        <f ca="1">IFERROR(__xludf.DUMMYFUNCTION("""COMPUTED_VALUE"""),"Dependência econômica e desejo de ostentação. ")</f>
        <v xml:space="preserve">Dependência econômica e desejo de ostentação. </v>
      </c>
      <c r="Q9" s="4" t="str">
        <f ca="1">IFERROR(__xludf.DUMMYFUNCTION("""COMPUTED_VALUE"""),"Mentalidade fútil e conduta hedonista.")</f>
        <v>Mentalidade fútil e conduta hedonista.</v>
      </c>
      <c r="R9" s="4"/>
      <c r="S9" s="4"/>
      <c r="T9" s="4"/>
      <c r="U9" s="4"/>
      <c r="V9" s="4"/>
      <c r="W9" s="4"/>
      <c r="X9" s="4"/>
      <c r="Y9" s="4"/>
      <c r="Z9" s="4"/>
    </row>
    <row r="10" spans="1:26" x14ac:dyDescent="0.25">
      <c r="A10" s="3" t="str">
        <f ca="1">IFERROR(__xludf.DUMMYFUNCTION("""COMPUTED_VALUE"""),"https://drive.google.com/open?id=1p96KNTNepar8SQY1dWS4CXXjqtorkjYp")</f>
        <v>https://drive.google.com/open?id=1p96KNTNepar8SQY1dWS4CXXjqtorkjYp</v>
      </c>
      <c r="B10" s="4" t="str">
        <f ca="1">IFERROR(__xludf.DUMMYFUNCTION("""COMPUTED_VALUE"""),"Enem")</f>
        <v>Enem</v>
      </c>
      <c r="C10" s="4">
        <f ca="1">IFERROR(__xludf.DUMMYFUNCTION("""COMPUTED_VALUE"""),2018)</f>
        <v>2018</v>
      </c>
      <c r="D10" s="4" t="str">
        <f ca="1">IFERROR(__xludf.DUMMYFUNCTION("""COMPUTED_VALUE"""),"Ciências Humanas")</f>
        <v>Ciências Humanas</v>
      </c>
      <c r="E10" s="4" t="str">
        <f ca="1">IFERROR(__xludf.DUMMYFUNCTION("""COMPUTED_VALUE"""),"Sociologia")</f>
        <v>Sociologia</v>
      </c>
      <c r="F10" s="4" t="str">
        <f ca="1">IFERROR(__xludf.DUMMYFUNCTION("""COMPUTED_VALUE"""),"Sociologia")</f>
        <v>Sociologia</v>
      </c>
      <c r="G10" s="4"/>
      <c r="H10" s="4"/>
      <c r="I10" s="4" t="str">
        <f ca="1">IFERROR(__xludf.DUMMYFUNCTION("""COMPUTED_VALUE"""),"Azul")</f>
        <v>Azul</v>
      </c>
      <c r="J10" s="4">
        <f ca="1">IFERROR(__xludf.DUMMYFUNCTION("""COMPUTED_VALUE"""),89)</f>
        <v>89</v>
      </c>
      <c r="K10" s="4" t="str">
        <f ca="1">IFERROR(__xludf.DUMMYFUNCTION("""COMPUTED_VALUE"""),"D")</f>
        <v>D</v>
      </c>
      <c r="L10" s="4" t="str">
        <f ca="1">IFERROR(__xludf.DUMMYFUNCTION("""COMPUTED_VALUE"""),"No início da década de 1990, dois biólogos importantes, Redford e Robinson, produziram um modelo largamente aceito de “produção sustentável” que previa quantos indivíduos de cada espécie poderiam ser caçados de forma sustentável baseado nas suas taxas de "&amp;"reprodução. Os seringueiros do Alto Juruá tinham um modelo diferente: a quem lhes afirmava que estavam caçando acima do sustentável (dentro do modelo), eles diziam que não, que o nível da caça dependia da existência de áreas de refúgio em que ninguém caça"&amp;"va. Ora, esse acabou sendo o modelo batizado de “fonte-ralo” proposto dez anos após o primeiro por Novaro, Bodmer e o próprio Redford e que suplantou o modelo anterior. CUNHA, M. C. Revista USP, n. 75, set.-nov. 2007.
No contexto da produção científica, "&amp;"a necessidade de reconstrução desse modelo, conforme exposto no texto, foi determinada pelo confronto com um(a)
")</f>
        <v xml:space="preserve">No início da década de 1990, dois biólogos importantes, Redford e Robinson, produziram um modelo largamente aceito de “produção sustentável” que previa quantos indivíduos de cada espécie poderiam ser caçados de forma sustentável baseado nas suas taxas de reprodução. Os seringueiros do Alto Juruá tinham um modelo diferente: a quem lhes afirmava que estavam caçando acima do sustentável (dentro do modelo), eles diziam que não, que o nível da caça dependia da existência de áreas de refúgio em que ninguém caçava. Ora, esse acabou sendo o modelo batizado de “fonte-ralo” proposto dez anos após o primeiro por Novaro, Bodmer e o próprio Redford e que suplantou o modelo anterior. CUNHA, M. C. Revista USP, n. 75, set.-nov. 2007.
No contexto da produção científica, a necessidade de reconstrução desse modelo, conforme exposto no texto, foi determinada pelo confronto com um(a)
</v>
      </c>
      <c r="M10" s="4" t="str">
        <f ca="1">IFERROR(__xludf.DUMMYFUNCTION("""COMPUTED_VALUE"""),"conclusão operacional obtida por lógica dedutiva.")</f>
        <v>conclusão operacional obtida por lógica dedutiva.</v>
      </c>
      <c r="N10" s="4" t="str">
        <f ca="1">IFERROR(__xludf.DUMMYFUNCTION("""COMPUTED_VALUE"""),"visão de mundo marcada por preconceitos morais.")</f>
        <v>visão de mundo marcada por preconceitos morais.</v>
      </c>
      <c r="O10" s="4" t="str">
        <f ca="1">IFERROR(__xludf.DUMMYFUNCTION("""COMPUTED_VALUE"""),"hábito social condicionado pela religiosidade popular.")</f>
        <v>hábito social condicionado pela religiosidade popular.</v>
      </c>
      <c r="P10" s="4" t="str">
        <f ca="1">IFERROR(__xludf.DUMMYFUNCTION("""COMPUTED_VALUE"""),"conhecimento empírico apropriado pelo senso comum.")</f>
        <v>conhecimento empírico apropriado pelo senso comum.</v>
      </c>
      <c r="Q10" s="4" t="str">
        <f ca="1">IFERROR(__xludf.DUMMYFUNCTION("""COMPUTED_VALUE"""),"padrão de preservação construído por experimentação dirigida.")</f>
        <v>padrão de preservação construído por experimentação dirigida.</v>
      </c>
      <c r="R10" s="4"/>
      <c r="S10" s="4"/>
      <c r="T10" s="4"/>
      <c r="U10" s="4"/>
      <c r="V10" s="4"/>
      <c r="W10" s="4"/>
      <c r="X10" s="4"/>
      <c r="Y10" s="4"/>
      <c r="Z10" s="4"/>
    </row>
    <row r="11" spans="1:26" x14ac:dyDescent="0.25">
      <c r="A11" s="3" t="str">
        <f ca="1">IFERROR(__xludf.DUMMYFUNCTION("""COMPUTED_VALUE"""),"https://drive.google.com/open?id=1ByFEUzfnLHfdyA1zdFXnRhG4FeRr-Oua")</f>
        <v>https://drive.google.com/open?id=1ByFEUzfnLHfdyA1zdFXnRhG4FeRr-Oua</v>
      </c>
      <c r="B11" s="4" t="str">
        <f ca="1">IFERROR(__xludf.DUMMYFUNCTION("""COMPUTED_VALUE"""),"Enem")</f>
        <v>Enem</v>
      </c>
      <c r="C11" s="4">
        <f ca="1">IFERROR(__xludf.DUMMYFUNCTION("""COMPUTED_VALUE"""),2018)</f>
        <v>2018</v>
      </c>
      <c r="D11" s="4" t="str">
        <f ca="1">IFERROR(__xludf.DUMMYFUNCTION("""COMPUTED_VALUE"""),"Ciências Humanas")</f>
        <v>Ciências Humanas</v>
      </c>
      <c r="E11" s="4" t="str">
        <f ca="1">IFERROR(__xludf.DUMMYFUNCTION("""COMPUTED_VALUE"""),"Sociologia")</f>
        <v>Sociologia</v>
      </c>
      <c r="F11" s="4" t="str">
        <f ca="1">IFERROR(__xludf.DUMMYFUNCTION("""COMPUTED_VALUE"""),"Sociologia")</f>
        <v>Sociologia</v>
      </c>
      <c r="G11" s="4"/>
      <c r="H11" s="4"/>
      <c r="I11" s="4" t="str">
        <f ca="1">IFERROR(__xludf.DUMMYFUNCTION("""COMPUTED_VALUE"""),"Azul")</f>
        <v>Azul</v>
      </c>
      <c r="J11" s="4">
        <f ca="1">IFERROR(__xludf.DUMMYFUNCTION("""COMPUTED_VALUE"""),90)</f>
        <v>90</v>
      </c>
      <c r="K11" s="4" t="str">
        <f ca="1">IFERROR(__xludf.DUMMYFUNCTION("""COMPUTED_VALUE"""),"E")</f>
        <v>E</v>
      </c>
      <c r="L11" s="4" t="str">
        <f ca="1">IFERROR(__xludf.DUMMYFUNCTION("""COMPUTED_VALUE"""),"Um dos teóricos da democracia moderna, Hans Kelsen, considera elemento essencial da democracia real (não da democracia ideal, que não existe em lugar algum) o método da seleção dos líderes, ou seja, a eleição. Exemplar, neste sentido, é a afirmação de um "&amp;"juiz da Corte Suprema dos Estados Unidos, por ocasião de uma eleição de 1902: “A cabine eleitoral é o templo das instituições americanas, onde cada um de nós é um sacerdote, ao qual é confiada a guarda da arca da aliança e cada um oficia do seu próprio al"&amp;"tar”.BOBBIO, N. Teoria geral da política. Rio de Janeiro: Elsevier, 2000 (adaptado).
As metáforas utilizadas no texto referem-se a uma concepção de democracia fundamentada no(a)
")</f>
        <v xml:space="preserve">Um dos teóricos da democracia moderna, Hans Kelsen, considera elemento essencial da democracia real (não da democracia ideal, que não existe em lugar algum) o método da seleção dos líderes, ou seja, a eleição. Exemplar, neste sentido, é a afirmação de um juiz da Corte Suprema dos Estados Unidos, por ocasião de uma eleição de 1902: “A cabine eleitoral é o templo das instituições americanas, onde cada um de nós é um sacerdote, ao qual é confiada a guarda da arca da aliança e cada um oficia do seu próprio altar”.BOBBIO, N. Teoria geral da política. Rio de Janeiro: Elsevier, 2000 (adaptado).
As metáforas utilizadas no texto referem-se a uma concepção de democracia fundamentada no(a)
</v>
      </c>
      <c r="M11" s="4" t="str">
        <f ca="1">IFERROR(__xludf.DUMMYFUNCTION("""COMPUTED_VALUE"""),"justificação teísta do direito.")</f>
        <v>justificação teísta do direito.</v>
      </c>
      <c r="N11" s="4" t="str">
        <f ca="1">IFERROR(__xludf.DUMMYFUNCTION("""COMPUTED_VALUE"""),"rigidez da hierarquia de classe.")</f>
        <v>rigidez da hierarquia de classe.</v>
      </c>
      <c r="O11" s="4" t="str">
        <f ca="1">IFERROR(__xludf.DUMMYFUNCTION("""COMPUTED_VALUE"""),"ênfase formalista na administração.")</f>
        <v>ênfase formalista na administração.</v>
      </c>
      <c r="P11" s="4" t="str">
        <f ca="1">IFERROR(__xludf.DUMMYFUNCTION("""COMPUTED_VALUE"""),"protagonismo do Executivo no poder.")</f>
        <v>protagonismo do Executivo no poder.</v>
      </c>
      <c r="Q11" s="4" t="str">
        <f ca="1">IFERROR(__xludf.DUMMYFUNCTION("""COMPUTED_VALUE"""),"centralidade do indivíduo na sociedade.")</f>
        <v>centralidade do indivíduo na sociedade.</v>
      </c>
      <c r="R11" s="4"/>
      <c r="S11" s="4"/>
      <c r="T11" s="4"/>
      <c r="U11" s="4"/>
      <c r="V11" s="4"/>
      <c r="W11" s="4"/>
      <c r="X11" s="4"/>
      <c r="Y11" s="4"/>
      <c r="Z11" s="4"/>
    </row>
    <row r="12" spans="1:26" x14ac:dyDescent="0.25">
      <c r="A12" s="3" t="str">
        <f ca="1">IFERROR(__xludf.DUMMYFUNCTION("""COMPUTED_VALUE"""),"https://drive.google.com/open?id=135ICu-nTszGnTy5HeGacY_0w-z3ugk95")</f>
        <v>https://drive.google.com/open?id=135ICu-nTszGnTy5HeGacY_0w-z3ugk95</v>
      </c>
      <c r="B12" s="4" t="str">
        <f ca="1">IFERROR(__xludf.DUMMYFUNCTION("""COMPUTED_VALUE"""),"Enem")</f>
        <v>Enem</v>
      </c>
      <c r="C12" s="4">
        <f ca="1">IFERROR(__xludf.DUMMYFUNCTION("""COMPUTED_VALUE"""),2019)</f>
        <v>2019</v>
      </c>
      <c r="D12" s="4" t="str">
        <f ca="1">IFERROR(__xludf.DUMMYFUNCTION("""COMPUTED_VALUE"""),"Ciências Humanas")</f>
        <v>Ciências Humanas</v>
      </c>
      <c r="E12" s="4" t="str">
        <f ca="1">IFERROR(__xludf.DUMMYFUNCTION("""COMPUTED_VALUE"""),"Sociologia")</f>
        <v>Sociologia</v>
      </c>
      <c r="F12" s="4" t="str">
        <f ca="1">IFERROR(__xludf.DUMMYFUNCTION("""COMPUTED_VALUE"""),"Sociologia")</f>
        <v>Sociologia</v>
      </c>
      <c r="G12" s="4"/>
      <c r="H12" s="4"/>
      <c r="I12" s="4" t="str">
        <f ca="1">IFERROR(__xludf.DUMMYFUNCTION("""COMPUTED_VALUE"""),"Amarelo")</f>
        <v>Amarelo</v>
      </c>
      <c r="J12" s="4">
        <f ca="1">IFERROR(__xludf.DUMMYFUNCTION("""COMPUTED_VALUE"""),48)</f>
        <v>48</v>
      </c>
      <c r="K12" s="4" t="str">
        <f ca="1">IFERROR(__xludf.DUMMYFUNCTION("""COMPUTED_VALUE"""),"A")</f>
        <v>A</v>
      </c>
      <c r="L12" s="4" t="str">
        <f ca="1">IFERROR(__xludf.DUMMYFUNCTION("""COMPUTED_VALUE"""),"O processamento da mandioca era uma atividade já realizada pelos nativos que viviam no Brasil antes da chegada de portugueses e africanos. Entretanto, ao longo do processo de colonização portuguesa, a produção de farinha foi aperfeiçoada e ampliada, torna"&amp;"ndo-se lugar-comum em todo o território da colônia portuguesa na América. Com a consolidação do comércio atlântico em suas diferentes conexões, a farinha atravessou os mares e chegou aos mercados africanos. BEZERRA, N. R. Escravidão, farinha e tráfico atl"&amp;"ântico: um novo olhar sobre as relações entre o Rio de Janeiro e Benguela (1790-1830). Disponível em: www.bn.br. Acesso em: 20 ago. 2014 (adaptado).
Considerando a formação do espaço atlântico, esse produto exemplifica historicamente a
")</f>
        <v xml:space="preserve">O processamento da mandioca era uma atividade já realizada pelos nativos que viviam no Brasil antes da chegada de portugueses e africanos. Entretanto, ao longo do processo de colonização portuguesa, a produção de farinha foi aperfeiçoada e ampliada, tornando-se lugar-comum em todo o território da colônia portuguesa na América. Com a consolidação do comércio atlântico em suas diferentes conexões, a farinha atravessou os mares e chegou aos mercados africanos. BEZERRA, N. R. Escravidão, farinha e tráfico atlântico: um novo olhar sobre as relações entre o Rio de Janeiro e Benguela (1790-1830). Disponível em: www.bn.br. Acesso em: 20 ago. 2014 (adaptado).
Considerando a formação do espaço atlântico, esse produto exemplifica historicamente a
</v>
      </c>
      <c r="M12" s="4" t="str">
        <f ca="1">IFERROR(__xludf.DUMMYFUNCTION("""COMPUTED_VALUE"""),"difusão de hábitos alimentares.")</f>
        <v>difusão de hábitos alimentares.</v>
      </c>
      <c r="N12" s="4" t="str">
        <f ca="1">IFERROR(__xludf.DUMMYFUNCTION("""COMPUTED_VALUE"""),"disseminação de rituais festivos.")</f>
        <v>disseminação de rituais festivos.</v>
      </c>
      <c r="O12" s="4" t="str">
        <f ca="1">IFERROR(__xludf.DUMMYFUNCTION("""COMPUTED_VALUE"""),"ampliação dos saberes autóctones.")</f>
        <v>ampliação dos saberes autóctones.</v>
      </c>
      <c r="P12" s="4" t="str">
        <f ca="1">IFERROR(__xludf.DUMMYFUNCTION("""COMPUTED_VALUE"""),"apropriação de costumes guerreiros.")</f>
        <v>apropriação de costumes guerreiros.</v>
      </c>
      <c r="Q12" s="4" t="str">
        <f ca="1">IFERROR(__xludf.DUMMYFUNCTION("""COMPUTED_VALUE"""),"diversificação de oferendas religiosas.")</f>
        <v>diversificação de oferendas religiosas.</v>
      </c>
      <c r="R12" s="4"/>
      <c r="S12" s="4"/>
      <c r="T12" s="4"/>
      <c r="U12" s="4"/>
      <c r="V12" s="4"/>
      <c r="W12" s="4"/>
      <c r="X12" s="4"/>
      <c r="Y12" s="4"/>
      <c r="Z12" s="4"/>
    </row>
    <row r="13" spans="1:26" x14ac:dyDescent="0.25">
      <c r="A13" s="3" t="str">
        <f ca="1">IFERROR(__xludf.DUMMYFUNCTION("""COMPUTED_VALUE"""),"https://drive.google.com/open?id=1RuSFsGGjpDV7Z_RMwdeJr60dwaiELRMM")</f>
        <v>https://drive.google.com/open?id=1RuSFsGGjpDV7Z_RMwdeJr60dwaiELRMM</v>
      </c>
      <c r="B13" s="4" t="str">
        <f ca="1">IFERROR(__xludf.DUMMYFUNCTION("""COMPUTED_VALUE"""),"Enem")</f>
        <v>Enem</v>
      </c>
      <c r="C13" s="4">
        <f ca="1">IFERROR(__xludf.DUMMYFUNCTION("""COMPUTED_VALUE"""),2019)</f>
        <v>2019</v>
      </c>
      <c r="D13" s="4" t="str">
        <f ca="1">IFERROR(__xludf.DUMMYFUNCTION("""COMPUTED_VALUE"""),"Ciências Humanas")</f>
        <v>Ciências Humanas</v>
      </c>
      <c r="E13" s="4" t="str">
        <f ca="1">IFERROR(__xludf.DUMMYFUNCTION("""COMPUTED_VALUE"""),"Sociologia")</f>
        <v>Sociologia</v>
      </c>
      <c r="F13" s="4" t="str">
        <f ca="1">IFERROR(__xludf.DUMMYFUNCTION("""COMPUTED_VALUE"""),"Sociologia")</f>
        <v>Sociologia</v>
      </c>
      <c r="G13" s="4"/>
      <c r="H13" s="4"/>
      <c r="I13" s="4" t="str">
        <f ca="1">IFERROR(__xludf.DUMMYFUNCTION("""COMPUTED_VALUE"""),"Amarelo")</f>
        <v>Amarelo</v>
      </c>
      <c r="J13" s="4">
        <f ca="1">IFERROR(__xludf.DUMMYFUNCTION("""COMPUTED_VALUE"""),51)</f>
        <v>51</v>
      </c>
      <c r="K13" s="4" t="str">
        <f ca="1">IFERROR(__xludf.DUMMYFUNCTION("""COMPUTED_VALUE"""),"D")</f>
        <v>D</v>
      </c>
      <c r="L13" s="4" t="str">
        <f ca="1">IFERROR(__xludf.DUMMYFUNCTION("""COMPUTED_VALUE"""),"Saudado por centenas de militantes de movimentos sociais de quarenta países, o papa Francisco encerrou no dia 09/07/2015 o 2º Encontro Mundial dos Movimentos Populares, em Santa Cruz de La Sierra, na Bolívia. Segundo ele, a “globalização da esperança, que"&amp;" nasce dos povos e cresce entre os pobres, deve substituir esta globalização da exclusão e da indiferença”. Disponível em: http://cartamaior.com.br. Acesso em: 15 jul. 2015 (adaptado). 
No texto há uma crítica ao seguinte aspecto do mundo globalizado: 
")</f>
        <v xml:space="preserve">Saudado por centenas de militantes de movimentos sociais de quarenta países, o papa Francisco encerrou no dia 09/07/2015 o 2º Encontro Mundial dos Movimentos Populares, em Santa Cruz de La Sierra, na Bolívia. Segundo ele, a “globalização da esperança, que nasce dos povos e cresce entre os pobres, deve substituir esta globalização da exclusão e da indiferença”. Disponível em: http://cartamaior.com.br. Acesso em: 15 jul. 2015 (adaptado). 
No texto há uma crítica ao seguinte aspecto do mundo globalizado: 
</v>
      </c>
      <c r="M13" s="4" t="str">
        <f ca="1">IFERROR(__xludf.DUMMYFUNCTION("""COMPUTED_VALUE"""),"Liberdade política. ")</f>
        <v xml:space="preserve">Liberdade política. </v>
      </c>
      <c r="N13" s="4" t="str">
        <f ca="1">IFERROR(__xludf.DUMMYFUNCTION("""COMPUTED_VALUE"""),"Mobilidade humana. ")</f>
        <v xml:space="preserve">Mobilidade humana. </v>
      </c>
      <c r="O13" s="4" t="str">
        <f ca="1">IFERROR(__xludf.DUMMYFUNCTION("""COMPUTED_VALUE"""),"Conectividade cultural. ")</f>
        <v xml:space="preserve">Conectividade cultural. </v>
      </c>
      <c r="P13" s="4" t="str">
        <f ca="1">IFERROR(__xludf.DUMMYFUNCTION("""COMPUTED_VALUE"""),"Disparidade econômica. ")</f>
        <v xml:space="preserve">Disparidade econômica. </v>
      </c>
      <c r="Q13" s="4" t="str">
        <f ca="1">IFERROR(__xludf.DUMMYFUNCTION("""COMPUTED_VALUE"""),"Complementaridade comercial.")</f>
        <v>Complementaridade comercial.</v>
      </c>
      <c r="R13" s="4"/>
      <c r="S13" s="4"/>
      <c r="T13" s="4"/>
      <c r="U13" s="4"/>
      <c r="V13" s="4"/>
      <c r="W13" s="4"/>
      <c r="X13" s="4"/>
      <c r="Y13" s="4"/>
      <c r="Z13" s="4"/>
    </row>
    <row r="14" spans="1:26" x14ac:dyDescent="0.25">
      <c r="A14" s="3" t="str">
        <f ca="1">IFERROR(__xludf.DUMMYFUNCTION("""COMPUTED_VALUE"""),"https://drive.google.com/open?id=1KdFQmBYdp-9DOTGHsh0fZZMzjN74oZnz")</f>
        <v>https://drive.google.com/open?id=1KdFQmBYdp-9DOTGHsh0fZZMzjN74oZnz</v>
      </c>
      <c r="B14" s="4" t="str">
        <f ca="1">IFERROR(__xludf.DUMMYFUNCTION("""COMPUTED_VALUE"""),"Enem")</f>
        <v>Enem</v>
      </c>
      <c r="C14" s="4">
        <f ca="1">IFERROR(__xludf.DUMMYFUNCTION("""COMPUTED_VALUE"""),2019)</f>
        <v>2019</v>
      </c>
      <c r="D14" s="4" t="str">
        <f ca="1">IFERROR(__xludf.DUMMYFUNCTION("""COMPUTED_VALUE"""),"Ciências Humanas")</f>
        <v>Ciências Humanas</v>
      </c>
      <c r="E14" s="4" t="str">
        <f ca="1">IFERROR(__xludf.DUMMYFUNCTION("""COMPUTED_VALUE"""),"Sociologia")</f>
        <v>Sociologia</v>
      </c>
      <c r="F14" s="4" t="str">
        <f ca="1">IFERROR(__xludf.DUMMYFUNCTION("""COMPUTED_VALUE"""),"Sociologia")</f>
        <v>Sociologia</v>
      </c>
      <c r="G14" s="4"/>
      <c r="H14" s="4"/>
      <c r="I14" s="4" t="str">
        <f ca="1">IFERROR(__xludf.DUMMYFUNCTION("""COMPUTED_VALUE"""),"Amarelo")</f>
        <v>Amarelo</v>
      </c>
      <c r="J14" s="4">
        <f ca="1">IFERROR(__xludf.DUMMYFUNCTION("""COMPUTED_VALUE"""),52)</f>
        <v>52</v>
      </c>
      <c r="K14" s="4" t="str">
        <f ca="1">IFERROR(__xludf.DUMMYFUNCTION("""COMPUTED_VALUE"""),"B")</f>
        <v>B</v>
      </c>
      <c r="L14" s="4" t="str">
        <f ca="1">IFERROR(__xludf.DUMMYFUNCTION("""COMPUTED_VALUE"""),"A Declaração Universal dos Direitos Humanos, adotada e proclamada pela Assembleia Geral da ONU na Resolução 217-A, de 10 de dezembro de 1948, foi um acontecimento histórico de grande relevância. Ao afirmar, pela primeira vez em escala planetária, o papel "&amp;"dos direitos humanos na convivência coletiva, pode ser considerada um evento inaugural de uma nova concepção de vida internacional. LAFER, C. Declaração Universal dos Direitos Humanos (1948). In: MAGNOLI, D. (Org.). História da paz. São Paulo: Contexto, 2"&amp;"008.
 A declaração citada no texto introduziu uma nova concepção nas relações internacionais ao possibilitar a 
")</f>
        <v xml:space="preserve">A Declaração Universal dos Direitos Humanos, adotada e proclamada pela Assembleia Geral da ONU na Resolução 217-A, de 10 de dezembro de 1948, foi um acontecimento histórico de grande relevância. Ao afirmar, pela primeira vez em escala planetária, o papel dos direitos humanos na convivência coletiva, pode ser considerada um evento inaugural de uma nova concepção de vida internacional. LAFER, C. Declaração Universal dos Direitos Humanos (1948). In: MAGNOLI, D. (Org.). História da paz. São Paulo: Contexto, 2008.
 A declaração citada no texto introduziu uma nova concepção nas relações internacionais ao possibilitar a 
</v>
      </c>
      <c r="M14" s="4" t="str">
        <f ca="1">IFERROR(__xludf.DUMMYFUNCTION("""COMPUTED_VALUE"""),"superação da soberania estatal. ")</f>
        <v xml:space="preserve">superação da soberania estatal. </v>
      </c>
      <c r="N14" s="4" t="str">
        <f ca="1">IFERROR(__xludf.DUMMYFUNCTION("""COMPUTED_VALUE"""),"defesa dos grupos vulneráveis. ")</f>
        <v xml:space="preserve">defesa dos grupos vulneráveis. </v>
      </c>
      <c r="O14" s="4" t="str">
        <f ca="1">IFERROR(__xludf.DUMMYFUNCTION("""COMPUTED_VALUE"""),"redução da truculência belicista.")</f>
        <v>redução da truculência belicista.</v>
      </c>
      <c r="P14" s="4" t="str">
        <f ca="1">IFERROR(__xludf.DUMMYFUNCTION("""COMPUTED_VALUE"""),"impunidade dos atos criminosos. ")</f>
        <v xml:space="preserve">impunidade dos atos criminosos. </v>
      </c>
      <c r="Q14" s="4" t="str">
        <f ca="1">IFERROR(__xludf.DUMMYFUNCTION("""COMPUTED_VALUE"""),"inibição dos choques civilizacionais.")</f>
        <v>inibição dos choques civilizacionais.</v>
      </c>
      <c r="R14" s="4"/>
      <c r="S14" s="4"/>
      <c r="T14" s="4"/>
      <c r="U14" s="4"/>
      <c r="V14" s="4"/>
      <c r="W14" s="4"/>
      <c r="X14" s="4"/>
      <c r="Y14" s="4"/>
      <c r="Z14" s="4"/>
    </row>
    <row r="15" spans="1:26" x14ac:dyDescent="0.25">
      <c r="A15" s="3" t="str">
        <f ca="1">IFERROR(__xludf.DUMMYFUNCTION("""COMPUTED_VALUE"""),"https://drive.google.com/open?id=1MTTpFHPyYTMzeEVcIGHGV2i76jJxSe3_")</f>
        <v>https://drive.google.com/open?id=1MTTpFHPyYTMzeEVcIGHGV2i76jJxSe3_</v>
      </c>
      <c r="B15" s="4" t="str">
        <f ca="1">IFERROR(__xludf.DUMMYFUNCTION("""COMPUTED_VALUE"""),"Enem")</f>
        <v>Enem</v>
      </c>
      <c r="C15" s="4">
        <f ca="1">IFERROR(__xludf.DUMMYFUNCTION("""COMPUTED_VALUE"""),2019)</f>
        <v>2019</v>
      </c>
      <c r="D15" s="4" t="str">
        <f ca="1">IFERROR(__xludf.DUMMYFUNCTION("""COMPUTED_VALUE"""),"Ciências Humanas")</f>
        <v>Ciências Humanas</v>
      </c>
      <c r="E15" s="4" t="str">
        <f ca="1">IFERROR(__xludf.DUMMYFUNCTION("""COMPUTED_VALUE"""),"Sociologia")</f>
        <v>Sociologia</v>
      </c>
      <c r="F15" s="4" t="str">
        <f ca="1">IFERROR(__xludf.DUMMYFUNCTION("""COMPUTED_VALUE"""),"Sociologia")</f>
        <v>Sociologia</v>
      </c>
      <c r="G15" s="4"/>
      <c r="H15" s="4"/>
      <c r="I15" s="4" t="str">
        <f ca="1">IFERROR(__xludf.DUMMYFUNCTION("""COMPUTED_VALUE"""),"Amarelo")</f>
        <v>Amarelo</v>
      </c>
      <c r="J15" s="4">
        <f ca="1">IFERROR(__xludf.DUMMYFUNCTION("""COMPUTED_VALUE"""),53)</f>
        <v>53</v>
      </c>
      <c r="K15" s="4" t="str">
        <f ca="1">IFERROR(__xludf.DUMMYFUNCTION("""COMPUTED_VALUE"""),"B")</f>
        <v>B</v>
      </c>
      <c r="L15" s="4" t="str">
        <f ca="1">IFERROR(__xludf.DUMMYFUNCTION("""COMPUTED_VALUE"""),"[Imagem presente no arquivo]
“Nossa cultura não cabe nos seus museus”.
 TOLENTINO, A. B. Patrimônio cultural e discursos museológicos. Midas, n. 6, 2016.
 Produzida no Chile, no final da década de 1970, a imagem expressa um conflito entre culturas e sua"&amp;" presença em museus decorrente da 
")</f>
        <v xml:space="preserve">[Imagem presente no arquivo]
“Nossa cultura não cabe nos seus museus”.
 TOLENTINO, A. B. Patrimônio cultural e discursos museológicos. Midas, n. 6, 2016.
 Produzida no Chile, no final da década de 1970, a imagem expressa um conflito entre culturas e sua presença em museus decorrente da 
</v>
      </c>
      <c r="M15" s="4" t="str">
        <f ca="1">IFERROR(__xludf.DUMMYFUNCTION("""COMPUTED_VALUE"""),"valorização do mercado das obras de arte.")</f>
        <v>valorização do mercado das obras de arte.</v>
      </c>
      <c r="N15" s="4" t="str">
        <f ca="1">IFERROR(__xludf.DUMMYFUNCTION("""COMPUTED_VALUE""")," definição dos critérios de criação de acervos.")</f>
        <v xml:space="preserve"> definição dos critérios de criação de acervos.</v>
      </c>
      <c r="O15" s="4" t="str">
        <f ca="1">IFERROR(__xludf.DUMMYFUNCTION("""COMPUTED_VALUE"""),"ampliação da rede de instituições de memória. ")</f>
        <v xml:space="preserve">ampliação da rede de instituições de memória. </v>
      </c>
      <c r="P15" s="4" t="str">
        <f ca="1">IFERROR(__xludf.DUMMYFUNCTION("""COMPUTED_VALUE"""),"burocratização do acesso dos espaços expositivos. ")</f>
        <v xml:space="preserve">burocratização do acesso dos espaços expositivos. </v>
      </c>
      <c r="Q15" s="4" t="str">
        <f ca="1">IFERROR(__xludf.DUMMYFUNCTION("""COMPUTED_VALUE""")," fragmentação dos territórios das comunidades representadas.")</f>
        <v xml:space="preserve"> fragmentação dos territórios das comunidades representadas.</v>
      </c>
      <c r="R15" s="4"/>
      <c r="S15" s="4"/>
      <c r="T15" s="4"/>
      <c r="U15" s="4"/>
      <c r="V15" s="4"/>
      <c r="W15" s="4"/>
      <c r="X15" s="4"/>
      <c r="Y15" s="4"/>
      <c r="Z15" s="4"/>
    </row>
    <row r="16" spans="1:26" x14ac:dyDescent="0.25">
      <c r="A16" s="3" t="str">
        <f ca="1">IFERROR(__xludf.DUMMYFUNCTION("""COMPUTED_VALUE"""),"https://drive.google.com/open?id=1Rk_iB589r0ZtTgPU99o2w2gKgbME94Mm")</f>
        <v>https://drive.google.com/open?id=1Rk_iB589r0ZtTgPU99o2w2gKgbME94Mm</v>
      </c>
      <c r="B16" s="4" t="str">
        <f ca="1">IFERROR(__xludf.DUMMYFUNCTION("""COMPUTED_VALUE"""),"Enem")</f>
        <v>Enem</v>
      </c>
      <c r="C16" s="4">
        <f ca="1">IFERROR(__xludf.DUMMYFUNCTION("""COMPUTED_VALUE"""),2019)</f>
        <v>2019</v>
      </c>
      <c r="D16" s="4" t="str">
        <f ca="1">IFERROR(__xludf.DUMMYFUNCTION("""COMPUTED_VALUE"""),"Ciências Humanas")</f>
        <v>Ciências Humanas</v>
      </c>
      <c r="E16" s="4" t="str">
        <f ca="1">IFERROR(__xludf.DUMMYFUNCTION("""COMPUTED_VALUE"""),"Sociologia")</f>
        <v>Sociologia</v>
      </c>
      <c r="F16" s="4" t="str">
        <f ca="1">IFERROR(__xludf.DUMMYFUNCTION("""COMPUTED_VALUE"""),"Sociologia")</f>
        <v>Sociologia</v>
      </c>
      <c r="G16" s="4"/>
      <c r="H16" s="4"/>
      <c r="I16" s="4" t="str">
        <f ca="1">IFERROR(__xludf.DUMMYFUNCTION("""COMPUTED_VALUE"""),"Amarelo")</f>
        <v>Amarelo</v>
      </c>
      <c r="J16" s="4">
        <f ca="1">IFERROR(__xludf.DUMMYFUNCTION("""COMPUTED_VALUE"""),57)</f>
        <v>57</v>
      </c>
      <c r="K16" s="4" t="str">
        <f ca="1">IFERROR(__xludf.DUMMYFUNCTION("""COMPUTED_VALUE"""),"E")</f>
        <v>E</v>
      </c>
      <c r="L16" s="4" t="str">
        <f ca="1">IFERROR(__xludf.DUMMYFUNCTION("""COMPUTED_VALUE"""),"A maior parte das agressões e manifestações discriminatórias contra as religiões de matrizes africanas ocorrem em locais públicos (57%).É na rua, na via pública, que tiveram lugar mais de 2/3 das agressões, geralmente em locais próximos às casas de culto "&amp;"dessas religiões. O transporte público também é apontado como um local em que os adeptos das religiões de matrizes africanas são discriminados, geralmente quando se encontram paramentados por conta dos preceitos religiosos. REGO, L. F.; FONSECA, D. P. R.;"&amp;" GIACOMINI, S. M. Cartografia social de terreiros no Rio de Janeiro . Rio de Janeiro: PUC-Rio, 2014.
As práticas descritas no texto são incompatíveis com a dinâmica de uma sociedade laica e democrática porque
")</f>
        <v xml:space="preserve">A maior parte das agressões e manifestações discriminatórias contra as religiões de matrizes africanas ocorrem em locais públicos (57%).É na rua, na via pública, que tiveram lugar mais de 2/3 das agressões, geralmente em locais próximos às casas de culto dessas religiões. O transporte público também é apontado como um local em que os adeptos das religiões de matrizes africanas são discriminados, geralmente quando se encontram paramentados por conta dos preceitos religiosos. REGO, L. F.; FONSECA, D. P. R.; GIACOMINI, S. M. Cartografia social de terreiros no Rio de Janeiro . Rio de Janeiro: PUC-Rio, 2014.
As práticas descritas no texto são incompatíveis com a dinâmica de uma sociedade laica e democrática porque
</v>
      </c>
      <c r="M16" s="4" t="str">
        <f ca="1">IFERROR(__xludf.DUMMYFUNCTION("""COMPUTED_VALUE"""),"asseguram as expressões multiculturais. ")</f>
        <v xml:space="preserve">asseguram as expressões multiculturais. </v>
      </c>
      <c r="N16" s="4" t="str">
        <f ca="1">IFERROR(__xludf.DUMMYFUNCTION("""COMPUTED_VALUE"""),"promovem a diversidade de etnias. ")</f>
        <v xml:space="preserve">promovem a diversidade de etnias. </v>
      </c>
      <c r="O16" s="4" t="str">
        <f ca="1">IFERROR(__xludf.DUMMYFUNCTION("""COMPUTED_VALUE"""),"falseiam os dogmas teológicos. ")</f>
        <v xml:space="preserve">falseiam os dogmas teológicos. </v>
      </c>
      <c r="P16" s="4" t="str">
        <f ca="1">IFERROR(__xludf.DUMMYFUNCTION("""COMPUTED_VALUE"""),"estimulam os rituais sincréticos. ")</f>
        <v xml:space="preserve">estimulam os rituais sincréticos. </v>
      </c>
      <c r="Q16" s="4" t="str">
        <f ca="1">IFERROR(__xludf.DUMMYFUNCTION("""COMPUTED_VALUE"""),"restringem a liberdade de credo. ")</f>
        <v xml:space="preserve">restringem a liberdade de credo. </v>
      </c>
      <c r="R16" s="4"/>
      <c r="S16" s="4"/>
      <c r="T16" s="4"/>
      <c r="U16" s="4"/>
      <c r="V16" s="4"/>
      <c r="W16" s="4"/>
      <c r="X16" s="4"/>
      <c r="Y16" s="4"/>
      <c r="Z16" s="4"/>
    </row>
    <row r="17" spans="1:26" x14ac:dyDescent="0.25">
      <c r="A17" s="3" t="str">
        <f ca="1">IFERROR(__xludf.DUMMYFUNCTION("""COMPUTED_VALUE"""),"https://drive.google.com/open?id=1EF9DaX4W3zpjiErNVOmoqCe0GDKAL4y6")</f>
        <v>https://drive.google.com/open?id=1EF9DaX4W3zpjiErNVOmoqCe0GDKAL4y6</v>
      </c>
      <c r="B17" s="4" t="str">
        <f ca="1">IFERROR(__xludf.DUMMYFUNCTION("""COMPUTED_VALUE"""),"Enem")</f>
        <v>Enem</v>
      </c>
      <c r="C17" s="4">
        <f ca="1">IFERROR(__xludf.DUMMYFUNCTION("""COMPUTED_VALUE"""),2019)</f>
        <v>2019</v>
      </c>
      <c r="D17" s="4" t="str">
        <f ca="1">IFERROR(__xludf.DUMMYFUNCTION("""COMPUTED_VALUE"""),"Ciências Humanas")</f>
        <v>Ciências Humanas</v>
      </c>
      <c r="E17" s="4" t="str">
        <f ca="1">IFERROR(__xludf.DUMMYFUNCTION("""COMPUTED_VALUE"""),"Sociologia")</f>
        <v>Sociologia</v>
      </c>
      <c r="F17" s="4" t="str">
        <f ca="1">IFERROR(__xludf.DUMMYFUNCTION("""COMPUTED_VALUE"""),"Sociologia")</f>
        <v>Sociologia</v>
      </c>
      <c r="G17" s="4"/>
      <c r="H17" s="4"/>
      <c r="I17" s="4" t="str">
        <f ca="1">IFERROR(__xludf.DUMMYFUNCTION("""COMPUTED_VALUE"""),"Amarelo")</f>
        <v>Amarelo</v>
      </c>
      <c r="J17" s="4">
        <f ca="1">IFERROR(__xludf.DUMMYFUNCTION("""COMPUTED_VALUE"""),59)</f>
        <v>59</v>
      </c>
      <c r="K17" s="4" t="str">
        <f ca="1">IFERROR(__xludf.DUMMYFUNCTION("""COMPUTED_VALUE"""),"C")</f>
        <v>C</v>
      </c>
      <c r="L17" s="4" t="str">
        <f ca="1">IFERROR(__xludf.DUMMYFUNCTION("""COMPUTED_VALUE"""),"A lenda diz que, em um belo dia ensolarado, Newton estava relaxando sob uma macieira. Pássaros gorjeavam em suas orelhas. Havia uma brisa gentil. Ele cochilou por alguns minutos. De repente, uma maçã caiu sobre a sua cabeça e ele acordou com um susto. Olh"&amp;"ou para cima. “Com certeza um pássaro ou um esquilo derrubou a maçã da árvore”, supôs. Mas não havia pássaros ou esquilos na árvore por perto. Ele, então, pensou: “Apenas alguns minutos antes, a maçã estava pendurada na árvore. Nenhuma força externa fez e"&amp;"la cair. Deve haver alguma força subjacente que causa a queda das coisas para a terra”. The English Enlightenment, p. 1-3, apud MARTINS, R. A. A maçã de Newton: história, lendas e tolices. In: SILVA, C. C. (org.). Estudos de história e filosofia das ciênc"&amp;"ias: subsídios para aplicação no ensino. São Paulo: Livraria da Física, 2006. p. 169 (adaptado).
Em contraponto a uma interpretação idealizada, o texto aponta para a seguinte dimensão fundamental da ciência moderna:
")</f>
        <v xml:space="preserve">A lenda diz que, em um belo dia ensolarado, Newton estava relaxando sob uma macieira. Pássaros gorjeavam em suas orelhas. Havia uma brisa gentil. Ele cochilou por alguns minutos. De repente, uma maçã caiu sobre a sua cabeça e ele acordou com um susto. Olhou para cima. “Com certeza um pássaro ou um esquilo derrubou a maçã da árvore”, supôs. Mas não havia pássaros ou esquilos na árvore por perto. Ele, então, pensou: “Apenas alguns minutos antes, a maçã estava pendurada na árvore. Nenhuma força externa fez ela cair. Deve haver alguma força subjacente que causa a queda das coisas para a terra”. The English Enlightenment, p. 1-3, apud MARTINS, R. A. A maçã de Newton: história, lendas e tolices. In: SILVA, C. C. (org.). Estudos de história e filosofia das ciências: subsídios para aplicação no ensino. São Paulo: Livraria da Física, 2006. p. 169 (adaptado).
Em contraponto a uma interpretação idealizada, o texto aponta para a seguinte dimensão fundamental da ciência moderna:
</v>
      </c>
      <c r="M17" s="4" t="str">
        <f ca="1">IFERROR(__xludf.DUMMYFUNCTION("""COMPUTED_VALUE"""),"Falsificação de teses.")</f>
        <v>Falsificação de teses.</v>
      </c>
      <c r="N17" s="4" t="str">
        <f ca="1">IFERROR(__xludf.DUMMYFUNCTION("""COMPUTED_VALUE"""),"Negação da observação. ")</f>
        <v xml:space="preserve">Negação da observação. </v>
      </c>
      <c r="O17" s="4" t="str">
        <f ca="1">IFERROR(__xludf.DUMMYFUNCTION("""COMPUTED_VALUE"""),"Proposição de hipóteses. ")</f>
        <v xml:space="preserve">Proposição de hipóteses. </v>
      </c>
      <c r="P17" s="4" t="str">
        <f ca="1">IFERROR(__xludf.DUMMYFUNCTION("""COMPUTED_VALUE"""),"Contemplação da natureza. ")</f>
        <v xml:space="preserve">Contemplação da natureza. </v>
      </c>
      <c r="Q17" s="4" t="str">
        <f ca="1">IFERROR(__xludf.DUMMYFUNCTION("""COMPUTED_VALUE"""),"Universalização de conclusões.")</f>
        <v>Universalização de conclusões.</v>
      </c>
      <c r="R17" s="4"/>
      <c r="S17" s="4"/>
      <c r="T17" s="4"/>
      <c r="U17" s="4"/>
      <c r="V17" s="4"/>
      <c r="W17" s="4"/>
      <c r="X17" s="4"/>
      <c r="Y17" s="4"/>
      <c r="Z17" s="4"/>
    </row>
    <row r="18" spans="1:26" x14ac:dyDescent="0.25">
      <c r="A18" s="3" t="str">
        <f ca="1">IFERROR(__xludf.DUMMYFUNCTION("""COMPUTED_VALUE"""),"https://drive.google.com/open?id=1KCmXWUiMBX2aNJdE3eHhnZ-KKIwgiGsB")</f>
        <v>https://drive.google.com/open?id=1KCmXWUiMBX2aNJdE3eHhnZ-KKIwgiGsB</v>
      </c>
      <c r="B18" s="4" t="str">
        <f ca="1">IFERROR(__xludf.DUMMYFUNCTION("""COMPUTED_VALUE"""),"Enem")</f>
        <v>Enem</v>
      </c>
      <c r="C18" s="4">
        <f ca="1">IFERROR(__xludf.DUMMYFUNCTION("""COMPUTED_VALUE"""),2019)</f>
        <v>2019</v>
      </c>
      <c r="D18" s="4" t="str">
        <f ca="1">IFERROR(__xludf.DUMMYFUNCTION("""COMPUTED_VALUE"""),"Ciências Humanas")</f>
        <v>Ciências Humanas</v>
      </c>
      <c r="E18" s="4" t="str">
        <f ca="1">IFERROR(__xludf.DUMMYFUNCTION("""COMPUTED_VALUE"""),"Sociologia")</f>
        <v>Sociologia</v>
      </c>
      <c r="F18" s="4" t="str">
        <f ca="1">IFERROR(__xludf.DUMMYFUNCTION("""COMPUTED_VALUE"""),"Sociologia")</f>
        <v>Sociologia</v>
      </c>
      <c r="G18" s="4"/>
      <c r="H18" s="4"/>
      <c r="I18" s="4" t="str">
        <f ca="1">IFERROR(__xludf.DUMMYFUNCTION("""COMPUTED_VALUE"""),"Amarelo")</f>
        <v>Amarelo</v>
      </c>
      <c r="J18" s="4">
        <f ca="1">IFERROR(__xludf.DUMMYFUNCTION("""COMPUTED_VALUE"""),66)</f>
        <v>66</v>
      </c>
      <c r="K18" s="4" t="str">
        <f ca="1">IFERROR(__xludf.DUMMYFUNCTION("""COMPUTED_VALUE"""),"E")</f>
        <v>E</v>
      </c>
      <c r="L18" s="4" t="str">
        <f ca="1">IFERROR(__xludf.DUMMYFUNCTION("""COMPUTED_VALUE"""),"Em nenhuma outra época o corpo magro adquiriu um sentido de corpo ideal e esteve tão em evidência como nos dias atuais: esse corpo, nu ou vestido, exposto em diversas revistas femininas e masculinas, está na moda: é capa de revistas, matérias de jornais, "&amp;"manchetes publicitárias, e se transformou em sonho de consumo para milhares de pessoas. Partindo dessa concepção, o gordo passa a ter um corpo visivelmente sem comedimento, sem saúde, um corpo estigmatizado pelo desvio, o desvio pelo excesso. Entretanto, "&amp;"como afirma a escritora Marylin Wann, é perfeitamente possível ser gordo e saudável. Frequentemente os gordos adoecem não por causa da gordura, mas sim pelo estresse, pela opressão a que são submetidos. VASCONCELOS, N. A.; SUDO, I.; SUDO, N. Um peso na al"&amp;"ma: o corpo gordo e a mídia. Revista Mal-Estar e Subjetividade, n. 1, mar. 2004 (adaptado).
 No texto, o tratamento predominante na mídia sobre a relação entre saúde e corpo recebe a seguinte crítica:
")</f>
        <v xml:space="preserve">Em nenhuma outra época o corpo magro adquiriu um sentido de corpo ideal e esteve tão em evidência como nos dias atuais: esse corpo, nu ou vestido, exposto em diversas revistas femininas e masculinas, está na moda: é capa de revistas, matérias de jornais, manchetes publicitárias, e se transformou em sonho de consumo para milhares de pessoas. Partindo dessa concepção, o gordo passa a ter um corpo visivelmente sem comedimento, sem saúde, um corpo estigmatizado pelo desvio, o desvio pelo excesso. Entretanto, como afirma a escritora Marylin Wann, é perfeitamente possível ser gordo e saudável. Frequentemente os gordos adoecem não por causa da gordura, mas sim pelo estresse, pela opressão a que são submetidos. VASCONCELOS, N. A.; SUDO, I.; SUDO, N. Um peso na alma: o corpo gordo e a mídia. Revista Mal-Estar e Subjetividade, n. 1, mar. 2004 (adaptado).
 No texto, o tratamento predominante na mídia sobre a relação entre saúde e corpo recebe a seguinte crítica:
</v>
      </c>
      <c r="M18" s="4" t="str">
        <f ca="1">IFERROR(__xludf.DUMMYFUNCTION("""COMPUTED_VALUE"""),"Difusão das estéticas antigas. ")</f>
        <v xml:space="preserve">Difusão das estéticas antigas. </v>
      </c>
      <c r="N18" s="4" t="str">
        <f ca="1">IFERROR(__xludf.DUMMYFUNCTION("""COMPUTED_VALUE"""),"Exaltação das crendices populares. ")</f>
        <v xml:space="preserve">Exaltação das crendices populares. </v>
      </c>
      <c r="O18" s="4" t="str">
        <f ca="1">IFERROR(__xludf.DUMMYFUNCTION("""COMPUTED_VALUE"""),"Propagação das conclusões científicas. ")</f>
        <v xml:space="preserve">Propagação das conclusões científicas. </v>
      </c>
      <c r="P18" s="4" t="str">
        <f ca="1">IFERROR(__xludf.DUMMYFUNCTION("""COMPUTED_VALUE"""),"Reiteração dos discursos hegemônicos. ")</f>
        <v xml:space="preserve">Reiteração dos discursos hegemônicos. </v>
      </c>
      <c r="Q18" s="4" t="str">
        <f ca="1">IFERROR(__xludf.DUMMYFUNCTION("""COMPUTED_VALUE"""),"Contestação dos estereótipos consolidados.")</f>
        <v>Contestação dos estereótipos consolidados.</v>
      </c>
      <c r="R18" s="4"/>
      <c r="S18" s="4"/>
      <c r="T18" s="4"/>
      <c r="U18" s="4"/>
      <c r="V18" s="4"/>
      <c r="W18" s="4"/>
      <c r="X18" s="4"/>
      <c r="Y18" s="4"/>
      <c r="Z18" s="4"/>
    </row>
    <row r="19" spans="1:26" x14ac:dyDescent="0.25">
      <c r="A19" s="3" t="str">
        <f ca="1">IFERROR(__xludf.DUMMYFUNCTION("""COMPUTED_VALUE"""),"https://drive.google.com/open?id=1PYl-Hdoh7Vke95qA2n8IltEdDadvlY5D")</f>
        <v>https://drive.google.com/open?id=1PYl-Hdoh7Vke95qA2n8IltEdDadvlY5D</v>
      </c>
      <c r="B19" s="4" t="str">
        <f ca="1">IFERROR(__xludf.DUMMYFUNCTION("""COMPUTED_VALUE"""),"Enem")</f>
        <v>Enem</v>
      </c>
      <c r="C19" s="4">
        <f ca="1">IFERROR(__xludf.DUMMYFUNCTION("""COMPUTED_VALUE"""),2019)</f>
        <v>2019</v>
      </c>
      <c r="D19" s="4" t="str">
        <f ca="1">IFERROR(__xludf.DUMMYFUNCTION("""COMPUTED_VALUE"""),"Ciências Humanas")</f>
        <v>Ciências Humanas</v>
      </c>
      <c r="E19" s="4" t="str">
        <f ca="1">IFERROR(__xludf.DUMMYFUNCTION("""COMPUTED_VALUE"""),"Sociologia")</f>
        <v>Sociologia</v>
      </c>
      <c r="F19" s="4" t="str">
        <f ca="1">IFERROR(__xludf.DUMMYFUNCTION("""COMPUTED_VALUE"""),"Sociologia")</f>
        <v>Sociologia</v>
      </c>
      <c r="G19" s="4"/>
      <c r="H19" s="4"/>
      <c r="I19" s="4" t="str">
        <f ca="1">IFERROR(__xludf.DUMMYFUNCTION("""COMPUTED_VALUE"""),"Amarelo")</f>
        <v>Amarelo</v>
      </c>
      <c r="J19" s="4">
        <f ca="1">IFERROR(__xludf.DUMMYFUNCTION("""COMPUTED_VALUE"""),69)</f>
        <v>69</v>
      </c>
      <c r="K19" s="4" t="str">
        <f ca="1">IFERROR(__xludf.DUMMYFUNCTION("""COMPUTED_VALUE"""),"B")</f>
        <v>B</v>
      </c>
      <c r="L19" s="4" t="str">
        <f ca="1">IFERROR(__xludf.DUMMYFUNCTION("""COMPUTED_VALUE"""),"[Imagem contida no arquivo]
Fala-se aqui de uma arte criada nas ruas e para as ruas, marcadas antes de tudo pela vida cotidiana, seus conflitos e suas possibilidades, que poderiam envolver técnicas, agentes e temas que não fossem encontrados nas institui"&amp;"ções mais tradicionais e formais. VALVERDE, R. R. H. F. Os limites da inversão: a heterotopia do Beco do Batman. Boletim Goiano de Geografia (Online). Goiânia, v. 37, n. 2, maio/ago. 2017 (adaptado).
 A manifestação artística expressa na imagem e apresen"&amp;"tada no texto integra um movimento contemporâneo de 
")</f>
        <v xml:space="preserve">[Imagem contida no arquivo]
Fala-se aqui de uma arte criada nas ruas e para as ruas, marcadas antes de tudo pela vida cotidiana, seus conflitos e suas possibilidades, que poderiam envolver técnicas, agentes e temas que não fossem encontrados nas instituições mais tradicionais e formais. VALVERDE, R. R. H. F. Os limites da inversão: a heterotopia do Beco do Batman. Boletim Goiano de Geografia (Online). Goiânia, v. 37, n. 2, maio/ago. 2017 (adaptado).
 A manifestação artística expressa na imagem e apresentada no texto integra um movimento contemporâneo de 
</v>
      </c>
      <c r="M19" s="4" t="str">
        <f ca="1">IFERROR(__xludf.DUMMYFUNCTION("""COMPUTED_VALUE"""),"regulação das relações sociais. ")</f>
        <v xml:space="preserve">regulação das relações sociais. </v>
      </c>
      <c r="N19" s="4" t="str">
        <f ca="1">IFERROR(__xludf.DUMMYFUNCTION("""COMPUTED_VALUE"""),"apropriação dos espaços públicos. ")</f>
        <v xml:space="preserve">apropriação dos espaços públicos. </v>
      </c>
      <c r="O19" s="4" t="str">
        <f ca="1">IFERROR(__xludf.DUMMYFUNCTION("""COMPUTED_VALUE"""),"padronização das culturas urbanas. ")</f>
        <v xml:space="preserve">padronização das culturas urbanas. </v>
      </c>
      <c r="P19" s="4" t="str">
        <f ca="1">IFERROR(__xludf.DUMMYFUNCTION("""COMPUTED_VALUE""")," valorização dos formalismos estéticos. ")</f>
        <v xml:space="preserve"> valorização dos formalismos estéticos. </v>
      </c>
      <c r="Q19" s="4" t="str">
        <f ca="1">IFERROR(__xludf.DUMMYFUNCTION("""COMPUTED_VALUE"""),"revitalização dos patrimônios históricos.")</f>
        <v>revitalização dos patrimônios históricos.</v>
      </c>
      <c r="R19" s="4"/>
      <c r="S19" s="4"/>
      <c r="T19" s="4"/>
      <c r="U19" s="4"/>
      <c r="V19" s="4"/>
      <c r="W19" s="4"/>
      <c r="X19" s="4"/>
      <c r="Y19" s="4"/>
      <c r="Z19" s="4"/>
    </row>
    <row r="20" spans="1:26" x14ac:dyDescent="0.25">
      <c r="A20" s="3" t="str">
        <f ca="1">IFERROR(__xludf.DUMMYFUNCTION("""COMPUTED_VALUE"""),"https://drive.google.com/open?id=1ORRrwk4uMkG-Mx6XU5jgpo55m9qYqTXq")</f>
        <v>https://drive.google.com/open?id=1ORRrwk4uMkG-Mx6XU5jgpo55m9qYqTXq</v>
      </c>
      <c r="B20" s="4" t="str">
        <f ca="1">IFERROR(__xludf.DUMMYFUNCTION("""COMPUTED_VALUE"""),"Enem")</f>
        <v>Enem</v>
      </c>
      <c r="C20" s="4">
        <f ca="1">IFERROR(__xludf.DUMMYFUNCTION("""COMPUTED_VALUE"""),2019)</f>
        <v>2019</v>
      </c>
      <c r="D20" s="4" t="str">
        <f ca="1">IFERROR(__xludf.DUMMYFUNCTION("""COMPUTED_VALUE"""),"Ciências Humanas")</f>
        <v>Ciências Humanas</v>
      </c>
      <c r="E20" s="4" t="str">
        <f ca="1">IFERROR(__xludf.DUMMYFUNCTION("""COMPUTED_VALUE"""),"Sociologia")</f>
        <v>Sociologia</v>
      </c>
      <c r="F20" s="4" t="str">
        <f ca="1">IFERROR(__xludf.DUMMYFUNCTION("""COMPUTED_VALUE"""),"Sociologia")</f>
        <v>Sociologia</v>
      </c>
      <c r="G20" s="4"/>
      <c r="H20" s="4"/>
      <c r="I20" s="4" t="str">
        <f ca="1">IFERROR(__xludf.DUMMYFUNCTION("""COMPUTED_VALUE"""),"Amarelo")</f>
        <v>Amarelo</v>
      </c>
      <c r="J20" s="4">
        <f ca="1">IFERROR(__xludf.DUMMYFUNCTION("""COMPUTED_VALUE"""),75)</f>
        <v>75</v>
      </c>
      <c r="K20" s="4" t="str">
        <f ca="1">IFERROR(__xludf.DUMMYFUNCTION("""COMPUTED_VALUE"""),"A")</f>
        <v>A</v>
      </c>
      <c r="L20" s="4" t="str">
        <f ca="1">IFERROR(__xludf.DUMMYFUNCTION("""COMPUTED_VALUE"""),"O Ministério do Trabalho e Emprego (MTE) realizou 248 ações fiscais e resgatou um total de 1 590 trabalhadores da situação análoga à de escravo, em 2014, em todo o país. A análise do enfrentamento do trabalho em condições análogas às de escravo materializ"&amp;"a a efetivação de parcerias inéditas no trato da questão, podendo ser referenciadas ações fiscais realizadas com o Ministério da Defesa, Exército Brasileiro, Instituto Brasileiro do Meio Ambiente e dos Recursos Naturais Renováveis (Ibama) e Instituto Chic"&amp;"o Mendes de Conservação da Biodiversidade (ICMBio). Disponível em: http://portal.mte.gov.br. Acesso em: 4 fev. 2015 (adaptado). 
A estratégia defendida no texto para reduzir o problema social apontado consiste em: 
")</f>
        <v xml:space="preserve">O Ministério do Trabalho e Emprego (MTE) realizou 248 ações fiscais e resgatou um total de 1 590 trabalhadores da situação análoga à de escravo, em 2014, em todo o país. A análise do enfrentamento do trabalho em condições análogas às de escravo materializa a efetivação de parcerias inéditas no trato da questão, podendo ser referenciadas ações fiscais realizadas com o Ministério da Defesa, Exército Brasileiro, Instituto Brasileiro do Meio Ambiente e dos Recursos Naturais Renováveis (Ibama) e Instituto Chico Mendes de Conservação da Biodiversidade (ICMBio). Disponível em: http://portal.mte.gov.br. Acesso em: 4 fev. 2015 (adaptado). 
A estratégia defendida no texto para reduzir o problema social apontado consiste em: 
</v>
      </c>
      <c r="M20" s="4" t="str">
        <f ca="1">IFERROR(__xludf.DUMMYFUNCTION("""COMPUTED_VALUE"""),"Articular os órgãos públicos. 
")</f>
        <v xml:space="preserve">Articular os órgãos públicos. 
</v>
      </c>
      <c r="N20" s="4" t="str">
        <f ca="1">IFERROR(__xludf.DUMMYFUNCTION("""COMPUTED_VALUE"""),"Pressionar o Poder Legislativo.")</f>
        <v>Pressionar o Poder Legislativo.</v>
      </c>
      <c r="O20" s="4" t="str">
        <f ca="1">IFERROR(__xludf.DUMMYFUNCTION("""COMPUTED_VALUE"""),"Ampliar a emissão das multas.")</f>
        <v>Ampliar a emissão das multas.</v>
      </c>
      <c r="P20" s="4" t="str">
        <f ca="1">IFERROR(__xludf.DUMMYFUNCTION("""COMPUTED_VALUE""")," Limitar a autonomia das empresas. ")</f>
        <v xml:space="preserve"> Limitar a autonomia das empresas. </v>
      </c>
      <c r="Q20" s="4" t="str">
        <f ca="1">IFERROR(__xludf.DUMMYFUNCTION("""COMPUTED_VALUE"""),"Financiar as pesquisas acadêmicas.")</f>
        <v>Financiar as pesquisas acadêmicas.</v>
      </c>
      <c r="R20" s="4"/>
      <c r="S20" s="4"/>
      <c r="T20" s="4"/>
      <c r="U20" s="4"/>
      <c r="V20" s="4"/>
      <c r="W20" s="4"/>
      <c r="X20" s="4"/>
      <c r="Y20" s="4"/>
      <c r="Z20" s="4"/>
    </row>
    <row r="21" spans="1:26" x14ac:dyDescent="0.25">
      <c r="A21" s="3" t="str">
        <f ca="1">IFERROR(__xludf.DUMMYFUNCTION("""COMPUTED_VALUE"""),"https://drive.google.com/open?id=132IEnJiZ5dtzWAjQWBcgAsGfPMGHjHtv")</f>
        <v>https://drive.google.com/open?id=132IEnJiZ5dtzWAjQWBcgAsGfPMGHjHtv</v>
      </c>
      <c r="B21" s="4" t="str">
        <f ca="1">IFERROR(__xludf.DUMMYFUNCTION("""COMPUTED_VALUE"""),"Enem")</f>
        <v>Enem</v>
      </c>
      <c r="C21" s="4">
        <f ca="1">IFERROR(__xludf.DUMMYFUNCTION("""COMPUTED_VALUE"""),2019)</f>
        <v>2019</v>
      </c>
      <c r="D21" s="4" t="str">
        <f ca="1">IFERROR(__xludf.DUMMYFUNCTION("""COMPUTED_VALUE"""),"Ciências Humanas")</f>
        <v>Ciências Humanas</v>
      </c>
      <c r="E21" s="4" t="str">
        <f ca="1">IFERROR(__xludf.DUMMYFUNCTION("""COMPUTED_VALUE"""),"Sociologia")</f>
        <v>Sociologia</v>
      </c>
      <c r="F21" s="4" t="str">
        <f ca="1">IFERROR(__xludf.DUMMYFUNCTION("""COMPUTED_VALUE"""),"Sociologia")</f>
        <v>Sociologia</v>
      </c>
      <c r="G21" s="4"/>
      <c r="H21" s="4"/>
      <c r="I21" s="4" t="str">
        <f ca="1">IFERROR(__xludf.DUMMYFUNCTION("""COMPUTED_VALUE"""),"Amarelo")</f>
        <v>Amarelo</v>
      </c>
      <c r="J21" s="4">
        <f ca="1">IFERROR(__xludf.DUMMYFUNCTION("""COMPUTED_VALUE"""),84)</f>
        <v>84</v>
      </c>
      <c r="K21" s="4" t="str">
        <f ca="1">IFERROR(__xludf.DUMMYFUNCTION("""COMPUTED_VALUE"""),"C")</f>
        <v>C</v>
      </c>
      <c r="L21" s="4" t="str">
        <f ca="1">IFERROR(__xludf.DUMMYFUNCTION("""COMPUTED_VALUE"""),"Penso que não há um sujeito soberano, fundador, uma forma universal de sujeito que poderíamos encontrar em todos os lugares. Penso, pelo contrário, que o sujeito se constitui através das práticas de sujeição ou, de maneira mais autônoma, através de prátic"&amp;"as de liberação, de liberdade, como na Antiguidade — a partir, obviamente, de um certo número de regras, de estilos, que podemos encontrar no meio cultural. FOUCAULT, M. Ditos e escritos V: ética, sexualidade, política. Rio de Janeiro: Forense Universitár"&amp;"ia, 2004.
 O texto aponta que a subjetivação se efetiva numa dimensão
")</f>
        <v xml:space="preserve">Penso que não há um sujeito soberano, fundador, uma forma universal de sujeito que poderíamos encontrar em todos os lugares. Penso, pelo contrário, que o sujeito se constitui através das práticas de sujeição ou, de maneira mais autônoma, através de práticas de liberação, de liberdade, como na Antiguidade — a partir, obviamente, de um certo número de regras, de estilos, que podemos encontrar no meio cultural. FOUCAULT, M. Ditos e escritos V: ética, sexualidade, política. Rio de Janeiro: Forense Universitária, 2004.
 O texto aponta que a subjetivação se efetiva numa dimensão
</v>
      </c>
      <c r="M21" s="4" t="str">
        <f ca="1">IFERROR(__xludf.DUMMYFUNCTION("""COMPUTED_VALUE"""),"legal, pautada em preceitos jurídicos. ")</f>
        <v xml:space="preserve">legal, pautada em preceitos jurídicos. </v>
      </c>
      <c r="N21" s="4" t="str">
        <f ca="1">IFERROR(__xludf.DUMMYFUNCTION("""COMPUTED_VALUE"""),"racional, baseada em pressupostos lógicos. ")</f>
        <v xml:space="preserve">racional, baseada em pressupostos lógicos. </v>
      </c>
      <c r="O21" s="4" t="str">
        <f ca="1">IFERROR(__xludf.DUMMYFUNCTION("""COMPUTED_VALUE"""),"contingencial, processada em interações sociais. ")</f>
        <v xml:space="preserve">contingencial, processada em interações sociais. </v>
      </c>
      <c r="P21" s="4" t="str">
        <f ca="1">IFERROR(__xludf.DUMMYFUNCTION("""COMPUTED_VALUE"""),"transcendental, efetivada em princípios religiosos. ")</f>
        <v xml:space="preserve">transcendental, efetivada em princípios religiosos. </v>
      </c>
      <c r="Q21" s="4" t="str">
        <f ca="1">IFERROR(__xludf.DUMMYFUNCTION("""COMPUTED_VALUE"""),"essencial, fundamentada em parâmetros substancialistas.")</f>
        <v>essencial, fundamentada em parâmetros substancialistas.</v>
      </c>
      <c r="R21" s="4"/>
      <c r="S21" s="4"/>
      <c r="T21" s="4"/>
      <c r="U21" s="4"/>
      <c r="V21" s="4"/>
      <c r="W21" s="4"/>
      <c r="X21" s="4"/>
      <c r="Y21" s="4"/>
      <c r="Z21" s="4"/>
    </row>
    <row r="22" spans="1:26" x14ac:dyDescent="0.25">
      <c r="A22" s="3" t="str">
        <f ca="1">IFERROR(__xludf.DUMMYFUNCTION("""COMPUTED_VALUE"""),"https://drive.google.com/open?id=1M229EJy5i7Nz08phWw2Wjk1cipPitI14")</f>
        <v>https://drive.google.com/open?id=1M229EJy5i7Nz08phWw2Wjk1cipPitI14</v>
      </c>
      <c r="B22" s="4" t="str">
        <f ca="1">IFERROR(__xludf.DUMMYFUNCTION("""COMPUTED_VALUE"""),"Enem")</f>
        <v>Enem</v>
      </c>
      <c r="C22" s="4">
        <f ca="1">IFERROR(__xludf.DUMMYFUNCTION("""COMPUTED_VALUE"""),2019)</f>
        <v>2019</v>
      </c>
      <c r="D22" s="4" t="str">
        <f ca="1">IFERROR(__xludf.DUMMYFUNCTION("""COMPUTED_VALUE"""),"Ciências Humanas")</f>
        <v>Ciências Humanas</v>
      </c>
      <c r="E22" s="4" t="str">
        <f ca="1">IFERROR(__xludf.DUMMYFUNCTION("""COMPUTED_VALUE"""),"Sociologia")</f>
        <v>Sociologia</v>
      </c>
      <c r="F22" s="4" t="str">
        <f ca="1">IFERROR(__xludf.DUMMYFUNCTION("""COMPUTED_VALUE"""),"Sociologia")</f>
        <v>Sociologia</v>
      </c>
      <c r="G22" s="4"/>
      <c r="H22" s="4"/>
      <c r="I22" s="4" t="str">
        <f ca="1">IFERROR(__xludf.DUMMYFUNCTION("""COMPUTED_VALUE"""),"Amarelo")</f>
        <v>Amarelo</v>
      </c>
      <c r="J22" s="4">
        <f ca="1">IFERROR(__xludf.DUMMYFUNCTION("""COMPUTED_VALUE"""),86)</f>
        <v>86</v>
      </c>
      <c r="K22" s="4" t="str">
        <f ca="1">IFERROR(__xludf.DUMMYFUNCTION("""COMPUTED_VALUE"""),"D")</f>
        <v>D</v>
      </c>
      <c r="L22" s="4" t="str">
        <f ca="1">IFERROR(__xludf.DUMMYFUNCTION("""COMPUTED_VALUE"""),"Essa atmosfera de loucura e irrealidade, criada pela aparente ausência de propósitos, é a verdadeira cortina de ferro que esconde dos olhos do mundo todas as formas de campos de concentração. Vistos de fora, os campos e o que neles acontece só podem ser d"&amp;"escritos com imagens extraterrenas, como se a vida fosse neles separada das finalidades deste mundo. Mais que o arame farpado, é a irrealidade dos detentos que ele confina que provoca uma crueldade tão incrível que termina levando à aceitação do extermíni"&amp;"o como solução perfeitamente normal. ARENDT, H. Origens do totalitarismo. São Paulo: Cia. das Letras, 1989 (adaptado).
 A partir da análise da autora, no encontro das temporalidades históricas, evidencia-se uma crítica à naturalização do(a)
")</f>
        <v xml:space="preserve">Essa atmosfera de loucura e irrealidade, criada pela aparente ausência de propósitos, é a verdadeira cortina de ferro que esconde dos olhos do mundo todas as formas de campos de concentração. Vistos de fora, os campos e o que neles acontece só podem ser descritos com imagens extraterrenas, como se a vida fosse neles separada das finalidades deste mundo. Mais que o arame farpado, é a irrealidade dos detentos que ele confina que provoca uma crueldade tão incrível que termina levando à aceitação do extermínio como solução perfeitamente normal. ARENDT, H. Origens do totalitarismo. São Paulo: Cia. das Letras, 1989 (adaptado).
 A partir da análise da autora, no encontro das temporalidades históricas, evidencia-se uma crítica à naturalização do(a)
</v>
      </c>
      <c r="M22" s="4" t="str">
        <f ca="1">IFERROR(__xludf.DUMMYFUNCTION("""COMPUTED_VALUE"""),"ideário nacional, que legitima as desigualdades sociais. ")</f>
        <v xml:space="preserve">ideário nacional, que legitima as desigualdades sociais. </v>
      </c>
      <c r="N22" s="4" t="str">
        <f ca="1">IFERROR(__xludf.DUMMYFUNCTION("""COMPUTED_VALUE"""),"alienação ideológica, que justifica as ações individuais. ")</f>
        <v xml:space="preserve">alienação ideológica, que justifica as ações individuais. </v>
      </c>
      <c r="O22" s="4" t="str">
        <f ca="1">IFERROR(__xludf.DUMMYFUNCTION("""COMPUTED_VALUE"""),"cosmologia religiosa, que sustenta as tradições hierárquicas.")</f>
        <v>cosmologia religiosa, que sustenta as tradições hierárquicas.</v>
      </c>
      <c r="P22" s="4" t="str">
        <f ca="1">IFERROR(__xludf.DUMMYFUNCTION("""COMPUTED_VALUE"""),"segregação humana, que fundamenta os projetos biopolíticos. ")</f>
        <v xml:space="preserve">segregação humana, que fundamenta os projetos biopolíticos. </v>
      </c>
      <c r="Q22" s="4" t="str">
        <f ca="1">IFERROR(__xludf.DUMMYFUNCTION("""COMPUTED_VALUE"""),"enquadramento cultural, que favorece os comportamentos punitivos.")</f>
        <v>enquadramento cultural, que favorece os comportamentos punitivos.</v>
      </c>
      <c r="R22" s="4"/>
      <c r="S22" s="4"/>
      <c r="T22" s="4"/>
      <c r="U22" s="4"/>
      <c r="V22" s="4"/>
      <c r="W22" s="4"/>
      <c r="X22" s="4"/>
      <c r="Y22" s="4"/>
      <c r="Z22" s="4"/>
    </row>
    <row r="23" spans="1:26" x14ac:dyDescent="0.25">
      <c r="A23" s="3" t="str">
        <f ca="1">IFERROR(__xludf.DUMMYFUNCTION("""COMPUTED_VALUE"""),"https://drive.google.com/open?id=1dUMTCyjRypsydrj08-k6OsWvQPzmIIlC")</f>
        <v>https://drive.google.com/open?id=1dUMTCyjRypsydrj08-k6OsWvQPzmIIlC</v>
      </c>
      <c r="B23" s="4" t="str">
        <f ca="1">IFERROR(__xludf.DUMMYFUNCTION("""COMPUTED_VALUE"""),"Enem")</f>
        <v>Enem</v>
      </c>
      <c r="C23" s="4">
        <f ca="1">IFERROR(__xludf.DUMMYFUNCTION("""COMPUTED_VALUE"""),2019)</f>
        <v>2019</v>
      </c>
      <c r="D23" s="4" t="str">
        <f ca="1">IFERROR(__xludf.DUMMYFUNCTION("""COMPUTED_VALUE"""),"Ciências Humanas")</f>
        <v>Ciências Humanas</v>
      </c>
      <c r="E23" s="4" t="str">
        <f ca="1">IFERROR(__xludf.DUMMYFUNCTION("""COMPUTED_VALUE"""),"Sociologia")</f>
        <v>Sociologia</v>
      </c>
      <c r="F23" s="4" t="str">
        <f ca="1">IFERROR(__xludf.DUMMYFUNCTION("""COMPUTED_VALUE"""),"Sociologia")</f>
        <v>Sociologia</v>
      </c>
      <c r="G23" s="4"/>
      <c r="H23" s="4"/>
      <c r="I23" s="4" t="str">
        <f ca="1">IFERROR(__xludf.DUMMYFUNCTION("""COMPUTED_VALUE"""),"Amarelo")</f>
        <v>Amarelo</v>
      </c>
      <c r="J23" s="4">
        <f ca="1">IFERROR(__xludf.DUMMYFUNCTION("""COMPUTED_VALUE"""),87)</f>
        <v>87</v>
      </c>
      <c r="K23" s="4" t="str">
        <f ca="1">IFERROR(__xludf.DUMMYFUNCTION("""COMPUTED_VALUE"""),"A")</f>
        <v>A</v>
      </c>
      <c r="L23" s="4" t="str">
        <f ca="1">IFERROR(__xludf.DUMMYFUNCTION("""COMPUTED_VALUE"""),"Para Maquiavel, quando um homem decide dizer a verdade pondo em risco a própria integridade física, tal resolução diz respeito apenas a sua pessoa. Mas se esse mesmo homem é um chefe de Estado, os critérios pessoais não são mais adequados para decidir sob"&amp;"re ações cujas consequências se tornam tão amplas, já que o prejuízo não será apenas individual, mas coletivo. Nesse caso, conforme as circunstâncias e os fins a serem atingidos, pode-se decidir que o melhor para o bem comum seja mentir. ARANHA, M. L. Maq"&amp;"uiavel: a lógica da força. São Paulo: Moderna, 2006 (adaptado).
O texto aponta uma inovação na teoria política na época moderna expressa na distinção entre
")</f>
        <v xml:space="preserve">Para Maquiavel, quando um homem decide dizer a verdade pondo em risco a própria integridade física, tal resolução diz respeito apenas a sua pessoa. Mas se esse mesmo homem é um chefe de Estado, os critérios pessoais não são mais adequados para decidir sobre ações cujas consequências se tornam tão amplas, já que o prejuízo não será apenas individual, mas coletivo. Nesse caso, conforme as circunstâncias e os fins a serem atingidos, pode-se decidir que o melhor para o bem comum seja mentir. ARANHA, M. L. Maquiavel: a lógica da força. São Paulo: Moderna, 2006 (adaptado).
O texto aponta uma inovação na teoria política na época moderna expressa na distinção entre
</v>
      </c>
      <c r="M23" s="4" t="str">
        <f ca="1">IFERROR(__xludf.DUMMYFUNCTION("""COMPUTED_VALUE"""),"idealidade e efetividade da moral. ")</f>
        <v xml:space="preserve">idealidade e efetividade da moral. </v>
      </c>
      <c r="N23" s="4" t="str">
        <f ca="1">IFERROR(__xludf.DUMMYFUNCTION("""COMPUTED_VALUE"""),"nulidade e preservabilidade da liberdade. ")</f>
        <v xml:space="preserve">nulidade e preservabilidade da liberdade. </v>
      </c>
      <c r="O23" s="4" t="str">
        <f ca="1">IFERROR(__xludf.DUMMYFUNCTION("""COMPUTED_VALUE""")," ilegalidade e legitimidade do governante.")</f>
        <v xml:space="preserve"> ilegalidade e legitimidade do governante.</v>
      </c>
      <c r="P23" s="4" t="str">
        <f ca="1">IFERROR(__xludf.DUMMYFUNCTION("""COMPUTED_VALUE"""),"verificabilidade e possibilidade da verdade. ")</f>
        <v xml:space="preserve">verificabilidade e possibilidade da verdade. </v>
      </c>
      <c r="Q23" s="4" t="str">
        <f ca="1">IFERROR(__xludf.DUMMYFUNCTION("""COMPUTED_VALUE""")," objetividade e subjetividade do conhecimento.")</f>
        <v xml:space="preserve"> objetividade e subjetividade do conhecimento.</v>
      </c>
      <c r="R23" s="4"/>
      <c r="S23" s="4"/>
      <c r="T23" s="4"/>
      <c r="U23" s="4"/>
      <c r="V23" s="4"/>
      <c r="W23" s="4"/>
      <c r="X23" s="4"/>
      <c r="Y23" s="4"/>
      <c r="Z23" s="4"/>
    </row>
    <row r="24" spans="1:26" x14ac:dyDescent="0.25">
      <c r="A24" s="3" t="str">
        <f ca="1">IFERROR(__xludf.DUMMYFUNCTION("""COMPUTED_VALUE"""),"https://drive.google.com/open?id=1Z9gGaJHiSFvTXMwznSNrPArtaHuqJufp")</f>
        <v>https://drive.google.com/open?id=1Z9gGaJHiSFvTXMwznSNrPArtaHuqJufp</v>
      </c>
      <c r="B24" s="4" t="str">
        <f ca="1">IFERROR(__xludf.DUMMYFUNCTION("""COMPUTED_VALUE"""),"Enem")</f>
        <v>Enem</v>
      </c>
      <c r="C24" s="4">
        <f ca="1">IFERROR(__xludf.DUMMYFUNCTION("""COMPUTED_VALUE"""),2019)</f>
        <v>2019</v>
      </c>
      <c r="D24" s="4" t="str">
        <f ca="1">IFERROR(__xludf.DUMMYFUNCTION("""COMPUTED_VALUE"""),"Ciências Humanas")</f>
        <v>Ciências Humanas</v>
      </c>
      <c r="E24" s="4" t="str">
        <f ca="1">IFERROR(__xludf.DUMMYFUNCTION("""COMPUTED_VALUE"""),"Sociologia")</f>
        <v>Sociologia</v>
      </c>
      <c r="F24" s="4" t="str">
        <f ca="1">IFERROR(__xludf.DUMMYFUNCTION("""COMPUTED_VALUE"""),"Sociologia")</f>
        <v>Sociologia</v>
      </c>
      <c r="G24" s="4"/>
      <c r="H24" s="4"/>
      <c r="I24" s="4" t="str">
        <f ca="1">IFERROR(__xludf.DUMMYFUNCTION("""COMPUTED_VALUE"""),"Amarelo")</f>
        <v>Amarelo</v>
      </c>
      <c r="J24" s="4">
        <f ca="1">IFERROR(__xludf.DUMMYFUNCTION("""COMPUTED_VALUE"""),88)</f>
        <v>88</v>
      </c>
      <c r="K24" s="4" t="str">
        <f ca="1">IFERROR(__xludf.DUMMYFUNCTION("""COMPUTED_VALUE"""),"C")</f>
        <v>C</v>
      </c>
      <c r="L24" s="4" t="str">
        <f ca="1">IFERROR(__xludf.DUMMYFUNCTION("""COMPUTED_VALUE"""),"A criação do Sistema Único de Saúde (SUS) como uma política para todos constitui-se uma das mais importantes conquistas da sociedade brasileira no século XX. O SUS deve ser valorizado e defendido como um marco para a cidadania e o avanço civilizatório. A "&amp;"democracia envolve um modelo de Estado no qual políticas protegem os cidadãos e reduzem as desigualdades. O SUS é uma diretriz que fortalece a cidadania e contribui para assegurar o exercício de direitos, o pluralismo político e o bem-estar como valores d"&amp;"e uma sociedade fraterna, pluralista e sem preconceitos, conforme prevê a Constituição Federal de 1988. RIZZOTO, M. L. F. et al. Justiça social, democracia com direitos sociais e saúde: a luta do Cebes. Revista Saúde em Debate, n. 116, jan.-mar. 2018 (ada"&amp;"ptado).
Segundo o texto, duas características da concepção da política pública analisada são: 
")</f>
        <v xml:space="preserve">A criação do Sistema Único de Saúde (SUS) como uma política para todos constitui-se uma das mais importantes conquistas da sociedade brasileira no século XX. O SUS deve ser valorizado e defendido como um marco para a cidadania e o avanço civilizatório. A democracia envolve um modelo de Estado no qual políticas protegem os cidadãos e reduzem as desigualdades. O SUS é uma diretriz que fortalece a cidadania e contribui para assegurar o exercício de direitos, o pluralismo político e o bem-estar como valores de uma sociedade fraterna, pluralista e sem preconceitos, conforme prevê a Constituição Federal de 1988. RIZZOTO, M. L. F. et al. Justiça social, democracia com direitos sociais e saúde: a luta do Cebes. Revista Saúde em Debate, n. 116, jan.-mar. 2018 (adaptado).
Segundo o texto, duas características da concepção da política pública analisada são: 
</v>
      </c>
      <c r="M24" s="4" t="str">
        <f ca="1">IFERROR(__xludf.DUMMYFUNCTION("""COMPUTED_VALUE"""),"Paternalismo e filantropia.")</f>
        <v>Paternalismo e filantropia.</v>
      </c>
      <c r="N24" s="4" t="str">
        <f ca="1">IFERROR(__xludf.DUMMYFUNCTION("""COMPUTED_VALUE"""),"Liberalismo e meritocracia.")</f>
        <v>Liberalismo e meritocracia.</v>
      </c>
      <c r="O24" s="4" t="str">
        <f ca="1">IFERROR(__xludf.DUMMYFUNCTION("""COMPUTED_VALUE"""),"Universalismo e igualitarismo. ")</f>
        <v xml:space="preserve">Universalismo e igualitarismo. </v>
      </c>
      <c r="P24" s="4" t="str">
        <f ca="1">IFERROR(__xludf.DUMMYFUNCTION("""COMPUTED_VALUE"""),"Nacionalismo e individualismo.")</f>
        <v>Nacionalismo e individualismo.</v>
      </c>
      <c r="Q24" s="4" t="str">
        <f ca="1">IFERROR(__xludf.DUMMYFUNCTION("""COMPUTED_VALUE"""),"Revolucionarismo e coparticipação.")</f>
        <v>Revolucionarismo e coparticipação.</v>
      </c>
      <c r="R24" s="4"/>
      <c r="S24" s="4"/>
      <c r="T24" s="4"/>
      <c r="U24" s="4"/>
      <c r="V24" s="4"/>
      <c r="W24" s="4"/>
      <c r="X24" s="4"/>
      <c r="Y24" s="4"/>
      <c r="Z24" s="4"/>
    </row>
    <row r="25" spans="1:26" x14ac:dyDescent="0.25">
      <c r="A25" s="3" t="str">
        <f ca="1">IFERROR(__xludf.DUMMYFUNCTION("""COMPUTED_VALUE"""),"https://drive.google.com/open?id=1ewME9Qe9bUU5H1FnEbFWqXsPLhU6RpjA")</f>
        <v>https://drive.google.com/open?id=1ewME9Qe9bUU5H1FnEbFWqXsPLhU6RpjA</v>
      </c>
      <c r="B25" s="4" t="str">
        <f ca="1">IFERROR(__xludf.DUMMYFUNCTION("""COMPUTED_VALUE"""),"Enem")</f>
        <v>Enem</v>
      </c>
      <c r="C25" s="4">
        <f ca="1">IFERROR(__xludf.DUMMYFUNCTION("""COMPUTED_VALUE"""),2016)</f>
        <v>2016</v>
      </c>
      <c r="D25" s="4" t="str">
        <f ca="1">IFERROR(__xludf.DUMMYFUNCTION("""COMPUTED_VALUE"""),"Ciências Humanas")</f>
        <v>Ciências Humanas</v>
      </c>
      <c r="E25" s="4" t="str">
        <f ca="1">IFERROR(__xludf.DUMMYFUNCTION("""COMPUTED_VALUE"""),"Sociologia")</f>
        <v>Sociologia</v>
      </c>
      <c r="F25" s="4" t="str">
        <f ca="1">IFERROR(__xludf.DUMMYFUNCTION("""COMPUTED_VALUE"""),"Sociologia")</f>
        <v>Sociologia</v>
      </c>
      <c r="G25" s="4" t="str">
        <f ca="1">IFERROR(__xludf.DUMMYFUNCTION("""COMPUTED_VALUE"""),"Geografia Geral")</f>
        <v>Geografia Geral</v>
      </c>
      <c r="H25" s="4"/>
      <c r="I25" s="4" t="str">
        <f ca="1">IFERROR(__xludf.DUMMYFUNCTION("""COMPUTED_VALUE"""),"Azul")</f>
        <v>Azul</v>
      </c>
      <c r="J25" s="4"/>
      <c r="K25" s="4" t="str">
        <f ca="1">IFERROR(__xludf.DUMMYFUNCTION("""COMPUTED_VALUE"""),"B")</f>
        <v>B</v>
      </c>
      <c r="L25" s="4" t="str">
        <f ca="1">IFERROR(__xludf.DUMMYFUNCTION("""COMPUTED_VALUE"""),"A característica fundamental é que ele não é mais
somente um agricultor ou um pecuarista: ele combina
atividades agropecuárias com outras atividades não
agrícolas dentro ou fora de seu estabelecimento, tanto
nos ramos tradicionais urbano-industriais como "&amp;"nas
novas atividades que vêm se desenvolvendo no meio
rural, como lazer, turismo, conservação da natureza,
moradia e prestação de serviços pessoais")</f>
        <v>A característica fundamental é que ele não é mais
somente um agricultor ou um pecuarista: ele combina
atividades agropecuárias com outras atividades não
agrícolas dentro ou fora de seu estabelecimento, tanto
nos ramos tradicionais urbano-industriais como nas
novas atividades que vêm se desenvolvendo no meio
rural, como lazer, turismo, conservação da natureza,
moradia e prestação de serviços pessoais</v>
      </c>
      <c r="M25" s="4" t="str">
        <f ca="1">IFERROR(__xludf.DUMMYFUNCTION("""COMPUTED_VALUE"""),"terceirização.")</f>
        <v>terceirização.</v>
      </c>
      <c r="N25" s="4" t="str">
        <f ca="1">IFERROR(__xludf.DUMMYFUNCTION("""COMPUTED_VALUE"""),"pluriatividade.")</f>
        <v>pluriatividade.</v>
      </c>
      <c r="O25" s="4" t="str">
        <f ca="1">IFERROR(__xludf.DUMMYFUNCTION("""COMPUTED_VALUE"""),"agronegócio.")</f>
        <v>agronegócio.</v>
      </c>
      <c r="P25" s="4" t="str">
        <f ca="1">IFERROR(__xludf.DUMMYFUNCTION("""COMPUTED_VALUE"""),"cooperativismo")</f>
        <v>cooperativismo</v>
      </c>
      <c r="Q25" s="4" t="str">
        <f ca="1">IFERROR(__xludf.DUMMYFUNCTION("""COMPUTED_VALUE"""),"associativismo.")</f>
        <v>associativismo.</v>
      </c>
      <c r="R25" s="4"/>
      <c r="S25" s="4"/>
      <c r="T25" s="4"/>
      <c r="U25" s="4"/>
      <c r="V25" s="4"/>
      <c r="W25" s="4"/>
      <c r="X25" s="4"/>
      <c r="Y25" s="4"/>
      <c r="Z25" s="4"/>
    </row>
    <row r="26" spans="1:26" x14ac:dyDescent="0.25">
      <c r="A26" s="3" t="str">
        <f ca="1">IFERROR(__xludf.DUMMYFUNCTION("""COMPUTED_VALUE"""),"https://drive.google.com/open?id=1Lr6_P8bw9gVAhImAgDCpZ12iJfmwP7M7")</f>
        <v>https://drive.google.com/open?id=1Lr6_P8bw9gVAhImAgDCpZ12iJfmwP7M7</v>
      </c>
      <c r="B26" s="4" t="str">
        <f ca="1">IFERROR(__xludf.DUMMYFUNCTION("""COMPUTED_VALUE"""),"Enem")</f>
        <v>Enem</v>
      </c>
      <c r="C26" s="4">
        <f ca="1">IFERROR(__xludf.DUMMYFUNCTION("""COMPUTED_VALUE"""),2016)</f>
        <v>2016</v>
      </c>
      <c r="D26" s="4" t="str">
        <f ca="1">IFERROR(__xludf.DUMMYFUNCTION("""COMPUTED_VALUE"""),"Ciências Humanas")</f>
        <v>Ciências Humanas</v>
      </c>
      <c r="E26" s="4" t="str">
        <f ca="1">IFERROR(__xludf.DUMMYFUNCTION("""COMPUTED_VALUE"""),"Sociologia")</f>
        <v>Sociologia</v>
      </c>
      <c r="F26" s="4" t="str">
        <f ca="1">IFERROR(__xludf.DUMMYFUNCTION("""COMPUTED_VALUE"""),"Sociologia")</f>
        <v>Sociologia</v>
      </c>
      <c r="G26" s="4"/>
      <c r="H26" s="4"/>
      <c r="I26" s="4" t="str">
        <f ca="1">IFERROR(__xludf.DUMMYFUNCTION("""COMPUTED_VALUE"""),"Azul")</f>
        <v>Azul</v>
      </c>
      <c r="J26" s="4"/>
      <c r="K26" s="4" t="str">
        <f ca="1">IFERROR(__xludf.DUMMYFUNCTION("""COMPUTED_VALUE"""),"B")</f>
        <v>B</v>
      </c>
      <c r="L26" s="4" t="str">
        <f ca="1">IFERROR(__xludf.DUMMYFUNCTION("""COMPUTED_VALUE"""),"Ações de educação patrimonial são realizadas
em diferentes contextos e localidades e têm mostrado
resultados surpreendentes ao trazer à tona a autoestima
das comunidades. Em alguns casos, promovem o
desenvolvimento local e indicam soluções inovadoras
de r"&amp;"econhecimento e salvaguarda do patrimônio cultural
para muitas populações.")</f>
        <v>Ações de educação patrimonial são realizadas
em diferentes contextos e localidades e têm mostrado
resultados surpreendentes ao trazer à tona a autoestima
das comunidades. Em alguns casos, promovem o
desenvolvimento local e indicam soluções inovadoras
de reconhecimento e salvaguarda do patrimônio cultural
para muitas populações.</v>
      </c>
      <c r="M26" s="4" t="str">
        <f ca="1">IFERROR(__xludf.DUMMYFUNCTION("""COMPUTED_VALUE"""),"evolução de atividades artesanais herdadas do
passado.")</f>
        <v>evolução de atividades artesanais herdadas do
passado.</v>
      </c>
      <c r="N26" s="4" t="str">
        <f ca="1">IFERROR(__xludf.DUMMYFUNCTION("""COMPUTED_VALUE"""),"representações sociais formadoras de identidades
coletivas.")</f>
        <v>representações sociais formadoras de identidades
coletivas.</v>
      </c>
      <c r="O26" s="4" t="str">
        <f ca="1">IFERROR(__xludf.DUMMYFUNCTION("""COMPUTED_VALUE"""),"mobilizações políticas criadoras de tradições
culturais urbanas.")</f>
        <v>mobilizações políticas criadoras de tradições
culturais urbanas.</v>
      </c>
      <c r="P26" s="4" t="str">
        <f ca="1">IFERROR(__xludf.DUMMYFUNCTION("""COMPUTED_VALUE"""),"D hierarquização de festas folclóricas praticadas por
grupos locais.")</f>
        <v>D hierarquização de festas folclóricas praticadas por
grupos locais.</v>
      </c>
      <c r="Q26" s="4" t="str">
        <f ca="1">IFERROR(__xludf.DUMMYFUNCTION("""COMPUTED_VALUE"""),"formação escolar dos jovens para o trabalho realizado
nas comunidades.")</f>
        <v>formação escolar dos jovens para o trabalho realizado
nas comunidades.</v>
      </c>
      <c r="R26" s="4"/>
      <c r="S26" s="4"/>
      <c r="T26" s="4"/>
      <c r="U26" s="4"/>
      <c r="V26" s="4"/>
      <c r="W26" s="4"/>
      <c r="X26" s="4"/>
      <c r="Y26" s="4"/>
      <c r="Z26" s="4"/>
    </row>
    <row r="27" spans="1:26" x14ac:dyDescent="0.25">
      <c r="A27" s="3" t="str">
        <f ca="1">IFERROR(__xludf.DUMMYFUNCTION("""COMPUTED_VALUE"""),"https://drive.google.com/open?id=13E-f3R8EniH08UWsUvE7i1j7cCPkq7hc")</f>
        <v>https://drive.google.com/open?id=13E-f3R8EniH08UWsUvE7i1j7cCPkq7hc</v>
      </c>
      <c r="B27" s="4" t="str">
        <f ca="1">IFERROR(__xludf.DUMMYFUNCTION("""COMPUTED_VALUE"""),"Enem")</f>
        <v>Enem</v>
      </c>
      <c r="C27" s="4">
        <f ca="1">IFERROR(__xludf.DUMMYFUNCTION("""COMPUTED_VALUE"""),2016)</f>
        <v>2016</v>
      </c>
      <c r="D27" s="4" t="str">
        <f ca="1">IFERROR(__xludf.DUMMYFUNCTION("""COMPUTED_VALUE"""),"Ciências Humanas")</f>
        <v>Ciências Humanas</v>
      </c>
      <c r="E27" s="4" t="str">
        <f ca="1">IFERROR(__xludf.DUMMYFUNCTION("""COMPUTED_VALUE"""),"Sociologia")</f>
        <v>Sociologia</v>
      </c>
      <c r="F27" s="4" t="str">
        <f ca="1">IFERROR(__xludf.DUMMYFUNCTION("""COMPUTED_VALUE"""),"Sociologia")</f>
        <v>Sociologia</v>
      </c>
      <c r="G27" s="4" t="str">
        <f ca="1">IFERROR(__xludf.DUMMYFUNCTION("""COMPUTED_VALUE"""),"História do Brasil")</f>
        <v>História do Brasil</v>
      </c>
      <c r="H27" s="4"/>
      <c r="I27" s="4" t="str">
        <f ca="1">IFERROR(__xludf.DUMMYFUNCTION("""COMPUTED_VALUE"""),"Azul")</f>
        <v>Azul</v>
      </c>
      <c r="J27" s="4">
        <f ca="1">IFERROR(__xludf.DUMMYFUNCTION("""COMPUTED_VALUE"""),10)</f>
        <v>10</v>
      </c>
      <c r="K27" s="4" t="str">
        <f ca="1">IFERROR(__xludf.DUMMYFUNCTION("""COMPUTED_VALUE"""),"B")</f>
        <v>B</v>
      </c>
      <c r="L27" s="4" t="str">
        <f ca="1">IFERROR(__xludf.DUMMYFUNCTION("""COMPUTED_VALUE"""),"O número de votantes potenciais em 1872 era de
1 097 698, o que correspondia a 10,8% da população
total. Esse número poderia chegar a 13%, quando
separamos os escravos dos demais indivíduos.
Em 1886, cinco anos depois de a Lei Saraiva ter sido
aprovada, o"&amp;" número de cidadãos que poderiam se
qualificar eleitores era de 117, 022, isto é, 0,8% da população.
A explicação para a alteração envolvendo o número de
eleitores no período é a
")</f>
        <v xml:space="preserve">O número de votantes potenciais em 1872 era de
1 097 698, o que correspondia a 10,8% da população
total. Esse número poderia chegar a 13%, quando
separamos os escravos dos demais indivíduos.
Em 1886, cinco anos depois de a Lei Saraiva ter sido
aprovada, o número de cidadãos que poderiam se
qualificar eleitores era de 117, 022, isto é, 0,8% da população.
A explicação para a alteração envolvendo o número de
eleitores no período é a
</v>
      </c>
      <c r="M27" s="4" t="str">
        <f ca="1">IFERROR(__xludf.DUMMYFUNCTION("""COMPUTED_VALUE"""),"criação da Justiça Eleitoral.")</f>
        <v>criação da Justiça Eleitoral.</v>
      </c>
      <c r="N27" s="4" t="str">
        <f ca="1">IFERROR(__xludf.DUMMYFUNCTION("""COMPUTED_VALUE"""),"exigência da alfabetização.")</f>
        <v>exigência da alfabetização.</v>
      </c>
      <c r="O27" s="4" t="str">
        <f ca="1">IFERROR(__xludf.DUMMYFUNCTION("""COMPUTED_VALUE"""),"redução da renda nacional.")</f>
        <v>redução da renda nacional.</v>
      </c>
      <c r="P27" s="4" t="str">
        <f ca="1">IFERROR(__xludf.DUMMYFUNCTION("""COMPUTED_VALUE"""),"exclusão do voto feminino.")</f>
        <v>exclusão do voto feminino.</v>
      </c>
      <c r="Q27" s="4" t="str">
        <f ca="1">IFERROR(__xludf.DUMMYFUNCTION("""COMPUTED_VALUE"""),"coibição do voto de cabresto")</f>
        <v>coibição do voto de cabresto</v>
      </c>
      <c r="R27" s="4"/>
      <c r="S27" s="4"/>
      <c r="T27" s="4"/>
      <c r="U27" s="4"/>
      <c r="V27" s="4"/>
      <c r="W27" s="4"/>
      <c r="X27" s="4"/>
      <c r="Y27" s="4"/>
      <c r="Z27" s="4"/>
    </row>
    <row r="28" spans="1:26" x14ac:dyDescent="0.25">
      <c r="A28" s="3" t="str">
        <f ca="1">IFERROR(__xludf.DUMMYFUNCTION("""COMPUTED_VALUE"""),"https://drive.google.com/open?id=1pazox9q6mRBAYc2UPy6FMsBJEHaXnQsJ")</f>
        <v>https://drive.google.com/open?id=1pazox9q6mRBAYc2UPy6FMsBJEHaXnQsJ</v>
      </c>
      <c r="B28" s="4" t="str">
        <f ca="1">IFERROR(__xludf.DUMMYFUNCTION("""COMPUTED_VALUE"""),"Enem")</f>
        <v>Enem</v>
      </c>
      <c r="C28" s="4">
        <f ca="1">IFERROR(__xludf.DUMMYFUNCTION("""COMPUTED_VALUE"""),2016)</f>
        <v>2016</v>
      </c>
      <c r="D28" s="4" t="str">
        <f ca="1">IFERROR(__xludf.DUMMYFUNCTION("""COMPUTED_VALUE"""),"Ciências Humanas")</f>
        <v>Ciências Humanas</v>
      </c>
      <c r="E28" s="4" t="str">
        <f ca="1">IFERROR(__xludf.DUMMYFUNCTION("""COMPUTED_VALUE"""),"Sociologia")</f>
        <v>Sociologia</v>
      </c>
      <c r="F28" s="4" t="str">
        <f ca="1">IFERROR(__xludf.DUMMYFUNCTION("""COMPUTED_VALUE"""),"Sociologia")</f>
        <v>Sociologia</v>
      </c>
      <c r="G28" s="4" t="str">
        <f ca="1">IFERROR(__xludf.DUMMYFUNCTION("""COMPUTED_VALUE"""),"História do Brasil")</f>
        <v>História do Brasil</v>
      </c>
      <c r="H28" s="4"/>
      <c r="I28" s="4" t="str">
        <f ca="1">IFERROR(__xludf.DUMMYFUNCTION("""COMPUTED_VALUE"""),"Azul")</f>
        <v>Azul</v>
      </c>
      <c r="J28" s="4">
        <f ca="1">IFERROR(__xludf.DUMMYFUNCTION("""COMPUTED_VALUE"""),15)</f>
        <v>15</v>
      </c>
      <c r="K28" s="4" t="str">
        <f ca="1">IFERROR(__xludf.DUMMYFUNCTION("""COMPUTED_VALUE"""),"A")</f>
        <v>A</v>
      </c>
      <c r="L28" s="4" t="str">
        <f ca="1">IFERROR(__xludf.DUMMYFUNCTION("""COMPUTED_VALUE"""),"A imagem da relação patrão-empregado geralmente
veiculada pelas classes dominantes brasileiras na
República Velha era de que esta relação se assemelhava
em muitos aspectos à relação entre pais e filhos. O Patrão era uma espécie de “juiz doméstico” que pro"&amp;"curava guiar
e aconselhar o trabalhador, que, em troca, devia realizar
suas tarefas com dedicação e respeitar o seu patrão.
No contexto da transição do trabalho escravo para o
trabalho livre, a construção da imagem descrita no texto
tinha por objetivo
")</f>
        <v xml:space="preserve">A imagem da relação patrão-empregado geralmente
veiculada pelas classes dominantes brasileiras na
República Velha era de que esta relação se assemelhava
em muitos aspectos à relação entre pais e filhos. O Patrão era uma espécie de “juiz doméstico” que procurava guiar
e aconselhar o trabalhador, que, em troca, devia realizar
suas tarefas com dedicação e respeitar o seu patrão.
No contexto da transição do trabalho escravo para o
trabalho livre, a construção da imagem descrita no texto
tinha por objetivo
</v>
      </c>
      <c r="M28" s="4" t="str">
        <f ca="1">IFERROR(__xludf.DUMMYFUNCTION("""COMPUTED_VALUE"""),"Esvaziar o conflito de uma relação baseada na desigualdade entre os indivíduos que dela
participavam.
")</f>
        <v xml:space="preserve">Esvaziar o conflito de uma relação baseada na desigualdade entre os indivíduos que dela
participavam.
</v>
      </c>
      <c r="N28" s="4" t="str">
        <f ca="1">IFERROR(__xludf.DUMMYFUNCTION("""COMPUTED_VALUE"""),"driblar a lentidão da nascente Justiça do Trabalho,
que não conseguiam conter os conflitos cotidianos 
")</f>
        <v xml:space="preserve">driblar a lentidão da nascente Justiça do Trabalho,
que não conseguiam conter os conflitos cotidianos 
</v>
      </c>
      <c r="O28" s="4" t="str">
        <f ca="1">IFERROR(__xludf.DUMMYFUNCTION("""COMPUTED_VALUE"""),"separar os âmbitos público e privado na organização
do trabalho para aumentar a eficiência dos
funcionários.
")</f>
        <v xml:space="preserve">separar os âmbitos público e privado na organização
do trabalho para aumentar a eficiência dos
funcionários.
</v>
      </c>
      <c r="P28" s="4" t="str">
        <f ca="1">IFERROR(__xludf.DUMMYFUNCTION("""COMPUTED_VALUE"""),"burlar a aplicação das leis trabalhistas conquistadas
pelos operários nos primeiros governos civis do
período republicano.
")</f>
        <v xml:space="preserve">burlar a aplicação das leis trabalhistas conquistadas
pelos operários nos primeiros governos civis do
período republicano.
</v>
      </c>
      <c r="Q28" s="4" t="str">
        <f ca="1">IFERROR(__xludf.DUMMYFUNCTION("""COMPUTED_VALUE"""),"compensar os prejuízos econômicos sofridos pelas
elites em função da ausência de indenização pela
libertação dos escravos.
")</f>
        <v xml:space="preserve">compensar os prejuízos econômicos sofridos pelas
elites em função da ausência de indenização pela
libertação dos escravos.
</v>
      </c>
      <c r="R28" s="4"/>
      <c r="S28" s="4"/>
      <c r="T28" s="4"/>
      <c r="U28" s="4"/>
      <c r="V28" s="4"/>
      <c r="W28" s="4"/>
      <c r="X28" s="4"/>
      <c r="Y28" s="4"/>
      <c r="Z28" s="4"/>
    </row>
    <row r="29" spans="1:26" x14ac:dyDescent="0.25">
      <c r="A29" s="3" t="str">
        <f ca="1">IFERROR(__xludf.DUMMYFUNCTION("""COMPUTED_VALUE"""),"https://drive.google.com/open?id=1rI2XVZdHqHtn2FGNZU1SuGF54qO-pRDZ")</f>
        <v>https://drive.google.com/open?id=1rI2XVZdHqHtn2FGNZU1SuGF54qO-pRDZ</v>
      </c>
      <c r="B29" s="4" t="str">
        <f ca="1">IFERROR(__xludf.DUMMYFUNCTION("""COMPUTED_VALUE"""),"Enem")</f>
        <v>Enem</v>
      </c>
      <c r="C29" s="4">
        <f ca="1">IFERROR(__xludf.DUMMYFUNCTION("""COMPUTED_VALUE"""),2016)</f>
        <v>2016</v>
      </c>
      <c r="D29" s="4" t="str">
        <f ca="1">IFERROR(__xludf.DUMMYFUNCTION("""COMPUTED_VALUE"""),"Ciências Humanas")</f>
        <v>Ciências Humanas</v>
      </c>
      <c r="E29" s="4" t="str">
        <f ca="1">IFERROR(__xludf.DUMMYFUNCTION("""COMPUTED_VALUE"""),"Sociologia")</f>
        <v>Sociologia</v>
      </c>
      <c r="F29" s="4" t="str">
        <f ca="1">IFERROR(__xludf.DUMMYFUNCTION("""COMPUTED_VALUE"""),"Sociologia")</f>
        <v>Sociologia</v>
      </c>
      <c r="G29" s="4"/>
      <c r="H29" s="4"/>
      <c r="I29" s="4" t="str">
        <f ca="1">IFERROR(__xludf.DUMMYFUNCTION("""COMPUTED_VALUE"""),"Azul")</f>
        <v>Azul</v>
      </c>
      <c r="J29" s="4">
        <f ca="1">IFERROR(__xludf.DUMMYFUNCTION("""COMPUTED_VALUE"""),21)</f>
        <v>21</v>
      </c>
      <c r="K29" s="4" t="str">
        <f ca="1">IFERROR(__xludf.DUMMYFUNCTION("""COMPUTED_VALUE"""),"E")</f>
        <v>E</v>
      </c>
      <c r="L29" s="4" t="str">
        <f ca="1">IFERROR(__xludf.DUMMYFUNCTION("""COMPUTED_VALUE"""),"Com base nos textos, a relação entre trabalho e modo de
produção capitalista é")</f>
        <v>Com base nos textos, a relação entre trabalho e modo de
produção capitalista é</v>
      </c>
      <c r="M29" s="4" t="str">
        <f ca="1">IFERROR(__xludf.DUMMYFUNCTION("""COMPUTED_VALUE""")," baseada na desvalorização do trabalho especializado e no aumento da demanda social por novos postos de emprego. 
")</f>
        <v xml:space="preserve"> baseada na desvalorização do trabalho especializado e no aumento da demanda social por novos postos de emprego. 
</v>
      </c>
      <c r="N29" s="4" t="str">
        <f ca="1">IFERROR(__xludf.DUMMYFUNCTION("""COMPUTED_VALUE"""),"fundada no crescimento proporcional entre o número de trabalhadores e o aumento da produção de bens e serviços. 
")</f>
        <v xml:space="preserve">fundada no crescimento proporcional entre o número de trabalhadores e o aumento da produção de bens e serviços. 
</v>
      </c>
      <c r="O29" s="4" t="str">
        <f ca="1">IFERROR(__xludf.DUMMYFUNCTION("""COMPUTED_VALUE""")," estruturada na distribuição equânime de renda e no declínio do capitalismo industrial e tecnocrata. 
")</f>
        <v xml:space="preserve"> estruturada na distribuição equânime de renda e no declínio do capitalismo industrial e tecnocrata. 
</v>
      </c>
      <c r="P29" s="4" t="str">
        <f ca="1">IFERROR(__xludf.DUMMYFUNCTION("""COMPUTED_VALUE"""),"instaurada a partir do fortalecimento da luta de classes e da criação da economia solidária. 
")</f>
        <v xml:space="preserve">instaurada a partir do fortalecimento da luta de classes e da criação da economia solidária. 
</v>
      </c>
      <c r="Q29" s="4" t="str">
        <f ca="1">IFERROR(__xludf.DUMMYFUNCTION("""COMPUTED_VALUE"""),"derivada do aumento da riqueza e da ampliação da exploração do trabalhador.
")</f>
        <v xml:space="preserve">derivada do aumento da riqueza e da ampliação da exploração do trabalhador.
</v>
      </c>
      <c r="R29" s="4"/>
      <c r="S29" s="4"/>
      <c r="T29" s="4"/>
      <c r="U29" s="4"/>
      <c r="V29" s="4"/>
      <c r="W29" s="4"/>
      <c r="X29" s="4"/>
      <c r="Y29" s="4"/>
      <c r="Z29" s="4"/>
    </row>
    <row r="30" spans="1:26" x14ac:dyDescent="0.25">
      <c r="A30" s="3" t="str">
        <f ca="1">IFERROR(__xludf.DUMMYFUNCTION("""COMPUTED_VALUE"""),"https://drive.google.com/open?id=1Fajx3W91ZYUeazTy9teqMEqfotqihoLn")</f>
        <v>https://drive.google.com/open?id=1Fajx3W91ZYUeazTy9teqMEqfotqihoLn</v>
      </c>
      <c r="B30" s="4" t="str">
        <f ca="1">IFERROR(__xludf.DUMMYFUNCTION("""COMPUTED_VALUE"""),"Enem")</f>
        <v>Enem</v>
      </c>
      <c r="C30" s="4">
        <f ca="1">IFERROR(__xludf.DUMMYFUNCTION("""COMPUTED_VALUE"""),2016)</f>
        <v>2016</v>
      </c>
      <c r="D30" s="4" t="str">
        <f ca="1">IFERROR(__xludf.DUMMYFUNCTION("""COMPUTED_VALUE"""),"Ciências Humanas")</f>
        <v>Ciências Humanas</v>
      </c>
      <c r="E30" s="4" t="str">
        <f ca="1">IFERROR(__xludf.DUMMYFUNCTION("""COMPUTED_VALUE"""),"Sociologia")</f>
        <v>Sociologia</v>
      </c>
      <c r="F30" s="4" t="str">
        <f ca="1">IFERROR(__xludf.DUMMYFUNCTION("""COMPUTED_VALUE"""),"Sociologia")</f>
        <v>Sociologia</v>
      </c>
      <c r="G30" s="4" t="str">
        <f ca="1">IFERROR(__xludf.DUMMYFUNCTION("""COMPUTED_VALUE"""),"Geografia do Brasil")</f>
        <v>Geografia do Brasil</v>
      </c>
      <c r="H30" s="4"/>
      <c r="I30" s="4" t="str">
        <f ca="1">IFERROR(__xludf.DUMMYFUNCTION("""COMPUTED_VALUE"""),"Azul")</f>
        <v>Azul</v>
      </c>
      <c r="J30" s="4">
        <f ca="1">IFERROR(__xludf.DUMMYFUNCTION("""COMPUTED_VALUE"""),24)</f>
        <v>24</v>
      </c>
      <c r="K30" s="4" t="str">
        <f ca="1">IFERROR(__xludf.DUMMYFUNCTION("""COMPUTED_VALUE"""),"B")</f>
        <v>B</v>
      </c>
      <c r="L30" s="4" t="str">
        <f ca="1">IFERROR(__xludf.DUMMYFUNCTION("""COMPUTED_VALUE"""),"A favela é vista como um lugar sem ordem, capaz de ameaçar os que nela não se incluem. Atribuir-lhe a ideia de perigo é o mesmo que reafirmar os valores e estruturas da sociedade que busca viver diferentemente do que se considera do que é viver na favela."&amp;" Alguns oficiantes do direito, ao defenderem ou acusarem réus moradores de favelas, usam em seus discursos representações previamente formuladas pela sociedade e incorporadas neste campo profissional. Suas falas se fundamentam nas representações inventada"&amp;"s a respeito da favela e que acabam por marcar a identidade dos indivíduos que nela residem. O estigma apontado no texto tem como consequência o(a) 
")</f>
        <v xml:space="preserve">A favela é vista como um lugar sem ordem, capaz de ameaçar os que nela não se incluem. Atribuir-lhe a ideia de perigo é o mesmo que reafirmar os valores e estruturas da sociedade que busca viver diferentemente do que se considera do que é viver na favela. Alguns oficiantes do direito, ao defenderem ou acusarem réus moradores de favelas, usam em seus discursos representações previamente formuladas pela sociedade e incorporadas neste campo profissional. Suas falas se fundamentam nas representações inventadas a respeito da favela e que acabam por marcar a identidade dos indivíduos que nela residem. O estigma apontado no texto tem como consequência o(a) 
</v>
      </c>
      <c r="M30" s="4" t="str">
        <f ca="1">IFERROR(__xludf.DUMMYFUNCTION("""COMPUTED_VALUE"""),"aumento da impunidade criminal. 
")</f>
        <v xml:space="preserve">aumento da impunidade criminal. 
</v>
      </c>
      <c r="N30" s="4" t="str">
        <f ca="1">IFERROR(__xludf.DUMMYFUNCTION("""COMPUTED_VALUE"""),"enfraquecimento dos direitos civis. 
")</f>
        <v xml:space="preserve">enfraquecimento dos direitos civis. 
</v>
      </c>
      <c r="O30" s="4" t="str">
        <f ca="1">IFERROR(__xludf.DUMMYFUNCTION("""COMPUTED_VALUE"""),"distorção na representação política. 
")</f>
        <v xml:space="preserve">distorção na representação política. 
</v>
      </c>
      <c r="P30" s="4" t="str">
        <f ca="1">IFERROR(__xludf.DUMMYFUNCTION("""COMPUTED_VALUE"""),"crescimento dos índices de criminalidade.
")</f>
        <v xml:space="preserve">crescimento dos índices de criminalidade.
</v>
      </c>
      <c r="Q30" s="4" t="str">
        <f ca="1">IFERROR(__xludf.DUMMYFUNCTION("""COMPUTED_VALUE"""),"Ineficiência das medidas socioeducativas
")</f>
        <v xml:space="preserve">Ineficiência das medidas socioeducativas
</v>
      </c>
      <c r="R30" s="4"/>
      <c r="S30" s="4"/>
      <c r="T30" s="4"/>
      <c r="U30" s="4"/>
      <c r="V30" s="4"/>
      <c r="W30" s="4"/>
      <c r="X30" s="4"/>
      <c r="Y30" s="4"/>
      <c r="Z30" s="4"/>
    </row>
    <row r="31" spans="1:26" x14ac:dyDescent="0.25">
      <c r="A31" s="3" t="str">
        <f ca="1">IFERROR(__xludf.DUMMYFUNCTION("""COMPUTED_VALUE"""),"https://drive.google.com/open?id=1vvIZ2hSqjXoxlAwxqTe50O9M3qPWTKi7")</f>
        <v>https://drive.google.com/open?id=1vvIZ2hSqjXoxlAwxqTe50O9M3qPWTKi7</v>
      </c>
      <c r="B31" s="4" t="str">
        <f ca="1">IFERROR(__xludf.DUMMYFUNCTION("""COMPUTED_VALUE"""),"Enem")</f>
        <v>Enem</v>
      </c>
      <c r="C31" s="4">
        <f ca="1">IFERROR(__xludf.DUMMYFUNCTION("""COMPUTED_VALUE"""),2016)</f>
        <v>2016</v>
      </c>
      <c r="D31" s="4" t="str">
        <f ca="1">IFERROR(__xludf.DUMMYFUNCTION("""COMPUTED_VALUE"""),"Ciências Humanas")</f>
        <v>Ciências Humanas</v>
      </c>
      <c r="E31" s="4" t="str">
        <f ca="1">IFERROR(__xludf.DUMMYFUNCTION("""COMPUTED_VALUE"""),"Sociologia")</f>
        <v>Sociologia</v>
      </c>
      <c r="F31" s="4" t="str">
        <f ca="1">IFERROR(__xludf.DUMMYFUNCTION("""COMPUTED_VALUE"""),"Sociologia")</f>
        <v>Sociologia</v>
      </c>
      <c r="G31" s="4" t="str">
        <f ca="1">IFERROR(__xludf.DUMMYFUNCTION("""COMPUTED_VALUE"""),"História do Brasil")</f>
        <v>História do Brasil</v>
      </c>
      <c r="H31" s="4"/>
      <c r="I31" s="4" t="str">
        <f ca="1">IFERROR(__xludf.DUMMYFUNCTION("""COMPUTED_VALUE"""),"Azul")</f>
        <v>Azul</v>
      </c>
      <c r="J31" s="4">
        <f ca="1">IFERROR(__xludf.DUMMYFUNCTION("""COMPUTED_VALUE"""),36)</f>
        <v>36</v>
      </c>
      <c r="K31" s="4" t="str">
        <f ca="1">IFERROR(__xludf.DUMMYFUNCTION("""COMPUTED_VALUE"""),"B")</f>
        <v>B</v>
      </c>
      <c r="L31" s="4" t="str">
        <f ca="1">IFERROR(__xludf.DUMMYFUNCTION("""COMPUTED_VALUE"""),"O processo de justiça é um processo ora de diversificação do diverso, ora da unificação do idêntico.  A igualdade entre todos os seres humanos em relação aos direitos fundamentais é o resultado de um processo de gradual eliminação de discriminações e, por"&amp;"tanto, de unificação daquilo que ia sendo reconhecido como idêntico: uma natureza comum do homem acima de qualquer diferença de sexo, raça, religião etc.
De acordo com o texto, a construção de uma sociedade democrática fundamenta-se em: 
")</f>
        <v xml:space="preserve">O processo de justiça é um processo ora de diversificação do diverso, ora da unificação do idêntico.  A igualdade entre todos os seres humanos em relação aos direitos fundamentais é o resultado de um processo de gradual eliminação de discriminações e, portanto, de unificação daquilo que ia sendo reconhecido como idêntico: uma natureza comum do homem acima de qualquer diferença de sexo, raça, religião etc.
De acordo com o texto, a construção de uma sociedade democrática fundamenta-se em: 
</v>
      </c>
      <c r="M31" s="4" t="str">
        <f ca="1">IFERROR(__xludf.DUMMYFUNCTION("""COMPUTED_VALUE"""),"A norma estabelecida pela disciplina social. 
")</f>
        <v xml:space="preserve">A norma estabelecida pela disciplina social. 
</v>
      </c>
      <c r="N31" s="4" t="str">
        <f ca="1">IFERROR(__xludf.DUMMYFUNCTION("""COMPUTED_VALUE"""),"A pertença dos indivíduos à mesma categoria. ")</f>
        <v xml:space="preserve">A pertença dos indivíduos à mesma categoria. </v>
      </c>
      <c r="O31" s="4" t="str">
        <f ca="1">IFERROR(__xludf.DUMMYFUNCTION("""COMPUTED_VALUE"""),"A ausência de constrangimentos de ordem pública. 
")</f>
        <v xml:space="preserve">A ausência de constrangimentos de ordem pública. 
</v>
      </c>
      <c r="P31" s="4" t="str">
        <f ca="1">IFERROR(__xludf.DUMMYFUNCTION("""COMPUTED_VALUE"""),"A debilitação das esperanças na condição humana. 
")</f>
        <v xml:space="preserve">A debilitação das esperanças na condição humana. 
</v>
      </c>
      <c r="Q31" s="4" t="str">
        <f ca="1">IFERROR(__xludf.DUMMYFUNCTION("""COMPUTED_VALUE"""),"A garantia da segurança das pessoas e valores
")</f>
        <v xml:space="preserve">A garantia da segurança das pessoas e valores
</v>
      </c>
      <c r="R31" s="4"/>
      <c r="S31" s="4"/>
      <c r="T31" s="4"/>
      <c r="U31" s="4"/>
      <c r="V31" s="4"/>
      <c r="W31" s="4"/>
      <c r="X31" s="4"/>
      <c r="Y31" s="4"/>
      <c r="Z31" s="4"/>
    </row>
    <row r="32" spans="1:26" x14ac:dyDescent="0.25">
      <c r="A32" s="3" t="str">
        <f ca="1">IFERROR(__xludf.DUMMYFUNCTION("""COMPUTED_VALUE"""),"https://drive.google.com/open?id=1kywtTt-ZdCFMbk7B8Z1Qomf_57KoJADR")</f>
        <v>https://drive.google.com/open?id=1kywtTt-ZdCFMbk7B8Z1Qomf_57KoJADR</v>
      </c>
      <c r="B32" s="4" t="str">
        <f ca="1">IFERROR(__xludf.DUMMYFUNCTION("""COMPUTED_VALUE"""),"Enem")</f>
        <v>Enem</v>
      </c>
      <c r="C32" s="4">
        <f ca="1">IFERROR(__xludf.DUMMYFUNCTION("""COMPUTED_VALUE"""),2016)</f>
        <v>2016</v>
      </c>
      <c r="D32" s="4" t="str">
        <f ca="1">IFERROR(__xludf.DUMMYFUNCTION("""COMPUTED_VALUE"""),"Ciências Humanas")</f>
        <v>Ciências Humanas</v>
      </c>
      <c r="E32" s="4" t="str">
        <f ca="1">IFERROR(__xludf.DUMMYFUNCTION("""COMPUTED_VALUE"""),"Sociologia")</f>
        <v>Sociologia</v>
      </c>
      <c r="F32" s="4" t="str">
        <f ca="1">IFERROR(__xludf.DUMMYFUNCTION("""COMPUTED_VALUE"""),"Sociologia")</f>
        <v>Sociologia</v>
      </c>
      <c r="G32" s="4" t="str">
        <f ca="1">IFERROR(__xludf.DUMMYFUNCTION("""COMPUTED_VALUE"""),"Geografia do Brasil")</f>
        <v>Geografia do Brasil</v>
      </c>
      <c r="H32" s="4"/>
      <c r="I32" s="4" t="str">
        <f ca="1">IFERROR(__xludf.DUMMYFUNCTION("""COMPUTED_VALUE"""),"Azul")</f>
        <v>Azul</v>
      </c>
      <c r="J32" s="4">
        <f ca="1">IFERROR(__xludf.DUMMYFUNCTION("""COMPUTED_VALUE"""),39)</f>
        <v>39</v>
      </c>
      <c r="K32" s="4" t="str">
        <f ca="1">IFERROR(__xludf.DUMMYFUNCTION("""COMPUTED_VALUE"""),"B")</f>
        <v>B</v>
      </c>
      <c r="L32" s="4" t="str">
        <f ca="1">IFERROR(__xludf.DUMMYFUNCTION("""COMPUTED_VALUE"""),"Simples, saborosa e, acima de tudo, exótica. Se a culinária brasileira tem o tempero do estranhamento, esta verdade decorre de dois elementos: a dimensão do território e a infinidade de ingredientes. Percebe-se que o segredo da cozinha brasileira é a mist"&amp;"ura com ingredientes e técnicas indígenas. É esse o elemento que a torna autêntica.O processo de formação identitária descrito no texto está associado à 
")</f>
        <v xml:space="preserve">Simples, saborosa e, acima de tudo, exótica. Se a culinária brasileira tem o tempero do estranhamento, esta verdade decorre de dois elementos: a dimensão do território e a infinidade de ingredientes. Percebe-se que o segredo da cozinha brasileira é a mistura com ingredientes e técnicas indígenas. É esse o elemento que a torna autêntica.O processo de formação identitária descrito no texto está associado à 
</v>
      </c>
      <c r="M32" s="4" t="str">
        <f ca="1">IFERROR(__xludf.DUMMYFUNCTION("""COMPUTED_VALUE"""),"imposição de rituais sagrados. 
")</f>
        <v xml:space="preserve">imposição de rituais sagrados. 
</v>
      </c>
      <c r="N32" s="4" t="str">
        <f ca="1">IFERROR(__xludf.DUMMYFUNCTION("""COMPUTED_VALUE"""),"assimilação de tradições culturais. 
")</f>
        <v xml:space="preserve">assimilação de tradições culturais. 
</v>
      </c>
      <c r="O32" s="4" t="str">
        <f ca="1">IFERROR(__xludf.DUMMYFUNCTION("""COMPUTED_VALUE"""),"tipificação de hábitos comunitários 
")</f>
        <v xml:space="preserve">tipificação de hábitos comunitários 
</v>
      </c>
      <c r="P32" s="4" t="str">
        <f ca="1">IFERROR(__xludf.DUMMYFUNCTION("""COMPUTED_VALUE"""),"hierarquização de conhecimentos tribais. 
")</f>
        <v xml:space="preserve">hierarquização de conhecimentos tribais. 
</v>
      </c>
      <c r="Q32" s="4" t="str">
        <f ca="1">IFERROR(__xludf.DUMMYFUNCTION("""COMPUTED_VALUE"""),"superação de diferenças etnorraciais.
")</f>
        <v xml:space="preserve">superação de diferenças etnorraciais.
</v>
      </c>
      <c r="R32" s="4"/>
      <c r="S32" s="4"/>
      <c r="T32" s="4"/>
      <c r="U32" s="4"/>
      <c r="V32" s="4"/>
      <c r="W32" s="4"/>
      <c r="X32" s="4"/>
      <c r="Y32" s="4"/>
      <c r="Z32" s="4"/>
    </row>
    <row r="33" spans="1:26" x14ac:dyDescent="0.25">
      <c r="A33" s="3" t="str">
        <f ca="1">IFERROR(__xludf.DUMMYFUNCTION("""COMPUTED_VALUE"""),"https://drive.google.com/open?id=1lEhdQ36teqoR2-cE1TviDr_MKiYRMRBO")</f>
        <v>https://drive.google.com/open?id=1lEhdQ36teqoR2-cE1TviDr_MKiYRMRBO</v>
      </c>
      <c r="B33" s="4" t="str">
        <f ca="1">IFERROR(__xludf.DUMMYFUNCTION("""COMPUTED_VALUE"""),"Enem")</f>
        <v>Enem</v>
      </c>
      <c r="C33" s="4">
        <f ca="1">IFERROR(__xludf.DUMMYFUNCTION("""COMPUTED_VALUE"""),2016)</f>
        <v>2016</v>
      </c>
      <c r="D33" s="4" t="str">
        <f ca="1">IFERROR(__xludf.DUMMYFUNCTION("""COMPUTED_VALUE"""),"Ciências Humanas")</f>
        <v>Ciências Humanas</v>
      </c>
      <c r="E33" s="4" t="str">
        <f ca="1">IFERROR(__xludf.DUMMYFUNCTION("""COMPUTED_VALUE"""),"Sociologia")</f>
        <v>Sociologia</v>
      </c>
      <c r="F33" s="4" t="str">
        <f ca="1">IFERROR(__xludf.DUMMYFUNCTION("""COMPUTED_VALUE"""),"Sociologia")</f>
        <v>Sociologia</v>
      </c>
      <c r="G33" s="4" t="str">
        <f ca="1">IFERROR(__xludf.DUMMYFUNCTION("""COMPUTED_VALUE"""),"Filosofia")</f>
        <v>Filosofia</v>
      </c>
      <c r="H33" s="4"/>
      <c r="I33" s="4" t="str">
        <f ca="1">IFERROR(__xludf.DUMMYFUNCTION("""COMPUTED_VALUE"""),"Azul")</f>
        <v>Azul</v>
      </c>
      <c r="J33" s="4">
        <f ca="1">IFERROR(__xludf.DUMMYFUNCTION("""COMPUTED_VALUE"""),11)</f>
        <v>11</v>
      </c>
      <c r="K33" s="4" t="str">
        <f ca="1">IFERROR(__xludf.DUMMYFUNCTION("""COMPUTED_VALUE"""),"B")</f>
        <v>B</v>
      </c>
      <c r="L33" s="4" t="str">
        <f ca="1">IFERROR(__xludf.DUMMYFUNCTION("""COMPUTED_VALUE"""),"A justiça e a conformidade ao contrato consistem em algo com que a maioria dos homens parece concordar. Constitui um princípio julgado estender-se até os esconderijos dos ladrões e às confederações dos maiores vilões; até os que se afastaram a tal ponto d"&amp;"a própria humanidade conservam entre si a fé e as regras da justiça. De acordo com Locke, até a mais precária coletividade depende de uma noção de justiça, pois tal noção 
")</f>
        <v xml:space="preserve">A justiça e a conformidade ao contrato consistem em algo com que a maioria dos homens parece concordar. Constitui um princípio julgado estender-se até os esconderijos dos ladrões e às confederações dos maiores vilões; até os que se afastaram a tal ponto da própria humanidade conservam entre si a fé e as regras da justiça. De acordo com Locke, até a mais precária coletividade depende de uma noção de justiça, pois tal noção 
</v>
      </c>
      <c r="M33" s="4" t="str">
        <f ca="1">IFERROR(__xludf.DUMMYFUNCTION("""COMPUTED_VALUE"""),"identifica indivíduos despreparados para a vida em comum")</f>
        <v>identifica indivíduos despreparados para a vida em comum</v>
      </c>
      <c r="N33" s="4" t="str">
        <f ca="1">IFERROR(__xludf.DUMMYFUNCTION("""COMPUTED_VALUE"""),"contribui com a manutenção da ordem e do equilíbrio social")</f>
        <v>contribui com a manutenção da ordem e do equilíbrio social</v>
      </c>
      <c r="O33" s="4" t="str">
        <f ca="1">IFERROR(__xludf.DUMMYFUNCTION("""COMPUTED_VALUE"""),"estabelece um conjunto de regras para a formação da sociedade")</f>
        <v>estabelece um conjunto de regras para a formação da sociedade</v>
      </c>
      <c r="P33" s="4" t="str">
        <f ca="1">IFERROR(__xludf.DUMMYFUNCTION("""COMPUTED_VALUE"""),"determina o que é certo ou errado num contexto de
interesses conflitantes.
")</f>
        <v xml:space="preserve">determina o que é certo ou errado num contexto de
interesses conflitantes.
</v>
      </c>
      <c r="Q33" s="4" t="str">
        <f ca="1">IFERROR(__xludf.DUMMYFUNCTION("""COMPUTED_VALUE"""),"representa os interesses da coletividade, expressos pela vontade da maioria.
")</f>
        <v xml:space="preserve">representa os interesses da coletividade, expressos pela vontade da maioria.
</v>
      </c>
      <c r="R33" s="4"/>
      <c r="S33" s="4"/>
      <c r="T33" s="4"/>
      <c r="U33" s="4"/>
      <c r="V33" s="4"/>
      <c r="W33" s="4"/>
      <c r="X33" s="4"/>
      <c r="Y33" s="4"/>
      <c r="Z33" s="4"/>
    </row>
    <row r="34" spans="1:26" x14ac:dyDescent="0.25">
      <c r="A34" s="3" t="str">
        <f ca="1">IFERROR(__xludf.DUMMYFUNCTION("""COMPUTED_VALUE"""),"https://drive.google.com/open?id=1tlRMbSV292t1f4WpaDRLMdqqY7JRmkAp")</f>
        <v>https://drive.google.com/open?id=1tlRMbSV292t1f4WpaDRLMdqqY7JRmkAp</v>
      </c>
      <c r="B34" s="4" t="str">
        <f ca="1">IFERROR(__xludf.DUMMYFUNCTION("""COMPUTED_VALUE"""),"Enem")</f>
        <v>Enem</v>
      </c>
      <c r="C34" s="4">
        <f ca="1">IFERROR(__xludf.DUMMYFUNCTION("""COMPUTED_VALUE"""),2016)</f>
        <v>2016</v>
      </c>
      <c r="D34" s="4" t="str">
        <f ca="1">IFERROR(__xludf.DUMMYFUNCTION("""COMPUTED_VALUE"""),"Ciências Humanas")</f>
        <v>Ciências Humanas</v>
      </c>
      <c r="E34" s="4" t="str">
        <f ca="1">IFERROR(__xludf.DUMMYFUNCTION("""COMPUTED_VALUE"""),"Sociologia")</f>
        <v>Sociologia</v>
      </c>
      <c r="F34" s="4" t="str">
        <f ca="1">IFERROR(__xludf.DUMMYFUNCTION("""COMPUTED_VALUE"""),"Sociologia")</f>
        <v>Sociologia</v>
      </c>
      <c r="G34" s="4" t="str">
        <f ca="1">IFERROR(__xludf.DUMMYFUNCTION("""COMPUTED_VALUE"""),"Geografia do Brasil")</f>
        <v>Geografia do Brasil</v>
      </c>
      <c r="H34" s="4"/>
      <c r="I34" s="4" t="str">
        <f ca="1">IFERROR(__xludf.DUMMYFUNCTION("""COMPUTED_VALUE"""),"Azul")</f>
        <v>Azul</v>
      </c>
      <c r="J34" s="4">
        <f ca="1">IFERROR(__xludf.DUMMYFUNCTION("""COMPUTED_VALUE"""),14)</f>
        <v>14</v>
      </c>
      <c r="K34" s="4" t="str">
        <f ca="1">IFERROR(__xludf.DUMMYFUNCTION("""COMPUTED_VALUE"""),"B")</f>
        <v>B</v>
      </c>
      <c r="L34" s="4" t="str">
        <f ca="1">IFERROR(__xludf.DUMMYFUNCTION("""COMPUTED_VALUE"""),"A demanda da comunidade afro-brasileira por reconhecimento, valorização e afirmação de direitos, no que que diz respeito à educação, passou a ser particularmente
apoiada com a promulgação da Lei 10.639/2003, que
alterou a Lei 9.394/1996, estabelecendo a o"&amp;"brigatoriedade
do ensino de história e cultura afro-brasileiras e africanas.
A alteração legal no Brasil contemporâneo descrita no
texto é resultado do processo de")</f>
        <v>A demanda da comunidade afro-brasileira por reconhecimento, valorização e afirmação de direitos, no que que diz respeito à educação, passou a ser particularmente
apoiada com a promulgação da Lei 10.639/2003, que
alterou a Lei 9.394/1996, estabelecendo a obrigatoriedade
do ensino de história e cultura afro-brasileiras e africanas.
A alteração legal no Brasil contemporâneo descrita no
texto é resultado do processo de</v>
      </c>
      <c r="M34" s="4" t="str">
        <f ca="1">IFERROR(__xludf.DUMMYFUNCTION("""COMPUTED_VALUE"""),"aumento da renda nacional")</f>
        <v>aumento da renda nacional</v>
      </c>
      <c r="N34" s="4" t="str">
        <f ca="1">IFERROR(__xludf.DUMMYFUNCTION("""COMPUTED_VALUE"""),"mobilização do movimento negro")</f>
        <v>mobilização do movimento negro</v>
      </c>
      <c r="O34" s="4" t="str">
        <f ca="1">IFERROR(__xludf.DUMMYFUNCTION("""COMPUTED_VALUE"""),"melhoria da infraestrutura escolar")</f>
        <v>melhoria da infraestrutura escolar</v>
      </c>
      <c r="P34" s="4" t="str">
        <f ca="1">IFERROR(__xludf.DUMMYFUNCTION("""COMPUTED_VALUE"""),"ampliação das disciplinas obrigatórias")</f>
        <v>ampliação das disciplinas obrigatórias</v>
      </c>
      <c r="Q34" s="4" t="str">
        <f ca="1">IFERROR(__xludf.DUMMYFUNCTION("""COMPUTED_VALUE"""),"politização das universidades públicas.")</f>
        <v>politização das universidades públicas.</v>
      </c>
      <c r="R34" s="4"/>
      <c r="S34" s="4"/>
      <c r="T34" s="4"/>
      <c r="U34" s="4"/>
      <c r="V34" s="4"/>
      <c r="W34" s="4"/>
      <c r="X34" s="4"/>
      <c r="Y34" s="4"/>
      <c r="Z34" s="4"/>
    </row>
    <row r="35" spans="1:26" x14ac:dyDescent="0.25">
      <c r="A35" s="3" t="str">
        <f ca="1">IFERROR(__xludf.DUMMYFUNCTION("""COMPUTED_VALUE"""),"https://drive.google.com/open?id=1uu785Ijmm5i5hF1K63duqKTKxGcynaNl")</f>
        <v>https://drive.google.com/open?id=1uu785Ijmm5i5hF1K63duqKTKxGcynaNl</v>
      </c>
      <c r="B35" s="4" t="str">
        <f ca="1">IFERROR(__xludf.DUMMYFUNCTION("""COMPUTED_VALUE"""),"Enem")</f>
        <v>Enem</v>
      </c>
      <c r="C35" s="4">
        <f ca="1">IFERROR(__xludf.DUMMYFUNCTION("""COMPUTED_VALUE"""),2016)</f>
        <v>2016</v>
      </c>
      <c r="D35" s="4" t="str">
        <f ca="1">IFERROR(__xludf.DUMMYFUNCTION("""COMPUTED_VALUE"""),"Ciências Humanas")</f>
        <v>Ciências Humanas</v>
      </c>
      <c r="E35" s="4" t="str">
        <f ca="1">IFERROR(__xludf.DUMMYFUNCTION("""COMPUTED_VALUE"""),"Sociologia")</f>
        <v>Sociologia</v>
      </c>
      <c r="F35" s="4" t="str">
        <f ca="1">IFERROR(__xludf.DUMMYFUNCTION("""COMPUTED_VALUE"""),"Sociologia")</f>
        <v>Sociologia</v>
      </c>
      <c r="G35" s="4" t="str">
        <f ca="1">IFERROR(__xludf.DUMMYFUNCTION("""COMPUTED_VALUE"""),"Geografia Geral")</f>
        <v>Geografia Geral</v>
      </c>
      <c r="H35" s="4"/>
      <c r="I35" s="4" t="str">
        <f ca="1">IFERROR(__xludf.DUMMYFUNCTION("""COMPUTED_VALUE"""),"Azul")</f>
        <v>Azul</v>
      </c>
      <c r="J35" s="4">
        <f ca="1">IFERROR(__xludf.DUMMYFUNCTION("""COMPUTED_VALUE"""),16)</f>
        <v>16</v>
      </c>
      <c r="K35" s="4" t="str">
        <f ca="1">IFERROR(__xludf.DUMMYFUNCTION("""COMPUTED_VALUE"""),"D")</f>
        <v>D</v>
      </c>
      <c r="L35" s="4" t="str">
        <f ca="1">IFERROR(__xludf.DUMMYFUNCTION("""COMPUTED_VALUE""")," Diante dos fatos e da análise apresentados, a política econômica e a demanda popular correlacionada encontram-se, respectivamente, em 
")</f>
        <v xml:space="preserve"> Diante dos fatos e da análise apresentados, a política econômica e a demanda popular correlacionada encontram-se, respectivamente, em 
</v>
      </c>
      <c r="M35" s="4" t="str">
        <f ca="1">IFERROR(__xludf.DUMMYFUNCTION("""COMPUTED_VALUE""")," controle da dívida interna e implementação das regras patronais. ")</f>
        <v xml:space="preserve"> controle da dívida interna e implementação das regras patronais. </v>
      </c>
      <c r="N35" s="4" t="str">
        <f ca="1">IFERROR(__xludf.DUMMYFUNCTION("""COMPUTED_VALUE"""),"afrouxamento da economia de mercado e superação da lógica individualista. ")</f>
        <v xml:space="preserve">afrouxamento da economia de mercado e superação da lógica individualista. </v>
      </c>
      <c r="O35" s="4" t="str">
        <f ca="1">IFERROR(__xludf.DUMMYFUNCTION("""COMPUTED_VALUE"""),"aplicação de plano desenvolvimentista e afirmação das conquistas neoliberais. 
")</f>
        <v xml:space="preserve">aplicação de plano desenvolvimentista e afirmação das conquistas neoliberais. 
</v>
      </c>
      <c r="P35" s="4" t="str">
        <f ca="1">IFERROR(__xludf.DUMMYFUNCTION("""COMPUTED_VALUE"""),"defesa dos interesses corporativos do capital e manutenção de direitos sociais. 
")</f>
        <v xml:space="preserve">defesa dos interesses corporativos do capital e manutenção de direitos sociais. 
</v>
      </c>
      <c r="Q35" s="4" t="str">
        <f ca="1">IFERROR(__xludf.DUMMYFUNCTION("""COMPUTED_VALUE"""),"mudança na estrutura do sistema produtivo e democratização do acesso ao trabalho.
")</f>
        <v xml:space="preserve">mudança na estrutura do sistema produtivo e democratização do acesso ao trabalho.
</v>
      </c>
      <c r="R35" s="4"/>
      <c r="S35" s="4"/>
      <c r="T35" s="4"/>
      <c r="U35" s="4"/>
      <c r="V35" s="4"/>
      <c r="W35" s="4"/>
      <c r="X35" s="4"/>
      <c r="Y35" s="4"/>
      <c r="Z35" s="4"/>
    </row>
    <row r="36" spans="1:26" x14ac:dyDescent="0.25">
      <c r="A36" s="3" t="str">
        <f ca="1">IFERROR(__xludf.DUMMYFUNCTION("""COMPUTED_VALUE"""),"https://drive.google.com/open?id=1yRDd5R0-wP2OWRxoEcHykhLFLcFyaVgk")</f>
        <v>https://drive.google.com/open?id=1yRDd5R0-wP2OWRxoEcHykhLFLcFyaVgk</v>
      </c>
      <c r="B36" s="4" t="str">
        <f ca="1">IFERROR(__xludf.DUMMYFUNCTION("""COMPUTED_VALUE"""),"Enem")</f>
        <v>Enem</v>
      </c>
      <c r="C36" s="4">
        <f ca="1">IFERROR(__xludf.DUMMYFUNCTION("""COMPUTED_VALUE"""),2016)</f>
        <v>2016</v>
      </c>
      <c r="D36" s="4" t="str">
        <f ca="1">IFERROR(__xludf.DUMMYFUNCTION("""COMPUTED_VALUE"""),"Ciências Humanas")</f>
        <v>Ciências Humanas</v>
      </c>
      <c r="E36" s="4" t="str">
        <f ca="1">IFERROR(__xludf.DUMMYFUNCTION("""COMPUTED_VALUE"""),"Sociologia")</f>
        <v>Sociologia</v>
      </c>
      <c r="F36" s="4" t="str">
        <f ca="1">IFERROR(__xludf.DUMMYFUNCTION("""COMPUTED_VALUE"""),"Sociologia")</f>
        <v>Sociologia</v>
      </c>
      <c r="G36" s="4" t="str">
        <f ca="1">IFERROR(__xludf.DUMMYFUNCTION("""COMPUTED_VALUE"""),"Filosofia")</f>
        <v>Filosofia</v>
      </c>
      <c r="H36" s="4"/>
      <c r="I36" s="4" t="str">
        <f ca="1">IFERROR(__xludf.DUMMYFUNCTION("""COMPUTED_VALUE"""),"Azul")</f>
        <v>Azul</v>
      </c>
      <c r="J36" s="4">
        <f ca="1">IFERROR(__xludf.DUMMYFUNCTION("""COMPUTED_VALUE"""),31)</f>
        <v>31</v>
      </c>
      <c r="K36" s="4" t="str">
        <f ca="1">IFERROR(__xludf.DUMMYFUNCTION("""COMPUTED_VALUE"""),"A")</f>
        <v>A</v>
      </c>
      <c r="L36" s="4" t="str">
        <f ca="1">IFERROR(__xludf.DUMMYFUNCTION("""COMPUTED_VALUE""")," Thomas Hobbes e John Locke, importantes teóricos contratualistas, discutiram aspectos ligados à natureza humana e ao Estado. Thomas Hobbes, diferentemente de John Locke, entende o estado de natureza como um(a) 
")</f>
        <v xml:space="preserve"> Thomas Hobbes e John Locke, importantes teóricos contratualistas, discutiram aspectos ligados à natureza humana e ao Estado. Thomas Hobbes, diferentemente de John Locke, entende o estado de natureza como um(a) 
</v>
      </c>
      <c r="M36" s="4" t="str">
        <f ca="1">IFERROR(__xludf.DUMMYFUNCTION("""COMPUTED_VALUE"""),"condição de guerra de todos contra todos, miséria universal, insegurança e medo da morte violenta.
")</f>
        <v xml:space="preserve">condição de guerra de todos contra todos, miséria universal, insegurança e medo da morte violenta.
</v>
      </c>
      <c r="N36" s="4" t="str">
        <f ca="1">IFERROR(__xludf.DUMMYFUNCTION("""COMPUTED_VALUE"""),"organização pré-social e pré-política em que o homem nasce com os direitos naturais: vida, liberdade, igualdade e propriedade. 
")</f>
        <v xml:space="preserve">organização pré-social e pré-política em que o homem nasce com os direitos naturais: vida, liberdade, igualdade e propriedade. 
</v>
      </c>
      <c r="O36" s="4" t="str">
        <f ca="1">IFERROR(__xludf.DUMMYFUNCTION("""COMPUTED_VALUE"""),"capricho típico da menoridade, que deve ser eliminado pela exigência moral, para que o homem possa constituir o Estado civil. ")</f>
        <v xml:space="preserve">capricho típico da menoridade, que deve ser eliminado pela exigência moral, para que o homem possa constituir o Estado civil. </v>
      </c>
      <c r="P36" s="4" t="str">
        <f ca="1">IFERROR(__xludf.DUMMYFUNCTION("""COMPUTED_VALUE"""),"situação em que os homens nascem como detentores de livre-arbítrio, mas são feridos em sua livre decisão pelo pecado original. 
")</f>
        <v xml:space="preserve">situação em que os homens nascem como detentores de livre-arbítrio, mas são feridos em sua livre decisão pelo pecado original. 
</v>
      </c>
      <c r="Q36" s="4" t="str">
        <f ca="1">IFERROR(__xludf.DUMMYFUNCTION("""COMPUTED_VALUE"""),"estado de felicidade, saúde e liberdade que é destruído pela civilização, que perturba as relações sociais e violenta a humanidade.
")</f>
        <v xml:space="preserve">estado de felicidade, saúde e liberdade que é destruído pela civilização, que perturba as relações sociais e violenta a humanidade.
</v>
      </c>
      <c r="R36" s="4"/>
      <c r="S36" s="4"/>
      <c r="T36" s="4"/>
      <c r="U36" s="4"/>
      <c r="V36" s="4"/>
      <c r="W36" s="4"/>
      <c r="X36" s="4"/>
      <c r="Y36" s="4"/>
      <c r="Z36" s="4"/>
    </row>
    <row r="37" spans="1:26" x14ac:dyDescent="0.25">
      <c r="A37" s="3" t="str">
        <f ca="1">IFERROR(__xludf.DUMMYFUNCTION("""COMPUTED_VALUE"""),"https://drive.google.com/open?id=15E22_LrVcx56GbhEOBU46KAi6mfeBWTy")</f>
        <v>https://drive.google.com/open?id=15E22_LrVcx56GbhEOBU46KAi6mfeBWTy</v>
      </c>
      <c r="B37" s="4" t="str">
        <f ca="1">IFERROR(__xludf.DUMMYFUNCTION("""COMPUTED_VALUE"""),"Enem")</f>
        <v>Enem</v>
      </c>
      <c r="C37" s="4">
        <f ca="1">IFERROR(__xludf.DUMMYFUNCTION("""COMPUTED_VALUE"""),2016)</f>
        <v>2016</v>
      </c>
      <c r="D37" s="4" t="str">
        <f ca="1">IFERROR(__xludf.DUMMYFUNCTION("""COMPUTED_VALUE"""),"Ciências Humanas")</f>
        <v>Ciências Humanas</v>
      </c>
      <c r="E37" s="4" t="str">
        <f ca="1">IFERROR(__xludf.DUMMYFUNCTION("""COMPUTED_VALUE"""),"Sociologia")</f>
        <v>Sociologia</v>
      </c>
      <c r="F37" s="4" t="str">
        <f ca="1">IFERROR(__xludf.DUMMYFUNCTION("""COMPUTED_VALUE"""),"Sociologia")</f>
        <v>Sociologia</v>
      </c>
      <c r="G37" s="4"/>
      <c r="H37" s="4"/>
      <c r="I37" s="4" t="str">
        <f ca="1">IFERROR(__xludf.DUMMYFUNCTION("""COMPUTED_VALUE"""),"Azul")</f>
        <v>Azul</v>
      </c>
      <c r="J37" s="4">
        <f ca="1">IFERROR(__xludf.DUMMYFUNCTION("""COMPUTED_VALUE"""),32)</f>
        <v>32</v>
      </c>
      <c r="K37" s="4" t="str">
        <f ca="1">IFERROR(__xludf.DUMMYFUNCTION("""COMPUTED_VALUE"""),"B")</f>
        <v>B</v>
      </c>
      <c r="L37" s="4" t="str">
        <f ca="1">IFERROR(__xludf.DUMMYFUNCTION("""COMPUTED_VALUE"""),"O Movimento Negro Unificado (MNU) distingue-se do Teatro Experimental do Negro (TEN) por sua crítica ao discurso nacional hegemônico. Isto é, enquanto o TEN defende a plena integração simbólica dos negros na identidade nacional “híbrida”, o MNU condena qu"&amp;"alquer tipo de assimilação, fazendo do combate à ideologia da democracia racial uma das suas principais bandeiras de luta, visto que, aos olhos desse movimento, a igualdade formal assegurada pela lei entre negros e brancos e a difusão do mito de que a soc"&amp;"iedade brasileira não é racista teriam servido para sustentar, ideologicamente, a opressão racial. COSTA, S. Dois Atlânticos: teoria social, antirracismo, cosmopolitismo. Belo Horizonte: UFMG, 2006 (adaptado). No texto, são comparadas duas organizações do"&amp;" movimento negro brasileiro, criadas em diferentes contextos históricos: o TEN, em 1944, e o MNU, em 1978. Ao assumir uma postura divergente da do TEN, o MNU pretendia 
")</f>
        <v xml:space="preserve">O Movimento Negro Unificado (MNU) distingue-se do Teatro Experimental do Negro (TEN) por sua crítica ao discurso nacional hegemônico. Isto é, enquanto o TEN defende a plena integração simbólica dos negros na identidade nacional “híbrida”, o MNU condena qualquer tipo de assimilação, fazendo do combate à ideologia da democracia racial uma das suas principais bandeiras de luta, visto que, aos olhos desse movimento, a igualdade formal assegurada pela lei entre negros e brancos e a difusão do mito de que a sociedade brasileira não é racista teriam servido para sustentar, ideologicamente, a opressão racial. COSTA, S. Dois Atlânticos: teoria social, antirracismo, cosmopolitismo. Belo Horizonte: UFMG, 2006 (adaptado). No texto, são comparadas duas organizações do movimento negro brasileiro, criadas em diferentes contextos históricos: o TEN, em 1944, e o MNU, em 1978. Ao assumir uma postura divergente da do TEN, o MNU pretendia 
</v>
      </c>
      <c r="M37" s="4" t="str">
        <f ca="1">IFERROR(__xludf.DUMMYFUNCTION("""COMPUTED_VALUE""")," pressionar o governo brasileiro a decretar a igualdade racial. ")</f>
        <v xml:space="preserve"> pressionar o governo brasileiro a decretar a igualdade racial. </v>
      </c>
      <c r="N37" s="4" t="str">
        <f ca="1">IFERROR(__xludf.DUMMYFUNCTION("""COMPUTED_VALUE""")," denunciar a permanência do racismo nas relações sociais. 
")</f>
        <v xml:space="preserve"> denunciar a permanência do racismo nas relações sociais. 
</v>
      </c>
      <c r="O37" s="4" t="str">
        <f ca="1">IFERROR(__xludf.DUMMYFUNCTION("""COMPUTED_VALUE"""),"contestar a necessidade da igualdade entre negros e brancos. 
")</f>
        <v xml:space="preserve">contestar a necessidade da igualdade entre negros e brancos. 
</v>
      </c>
      <c r="P37" s="4" t="str">
        <f ca="1">IFERROR(__xludf.DUMMYFUNCTION("""COMPUTED_VALUE"""),"defender a assimilação do negro por meios não democráticos. 
")</f>
        <v xml:space="preserve">defender a assimilação do negro por meios não democráticos. 
</v>
      </c>
      <c r="Q37" s="4" t="str">
        <f ca="1">IFERROR(__xludf.DUMMYFUNCTION("""COMPUTED_VALUE""")," divulgar a ideia da miscigenação como marca da nacionalidade.
")</f>
        <v xml:space="preserve"> divulgar a ideia da miscigenação como marca da nacionalidade.
</v>
      </c>
      <c r="R37" s="4"/>
      <c r="S37" s="4"/>
      <c r="T37" s="4"/>
      <c r="U37" s="4"/>
      <c r="V37" s="4"/>
      <c r="W37" s="4"/>
      <c r="X37" s="4"/>
      <c r="Y37" s="4"/>
      <c r="Z37" s="4"/>
    </row>
    <row r="38" spans="1:26" x14ac:dyDescent="0.25">
      <c r="A38" s="3" t="str">
        <f ca="1">IFERROR(__xludf.DUMMYFUNCTION("""COMPUTED_VALUE"""),"https://drive.google.com/open?id=1UuFIWlbjDb-HalIeajSh0TStzEH7Khtr")</f>
        <v>https://drive.google.com/open?id=1UuFIWlbjDb-HalIeajSh0TStzEH7Khtr</v>
      </c>
      <c r="B38" s="4" t="str">
        <f ca="1">IFERROR(__xludf.DUMMYFUNCTION("""COMPUTED_VALUE"""),"Enem")</f>
        <v>Enem</v>
      </c>
      <c r="C38" s="4">
        <f ca="1">IFERROR(__xludf.DUMMYFUNCTION("""COMPUTED_VALUE"""),2016)</f>
        <v>2016</v>
      </c>
      <c r="D38" s="4" t="str">
        <f ca="1">IFERROR(__xludf.DUMMYFUNCTION("""COMPUTED_VALUE"""),"Ciências Humanas")</f>
        <v>Ciências Humanas</v>
      </c>
      <c r="E38" s="4" t="str">
        <f ca="1">IFERROR(__xludf.DUMMYFUNCTION("""COMPUTED_VALUE"""),"Sociologia")</f>
        <v>Sociologia</v>
      </c>
      <c r="F38" s="4" t="str">
        <f ca="1">IFERROR(__xludf.DUMMYFUNCTION("""COMPUTED_VALUE"""),"Sociologia")</f>
        <v>Sociologia</v>
      </c>
      <c r="G38" s="4"/>
      <c r="H38" s="4"/>
      <c r="I38" s="4" t="str">
        <f ca="1">IFERROR(__xludf.DUMMYFUNCTION("""COMPUTED_VALUE"""),"Azul")</f>
        <v>Azul</v>
      </c>
      <c r="J38" s="4">
        <f ca="1">IFERROR(__xludf.DUMMYFUNCTION("""COMPUTED_VALUE"""),34)</f>
        <v>34</v>
      </c>
      <c r="K38" s="4" t="str">
        <f ca="1">IFERROR(__xludf.DUMMYFUNCTION("""COMPUTED_VALUE"""),"C")</f>
        <v>C</v>
      </c>
      <c r="L38" s="4" t="str">
        <f ca="1">IFERROR(__xludf.DUMMYFUNCTION("""COMPUTED_VALUE"""),"As convicções religiosas dos escravos eram entretanto colocadas a duras provas quando de sua chegada ao Novo Mundo, onde eram batizados obrigatoriamente “para a salvação de sua alma” e deviam curvar-se às doutrinas religiosas de seus mestres. Iemanjá, mãe"&amp;" de numerosos outros orixás, foi sincretizada com Nossa Senhora da Conceição, e Nanã Buruku, a mais idosa das divindades das águas, foi comparada a Sant’Ana, mãe da Virgem Maria.
O sincretismo religioso no Brasil colônia foi uma estratégia utilizada pelos"&amp;" negros escravizados para 
")</f>
        <v xml:space="preserve">As convicções religiosas dos escravos eram entretanto colocadas a duras provas quando de sua chegada ao Novo Mundo, onde eram batizados obrigatoriamente “para a salvação de sua alma” e deviam curvar-se às doutrinas religiosas de seus mestres. Iemanjá, mãe de numerosos outros orixás, foi sincretizada com Nossa Senhora da Conceição, e Nanã Buruku, a mais idosa das divindades das águas, foi comparada a Sant’Ana, mãe da Virgem Maria.
O sincretismo religioso no Brasil colônia foi uma estratégia utilizada pelos negros escravizados para 
</v>
      </c>
      <c r="M38" s="4" t="str">
        <f ca="1">IFERROR(__xludf.DUMMYFUNCTION("""COMPUTED_VALUE"""),"compreender o papel do sagrado para a cultura europeia. 
")</f>
        <v xml:space="preserve">compreender o papel do sagrado para a cultura europeia. 
</v>
      </c>
      <c r="N38" s="4" t="str">
        <f ca="1">IFERROR(__xludf.DUMMYFUNCTION("""COMPUTED_VALUE"""),"garantir a aceitação pelas comunidades dos convertidos. 
")</f>
        <v xml:space="preserve">garantir a aceitação pelas comunidades dos convertidos. 
</v>
      </c>
      <c r="O38" s="4" t="str">
        <f ca="1">IFERROR(__xludf.DUMMYFUNCTION("""COMPUTED_VALUE"""),"preservar as crenças e a sua relação com o sagrado. 
")</f>
        <v xml:space="preserve">preservar as crenças e a sua relação com o sagrado. 
</v>
      </c>
      <c r="P38" s="4" t="str">
        <f ca="1">IFERROR(__xludf.DUMMYFUNCTION("""COMPUTED_VALUE"""),"integrar as distintas culturas no Novo Mundo. 
")</f>
        <v xml:space="preserve">integrar as distintas culturas no Novo Mundo. 
</v>
      </c>
      <c r="Q38" s="4" t="str">
        <f ca="1">IFERROR(__xludf.DUMMYFUNCTION("""COMPUTED_VALUE"""),"possibilitar a adoração de santos católicos.
")</f>
        <v xml:space="preserve">possibilitar a adoração de santos católicos.
</v>
      </c>
      <c r="R38" s="4"/>
      <c r="S38" s="4"/>
      <c r="T38" s="4"/>
      <c r="U38" s="4"/>
      <c r="V38" s="4"/>
      <c r="W38" s="4"/>
      <c r="X38" s="4"/>
      <c r="Y38" s="4"/>
      <c r="Z38" s="4"/>
    </row>
    <row r="39" spans="1:26" x14ac:dyDescent="0.25">
      <c r="A39" s="3" t="str">
        <f ca="1">IFERROR(__xludf.DUMMYFUNCTION("""COMPUTED_VALUE"""),"https://drive.google.com/open?id=1ZR1rhznUwxAQclUYF6tqXvdKhGuWq9Ta")</f>
        <v>https://drive.google.com/open?id=1ZR1rhznUwxAQclUYF6tqXvdKhGuWq9Ta</v>
      </c>
      <c r="B39" s="4" t="str">
        <f ca="1">IFERROR(__xludf.DUMMYFUNCTION("""COMPUTED_VALUE"""),"Enem")</f>
        <v>Enem</v>
      </c>
      <c r="C39" s="4">
        <f ca="1">IFERROR(__xludf.DUMMYFUNCTION("""COMPUTED_VALUE"""),2016)</f>
        <v>2016</v>
      </c>
      <c r="D39" s="4" t="str">
        <f ca="1">IFERROR(__xludf.DUMMYFUNCTION("""COMPUTED_VALUE"""),"Ciências Humanas")</f>
        <v>Ciências Humanas</v>
      </c>
      <c r="E39" s="4" t="str">
        <f ca="1">IFERROR(__xludf.DUMMYFUNCTION("""COMPUTED_VALUE"""),"Sociologia")</f>
        <v>Sociologia</v>
      </c>
      <c r="F39" s="4" t="str">
        <f ca="1">IFERROR(__xludf.DUMMYFUNCTION("""COMPUTED_VALUE"""),"Sociologia")</f>
        <v>Sociologia</v>
      </c>
      <c r="G39" s="4" t="str">
        <f ca="1">IFERROR(__xludf.DUMMYFUNCTION("""COMPUTED_VALUE"""),"História do Brasil")</f>
        <v>História do Brasil</v>
      </c>
      <c r="H39" s="4"/>
      <c r="I39" s="4" t="str">
        <f ca="1">IFERROR(__xludf.DUMMYFUNCTION("""COMPUTED_VALUE"""),"Azul")</f>
        <v>Azul</v>
      </c>
      <c r="J39" s="4">
        <f ca="1">IFERROR(__xludf.DUMMYFUNCTION("""COMPUTED_VALUE"""),44)</f>
        <v>44</v>
      </c>
      <c r="K39" s="4" t="str">
        <f ca="1">IFERROR(__xludf.DUMMYFUNCTION("""COMPUTED_VALUE"""),"E")</f>
        <v>E</v>
      </c>
      <c r="L39" s="4" t="str">
        <f ca="1">IFERROR(__xludf.DUMMYFUNCTION("""COMPUTED_VALUE"""),"[imagem em anexo]
Na imagem, o autor procura representar as diferentes gerações de uma família associada a uma noção consagrada pelas elites intelectuais da época, que era a de 
")</f>
        <v xml:space="preserve">[imagem em anexo]
Na imagem, o autor procura representar as diferentes gerações de uma família associada a uma noção consagrada pelas elites intelectuais da época, que era a de 
</v>
      </c>
      <c r="M39" s="4" t="str">
        <f ca="1">IFERROR(__xludf.DUMMYFUNCTION("""COMPUTED_VALUE"""),"defesa da democracia racial. 
")</f>
        <v xml:space="preserve">defesa da democracia racial. 
</v>
      </c>
      <c r="N39" s="4" t="str">
        <f ca="1">IFERROR(__xludf.DUMMYFUNCTION("""COMPUTED_VALUE"""),"idealização do universo rural. 
")</f>
        <v xml:space="preserve">idealização do universo rural. 
</v>
      </c>
      <c r="O39" s="4" t="str">
        <f ca="1">IFERROR(__xludf.DUMMYFUNCTION("""COMPUTED_VALUE"""),"crise dos valores republicanos. 
")</f>
        <v xml:space="preserve">crise dos valores republicanos. 
</v>
      </c>
      <c r="P39" s="4" t="str">
        <f ca="1">IFERROR(__xludf.DUMMYFUNCTION("""COMPUTED_VALUE""")," constatação do atraso sertanejo. 
")</f>
        <v xml:space="preserve"> constatação do atraso sertanejo. 
</v>
      </c>
      <c r="Q39" s="4" t="str">
        <f ca="1">IFERROR(__xludf.DUMMYFUNCTION("""COMPUTED_VALUE"""),"embranquecimento da população.
")</f>
        <v xml:space="preserve">embranquecimento da população.
</v>
      </c>
      <c r="R39" s="4"/>
      <c r="S39" s="4"/>
      <c r="T39" s="4"/>
      <c r="U39" s="4"/>
      <c r="V39" s="4"/>
      <c r="W39" s="4"/>
      <c r="X39" s="4"/>
      <c r="Y39" s="4"/>
      <c r="Z39" s="4"/>
    </row>
    <row r="40" spans="1:26" x14ac:dyDescent="0.25">
      <c r="A40" s="3" t="str">
        <f ca="1">IFERROR(__xludf.DUMMYFUNCTION("""COMPUTED_VALUE"""),"https://drive.google.com/open?id=1L9d9arx-xDaz0JIx57HqiAt-I1okdIiI")</f>
        <v>https://drive.google.com/open?id=1L9d9arx-xDaz0JIx57HqiAt-I1okdIiI</v>
      </c>
      <c r="B40" s="4" t="str">
        <f ca="1">IFERROR(__xludf.DUMMYFUNCTION("""COMPUTED_VALUE"""),"Enem")</f>
        <v>Enem</v>
      </c>
      <c r="C40" s="4">
        <f ca="1">IFERROR(__xludf.DUMMYFUNCTION("""COMPUTED_VALUE"""),2016)</f>
        <v>2016</v>
      </c>
      <c r="D40" s="4" t="str">
        <f ca="1">IFERROR(__xludf.DUMMYFUNCTION("""COMPUTED_VALUE"""),"Ciências Humanas")</f>
        <v>Ciências Humanas</v>
      </c>
      <c r="E40" s="4" t="str">
        <f ca="1">IFERROR(__xludf.DUMMYFUNCTION("""COMPUTED_VALUE"""),"Sociologia")</f>
        <v>Sociologia</v>
      </c>
      <c r="F40" s="4" t="str">
        <f ca="1">IFERROR(__xludf.DUMMYFUNCTION("""COMPUTED_VALUE"""),"Sociologia")</f>
        <v>Sociologia</v>
      </c>
      <c r="G40" s="4"/>
      <c r="H40" s="4"/>
      <c r="I40" s="4" t="str">
        <f ca="1">IFERROR(__xludf.DUMMYFUNCTION("""COMPUTED_VALUE"""),"Azul")</f>
        <v>Azul</v>
      </c>
      <c r="J40" s="4">
        <f ca="1">IFERROR(__xludf.DUMMYFUNCTION("""COMPUTED_VALUE"""),45)</f>
        <v>45</v>
      </c>
      <c r="K40" s="4" t="str">
        <f ca="1">IFERROR(__xludf.DUMMYFUNCTION("""COMPUTED_VALUE"""),"C")</f>
        <v>C</v>
      </c>
      <c r="L40" s="4" t="str">
        <f ca="1">IFERROR(__xludf.DUMMYFUNCTION("""COMPUTED_VALUE"""),"O mercado tende a gerir e regulamentar todas as atividades humanas. Até há pouco, certos campos — cultura, esporte, religião — ficavam fora do seu alcance. Agora, são absorvidos pela esfera do mercado. Os governos confiam cada vez mais nele (abandono dos "&amp;"setores de Estado, privatizações). ")</f>
        <v xml:space="preserve">O mercado tende a gerir e regulamentar todas as atividades humanas. Até há pouco, certos campos — cultura, esporte, religião — ficavam fora do seu alcance. Agora, são absorvidos pela esfera do mercado. Os governos confiam cada vez mais nele (abandono dos setores de Estado, privatizações). </v>
      </c>
      <c r="M40" s="4" t="str">
        <f ca="1">IFERROR(__xludf.DUMMYFUNCTION("""COMPUTED_VALUE"""),"Socialismo.")</f>
        <v>Socialismo.</v>
      </c>
      <c r="N40" s="4" t="str">
        <f ca="1">IFERROR(__xludf.DUMMYFUNCTION("""COMPUTED_VALUE"""),"Feudalismo. 
")</f>
        <v xml:space="preserve">Feudalismo. 
</v>
      </c>
      <c r="O40" s="4" t="str">
        <f ca="1">IFERROR(__xludf.DUMMYFUNCTION("""COMPUTED_VALUE"""),"Capitalismo. 
")</f>
        <v xml:space="preserve">Capitalismo. 
</v>
      </c>
      <c r="P40" s="4" t="str">
        <f ca="1">IFERROR(__xludf.DUMMYFUNCTION("""COMPUTED_VALUE"""),"Anarquismo. 
")</f>
        <v xml:space="preserve">Anarquismo. 
</v>
      </c>
      <c r="Q40" s="4" t="str">
        <f ca="1">IFERROR(__xludf.DUMMYFUNCTION("""COMPUTED_VALUE"""),"Comunitarismo
")</f>
        <v xml:space="preserve">Comunitarismo
</v>
      </c>
      <c r="R40" s="4"/>
      <c r="S40" s="4"/>
      <c r="T40" s="4"/>
      <c r="U40" s="4"/>
      <c r="V40" s="4"/>
      <c r="W40" s="4"/>
      <c r="X40" s="4"/>
      <c r="Y40" s="4"/>
      <c r="Z40" s="4"/>
    </row>
    <row r="41" spans="1:26" x14ac:dyDescent="0.25">
      <c r="A41" s="3" t="str">
        <f ca="1">IFERROR(__xludf.DUMMYFUNCTION("""COMPUTED_VALUE"""),"https://drive.google.com/open?id=1hQ40B9afsrCQZFsdn4vY4zgGKPW6EOmY")</f>
        <v>https://drive.google.com/open?id=1hQ40B9afsrCQZFsdn4vY4zgGKPW6EOmY</v>
      </c>
      <c r="B41" s="4" t="str">
        <f ca="1">IFERROR(__xludf.DUMMYFUNCTION("""COMPUTED_VALUE"""),"Enem")</f>
        <v>Enem</v>
      </c>
      <c r="C41" s="4">
        <f ca="1">IFERROR(__xludf.DUMMYFUNCTION("""COMPUTED_VALUE"""),2017)</f>
        <v>2017</v>
      </c>
      <c r="D41" s="4" t="str">
        <f ca="1">IFERROR(__xludf.DUMMYFUNCTION("""COMPUTED_VALUE"""),"Linguagens")</f>
        <v>Linguagens</v>
      </c>
      <c r="E41" s="4" t="str">
        <f ca="1">IFERROR(__xludf.DUMMYFUNCTION("""COMPUTED_VALUE"""),"Literatura")</f>
        <v>Literatura</v>
      </c>
      <c r="F41" s="4" t="str">
        <f ca="1">IFERROR(__xludf.DUMMYFUNCTION("""COMPUTED_VALUE"""),"Literatura")</f>
        <v>Literatura</v>
      </c>
      <c r="G41" s="4"/>
      <c r="H41" s="4"/>
      <c r="I41" s="4" t="str">
        <f ca="1">IFERROR(__xludf.DUMMYFUNCTION("""COMPUTED_VALUE"""),"Azul")</f>
        <v>Azul</v>
      </c>
      <c r="J41" s="4"/>
      <c r="K41" s="4" t="str">
        <f ca="1">IFERROR(__xludf.DUMMYFUNCTION("""COMPUTED_VALUE"""),"D")</f>
        <v>D</v>
      </c>
      <c r="L41" s="4" t="str">
        <f ca="1">IFERROR(__xludf.DUMMYFUNCTION("""COMPUTED_VALUE"""),"[trecho de conto contido no arquivo)
No fragmento, o narrador adota um ponto de vista que acompanha a perspectiva de Fortunato. O que singulariza esse procedimento narrativo é o registro do(a)")</f>
        <v>[trecho de conto contido no arquivo)
No fragmento, o narrador adota um ponto de vista que acompanha a perspectiva de Fortunato. O que singulariza esse procedimento narrativo é o registro do(a)</v>
      </c>
      <c r="M41" s="4" t="str">
        <f ca="1">IFERROR(__xludf.DUMMYFUNCTION("""COMPUTED_VALUE"""),"indignação face à suspeita do adultério da esposa.")</f>
        <v>indignação face à suspeita do adultério da esposa.</v>
      </c>
      <c r="N41" s="4" t="str">
        <f ca="1">IFERROR(__xludf.DUMMYFUNCTION("""COMPUTED_VALUE"""),"tristeza compartilhada pela perda da mulher amada.")</f>
        <v>tristeza compartilhada pela perda da mulher amada.</v>
      </c>
      <c r="O41" s="4" t="str">
        <f ca="1">IFERROR(__xludf.DUMMYFUNCTION("""COMPUTED_VALUE"""),"espanto diante da demonstração de afeto de Garcia.")</f>
        <v>espanto diante da demonstração de afeto de Garcia.</v>
      </c>
      <c r="P41" s="4" t="str">
        <f ca="1">IFERROR(__xludf.DUMMYFUNCTION("""COMPUTED_VALUE"""),"prazer da personagem em relação ao sofrimento alheio.")</f>
        <v>prazer da personagem em relação ao sofrimento alheio.</v>
      </c>
      <c r="Q41" s="4" t="str">
        <f ca="1">IFERROR(__xludf.DUMMYFUNCTION("""COMPUTED_VALUE"""),"superação do ciúme pela comoção decorrente da morte.")</f>
        <v>superação do ciúme pela comoção decorrente da morte.</v>
      </c>
      <c r="R41" s="4"/>
      <c r="S41" s="4"/>
      <c r="T41" s="4"/>
      <c r="U41" s="4"/>
      <c r="V41" s="4"/>
      <c r="W41" s="4"/>
      <c r="X41" s="4"/>
      <c r="Y41" s="4"/>
      <c r="Z41" s="4"/>
    </row>
    <row r="42" spans="1:26" x14ac:dyDescent="0.25">
      <c r="A42" s="3" t="str">
        <f ca="1">IFERROR(__xludf.DUMMYFUNCTION("""COMPUTED_VALUE"""),"https://drive.google.com/open?id=1FPM1V_XlBmHdPHFmJzjszrXiag7j86eh")</f>
        <v>https://drive.google.com/open?id=1FPM1V_XlBmHdPHFmJzjszrXiag7j86eh</v>
      </c>
      <c r="B42" s="4" t="str">
        <f ca="1">IFERROR(__xludf.DUMMYFUNCTION("""COMPUTED_VALUE"""),"Enem")</f>
        <v>Enem</v>
      </c>
      <c r="C42" s="4">
        <f ca="1">IFERROR(__xludf.DUMMYFUNCTION("""COMPUTED_VALUE"""),2017)</f>
        <v>2017</v>
      </c>
      <c r="D42" s="4" t="str">
        <f ca="1">IFERROR(__xludf.DUMMYFUNCTION("""COMPUTED_VALUE"""),"Linguagens")</f>
        <v>Linguagens</v>
      </c>
      <c r="E42" s="4" t="str">
        <f ca="1">IFERROR(__xludf.DUMMYFUNCTION("""COMPUTED_VALUE"""),"Literatura")</f>
        <v>Literatura</v>
      </c>
      <c r="F42" s="4" t="str">
        <f ca="1">IFERROR(__xludf.DUMMYFUNCTION("""COMPUTED_VALUE"""),"Literatura")</f>
        <v>Literatura</v>
      </c>
      <c r="G42" s="4"/>
      <c r="H42" s="4"/>
      <c r="I42" s="4" t="str">
        <f ca="1">IFERROR(__xludf.DUMMYFUNCTION("""COMPUTED_VALUE"""),"Azul")</f>
        <v>Azul</v>
      </c>
      <c r="J42" s="4">
        <f ca="1">IFERROR(__xludf.DUMMYFUNCTION("""COMPUTED_VALUE"""),13)</f>
        <v>13</v>
      </c>
      <c r="K42" s="4" t="str">
        <f ca="1">IFERROR(__xludf.DUMMYFUNCTION("""COMPUTED_VALUE"""),"B")</f>
        <v>B</v>
      </c>
      <c r="L42" s="4" t="str">
        <f ca="1">IFERROR(__xludf.DUMMYFUNCTION("""COMPUTED_VALUE"""),"[poema contido no arquivo]
A obra de Murilo Mendes situa-se na fase inicial do Modernismo, cujas propostas estéticas transparecem, no poema, por um eu lírico que")</f>
        <v>[poema contido no arquivo]
A obra de Murilo Mendes situa-se na fase inicial do Modernismo, cujas propostas estéticas transparecem, no poema, por um eu lírico que</v>
      </c>
      <c r="M42" s="4" t="str">
        <f ca="1">IFERROR(__xludf.DUMMYFUNCTION("""COMPUTED_VALUE"""),"configura um ideal de nacionalidade pela integração regional.")</f>
        <v>configura um ideal de nacionalidade pela integração regional.</v>
      </c>
      <c r="N42" s="4" t="str">
        <f ca="1">IFERROR(__xludf.DUMMYFUNCTION("""COMPUTED_VALUE"""),"remonta ao colonialismo assente sob um viés iconoclasta.")</f>
        <v>remonta ao colonialismo assente sob um viés iconoclasta.</v>
      </c>
      <c r="O42" s="4" t="str">
        <f ca="1">IFERROR(__xludf.DUMMYFUNCTION("""COMPUTED_VALUE"""),"repercute as manifestações do sincretismo religioso.")</f>
        <v>repercute as manifestações do sincretismo religioso.</v>
      </c>
      <c r="P42" s="4" t="str">
        <f ca="1">IFERROR(__xludf.DUMMYFUNCTION("""COMPUTED_VALUE"""),"descreve a gênese da formação do povo brasileiro.")</f>
        <v>descreve a gênese da formação do povo brasileiro.</v>
      </c>
      <c r="Q42" s="4" t="str">
        <f ca="1">IFERROR(__xludf.DUMMYFUNCTION("""COMPUTED_VALUE"""),"promove inovações no repertório linguístico.")</f>
        <v>promove inovações no repertório linguístico.</v>
      </c>
      <c r="R42" s="4"/>
      <c r="S42" s="4"/>
      <c r="T42" s="4"/>
      <c r="U42" s="4"/>
      <c r="V42" s="4"/>
      <c r="W42" s="4"/>
      <c r="X42" s="4"/>
      <c r="Y42" s="4"/>
      <c r="Z42" s="4"/>
    </row>
    <row r="43" spans="1:26" x14ac:dyDescent="0.25">
      <c r="A43" s="3" t="str">
        <f ca="1">IFERROR(__xludf.DUMMYFUNCTION("""COMPUTED_VALUE"""),"https://drive.google.com/open?id=1fD0GYjVJCKiLY2xqKdkiGaB0qE7zMerg")</f>
        <v>https://drive.google.com/open?id=1fD0GYjVJCKiLY2xqKdkiGaB0qE7zMerg</v>
      </c>
      <c r="B43" s="4" t="str">
        <f ca="1">IFERROR(__xludf.DUMMYFUNCTION("""COMPUTED_VALUE"""),"Enem")</f>
        <v>Enem</v>
      </c>
      <c r="C43" s="4">
        <f ca="1">IFERROR(__xludf.DUMMYFUNCTION("""COMPUTED_VALUE"""),2017)</f>
        <v>2017</v>
      </c>
      <c r="D43" s="4" t="str">
        <f ca="1">IFERROR(__xludf.DUMMYFUNCTION("""COMPUTED_VALUE"""),"Linguagens")</f>
        <v>Linguagens</v>
      </c>
      <c r="E43" s="4" t="str">
        <f ca="1">IFERROR(__xludf.DUMMYFUNCTION("""COMPUTED_VALUE"""),"Literatura")</f>
        <v>Literatura</v>
      </c>
      <c r="F43" s="4" t="str">
        <f ca="1">IFERROR(__xludf.DUMMYFUNCTION("""COMPUTED_VALUE"""),"Literatura")</f>
        <v>Literatura</v>
      </c>
      <c r="G43" s="4"/>
      <c r="H43" s="4"/>
      <c r="I43" s="4" t="str">
        <f ca="1">IFERROR(__xludf.DUMMYFUNCTION("""COMPUTED_VALUE"""),"Azul")</f>
        <v>Azul</v>
      </c>
      <c r="J43" s="4">
        <f ca="1">IFERROR(__xludf.DUMMYFUNCTION("""COMPUTED_VALUE"""),18)</f>
        <v>18</v>
      </c>
      <c r="K43" s="4" t="str">
        <f ca="1">IFERROR(__xludf.DUMMYFUNCTION("""COMPUTED_VALUE"""),"A")</f>
        <v>A</v>
      </c>
      <c r="L43" s="4" t="str">
        <f ca="1">IFERROR(__xludf.DUMMYFUNCTION("""COMPUTED_VALUE"""),"[poema contido no arquivo]
No processo de reconstituição do tempo vivido, o eu lírico projeta um conjunto de imagens cujo lirismo se fundamenta no")</f>
        <v>[poema contido no arquivo]
No processo de reconstituição do tempo vivido, o eu lírico projeta um conjunto de imagens cujo lirismo se fundamenta no</v>
      </c>
      <c r="M43" s="4" t="str">
        <f ca="1">IFERROR(__xludf.DUMMYFUNCTION("""COMPUTED_VALUE"""),"inventário das memórias evocadas afetivamente.")</f>
        <v>inventário das memórias evocadas afetivamente.</v>
      </c>
      <c r="N43" s="4" t="str">
        <f ca="1">IFERROR(__xludf.DUMMYFUNCTION("""COMPUTED_VALUE"""),"reflexo da saudade no desejo de voltar à infância.")</f>
        <v>reflexo da saudade no desejo de voltar à infância.</v>
      </c>
      <c r="O43" s="4" t="str">
        <f ca="1">IFERROR(__xludf.DUMMYFUNCTION("""COMPUTED_VALUE""")," sentimento de inadequação com o presente vivido.")</f>
        <v xml:space="preserve"> sentimento de inadequação com o presente vivido.</v>
      </c>
      <c r="P43" s="4" t="str">
        <f ca="1">IFERROR(__xludf.DUMMYFUNCTION("""COMPUTED_VALUE"""),"ressentimento com as perdas materiais e humanas.")</f>
        <v>ressentimento com as perdas materiais e humanas.</v>
      </c>
      <c r="Q43" s="4" t="str">
        <f ca="1">IFERROR(__xludf.DUMMYFUNCTION("""COMPUTED_VALUE"""),"lapso o fluxo temporal dos eventos trazidos à cena.")</f>
        <v>lapso o fluxo temporal dos eventos trazidos à cena.</v>
      </c>
      <c r="R43" s="4"/>
      <c r="S43" s="4"/>
      <c r="T43" s="4"/>
      <c r="U43" s="4"/>
      <c r="V43" s="4"/>
      <c r="W43" s="4"/>
      <c r="X43" s="4"/>
      <c r="Y43" s="4"/>
      <c r="Z43" s="4"/>
    </row>
    <row r="44" spans="1:26" x14ac:dyDescent="0.25">
      <c r="A44" s="3" t="str">
        <f ca="1">IFERROR(__xludf.DUMMYFUNCTION("""COMPUTED_VALUE"""),"https://drive.google.com/open?id=1adcOIeS8WPunZcUsqvchJpcqj1qtOmqw")</f>
        <v>https://drive.google.com/open?id=1adcOIeS8WPunZcUsqvchJpcqj1qtOmqw</v>
      </c>
      <c r="B44" s="4" t="str">
        <f ca="1">IFERROR(__xludf.DUMMYFUNCTION("""COMPUTED_VALUE"""),"Enem")</f>
        <v>Enem</v>
      </c>
      <c r="C44" s="4">
        <f ca="1">IFERROR(__xludf.DUMMYFUNCTION("""COMPUTED_VALUE"""),2017)</f>
        <v>2017</v>
      </c>
      <c r="D44" s="4" t="str">
        <f ca="1">IFERROR(__xludf.DUMMYFUNCTION("""COMPUTED_VALUE"""),"Linguagens")</f>
        <v>Linguagens</v>
      </c>
      <c r="E44" s="4" t="str">
        <f ca="1">IFERROR(__xludf.DUMMYFUNCTION("""COMPUTED_VALUE"""),"Literatura")</f>
        <v>Literatura</v>
      </c>
      <c r="F44" s="4" t="str">
        <f ca="1">IFERROR(__xludf.DUMMYFUNCTION("""COMPUTED_VALUE"""),"Literatura")</f>
        <v>Literatura</v>
      </c>
      <c r="G44" s="4"/>
      <c r="H44" s="4"/>
      <c r="I44" s="4" t="str">
        <f ca="1">IFERROR(__xludf.DUMMYFUNCTION("""COMPUTED_VALUE"""),"Azul")</f>
        <v>Azul</v>
      </c>
      <c r="J44" s="4">
        <f ca="1">IFERROR(__xludf.DUMMYFUNCTION("""COMPUTED_VALUE"""),24)</f>
        <v>24</v>
      </c>
      <c r="K44" s="4" t="str">
        <f ca="1">IFERROR(__xludf.DUMMYFUNCTION("""COMPUTED_VALUE"""),"D")</f>
        <v>D</v>
      </c>
      <c r="L44" s="4" t="str">
        <f ca="1">IFERROR(__xludf.DUMMYFUNCTION("""COMPUTED_VALUE"""),"[trecho de peça teatral contido no arquivo]
A peça Liberdade, liberdade, encenada em 1964, apresenta o impasse vivido pela sociedade brasileira em face do regime vigente. Esse impasse é representado no fragmento pelo(a)")</f>
        <v>[trecho de peça teatral contido no arquivo]
A peça Liberdade, liberdade, encenada em 1964, apresenta o impasse vivido pela sociedade brasileira em face do regime vigente. Esse impasse é representado no fragmento pelo(a)</v>
      </c>
      <c r="M44" s="4" t="str">
        <f ca="1">IFERROR(__xludf.DUMMYFUNCTION("""COMPUTED_VALUE"""),"barulho excessivo produzido pelo ranger das cadeiras do teatro.")</f>
        <v>barulho excessivo produzido pelo ranger das cadeiras do teatro.</v>
      </c>
      <c r="N44" s="4" t="str">
        <f ca="1">IFERROR(__xludf.DUMMYFUNCTION("""COMPUTED_VALUE"""),"indicação da neutralidade como a melhor opção ideológica naquele momento.")</f>
        <v>indicação da neutralidade como a melhor opção ideológica naquele momento.</v>
      </c>
      <c r="O44" s="4" t="str">
        <f ca="1">IFERROR(__xludf.DUMMYFUNCTION("""COMPUTED_VALUE"""),"constatação da censura em função do engajamento social do texto dramático.")</f>
        <v>constatação da censura em função do engajamento social do texto dramático.</v>
      </c>
      <c r="P44" s="4" t="str">
        <f ca="1">IFERROR(__xludf.DUMMYFUNCTION("""COMPUTED_VALUE"""),"correlação entre o alinhamento político e a posição corporal dos espectadores.")</f>
        <v>correlação entre o alinhamento político e a posição corporal dos espectadores.</v>
      </c>
      <c r="Q44" s="4" t="str">
        <f ca="1">IFERROR(__xludf.DUMMYFUNCTION("""COMPUTED_VALUE"""),"interrupção do espetáculo em virtude do comportamento inadequado do público.")</f>
        <v>interrupção do espetáculo em virtude do comportamento inadequado do público.</v>
      </c>
      <c r="R44" s="4"/>
      <c r="S44" s="4"/>
      <c r="T44" s="4"/>
      <c r="U44" s="4"/>
      <c r="V44" s="4"/>
      <c r="W44" s="4"/>
      <c r="X44" s="4"/>
      <c r="Y44" s="4"/>
      <c r="Z44" s="4"/>
    </row>
    <row r="45" spans="1:26" x14ac:dyDescent="0.25">
      <c r="A45" s="3" t="str">
        <f ca="1">IFERROR(__xludf.DUMMYFUNCTION("""COMPUTED_VALUE"""),"https://drive.google.com/open?id=1rUU8lBoVaTW6M1lo72OMt943he_AKbcy")</f>
        <v>https://drive.google.com/open?id=1rUU8lBoVaTW6M1lo72OMt943he_AKbcy</v>
      </c>
      <c r="B45" s="4" t="str">
        <f ca="1">IFERROR(__xludf.DUMMYFUNCTION("""COMPUTED_VALUE"""),"Enem")</f>
        <v>Enem</v>
      </c>
      <c r="C45" s="4">
        <f ca="1">IFERROR(__xludf.DUMMYFUNCTION("""COMPUTED_VALUE"""),2017)</f>
        <v>2017</v>
      </c>
      <c r="D45" s="4" t="str">
        <f ca="1">IFERROR(__xludf.DUMMYFUNCTION("""COMPUTED_VALUE"""),"Linguagens")</f>
        <v>Linguagens</v>
      </c>
      <c r="E45" s="4" t="str">
        <f ca="1">IFERROR(__xludf.DUMMYFUNCTION("""COMPUTED_VALUE"""),"Literatura")</f>
        <v>Literatura</v>
      </c>
      <c r="F45" s="4" t="str">
        <f ca="1">IFERROR(__xludf.DUMMYFUNCTION("""COMPUTED_VALUE"""),"Literatura")</f>
        <v>Literatura</v>
      </c>
      <c r="G45" s="4"/>
      <c r="H45" s="4"/>
      <c r="I45" s="4" t="str">
        <f ca="1">IFERROR(__xludf.DUMMYFUNCTION("""COMPUTED_VALUE"""),"Azul")</f>
        <v>Azul</v>
      </c>
      <c r="J45" s="4">
        <f ca="1">IFERROR(__xludf.DUMMYFUNCTION("""COMPUTED_VALUE"""),30)</f>
        <v>30</v>
      </c>
      <c r="K45" s="4" t="str">
        <f ca="1">IFERROR(__xludf.DUMMYFUNCTION("""COMPUTED_VALUE"""),"D")</f>
        <v>D</v>
      </c>
      <c r="L45" s="4" t="str">
        <f ca="1">IFERROR(__xludf.DUMMYFUNCTION("""COMPUTED_VALUE"""),"[poema contido no arquivo]
A busca pela identidade constitui uma faceta da tradição literária, redimensionada pelo olhar contemporâneo. No poema, essa nova dimensão revela a")</f>
        <v>[poema contido no arquivo]
A busca pela identidade constitui uma faceta da tradição literária, redimensionada pelo olhar contemporâneo. No poema, essa nova dimensão revela a</v>
      </c>
      <c r="M45" s="4" t="str">
        <f ca="1">IFERROR(__xludf.DUMMYFUNCTION("""COMPUTED_VALUE"""),"ausência de traços identitários.")</f>
        <v>ausência de traços identitários.</v>
      </c>
      <c r="N45" s="4" t="str">
        <f ca="1">IFERROR(__xludf.DUMMYFUNCTION("""COMPUTED_VALUE"""),"angústia com a solidão em público.")</f>
        <v>angústia com a solidão em público.</v>
      </c>
      <c r="O45" s="4" t="str">
        <f ca="1">IFERROR(__xludf.DUMMYFUNCTION("""COMPUTED_VALUE"""),"valorização da descoberta do “eu” autêntico.")</f>
        <v>valorização da descoberta do “eu” autêntico.</v>
      </c>
      <c r="P45" s="4" t="str">
        <f ca="1">IFERROR(__xludf.DUMMYFUNCTION("""COMPUTED_VALUE"""),"percepção da empatia como fator de autoconhecimento.")</f>
        <v>percepção da empatia como fator de autoconhecimento.</v>
      </c>
      <c r="Q45" s="4" t="str">
        <f ca="1">IFERROR(__xludf.DUMMYFUNCTION("""COMPUTED_VALUE"""),"impossibilidade de vivenciar experiências de pertencimento.")</f>
        <v>impossibilidade de vivenciar experiências de pertencimento.</v>
      </c>
      <c r="R45" s="4"/>
      <c r="S45" s="4"/>
      <c r="T45" s="4"/>
      <c r="U45" s="4"/>
      <c r="V45" s="4"/>
      <c r="W45" s="4"/>
      <c r="X45" s="4"/>
      <c r="Y45" s="4"/>
      <c r="Z45" s="4"/>
    </row>
    <row r="46" spans="1:26" x14ac:dyDescent="0.25">
      <c r="A46" s="3" t="str">
        <f ca="1">IFERROR(__xludf.DUMMYFUNCTION("""COMPUTED_VALUE"""),"https://drive.google.com/open?id=1Uxn6aDc8498h7BYqFrKq8Z-y2p3BadmZ")</f>
        <v>https://drive.google.com/open?id=1Uxn6aDc8498h7BYqFrKq8Z-y2p3BadmZ</v>
      </c>
      <c r="B46" s="4" t="str">
        <f ca="1">IFERROR(__xludf.DUMMYFUNCTION("""COMPUTED_VALUE"""),"Enem")</f>
        <v>Enem</v>
      </c>
      <c r="C46" s="4">
        <f ca="1">IFERROR(__xludf.DUMMYFUNCTION("""COMPUTED_VALUE"""),2017)</f>
        <v>2017</v>
      </c>
      <c r="D46" s="4" t="str">
        <f ca="1">IFERROR(__xludf.DUMMYFUNCTION("""COMPUTED_VALUE"""),"Linguagens")</f>
        <v>Linguagens</v>
      </c>
      <c r="E46" s="4" t="str">
        <f ca="1">IFERROR(__xludf.DUMMYFUNCTION("""COMPUTED_VALUE"""),"Literatura")</f>
        <v>Literatura</v>
      </c>
      <c r="F46" s="4" t="str">
        <f ca="1">IFERROR(__xludf.DUMMYFUNCTION("""COMPUTED_VALUE"""),"Literatura")</f>
        <v>Literatura</v>
      </c>
      <c r="G46" s="4"/>
      <c r="H46" s="4"/>
      <c r="I46" s="4" t="str">
        <f ca="1">IFERROR(__xludf.DUMMYFUNCTION("""COMPUTED_VALUE"""),"Azul")</f>
        <v>Azul</v>
      </c>
      <c r="J46" s="4">
        <f ca="1">IFERROR(__xludf.DUMMYFUNCTION("""COMPUTED_VALUE"""),32)</f>
        <v>32</v>
      </c>
      <c r="K46" s="4" t="str">
        <f ca="1">IFERROR(__xludf.DUMMYFUNCTION("""COMPUTED_VALUE"""),"A")</f>
        <v>A</v>
      </c>
      <c r="L46" s="4" t="str">
        <f ca="1">IFERROR(__xludf.DUMMYFUNCTION("""COMPUTED_VALUE"""),"[trecho de peça teatral contido no arquivo]
O gênero peça teatral tem o entretenimento como uma de suas funções. Outra função relevante do gênero, explícita nesse trecho de O bem amado, é")</f>
        <v>[trecho de peça teatral contido no arquivo]
O gênero peça teatral tem o entretenimento como uma de suas funções. Outra função relevante do gênero, explícita nesse trecho de O bem amado, é</v>
      </c>
      <c r="M46" s="4" t="str">
        <f ca="1">IFERROR(__xludf.DUMMYFUNCTION("""COMPUTED_VALUE"""),"criticar satiricamente o comportamento de pessoas públicas.")</f>
        <v>criticar satiricamente o comportamento de pessoas públicas.</v>
      </c>
      <c r="N46" s="4" t="str">
        <f ca="1">IFERROR(__xludf.DUMMYFUNCTION("""COMPUTED_VALUE"""),"denunciar a escassez de recursos públicos nas prefeituras do interior.")</f>
        <v>denunciar a escassez de recursos públicos nas prefeituras do interior.</v>
      </c>
      <c r="O46" s="4" t="str">
        <f ca="1">IFERROR(__xludf.DUMMYFUNCTION("""COMPUTED_VALUE"""),"censurar a falta de domínio da língua padrão em eventos sociais.")</f>
        <v>censurar a falta de domínio da língua padrão em eventos sociais.</v>
      </c>
      <c r="P46" s="4" t="str">
        <f ca="1">IFERROR(__xludf.DUMMYFUNCTION("""COMPUTED_VALUE"""),"despertar a preocupação da plateia com a expectativa de vida dos cidadãos.")</f>
        <v>despertar a preocupação da plateia com a expectativa de vida dos cidadãos.</v>
      </c>
      <c r="Q46" s="4" t="str">
        <f ca="1">IFERROR(__xludf.DUMMYFUNCTION("""COMPUTED_VALUE"""),"questionar o apoio irrestrito de agentes públicos aos gestores governamentais.")</f>
        <v>questionar o apoio irrestrito de agentes públicos aos gestores governamentais.</v>
      </c>
      <c r="R46" s="4"/>
      <c r="S46" s="4"/>
      <c r="T46" s="4"/>
      <c r="U46" s="4"/>
      <c r="V46" s="4"/>
      <c r="W46" s="4"/>
      <c r="X46" s="4"/>
      <c r="Y46" s="4"/>
      <c r="Z46" s="4"/>
    </row>
    <row r="47" spans="1:26" x14ac:dyDescent="0.25">
      <c r="A47" s="3" t="str">
        <f ca="1">IFERROR(__xludf.DUMMYFUNCTION("""COMPUTED_VALUE"""),"https://drive.google.com/open?id=1GQTHkPIFEZZlimFiohJ9JAtja7-XPbiS")</f>
        <v>https://drive.google.com/open?id=1GQTHkPIFEZZlimFiohJ9JAtja7-XPbiS</v>
      </c>
      <c r="B47" s="4" t="str">
        <f ca="1">IFERROR(__xludf.DUMMYFUNCTION("""COMPUTED_VALUE"""),"Enem")</f>
        <v>Enem</v>
      </c>
      <c r="C47" s="4">
        <f ca="1">IFERROR(__xludf.DUMMYFUNCTION("""COMPUTED_VALUE"""),2018)</f>
        <v>2018</v>
      </c>
      <c r="D47" s="4" t="str">
        <f ca="1">IFERROR(__xludf.DUMMYFUNCTION("""COMPUTED_VALUE"""),"Linguagens")</f>
        <v>Linguagens</v>
      </c>
      <c r="E47" s="4" t="str">
        <f ca="1">IFERROR(__xludf.DUMMYFUNCTION("""COMPUTED_VALUE"""),"Literatura")</f>
        <v>Literatura</v>
      </c>
      <c r="F47" s="4" t="str">
        <f ca="1">IFERROR(__xludf.DUMMYFUNCTION("""COMPUTED_VALUE"""),"Literatura")</f>
        <v>Literatura</v>
      </c>
      <c r="G47" s="4"/>
      <c r="H47" s="4"/>
      <c r="I47" s="4" t="str">
        <f ca="1">IFERROR(__xludf.DUMMYFUNCTION("""COMPUTED_VALUE"""),"Azul")</f>
        <v>Azul</v>
      </c>
      <c r="J47" s="4">
        <f ca="1">IFERROR(__xludf.DUMMYFUNCTION("""COMPUTED_VALUE"""),10)</f>
        <v>10</v>
      </c>
      <c r="K47" s="4" t="str">
        <f ca="1">IFERROR(__xludf.DUMMYFUNCTION("""COMPUTED_VALUE"""),"A")</f>
        <v>A</v>
      </c>
      <c r="L47" s="4" t="str">
        <f ca="1">IFERROR(__xludf.DUMMYFUNCTION("""COMPUTED_VALUE"""),"Na literatura de temática negra produzida no Brasil, é recorrente a presença
de elementos que traduzem experiências históricas de preconceito e violência.
No poema, essa vivência revela que o eu lírico")</f>
        <v>Na literatura de temática negra produzida no Brasil, é recorrente a presença
de elementos que traduzem experiências históricas de preconceito e violência.
No poema, essa vivência revela que o eu lírico</v>
      </c>
      <c r="M47" s="4" t="str">
        <f ca="1">IFERROR(__xludf.DUMMYFUNCTION("""COMPUTED_VALUE"""),"incorpora seletivamente o discurso do seu opressor")</f>
        <v>incorpora seletivamente o discurso do seu opressor</v>
      </c>
      <c r="N47" s="4" t="str">
        <f ca="1">IFERROR(__xludf.DUMMYFUNCTION("""COMPUTED_VALUE"""),"submete-se à discriminação como meio de fortalecimento.")</f>
        <v>submete-se à discriminação como meio de fortalecimento.</v>
      </c>
      <c r="O47" s="4" t="str">
        <f ca="1">IFERROR(__xludf.DUMMYFUNCTION("""COMPUTED_VALUE"""),"engaja-se na denúncia do passado de opressão e injustiças.")</f>
        <v>engaja-se na denúncia do passado de opressão e injustiças.</v>
      </c>
      <c r="P47" s="4" t="str">
        <f ca="1">IFERROR(__xludf.DUMMYFUNCTION("""COMPUTED_VALUE"""),"sofre uma perda de identidade e de noção de pertencimento.")</f>
        <v>sofre uma perda de identidade e de noção de pertencimento.</v>
      </c>
      <c r="Q47" s="4" t="str">
        <f ca="1">IFERROR(__xludf.DUMMYFUNCTION("""COMPUTED_VALUE"""),"acredita esporadicamente na utopia de uma sociedade igualitária.")</f>
        <v>acredita esporadicamente na utopia de uma sociedade igualitária.</v>
      </c>
      <c r="R47" s="4"/>
      <c r="S47" s="4"/>
      <c r="T47" s="4"/>
      <c r="U47" s="4"/>
      <c r="V47" s="4"/>
      <c r="W47" s="4"/>
      <c r="X47" s="4"/>
      <c r="Y47" s="4"/>
      <c r="Z47" s="4"/>
    </row>
    <row r="48" spans="1:26" x14ac:dyDescent="0.25">
      <c r="A48" s="3" t="str">
        <f ca="1">IFERROR(__xludf.DUMMYFUNCTION("""COMPUTED_VALUE"""),"https://drive.google.com/open?id=1S9fgBnGZZQgbWX3inKlrorqQ1B9QM4iT")</f>
        <v>https://drive.google.com/open?id=1S9fgBnGZZQgbWX3inKlrorqQ1B9QM4iT</v>
      </c>
      <c r="B48" s="4" t="str">
        <f ca="1">IFERROR(__xludf.DUMMYFUNCTION("""COMPUTED_VALUE"""),"Enem")</f>
        <v>Enem</v>
      </c>
      <c r="C48" s="4">
        <f ca="1">IFERROR(__xludf.DUMMYFUNCTION("""COMPUTED_VALUE"""),2018)</f>
        <v>2018</v>
      </c>
      <c r="D48" s="4" t="str">
        <f ca="1">IFERROR(__xludf.DUMMYFUNCTION("""COMPUTED_VALUE"""),"Linguagens")</f>
        <v>Linguagens</v>
      </c>
      <c r="E48" s="4" t="str">
        <f ca="1">IFERROR(__xludf.DUMMYFUNCTION("""COMPUTED_VALUE"""),"Literatura")</f>
        <v>Literatura</v>
      </c>
      <c r="F48" s="4" t="str">
        <f ca="1">IFERROR(__xludf.DUMMYFUNCTION("""COMPUTED_VALUE"""),"Literatura")</f>
        <v>Literatura</v>
      </c>
      <c r="G48" s="4"/>
      <c r="H48" s="4"/>
      <c r="I48" s="4" t="str">
        <f ca="1">IFERROR(__xludf.DUMMYFUNCTION("""COMPUTED_VALUE"""),"Azul")</f>
        <v>Azul</v>
      </c>
      <c r="J48" s="4">
        <f ca="1">IFERROR(__xludf.DUMMYFUNCTION("""COMPUTED_VALUE"""),15)</f>
        <v>15</v>
      </c>
      <c r="K48" s="4" t="str">
        <f ca="1">IFERROR(__xludf.DUMMYFUNCTION("""COMPUTED_VALUE"""),"D")</f>
        <v>D</v>
      </c>
      <c r="L48" s="4" t="str">
        <f ca="1">IFERROR(__xludf.DUMMYFUNCTION("""COMPUTED_VALUE"""),"O processo de construção do texto formata uma mensagem por ele dimensionada, uma
vez que")</f>
        <v>O processo de construção do texto formata uma mensagem por ele dimensionada, uma
vez que</v>
      </c>
      <c r="M48" s="4" t="str">
        <f ca="1">IFERROR(__xludf.DUMMYFUNCTION("""COMPUTED_VALUE"""),"configura o estreitamento da linguagem poética.")</f>
        <v>configura o estreitamento da linguagem poética.</v>
      </c>
      <c r="N48" s="4" t="str">
        <f ca="1">IFERROR(__xludf.DUMMYFUNCTION("""COMPUTED_VALUE"""),"reflete as lacunas da lucidez em desconstrução.")</f>
        <v>reflete as lacunas da lucidez em desconstrução.</v>
      </c>
      <c r="O48" s="4" t="str">
        <f ca="1">IFERROR(__xludf.DUMMYFUNCTION("""COMPUTED_VALUE"""),"projeta a persistência das emoções reprimidas.")</f>
        <v>projeta a persistência das emoções reprimidas.</v>
      </c>
      <c r="P48" s="4" t="str">
        <f ca="1">IFERROR(__xludf.DUMMYFUNCTION("""COMPUTED_VALUE"""),"repercute a consciência da agonia antecipada.")</f>
        <v>repercute a consciência da agonia antecipada.</v>
      </c>
      <c r="Q48" s="4" t="str">
        <f ca="1">IFERROR(__xludf.DUMMYFUNCTION("""COMPUTED_VALUE"""),"revela a fragmentação das relações humanas.")</f>
        <v>revela a fragmentação das relações humanas.</v>
      </c>
      <c r="R48" s="4"/>
      <c r="S48" s="4"/>
      <c r="T48" s="4"/>
      <c r="U48" s="4"/>
      <c r="V48" s="4"/>
      <c r="W48" s="4"/>
      <c r="X48" s="4"/>
      <c r="Y48" s="4"/>
      <c r="Z48" s="4"/>
    </row>
    <row r="49" spans="1:26" x14ac:dyDescent="0.25">
      <c r="A49" s="3" t="str">
        <f ca="1">IFERROR(__xludf.DUMMYFUNCTION("""COMPUTED_VALUE"""),"https://drive.google.com/open?id=1NfG_j96BGZdXV8oBQHgHgDbEsXNId1bQ")</f>
        <v>https://drive.google.com/open?id=1NfG_j96BGZdXV8oBQHgHgDbEsXNId1bQ</v>
      </c>
      <c r="B49" s="4" t="str">
        <f ca="1">IFERROR(__xludf.DUMMYFUNCTION("""COMPUTED_VALUE"""),"Enem")</f>
        <v>Enem</v>
      </c>
      <c r="C49" s="4">
        <f ca="1">IFERROR(__xludf.DUMMYFUNCTION("""COMPUTED_VALUE"""),2018)</f>
        <v>2018</v>
      </c>
      <c r="D49" s="4" t="str">
        <f ca="1">IFERROR(__xludf.DUMMYFUNCTION("""COMPUTED_VALUE"""),"Linguagens")</f>
        <v>Linguagens</v>
      </c>
      <c r="E49" s="4" t="str">
        <f ca="1">IFERROR(__xludf.DUMMYFUNCTION("""COMPUTED_VALUE"""),"Literatura")</f>
        <v>Literatura</v>
      </c>
      <c r="F49" s="4" t="str">
        <f ca="1">IFERROR(__xludf.DUMMYFUNCTION("""COMPUTED_VALUE"""),"Literatura")</f>
        <v>Literatura</v>
      </c>
      <c r="G49" s="4"/>
      <c r="H49" s="4"/>
      <c r="I49" s="4" t="str">
        <f ca="1">IFERROR(__xludf.DUMMYFUNCTION("""COMPUTED_VALUE"""),"Azul")</f>
        <v>Azul</v>
      </c>
      <c r="J49" s="4">
        <f ca="1">IFERROR(__xludf.DUMMYFUNCTION("""COMPUTED_VALUE"""),16)</f>
        <v>16</v>
      </c>
      <c r="K49" s="4" t="str">
        <f ca="1">IFERROR(__xludf.DUMMYFUNCTION("""COMPUTED_VALUE"""),"A")</f>
        <v>A</v>
      </c>
      <c r="L49" s="4" t="str">
        <f ca="1">IFERROR(__xludf.DUMMYFUNCTION("""COMPUTED_VALUE"""),"Na apresentação da paisagem e da personagem, o narrador estabelece uma correlação
de sentidos em que esses elementos se entrelaçam. Nesse processo, a condição humana configura-se")</f>
        <v>Na apresentação da paisagem e da personagem, o narrador estabelece uma correlação
de sentidos em que esses elementos se entrelaçam. Nesse processo, a condição humana configura-se</v>
      </c>
      <c r="M49" s="4" t="str">
        <f ca="1">IFERROR(__xludf.DUMMYFUNCTION("""COMPUTED_VALUE"""),"amalgamada pelo processo comum de desertificação e de solidão.")</f>
        <v>amalgamada pelo processo comum de desertificação e de solidão.</v>
      </c>
      <c r="N49" s="4" t="str">
        <f ca="1">IFERROR(__xludf.DUMMYFUNCTION("""COMPUTED_VALUE"""),"fortalecida pela adversidade extensiva à terra e aos seres vivos.")</f>
        <v>fortalecida pela adversidade extensiva à terra e aos seres vivos.</v>
      </c>
      <c r="O49" s="4" t="str">
        <f ca="1">IFERROR(__xludf.DUMMYFUNCTION("""COMPUTED_VALUE"""),"redimensionada pela intensidade da luz e da exuberância local.")</f>
        <v>redimensionada pela intensidade da luz e da exuberância local.</v>
      </c>
      <c r="P49" s="4" t="str">
        <f ca="1">IFERROR(__xludf.DUMMYFUNCTION("""COMPUTED_VALUE"""),"imersa num drama existencial de identidade e de origem.")</f>
        <v>imersa num drama existencial de identidade e de origem.</v>
      </c>
      <c r="Q49" s="4" t="str">
        <f ca="1">IFERROR(__xludf.DUMMYFUNCTION("""COMPUTED_VALUE"""),"imobilizada pela escassez e pela opressão do ambiente.")</f>
        <v>imobilizada pela escassez e pela opressão do ambiente.</v>
      </c>
      <c r="R49" s="4"/>
      <c r="S49" s="4"/>
      <c r="T49" s="4"/>
      <c r="U49" s="4"/>
      <c r="V49" s="4"/>
      <c r="W49" s="4"/>
      <c r="X49" s="4"/>
      <c r="Y49" s="4"/>
      <c r="Z49" s="4"/>
    </row>
    <row r="50" spans="1:26" x14ac:dyDescent="0.25">
      <c r="A50" s="3" t="str">
        <f ca="1">IFERROR(__xludf.DUMMYFUNCTION("""COMPUTED_VALUE"""),"https://drive.google.com/open?id=1nQXghGbqYcgUMmrLLxWIShh988mf-i-S")</f>
        <v>https://drive.google.com/open?id=1nQXghGbqYcgUMmrLLxWIShh988mf-i-S</v>
      </c>
      <c r="B50" s="4" t="str">
        <f ca="1">IFERROR(__xludf.DUMMYFUNCTION("""COMPUTED_VALUE"""),"Enem")</f>
        <v>Enem</v>
      </c>
      <c r="C50" s="4">
        <f ca="1">IFERROR(__xludf.DUMMYFUNCTION("""COMPUTED_VALUE"""),2018)</f>
        <v>2018</v>
      </c>
      <c r="D50" s="4" t="str">
        <f ca="1">IFERROR(__xludf.DUMMYFUNCTION("""COMPUTED_VALUE"""),"Linguagens")</f>
        <v>Linguagens</v>
      </c>
      <c r="E50" s="4" t="str">
        <f ca="1">IFERROR(__xludf.DUMMYFUNCTION("""COMPUTED_VALUE"""),"Literatura")</f>
        <v>Literatura</v>
      </c>
      <c r="F50" s="4" t="str">
        <f ca="1">IFERROR(__xludf.DUMMYFUNCTION("""COMPUTED_VALUE"""),"Literatura")</f>
        <v>Literatura</v>
      </c>
      <c r="G50" s="4"/>
      <c r="H50" s="4"/>
      <c r="I50" s="4" t="str">
        <f ca="1">IFERROR(__xludf.DUMMYFUNCTION("""COMPUTED_VALUE"""),"Azul")</f>
        <v>Azul</v>
      </c>
      <c r="J50" s="4">
        <f ca="1">IFERROR(__xludf.DUMMYFUNCTION("""COMPUTED_VALUE"""),20)</f>
        <v>20</v>
      </c>
      <c r="K50" s="4" t="str">
        <f ca="1">IFERROR(__xludf.DUMMYFUNCTION("""COMPUTED_VALUE"""),"B")</f>
        <v>B</v>
      </c>
      <c r="L50" s="4" t="str">
        <f ca="1">IFERROR(__xludf.DUMMYFUNCTION("""COMPUTED_VALUE"""),"A situação narrada revela uma tensão fundamentada na perspectiva do")</f>
        <v>A situação narrada revela uma tensão fundamentada na perspectiva do</v>
      </c>
      <c r="M50" s="4" t="str">
        <f ca="1">IFERROR(__xludf.DUMMYFUNCTION("""COMPUTED_VALUE"""),"conflito com os interesses de poder.")</f>
        <v>conflito com os interesses de poder.</v>
      </c>
      <c r="N50" s="4" t="str">
        <f ca="1">IFERROR(__xludf.DUMMYFUNCTION("""COMPUTED_VALUE"""),"silêncio em nome do equilíbrio familiar.")</f>
        <v>silêncio em nome do equilíbrio familiar.</v>
      </c>
      <c r="O50" s="4" t="str">
        <f ca="1">IFERROR(__xludf.DUMMYFUNCTION("""COMPUTED_VALUE"""),"medo instaurado pelas ameaças de punição.")</f>
        <v>medo instaurado pelas ameaças de punição.</v>
      </c>
      <c r="P50" s="4" t="str">
        <f ca="1">IFERROR(__xludf.DUMMYFUNCTION("""COMPUTED_VALUE"""),"choque imposto pela distância entre as gerações.")</f>
        <v>choque imposto pela distância entre as gerações.</v>
      </c>
      <c r="Q50" s="4" t="str">
        <f ca="1">IFERROR(__xludf.DUMMYFUNCTION("""COMPUTED_VALUE"""),"apego aos protocolos de conduta segundo os gêneros.")</f>
        <v>apego aos protocolos de conduta segundo os gêneros.</v>
      </c>
      <c r="R50" s="4"/>
      <c r="S50" s="4"/>
      <c r="T50" s="4"/>
      <c r="U50" s="4"/>
      <c r="V50" s="4"/>
      <c r="W50" s="4"/>
      <c r="X50" s="4"/>
      <c r="Y50" s="4"/>
      <c r="Z50" s="4"/>
    </row>
    <row r="51" spans="1:26" x14ac:dyDescent="0.25">
      <c r="A51" s="3" t="str">
        <f ca="1">IFERROR(__xludf.DUMMYFUNCTION("""COMPUTED_VALUE"""),"https://drive.google.com/open?id=1Fb_gSJOrlw0FUnDuPaByNMLu3Y0EpObV")</f>
        <v>https://drive.google.com/open?id=1Fb_gSJOrlw0FUnDuPaByNMLu3Y0EpObV</v>
      </c>
      <c r="B51" s="4" t="str">
        <f ca="1">IFERROR(__xludf.DUMMYFUNCTION("""COMPUTED_VALUE"""),"Enem")</f>
        <v>Enem</v>
      </c>
      <c r="C51" s="4">
        <f ca="1">IFERROR(__xludf.DUMMYFUNCTION("""COMPUTED_VALUE"""),2018)</f>
        <v>2018</v>
      </c>
      <c r="D51" s="4" t="str">
        <f ca="1">IFERROR(__xludf.DUMMYFUNCTION("""COMPUTED_VALUE"""),"Linguagens")</f>
        <v>Linguagens</v>
      </c>
      <c r="E51" s="4" t="str">
        <f ca="1">IFERROR(__xludf.DUMMYFUNCTION("""COMPUTED_VALUE"""),"Literatura")</f>
        <v>Literatura</v>
      </c>
      <c r="F51" s="4" t="str">
        <f ca="1">IFERROR(__xludf.DUMMYFUNCTION("""COMPUTED_VALUE"""),"Literatura")</f>
        <v>Literatura</v>
      </c>
      <c r="G51" s="4"/>
      <c r="H51" s="4"/>
      <c r="I51" s="4" t="str">
        <f ca="1">IFERROR(__xludf.DUMMYFUNCTION("""COMPUTED_VALUE"""),"Azul")</f>
        <v>Azul</v>
      </c>
      <c r="J51" s="4">
        <f ca="1">IFERROR(__xludf.DUMMYFUNCTION("""COMPUTED_VALUE"""),23)</f>
        <v>23</v>
      </c>
      <c r="K51" s="4" t="str">
        <f ca="1">IFERROR(__xludf.DUMMYFUNCTION("""COMPUTED_VALUE"""),"E")</f>
        <v>E</v>
      </c>
      <c r="L51" s="4" t="str">
        <f ca="1">IFERROR(__xludf.DUMMYFUNCTION("""COMPUTED_VALUE"""),"O romance, de 1939, traz à cena tipos e situações que espelham o Rio de Janeiro
daquela década. No fragmento, o narrador delineia esse contexto centrado no")</f>
        <v>O romance, de 1939, traz à cena tipos e situações que espelham o Rio de Janeiro
daquela década. No fragmento, o narrador delineia esse contexto centrado no</v>
      </c>
      <c r="M51" s="4" t="str">
        <f ca="1">IFERROR(__xludf.DUMMYFUNCTION("""COMPUTED_VALUE"""),"julgamento da mulher fora do espaço doméstico.")</f>
        <v>julgamento da mulher fora do espaço doméstico.</v>
      </c>
      <c r="N51" s="4" t="str">
        <f ca="1">IFERROR(__xludf.DUMMYFUNCTION("""COMPUTED_VALUE"""),"relato sobre as condições de trabalho no Estado Novo.")</f>
        <v>relato sobre as condições de trabalho no Estado Novo.</v>
      </c>
      <c r="O51" s="4" t="str">
        <f ca="1">IFERROR(__xludf.DUMMYFUNCTION("""COMPUTED_VALUE"""),"destaque a grupos populares na condição de protagonistas.")</f>
        <v>destaque a grupos populares na condição de protagonistas.</v>
      </c>
      <c r="P51" s="4" t="str">
        <f ca="1">IFERROR(__xludf.DUMMYFUNCTION("""COMPUTED_VALUE"""),"processo de inclusão do palavrão nos hábitos de linguagem.")</f>
        <v>processo de inclusão do palavrão nos hábitos de linguagem.</v>
      </c>
      <c r="Q51" s="4" t="str">
        <f ca="1">IFERROR(__xludf.DUMMYFUNCTION("""COMPUTED_VALUE"""),"vínculo entre as transformações urbanas e os papéis femininos.")</f>
        <v>vínculo entre as transformações urbanas e os papéis femininos.</v>
      </c>
      <c r="R51" s="4"/>
      <c r="S51" s="4"/>
      <c r="T51" s="4"/>
      <c r="U51" s="4"/>
      <c r="V51" s="4"/>
      <c r="W51" s="4"/>
      <c r="X51" s="4"/>
      <c r="Y51" s="4"/>
      <c r="Z51" s="4"/>
    </row>
    <row r="52" spans="1:26" x14ac:dyDescent="0.25">
      <c r="A52" s="3" t="str">
        <f ca="1">IFERROR(__xludf.DUMMYFUNCTION("""COMPUTED_VALUE"""),"https://drive.google.com/open?id=1iyxAiDKlRRbyVtODY80-ncAdZ38AGrC8")</f>
        <v>https://drive.google.com/open?id=1iyxAiDKlRRbyVtODY80-ncAdZ38AGrC8</v>
      </c>
      <c r="B52" s="4" t="str">
        <f ca="1">IFERROR(__xludf.DUMMYFUNCTION("""COMPUTED_VALUE"""),"Enem")</f>
        <v>Enem</v>
      </c>
      <c r="C52" s="4">
        <f ca="1">IFERROR(__xludf.DUMMYFUNCTION("""COMPUTED_VALUE"""),2018)</f>
        <v>2018</v>
      </c>
      <c r="D52" s="4" t="str">
        <f ca="1">IFERROR(__xludf.DUMMYFUNCTION("""COMPUTED_VALUE"""),"Linguagens")</f>
        <v>Linguagens</v>
      </c>
      <c r="E52" s="4" t="str">
        <f ca="1">IFERROR(__xludf.DUMMYFUNCTION("""COMPUTED_VALUE"""),"Literatura")</f>
        <v>Literatura</v>
      </c>
      <c r="F52" s="4" t="str">
        <f ca="1">IFERROR(__xludf.DUMMYFUNCTION("""COMPUTED_VALUE"""),"Literatura")</f>
        <v>Literatura</v>
      </c>
      <c r="G52" s="4"/>
      <c r="H52" s="4"/>
      <c r="I52" s="4" t="str">
        <f ca="1">IFERROR(__xludf.DUMMYFUNCTION("""COMPUTED_VALUE"""),"Azul")</f>
        <v>Azul</v>
      </c>
      <c r="J52" s="4">
        <f ca="1">IFERROR(__xludf.DUMMYFUNCTION("""COMPUTED_VALUE"""),25)</f>
        <v>25</v>
      </c>
      <c r="K52" s="4" t="str">
        <f ca="1">IFERROR(__xludf.DUMMYFUNCTION("""COMPUTED_VALUE"""),"D")</f>
        <v>D</v>
      </c>
      <c r="L52" s="4" t="str">
        <f ca="1">IFERROR(__xludf.DUMMYFUNCTION("""COMPUTED_VALUE"""),"A imagem integra uma adaptação em quadrinhos da obra Grande sertão: veredas, de Guimarães Rosa. Na representação gráfica, a inter-relação de diferentes linguagens caracteriza-se por ")</f>
        <v xml:space="preserve">A imagem integra uma adaptação em quadrinhos da obra Grande sertão: veredas, de Guimarães Rosa. Na representação gráfica, a inter-relação de diferentes linguagens caracteriza-se por </v>
      </c>
      <c r="M52" s="4" t="str">
        <f ca="1">IFERROR(__xludf.DUMMYFUNCTION("""COMPUTED_VALUE"""),"romper com a linearidade das ações da narrativa literária.")</f>
        <v>romper com a linearidade das ações da narrativa literária.</v>
      </c>
      <c r="N52" s="4" t="str">
        <f ca="1">IFERROR(__xludf.DUMMYFUNCTION("""COMPUTED_VALUE"""),"ilustrar de modo fidedigno passagens representativas da história.")</f>
        <v>ilustrar de modo fidedigno passagens representativas da história.</v>
      </c>
      <c r="O52" s="4" t="str">
        <f ca="1">IFERROR(__xludf.DUMMYFUNCTION("""COMPUTED_VALUE"""),"articular a tensão do romance à desproporcionalidade das formas.")</f>
        <v>articular a tensão do romance à desproporcionalidade das formas.</v>
      </c>
      <c r="P52" s="4" t="str">
        <f ca="1">IFERROR(__xludf.DUMMYFUNCTION("""COMPUTED_VALUE"""),"potencializar a dramaticidade do episódio com recursos das artes visuais.")</f>
        <v>potencializar a dramaticidade do episódio com recursos das artes visuais.</v>
      </c>
      <c r="Q52" s="4" t="str">
        <f ca="1">IFERROR(__xludf.DUMMYFUNCTION("""COMPUTED_VALUE"""),"desconstruir a diagramação do texto literário pelo desequilíbrio da composição.")</f>
        <v>desconstruir a diagramação do texto literário pelo desequilíbrio da composição.</v>
      </c>
      <c r="R52" s="4"/>
      <c r="S52" s="4"/>
      <c r="T52" s="4"/>
      <c r="U52" s="4"/>
      <c r="V52" s="4"/>
      <c r="W52" s="4"/>
      <c r="X52" s="4"/>
      <c r="Y52" s="4"/>
      <c r="Z52" s="4"/>
    </row>
    <row r="53" spans="1:26" x14ac:dyDescent="0.25">
      <c r="A53" s="3" t="str">
        <f ca="1">IFERROR(__xludf.DUMMYFUNCTION("""COMPUTED_VALUE"""),"https://drive.google.com/open?id=1RX4O-IQN33YEVfTrFwekF9m_xFtCZXkh")</f>
        <v>https://drive.google.com/open?id=1RX4O-IQN33YEVfTrFwekF9m_xFtCZXkh</v>
      </c>
      <c r="B53" s="4" t="str">
        <f ca="1">IFERROR(__xludf.DUMMYFUNCTION("""COMPUTED_VALUE"""),"Enem")</f>
        <v>Enem</v>
      </c>
      <c r="C53" s="4">
        <f ca="1">IFERROR(__xludf.DUMMYFUNCTION("""COMPUTED_VALUE"""),2018)</f>
        <v>2018</v>
      </c>
      <c r="D53" s="4" t="str">
        <f ca="1">IFERROR(__xludf.DUMMYFUNCTION("""COMPUTED_VALUE"""),"Linguagens")</f>
        <v>Linguagens</v>
      </c>
      <c r="E53" s="4" t="str">
        <f ca="1">IFERROR(__xludf.DUMMYFUNCTION("""COMPUTED_VALUE"""),"Literatura")</f>
        <v>Literatura</v>
      </c>
      <c r="F53" s="4" t="str">
        <f ca="1">IFERROR(__xludf.DUMMYFUNCTION("""COMPUTED_VALUE"""),"Literatura")</f>
        <v>Literatura</v>
      </c>
      <c r="G53" s="4"/>
      <c r="H53" s="4"/>
      <c r="I53" s="4" t="str">
        <f ca="1">IFERROR(__xludf.DUMMYFUNCTION("""COMPUTED_VALUE"""),"Azul")</f>
        <v>Azul</v>
      </c>
      <c r="J53" s="4">
        <f ca="1">IFERROR(__xludf.DUMMYFUNCTION("""COMPUTED_VALUE"""),30)</f>
        <v>30</v>
      </c>
      <c r="K53" s="4" t="str">
        <f ca="1">IFERROR(__xludf.DUMMYFUNCTION("""COMPUTED_VALUE"""),"E")</f>
        <v>E</v>
      </c>
      <c r="L53" s="4" t="str">
        <f ca="1">IFERROR(__xludf.DUMMYFUNCTION("""COMPUTED_VALUE"""),"Nesse poema de Stela do Patrocínio, a singularidade da expressão lírica manifesta-se na")</f>
        <v>Nesse poema de Stela do Patrocínio, a singularidade da expressão lírica manifesta-se na</v>
      </c>
      <c r="M53" s="4" t="str">
        <f ca="1">IFERROR(__xludf.DUMMYFUNCTION("""COMPUTED_VALUE"""),"representação da infância, redimensionada no resgate da memória.")</f>
        <v>representação da infância, redimensionada no resgate da memória.</v>
      </c>
      <c r="N53" s="4" t="str">
        <f ca="1">IFERROR(__xludf.DUMMYFUNCTION("""COMPUTED_VALUE"""),"associação de imagens desconexas, articuladas por uma fala delirante.")</f>
        <v>associação de imagens desconexas, articuladas por uma fala delirante.</v>
      </c>
      <c r="O53" s="4" t="str">
        <f ca="1">IFERROR(__xludf.DUMMYFUNCTION("""COMPUTED_VALUE"""),"expressão autobiográfica, fundada no relato de experiências de alteridade.")</f>
        <v>expressão autobiográfica, fundada no relato de experiências de alteridade.</v>
      </c>
      <c r="P53" s="4" t="str">
        <f ca="1">IFERROR(__xludf.DUMMYFUNCTION("""COMPUTED_VALUE"""),"incorporação de elementos fantásticos, explicitada por versos incoerentes.")</f>
        <v>incorporação de elementos fantásticos, explicitada por versos incoerentes.</v>
      </c>
      <c r="Q53" s="4" t="str">
        <f ca="1">IFERROR(__xludf.DUMMYFUNCTION("""COMPUTED_VALUE"""),"transgressão à razão, ecoada na desconstrução de referências temporais.")</f>
        <v>transgressão à razão, ecoada na desconstrução de referências temporais.</v>
      </c>
      <c r="R53" s="4"/>
      <c r="S53" s="4"/>
      <c r="T53" s="4"/>
      <c r="U53" s="4"/>
      <c r="V53" s="4"/>
      <c r="W53" s="4"/>
      <c r="X53" s="4"/>
      <c r="Y53" s="4"/>
      <c r="Z53" s="4"/>
    </row>
    <row r="54" spans="1:26" x14ac:dyDescent="0.25">
      <c r="A54" s="3" t="str">
        <f ca="1">IFERROR(__xludf.DUMMYFUNCTION("""COMPUTED_VALUE"""),"https://drive.google.com/open?id=1EgthPuR8Zhc6vekWTuZZvTdSyFZYRm-A")</f>
        <v>https://drive.google.com/open?id=1EgthPuR8Zhc6vekWTuZZvTdSyFZYRm-A</v>
      </c>
      <c r="B54" s="4" t="str">
        <f ca="1">IFERROR(__xludf.DUMMYFUNCTION("""COMPUTED_VALUE"""),"Enem")</f>
        <v>Enem</v>
      </c>
      <c r="C54" s="4">
        <f ca="1">IFERROR(__xludf.DUMMYFUNCTION("""COMPUTED_VALUE"""),2018)</f>
        <v>2018</v>
      </c>
      <c r="D54" s="4" t="str">
        <f ca="1">IFERROR(__xludf.DUMMYFUNCTION("""COMPUTED_VALUE"""),"Linguagens")</f>
        <v>Linguagens</v>
      </c>
      <c r="E54" s="4" t="str">
        <f ca="1">IFERROR(__xludf.DUMMYFUNCTION("""COMPUTED_VALUE"""),"Literatura")</f>
        <v>Literatura</v>
      </c>
      <c r="F54" s="4" t="str">
        <f ca="1">IFERROR(__xludf.DUMMYFUNCTION("""COMPUTED_VALUE"""),"Literatura")</f>
        <v>Literatura</v>
      </c>
      <c r="G54" s="4"/>
      <c r="H54" s="4"/>
      <c r="I54" s="4" t="str">
        <f ca="1">IFERROR(__xludf.DUMMYFUNCTION("""COMPUTED_VALUE"""),"Azul")</f>
        <v>Azul</v>
      </c>
      <c r="J54" s="4">
        <f ca="1">IFERROR(__xludf.DUMMYFUNCTION("""COMPUTED_VALUE"""),32)</f>
        <v>32</v>
      </c>
      <c r="K54" s="4" t="str">
        <f ca="1">IFERROR(__xludf.DUMMYFUNCTION("""COMPUTED_VALUE"""),"B")</f>
        <v>B</v>
      </c>
      <c r="L54" s="4" t="str">
        <f ca="1">IFERROR(__xludf.DUMMYFUNCTION("""COMPUTED_VALUE"""),"O grupo O Teatro Mágico apresenta composições autorais que têm referências estéticas
do rock, do pop e da música folclórica brasileira. A originalidade dos seus shows tem
relação com a ópera europeia do século XIX a partir da")</f>
        <v>O grupo O Teatro Mágico apresenta composições autorais que têm referências estéticas
do rock, do pop e da música folclórica brasileira. A originalidade dos seus shows tem
relação com a ópera europeia do século XIX a partir da</v>
      </c>
      <c r="M54" s="4" t="str">
        <f ca="1">IFERROR(__xludf.DUMMYFUNCTION("""COMPUTED_VALUE"""),"disposição cênica dos artistas no espaço teatral.")</f>
        <v>disposição cênica dos artistas no espaço teatral.</v>
      </c>
      <c r="N54" s="4" t="str">
        <f ca="1">IFERROR(__xludf.DUMMYFUNCTION("""COMPUTED_VALUE"""),"integração de diversas linguagens artísticas.")</f>
        <v>integração de diversas linguagens artísticas.</v>
      </c>
      <c r="O54" s="4" t="str">
        <f ca="1">IFERROR(__xludf.DUMMYFUNCTION("""COMPUTED_VALUE"""),"sobreposição entre música e texto literário.")</f>
        <v>sobreposição entre música e texto literário.</v>
      </c>
      <c r="P54" s="4" t="str">
        <f ca="1">IFERROR(__xludf.DUMMYFUNCTION("""COMPUTED_VALUE"""),"manutenção de um diálogo com o público.")</f>
        <v>manutenção de um diálogo com o público.</v>
      </c>
      <c r="Q54" s="4" t="str">
        <f ca="1">IFERROR(__xludf.DUMMYFUNCTION("""COMPUTED_VALUE"""),"adoção de um enredo como fio condutor.")</f>
        <v>adoção de um enredo como fio condutor.</v>
      </c>
      <c r="R54" s="4"/>
      <c r="S54" s="4"/>
      <c r="T54" s="4"/>
      <c r="U54" s="4"/>
      <c r="V54" s="4"/>
      <c r="W54" s="4"/>
      <c r="X54" s="4"/>
      <c r="Y54" s="4"/>
      <c r="Z54" s="4"/>
    </row>
    <row r="55" spans="1:26" x14ac:dyDescent="0.25">
      <c r="A55" s="3" t="str">
        <f ca="1">IFERROR(__xludf.DUMMYFUNCTION("""COMPUTED_VALUE"""),"https://drive.google.com/open?id=1mqtMmPSA7WP8_zCbXIk3wJqzuhujQZoP")</f>
        <v>https://drive.google.com/open?id=1mqtMmPSA7WP8_zCbXIk3wJqzuhujQZoP</v>
      </c>
      <c r="B55" s="4" t="str">
        <f ca="1">IFERROR(__xludf.DUMMYFUNCTION("""COMPUTED_VALUE"""),"Enem")</f>
        <v>Enem</v>
      </c>
      <c r="C55" s="4">
        <f ca="1">IFERROR(__xludf.DUMMYFUNCTION("""COMPUTED_VALUE"""),2018)</f>
        <v>2018</v>
      </c>
      <c r="D55" s="4" t="str">
        <f ca="1">IFERROR(__xludf.DUMMYFUNCTION("""COMPUTED_VALUE"""),"Linguagens")</f>
        <v>Linguagens</v>
      </c>
      <c r="E55" s="4" t="str">
        <f ca="1">IFERROR(__xludf.DUMMYFUNCTION("""COMPUTED_VALUE"""),"Literatura")</f>
        <v>Literatura</v>
      </c>
      <c r="F55" s="4" t="str">
        <f ca="1">IFERROR(__xludf.DUMMYFUNCTION("""COMPUTED_VALUE"""),"Literatura")</f>
        <v>Literatura</v>
      </c>
      <c r="G55" s="4"/>
      <c r="H55" s="4"/>
      <c r="I55" s="4" t="str">
        <f ca="1">IFERROR(__xludf.DUMMYFUNCTION("""COMPUTED_VALUE"""),"Azul")</f>
        <v>Azul</v>
      </c>
      <c r="J55" s="4">
        <f ca="1">IFERROR(__xludf.DUMMYFUNCTION("""COMPUTED_VALUE"""),35)</f>
        <v>35</v>
      </c>
      <c r="K55" s="4" t="str">
        <f ca="1">IFERROR(__xludf.DUMMYFUNCTION("""COMPUTED_VALUE"""),"A")</f>
        <v>A</v>
      </c>
      <c r="L55" s="4" t="str">
        <f ca="1">IFERROR(__xludf.DUMMYFUNCTION("""COMPUTED_VALUE"""),"No processo de elaboração do poema, a autora confere ao eu lírico uma identidade que
aqui representa a")</f>
        <v>No processo de elaboração do poema, a autora confere ao eu lírico uma identidade que
aqui representa a</v>
      </c>
      <c r="M55" s="4" t="str">
        <f ca="1">IFERROR(__xludf.DUMMYFUNCTION("""COMPUTED_VALUE"""),"hipocrisia do discurso alicerçado sobre o senso comum.")</f>
        <v>hipocrisia do discurso alicerçado sobre o senso comum.</v>
      </c>
      <c r="N55" s="4" t="str">
        <f ca="1">IFERROR(__xludf.DUMMYFUNCTION("""COMPUTED_VALUE"""),"mudança de paradigmas de imagem atribuídos à mulher.")</f>
        <v>mudança de paradigmas de imagem atribuídos à mulher.</v>
      </c>
      <c r="O55" s="4" t="str">
        <f ca="1">IFERROR(__xludf.DUMMYFUNCTION("""COMPUTED_VALUE"""),"tentativa de estabelecer preceitos da psicologia feminina.")</f>
        <v>tentativa de estabelecer preceitos da psicologia feminina.</v>
      </c>
      <c r="P55" s="4" t="str">
        <f ca="1">IFERROR(__xludf.DUMMYFUNCTION("""COMPUTED_VALUE"""),"importância da correlação entre ações e efeitos causados.")</f>
        <v>importância da correlação entre ações e efeitos causados.</v>
      </c>
      <c r="Q55" s="4" t="str">
        <f ca="1">IFERROR(__xludf.DUMMYFUNCTION("""COMPUTED_VALUE"""),"valorização da sensibilidade como característica de gênero.")</f>
        <v>valorização da sensibilidade como característica de gênero.</v>
      </c>
      <c r="R55" s="4"/>
      <c r="S55" s="4"/>
      <c r="T55" s="4"/>
      <c r="U55" s="4"/>
      <c r="V55" s="4"/>
      <c r="W55" s="4"/>
      <c r="X55" s="4"/>
      <c r="Y55" s="4"/>
      <c r="Z55" s="4"/>
    </row>
    <row r="56" spans="1:26" x14ac:dyDescent="0.25">
      <c r="A56" s="3" t="str">
        <f ca="1">IFERROR(__xludf.DUMMYFUNCTION("""COMPUTED_VALUE"""),"https://drive.google.com/open?id=1n9Qa1HwKCOhVWXGwtBahrkHDEt-zh6i9")</f>
        <v>https://drive.google.com/open?id=1n9Qa1HwKCOhVWXGwtBahrkHDEt-zh6i9</v>
      </c>
      <c r="B56" s="4" t="str">
        <f ca="1">IFERROR(__xludf.DUMMYFUNCTION("""COMPUTED_VALUE"""),"Enem")</f>
        <v>Enem</v>
      </c>
      <c r="C56" s="4">
        <f ca="1">IFERROR(__xludf.DUMMYFUNCTION("""COMPUTED_VALUE"""),2018)</f>
        <v>2018</v>
      </c>
      <c r="D56" s="4" t="str">
        <f ca="1">IFERROR(__xludf.DUMMYFUNCTION("""COMPUTED_VALUE"""),"Linguagens")</f>
        <v>Linguagens</v>
      </c>
      <c r="E56" s="4" t="str">
        <f ca="1">IFERROR(__xludf.DUMMYFUNCTION("""COMPUTED_VALUE"""),"Literatura")</f>
        <v>Literatura</v>
      </c>
      <c r="F56" s="4" t="str">
        <f ca="1">IFERROR(__xludf.DUMMYFUNCTION("""COMPUTED_VALUE"""),"Literatura")</f>
        <v>Literatura</v>
      </c>
      <c r="G56" s="4"/>
      <c r="H56" s="4"/>
      <c r="I56" s="4" t="str">
        <f ca="1">IFERROR(__xludf.DUMMYFUNCTION("""COMPUTED_VALUE"""),"Azul")</f>
        <v>Azul</v>
      </c>
      <c r="J56" s="4">
        <f ca="1">IFERROR(__xludf.DUMMYFUNCTION("""COMPUTED_VALUE"""),42)</f>
        <v>42</v>
      </c>
      <c r="K56" s="4" t="str">
        <f ca="1">IFERROR(__xludf.DUMMYFUNCTION("""COMPUTED_VALUE"""),"C")</f>
        <v>C</v>
      </c>
      <c r="L56" s="4" t="str">
        <f ca="1">IFERROR(__xludf.DUMMYFUNCTION("""COMPUTED_VALUE"""),"Publicado em 1979, o texto compartilha com outras obras da literatura brasileira escritas
no período as marcas do contexto em que foi produzido, como a")</f>
        <v>Publicado em 1979, o texto compartilha com outras obras da literatura brasileira escritas
no período as marcas do contexto em que foi produzido, como a</v>
      </c>
      <c r="M56" s="4" t="str">
        <f ca="1">IFERROR(__xludf.DUMMYFUNCTION("""COMPUTED_VALUE"""),"referência à censura e à opressão para alegorizar a falta de liberdade de expressão
característica da época.")</f>
        <v>referência à censura e à opressão para alegorizar a falta de liberdade de expressão
característica da época.</v>
      </c>
      <c r="N56" s="4" t="str">
        <f ca="1">IFERROR(__xludf.DUMMYFUNCTION("""COMPUTED_VALUE"""),"valorização de situações do cotidiano para atenuar os sentimentos de revolta em
relação ao governo instituído.")</f>
        <v>valorização de situações do cotidiano para atenuar os sentimentos de revolta em
relação ao governo instituído.</v>
      </c>
      <c r="O56" s="4" t="str">
        <f ca="1">IFERROR(__xludf.DUMMYFUNCTION("""COMPUTED_VALUE"""),"utilização de metáforas e ironias para expressar um olhar crítico em relação à
situação social e política do país.")</f>
        <v>utilização de metáforas e ironias para expressar um olhar crítico em relação à
situação social e política do país.</v>
      </c>
      <c r="P56" s="4" t="str">
        <f ca="1">IFERROR(__xludf.DUMMYFUNCTION("""COMPUTED_VALUE"""),"tendência realista para documentar com verossimilhança o drama da população
brasileira durante o Regime Militar.")</f>
        <v>tendência realista para documentar com verossimilhança o drama da população
brasileira durante o Regime Militar.</v>
      </c>
      <c r="Q56" s="4" t="str">
        <f ca="1">IFERROR(__xludf.DUMMYFUNCTION("""COMPUTED_VALUE"""),"sobreposição das manifestações populares pelo discurso oficial para destacar o autoritarismo do momento histórico.")</f>
        <v>sobreposição das manifestações populares pelo discurso oficial para destacar o autoritarismo do momento histórico.</v>
      </c>
      <c r="R56" s="4"/>
      <c r="S56" s="4"/>
      <c r="T56" s="4"/>
      <c r="U56" s="4"/>
      <c r="V56" s="4"/>
      <c r="W56" s="4"/>
      <c r="X56" s="4"/>
      <c r="Y56" s="4"/>
      <c r="Z56" s="4"/>
    </row>
    <row r="57" spans="1:26" x14ac:dyDescent="0.25">
      <c r="A57" s="3" t="str">
        <f ca="1">IFERROR(__xludf.DUMMYFUNCTION("""COMPUTED_VALUE"""),"https://drive.google.com/open?id=1wRY2eSa5SY5MSOlaJK6TrCe_3TtmC2T3")</f>
        <v>https://drive.google.com/open?id=1wRY2eSa5SY5MSOlaJK6TrCe_3TtmC2T3</v>
      </c>
      <c r="B57" s="4" t="str">
        <f ca="1">IFERROR(__xludf.DUMMYFUNCTION("""COMPUTED_VALUE"""),"Enem")</f>
        <v>Enem</v>
      </c>
      <c r="C57" s="4">
        <f ca="1">IFERROR(__xludf.DUMMYFUNCTION("""COMPUTED_VALUE"""),2017)</f>
        <v>2017</v>
      </c>
      <c r="D57" s="4" t="str">
        <f ca="1">IFERROR(__xludf.DUMMYFUNCTION("""COMPUTED_VALUE"""),"Ciências Humanas")</f>
        <v>Ciências Humanas</v>
      </c>
      <c r="E57" s="4" t="str">
        <f ca="1">IFERROR(__xludf.DUMMYFUNCTION("""COMPUTED_VALUE"""),"História")</f>
        <v>História</v>
      </c>
      <c r="F57" s="4" t="str">
        <f ca="1">IFERROR(__xludf.DUMMYFUNCTION("""COMPUTED_VALUE"""),"História Geral")</f>
        <v>História Geral</v>
      </c>
      <c r="G57" s="4"/>
      <c r="H57" s="4"/>
      <c r="I57" s="4" t="str">
        <f ca="1">IFERROR(__xludf.DUMMYFUNCTION("""COMPUTED_VALUE"""),"Azul")</f>
        <v>Azul</v>
      </c>
      <c r="J57" s="4">
        <f ca="1">IFERROR(__xludf.DUMMYFUNCTION("""COMPUTED_VALUE"""),46)</f>
        <v>46</v>
      </c>
      <c r="K57" s="4" t="str">
        <f ca="1">IFERROR(__xludf.DUMMYFUNCTION("""COMPUTED_VALUE"""),"C")</f>
        <v>C</v>
      </c>
      <c r="L57" s="4" t="str">
        <f ca="1">IFERROR(__xludf.DUMMYFUNCTION("""COMPUTED_VALUE"""),"No império africano do Mali, no século XIV, Tombuctu
foi centro de um comércio internacional onde tudo era negociado - sal, escravos, marfim etc. Havia também um grande comércio de livros de história, medicina,
astronomia e matemática, além de grande conc"&amp;"entração
de estudantes. A importância cultural de Tombuctu pode
ser percebida por meio de um velho provérbio: “O sal vem
do norte, o ouro vem do sul, mas as palavras de Deus e
os tesouros da sabedoria vêm de Tombuctu”.
Uma explicação para o dinamismo dess"&amp;"a cidade e sua importância histórica no período mencionado era o(a):")</f>
        <v>No império africano do Mali, no século XIV, Tombuctu
foi centro de um comércio internacional onde tudo era negociado - sal, escravos, marfim etc. Havia também um grande comércio de livros de história, medicina,
astronomia e matemática, além de grande concentração
de estudantes. A importância cultural de Tombuctu pode
ser percebida por meio de um velho provérbio: “O sal vem
do norte, o ouro vem do sul, mas as palavras de Deus e
os tesouros da sabedoria vêm de Tombuctu”.
Uma explicação para o dinamismo dessa cidade e sua importância histórica no período mencionado era o(a):</v>
      </c>
      <c r="M57" s="4" t="str">
        <f ca="1">IFERROR(__xludf.DUMMYFUNCTION("""COMPUTED_VALUE"""),"Isolamento geográfico do Saara ocidental")</f>
        <v>Isolamento geográfico do Saara ocidental</v>
      </c>
      <c r="N57" s="4" t="str">
        <f ca="1">IFERROR(__xludf.DUMMYFUNCTION("""COMPUTED_VALUE"""),"exploração intensiva de recursos naturais")</f>
        <v>exploração intensiva de recursos naturais</v>
      </c>
      <c r="O57" s="4" t="str">
        <f ca="1">IFERROR(__xludf.DUMMYFUNCTION("""COMPUTED_VALUE"""),"posição relativa nas redes de circulação")</f>
        <v>posição relativa nas redes de circulação</v>
      </c>
      <c r="P57" s="4" t="str">
        <f ca="1">IFERROR(__xludf.DUMMYFUNCTION("""COMPUTED_VALUE"""),"tráfico transatlântico de mão de obra servil")</f>
        <v>tráfico transatlântico de mão de obra servil</v>
      </c>
      <c r="Q57" s="4" t="str">
        <f ca="1">IFERROR(__xludf.DUMMYFUNCTION("""COMPUTED_VALUE"""),"competição econômica dos reinos da região ")</f>
        <v xml:space="preserve">competição econômica dos reinos da região </v>
      </c>
      <c r="R57" s="4"/>
      <c r="S57" s="4"/>
      <c r="T57" s="4"/>
      <c r="U57" s="4"/>
      <c r="V57" s="4"/>
      <c r="W57" s="4"/>
      <c r="X57" s="4"/>
      <c r="Y57" s="4"/>
      <c r="Z57" s="4"/>
    </row>
    <row r="58" spans="1:26" x14ac:dyDescent="0.25">
      <c r="A58" s="3" t="str">
        <f ca="1">IFERROR(__xludf.DUMMYFUNCTION("""COMPUTED_VALUE"""),"https://drive.google.com/open?id=1TKcBDI1dkVnlY65t2vCSt_yAwMkS5-Oz")</f>
        <v>https://drive.google.com/open?id=1TKcBDI1dkVnlY65t2vCSt_yAwMkS5-Oz</v>
      </c>
      <c r="B58" s="4" t="str">
        <f ca="1">IFERROR(__xludf.DUMMYFUNCTION("""COMPUTED_VALUE"""),"Enem")</f>
        <v>Enem</v>
      </c>
      <c r="C58" s="4">
        <f ca="1">IFERROR(__xludf.DUMMYFUNCTION("""COMPUTED_VALUE"""),2017)</f>
        <v>2017</v>
      </c>
      <c r="D58" s="4" t="str">
        <f ca="1">IFERROR(__xludf.DUMMYFUNCTION("""COMPUTED_VALUE"""),"Ciências Humanas")</f>
        <v>Ciências Humanas</v>
      </c>
      <c r="E58" s="4" t="str">
        <f ca="1">IFERROR(__xludf.DUMMYFUNCTION("""COMPUTED_VALUE"""),"História")</f>
        <v>História</v>
      </c>
      <c r="F58" s="4" t="str">
        <f ca="1">IFERROR(__xludf.DUMMYFUNCTION("""COMPUTED_VALUE"""),"História Geral")</f>
        <v>História Geral</v>
      </c>
      <c r="G58" s="4" t="str">
        <f ca="1">IFERROR(__xludf.DUMMYFUNCTION("""COMPUTED_VALUE"""),"Atualidade")</f>
        <v>Atualidade</v>
      </c>
      <c r="H58" s="4"/>
      <c r="I58" s="4" t="str">
        <f ca="1">IFERROR(__xludf.DUMMYFUNCTION("""COMPUTED_VALUE"""),"Azul")</f>
        <v>Azul</v>
      </c>
      <c r="J58" s="4">
        <f ca="1">IFERROR(__xludf.DUMMYFUNCTION("""COMPUTED_VALUE"""),47)</f>
        <v>47</v>
      </c>
      <c r="K58" s="4" t="str">
        <f ca="1">IFERROR(__xludf.DUMMYFUNCTION("""COMPUTED_VALUE"""),"D")</f>
        <v>D</v>
      </c>
      <c r="L58" s="4" t="str">
        <f ca="1">IFERROR(__xludf.DUMMYFUNCTION("""COMPUTED_VALUE"""),"Após a Declaração Universal dos Direitos Humanos
pela ONU, em 1948, a Unesco publicou estudos de cientistas de todo o mundo que desqualificaram as doutrinas racistas e demonstraram a unidade do gênero
humano. Desde então, a maioria dos próprios cientistas"&amp;"
europeus passou a reconhecer o caráter discriminatório
da pretensa superioridade racial do homem branco e a
condenar as aberrações cometidas em seu nome. 
A posição assumida pela Unesco, a partir de 1948, foi motivada por acontecimentos então recentes, d"&amp;"entre os quais se destacava o(a)")</f>
        <v>Após a Declaração Universal dos Direitos Humanos
pela ONU, em 1948, a Unesco publicou estudos de cientistas de todo o mundo que desqualificaram as doutrinas racistas e demonstraram a unidade do gênero
humano. Desde então, a maioria dos próprios cientistas
europeus passou a reconhecer o caráter discriminatório
da pretensa superioridade racial do homem branco e a
condenar as aberrações cometidas em seu nome. 
A posição assumida pela Unesco, a partir de 1948, foi motivada por acontecimentos então recentes, dentre os quais se destacava o(a)</v>
      </c>
      <c r="M58" s="4" t="str">
        <f ca="1">IFERROR(__xludf.DUMMYFUNCTION("""COMPUTED_VALUE"""),"ataque feito pelos japoneses à base militar americana
de Pearl Harbor")</f>
        <v>ataque feito pelos japoneses à base militar americana
de Pearl Harbor</v>
      </c>
      <c r="N58" s="4" t="str">
        <f ca="1">IFERROR(__xludf.DUMMYFUNCTION("""COMPUTED_VALUE"""),"desencadeamento da Guerra Fria e de novas
rivalidades entre nações.")</f>
        <v>desencadeamento da Guerra Fria e de novas
rivalidades entre nações.</v>
      </c>
      <c r="O58" s="4" t="str">
        <f ca="1">IFERROR(__xludf.DUMMYFUNCTION("""COMPUTED_VALUE"""),"C morte de milhões de soldados nos combates da
Segunda Guerra Mundial.")</f>
        <v>C morte de milhões de soldados nos combates da
Segunda Guerra Mundial.</v>
      </c>
      <c r="P58" s="4" t="str">
        <f ca="1">IFERROR(__xludf.DUMMYFUNCTION("""COMPUTED_VALUE"""),"execução de judeus e eslavos presos em guetos e
campos de concentração nazistas.")</f>
        <v>execução de judeus e eslavos presos em guetos e
campos de concentração nazistas.</v>
      </c>
      <c r="Q58" s="4" t="str">
        <f ca="1">IFERROR(__xludf.DUMMYFUNCTION("""COMPUTED_VALUE"""),"lançamento de bombas atômicas em Hiroshima e Nagasaki pelas forças norte-americanas.")</f>
        <v>lançamento de bombas atômicas em Hiroshima e Nagasaki pelas forças norte-americanas.</v>
      </c>
      <c r="R58" s="4"/>
      <c r="S58" s="4"/>
      <c r="T58" s="4"/>
      <c r="U58" s="4"/>
      <c r="V58" s="4"/>
      <c r="W58" s="4"/>
      <c r="X58" s="4"/>
      <c r="Y58" s="4"/>
      <c r="Z58" s="4"/>
    </row>
    <row r="59" spans="1:26" x14ac:dyDescent="0.25">
      <c r="A59" s="3" t="str">
        <f ca="1">IFERROR(__xludf.DUMMYFUNCTION("""COMPUTED_VALUE"""),"https://drive.google.com/open?id=1GDqefiWkPRpPRC_TDB5xrUtkLShKTWC2")</f>
        <v>https://drive.google.com/open?id=1GDqefiWkPRpPRC_TDB5xrUtkLShKTWC2</v>
      </c>
      <c r="B59" s="4" t="str">
        <f ca="1">IFERROR(__xludf.DUMMYFUNCTION("""COMPUTED_VALUE"""),"Enem")</f>
        <v>Enem</v>
      </c>
      <c r="C59" s="4">
        <f ca="1">IFERROR(__xludf.DUMMYFUNCTION("""COMPUTED_VALUE"""),2017)</f>
        <v>2017</v>
      </c>
      <c r="D59" s="4" t="str">
        <f ca="1">IFERROR(__xludf.DUMMYFUNCTION("""COMPUTED_VALUE"""),"Ciências Humanas")</f>
        <v>Ciências Humanas</v>
      </c>
      <c r="E59" s="4" t="str">
        <f ca="1">IFERROR(__xludf.DUMMYFUNCTION("""COMPUTED_VALUE"""),"História")</f>
        <v>História</v>
      </c>
      <c r="F59" s="4" t="str">
        <f ca="1">IFERROR(__xludf.DUMMYFUNCTION("""COMPUTED_VALUE"""),"História Geral")</f>
        <v>História Geral</v>
      </c>
      <c r="G59" s="4"/>
      <c r="H59" s="4"/>
      <c r="I59" s="4" t="str">
        <f ca="1">IFERROR(__xludf.DUMMYFUNCTION("""COMPUTED_VALUE"""),"Azul")</f>
        <v>Azul</v>
      </c>
      <c r="J59" s="4">
        <f ca="1">IFERROR(__xludf.DUMMYFUNCTION("""COMPUTED_VALUE"""),49)</f>
        <v>49</v>
      </c>
      <c r="K59" s="4" t="str">
        <f ca="1">IFERROR(__xludf.DUMMYFUNCTION("""COMPUTED_VALUE"""),"E")</f>
        <v>E</v>
      </c>
      <c r="L59" s="4" t="str">
        <f ca="1">IFERROR(__xludf.DUMMYFUNCTION("""COMPUTED_VALUE"""),"Fala-se muito nos dias de hoje em direitos do homem.
Pois bem: foi no século XVIII - em 1789, precisamente - que uma Assembleia Constituinte produziu e proclamou em Paris a Declaração dos Direitos do Homem e do
Cidadão. Essa Declaração se impôs como neces"&amp;"sária
para um grupo de revolucionários, por ter sido preparada
por uma mudança no plano das ideias e das mentalidades:
O Iluminismo. 
Correlacionando temporalidades históricas, o texto
apresenta uma concepção de pensamento que tem como
uma de suas bases a"&amp;":")</f>
        <v>Fala-se muito nos dias de hoje em direitos do homem.
Pois bem: foi no século XVIII - em 1789, precisamente - que uma Assembleia Constituinte produziu e proclamou em Paris a Declaração dos Direitos do Homem e do
Cidadão. Essa Declaração se impôs como necessária
para um grupo de revolucionários, por ter sido preparada
por uma mudança no plano das ideias e das mentalidades:
O Iluminismo. 
Correlacionando temporalidades históricas, o texto
apresenta uma concepção de pensamento que tem como
uma de suas bases a:</v>
      </c>
      <c r="M59" s="4" t="str">
        <f ca="1">IFERROR(__xludf.DUMMYFUNCTION("""COMPUTED_VALUE"""),"modernização da educação escolar.")</f>
        <v>modernização da educação escolar.</v>
      </c>
      <c r="N59" s="4" t="str">
        <f ca="1">IFERROR(__xludf.DUMMYFUNCTION("""COMPUTED_VALUE"""),"atualização da disciplina moral cristã.")</f>
        <v>atualização da disciplina moral cristã.</v>
      </c>
      <c r="O59" s="4" t="str">
        <f ca="1">IFERROR(__xludf.DUMMYFUNCTION("""COMPUTED_VALUE"""),"divulgação de costumes aristocráticos. ")</f>
        <v xml:space="preserve">divulgação de costumes aristocráticos. </v>
      </c>
      <c r="P59" s="4" t="str">
        <f ca="1">IFERROR(__xludf.DUMMYFUNCTION("""COMPUTED_VALUE"""),"socialização do conhecimento científico. ")</f>
        <v xml:space="preserve">socialização do conhecimento científico. </v>
      </c>
      <c r="Q59" s="4" t="str">
        <f ca="1">IFERROR(__xludf.DUMMYFUNCTION("""COMPUTED_VALUE"""),"universalização do princípio da igualdade civil.")</f>
        <v>universalização do princípio da igualdade civil.</v>
      </c>
      <c r="R59" s="4"/>
      <c r="S59" s="4"/>
      <c r="T59" s="4"/>
      <c r="U59" s="4"/>
      <c r="V59" s="4"/>
      <c r="W59" s="4"/>
      <c r="X59" s="4"/>
      <c r="Y59" s="4"/>
      <c r="Z59" s="4"/>
    </row>
    <row r="60" spans="1:26" x14ac:dyDescent="0.25">
      <c r="A60" s="3" t="str">
        <f ca="1">IFERROR(__xludf.DUMMYFUNCTION("""COMPUTED_VALUE"""),"https://drive.google.com/open?id=1YE73np9jxPZ3rLrri_bO2gjwVjCAfvBN")</f>
        <v>https://drive.google.com/open?id=1YE73np9jxPZ3rLrri_bO2gjwVjCAfvBN</v>
      </c>
      <c r="B60" s="4" t="str">
        <f ca="1">IFERROR(__xludf.DUMMYFUNCTION("""COMPUTED_VALUE"""),"Enem")</f>
        <v>Enem</v>
      </c>
      <c r="C60" s="4">
        <f ca="1">IFERROR(__xludf.DUMMYFUNCTION("""COMPUTED_VALUE"""),2017)</f>
        <v>2017</v>
      </c>
      <c r="D60" s="4" t="str">
        <f ca="1">IFERROR(__xludf.DUMMYFUNCTION("""COMPUTED_VALUE"""),"Ciências Humanas")</f>
        <v>Ciências Humanas</v>
      </c>
      <c r="E60" s="4" t="str">
        <f ca="1">IFERROR(__xludf.DUMMYFUNCTION("""COMPUTED_VALUE"""),"História")</f>
        <v>História</v>
      </c>
      <c r="F60" s="4" t="str">
        <f ca="1">IFERROR(__xludf.DUMMYFUNCTION("""COMPUTED_VALUE"""),"História Geral")</f>
        <v>História Geral</v>
      </c>
      <c r="G60" s="4"/>
      <c r="H60" s="4"/>
      <c r="I60" s="4" t="str">
        <f ca="1">IFERROR(__xludf.DUMMYFUNCTION("""COMPUTED_VALUE"""),"Azul")</f>
        <v>Azul</v>
      </c>
      <c r="J60" s="4">
        <f ca="1">IFERROR(__xludf.DUMMYFUNCTION("""COMPUTED_VALUE"""),50)</f>
        <v>50</v>
      </c>
      <c r="K60" s="4" t="str">
        <f ca="1">IFERROR(__xludf.DUMMYFUNCTION("""COMPUTED_VALUE"""),"C")</f>
        <v>C</v>
      </c>
      <c r="L60" s="4" t="str">
        <f ca="1">IFERROR(__xludf.DUMMYFUNCTION("""COMPUTED_VALUE"""),"Art. 231. São reconhecidos aos índios sua
organização social, costumes, línguas, crenças e
tradições, e os direitos originários sobre as terras
que tradicionalmente ocupam, competindo à União
demarcá-las, proteger e fazer respeitar todos os
seus bens.
A p"&amp;"ersistência das reivindicações relativas à aplicação
desse preceito normativo tem em vista a vinculação
histórica fundamental entre")</f>
        <v>Art. 231. São reconhecidos aos índios sua
organização social, costumes, línguas, crenças e
tradições, e os direitos originários sobre as terras
que tradicionalmente ocupam, competindo à União
demarcá-las, proteger e fazer respeitar todos os
seus bens.
A persistência das reivindicações relativas à aplicação
desse preceito normativo tem em vista a vinculação
histórica fundamental entre</v>
      </c>
      <c r="M60" s="4" t="str">
        <f ca="1">IFERROR(__xludf.DUMMYFUNCTION("""COMPUTED_VALUE"""),"etnia e miscigenação racial.")</f>
        <v>etnia e miscigenação racial.</v>
      </c>
      <c r="N60" s="4" t="str">
        <f ca="1">IFERROR(__xludf.DUMMYFUNCTION("""COMPUTED_VALUE"""),"sociedade e igualdade jurídica")</f>
        <v>sociedade e igualdade jurídica</v>
      </c>
      <c r="O60" s="4" t="str">
        <f ca="1">IFERROR(__xludf.DUMMYFUNCTION("""COMPUTED_VALUE"""),"espaço e sobrevivência cultural.")</f>
        <v>espaço e sobrevivência cultural.</v>
      </c>
      <c r="P60" s="4" t="str">
        <f ca="1">IFERROR(__xludf.DUMMYFUNCTION("""COMPUTED_VALUE"""),"progresso e educação ambiental.")</f>
        <v>progresso e educação ambiental.</v>
      </c>
      <c r="Q60" s="4" t="str">
        <f ca="1">IFERROR(__xludf.DUMMYFUNCTION("""COMPUTED_VALUE"""),"bem-estar e modernização econômica.")</f>
        <v>bem-estar e modernização econômica.</v>
      </c>
      <c r="R60" s="4"/>
      <c r="S60" s="4"/>
      <c r="T60" s="4"/>
      <c r="U60" s="4"/>
      <c r="V60" s="4"/>
      <c r="W60" s="4"/>
      <c r="X60" s="4"/>
      <c r="Y60" s="4"/>
      <c r="Z60" s="4"/>
    </row>
    <row r="61" spans="1:26" x14ac:dyDescent="0.25">
      <c r="A61" s="3" t="str">
        <f ca="1">IFERROR(__xludf.DUMMYFUNCTION("""COMPUTED_VALUE"""),"https://drive.google.com/open?id=1S-_4n-V8Tf_iuxqJYjR3Nv2Gj8oy6OhE")</f>
        <v>https://drive.google.com/open?id=1S-_4n-V8Tf_iuxqJYjR3Nv2Gj8oy6OhE</v>
      </c>
      <c r="B61" s="4" t="str">
        <f ca="1">IFERROR(__xludf.DUMMYFUNCTION("""COMPUTED_VALUE"""),"Enem")</f>
        <v>Enem</v>
      </c>
      <c r="C61" s="4">
        <f ca="1">IFERROR(__xludf.DUMMYFUNCTION("""COMPUTED_VALUE"""),2017)</f>
        <v>2017</v>
      </c>
      <c r="D61" s="4" t="str">
        <f ca="1">IFERROR(__xludf.DUMMYFUNCTION("""COMPUTED_VALUE"""),"Ciências Humanas")</f>
        <v>Ciências Humanas</v>
      </c>
      <c r="E61" s="4" t="str">
        <f ca="1">IFERROR(__xludf.DUMMYFUNCTION("""COMPUTED_VALUE"""),"História")</f>
        <v>História</v>
      </c>
      <c r="F61" s="4" t="str">
        <f ca="1">IFERROR(__xludf.DUMMYFUNCTION("""COMPUTED_VALUE"""),"História do Brasil")</f>
        <v>História do Brasil</v>
      </c>
      <c r="G61" s="4"/>
      <c r="H61" s="4"/>
      <c r="I61" s="4" t="str">
        <f ca="1">IFERROR(__xludf.DUMMYFUNCTION("""COMPUTED_VALUE"""),"Azul")</f>
        <v>Azul</v>
      </c>
      <c r="J61" s="4">
        <f ca="1">IFERROR(__xludf.DUMMYFUNCTION("""COMPUTED_VALUE"""),51)</f>
        <v>51</v>
      </c>
      <c r="K61" s="4" t="str">
        <f ca="1">IFERROR(__xludf.DUMMYFUNCTION("""COMPUTED_VALUE"""),"A")</f>
        <v>A</v>
      </c>
      <c r="L61" s="4" t="str">
        <f ca="1">IFERROR(__xludf.DUMMYFUNCTION("""COMPUTED_VALUE"""),"A fotografia, datada de 1860, é um indício da cultura escravista no Brasil, ao expressar a ")</f>
        <v xml:space="preserve">A fotografia, datada de 1860, é um indício da cultura escravista no Brasil, ao expressar a </v>
      </c>
      <c r="M61" s="4" t="str">
        <f ca="1">IFERROR(__xludf.DUMMYFUNCTION("""COMPUTED_VALUE"""),"ambiguidade do trabalho doméstico exercido pela
ama de leite, desenvolvendo uma relação de
proximidade e subordinação em relação aos senhores")</f>
        <v>ambiguidade do trabalho doméstico exercido pela
ama de leite, desenvolvendo uma relação de
proximidade e subordinação em relação aos senhores</v>
      </c>
      <c r="N61" s="4" t="str">
        <f ca="1">IFERROR(__xludf.DUMMYFUNCTION("""COMPUTED_VALUE"""),"integração dos escravos aos valores das classes médias,
cultivando a família como pilar da sociedade imperial.")</f>
        <v>integração dos escravos aos valores das classes médias,
cultivando a família como pilar da sociedade imperial.</v>
      </c>
      <c r="O61" s="4" t="str">
        <f ca="1">IFERROR(__xludf.DUMMYFUNCTION("""COMPUTED_VALUE"""),"melhoria das condições de vida dos escravos
observada pela roupa luxuosa, associando o trabalho
doméstico a privilégios para os cativos")</f>
        <v>melhoria das condições de vida dos escravos
observada pela roupa luxuosa, associando o trabalho
doméstico a privilégios para os cativos</v>
      </c>
      <c r="P61" s="4" t="str">
        <f ca="1">IFERROR(__xludf.DUMMYFUNCTION("""COMPUTED_VALUE"""),"esfera da vida privada, centralizando a figura feminina para afirmar o trabalho da mulher na educação letrada dos infantes.")</f>
        <v>esfera da vida privada, centralizando a figura feminina para afirmar o trabalho da mulher na educação letrada dos infantes.</v>
      </c>
      <c r="Q61" s="4" t="str">
        <f ca="1">IFERROR(__xludf.DUMMYFUNCTION("""COMPUTED_VALUE"""),"distinção étnica entre senhores e escravos,
demarcando a convivência entre estratos sociais
como meio para superar a mestiçagem.")</f>
        <v>distinção étnica entre senhores e escravos,
demarcando a convivência entre estratos sociais
como meio para superar a mestiçagem.</v>
      </c>
      <c r="R61" s="4"/>
      <c r="S61" s="4"/>
      <c r="T61" s="4"/>
      <c r="U61" s="4"/>
      <c r="V61" s="4"/>
      <c r="W61" s="4"/>
      <c r="X61" s="4"/>
      <c r="Y61" s="4"/>
      <c r="Z61" s="4"/>
    </row>
    <row r="62" spans="1:26" x14ac:dyDescent="0.25">
      <c r="A62" s="3" t="str">
        <f ca="1">IFERROR(__xludf.DUMMYFUNCTION("""COMPUTED_VALUE"""),"https://drive.google.com/open?id=1LnGTO01S93F21u5q432zK3kIeHLiRikD")</f>
        <v>https://drive.google.com/open?id=1LnGTO01S93F21u5q432zK3kIeHLiRikD</v>
      </c>
      <c r="B62" s="4" t="str">
        <f ca="1">IFERROR(__xludf.DUMMYFUNCTION("""COMPUTED_VALUE"""),"Enem")</f>
        <v>Enem</v>
      </c>
      <c r="C62" s="4">
        <f ca="1">IFERROR(__xludf.DUMMYFUNCTION("""COMPUTED_VALUE"""),2017)</f>
        <v>2017</v>
      </c>
      <c r="D62" s="4" t="str">
        <f ca="1">IFERROR(__xludf.DUMMYFUNCTION("""COMPUTED_VALUE"""),"Ciências Humanas")</f>
        <v>Ciências Humanas</v>
      </c>
      <c r="E62" s="4" t="str">
        <f ca="1">IFERROR(__xludf.DUMMYFUNCTION("""COMPUTED_VALUE"""),"História")</f>
        <v>História</v>
      </c>
      <c r="F62" s="4" t="str">
        <f ca="1">IFERROR(__xludf.DUMMYFUNCTION("""COMPUTED_VALUE"""),"História Geral")</f>
        <v>História Geral</v>
      </c>
      <c r="G62" s="4"/>
      <c r="H62" s="4"/>
      <c r="I62" s="4" t="str">
        <f ca="1">IFERROR(__xludf.DUMMYFUNCTION("""COMPUTED_VALUE"""),"Azul")</f>
        <v>Azul</v>
      </c>
      <c r="J62" s="4">
        <f ca="1">IFERROR(__xludf.DUMMYFUNCTION("""COMPUTED_VALUE"""),61)</f>
        <v>61</v>
      </c>
      <c r="K62" s="4" t="str">
        <f ca="1">IFERROR(__xludf.DUMMYFUNCTION("""COMPUTED_VALUE"""),"A")</f>
        <v>A</v>
      </c>
      <c r="L62" s="4" t="str">
        <f ca="1">IFERROR(__xludf.DUMMYFUNCTION("""COMPUTED_VALUE"""),"A primeira Guerra do Golfo, genuinamente apoiada
pelas Nações Unidas e pela comunidade internacional,
assim como a reação imediata ao Onze de Setembro,
demonstravam a força da posição dos Estados Unidos na
era pós-soviética.
Um aspecto que explica a força"&amp;" dos Estados Unidos,
apontada pelo texto, reside no(a)")</f>
        <v>A primeira Guerra do Golfo, genuinamente apoiada
pelas Nações Unidas e pela comunidade internacional,
assim como a reação imediata ao Onze de Setembro,
demonstravam a força da posição dos Estados Unidos na
era pós-soviética.
Um aspecto que explica a força dos Estados Unidos,
apontada pelo texto, reside no(a)</v>
      </c>
      <c r="M62" s="4" t="str">
        <f ca="1">IFERROR(__xludf.DUMMYFUNCTION("""COMPUTED_VALUE"""),"poder de suas bases militares espalhadas ao redor do
mundo")</f>
        <v>poder de suas bases militares espalhadas ao redor do
mundo</v>
      </c>
      <c r="N62" s="4" t="str">
        <f ca="1">IFERROR(__xludf.DUMMYFUNCTION("""COMPUTED_VALUE"""),"alinhamento geopolítico da Rússia em relação aos EUA.")</f>
        <v>alinhamento geopolítico da Rússia em relação aos EUA.</v>
      </c>
      <c r="O62" s="4" t="str">
        <f ca="1">IFERROR(__xludf.DUMMYFUNCTION("""COMPUTED_VALUE"""),"política de expansionismo territorial exercida sobre Cuba.")</f>
        <v>política de expansionismo territorial exercida sobre Cuba.</v>
      </c>
      <c r="P62" s="4" t="str">
        <f ca="1">IFERROR(__xludf.DUMMYFUNCTION("""COMPUTED_VALUE"""),"aliança estratégica com países produtores de petróleo, como Kuwait e Irã")</f>
        <v>aliança estratégica com países produtores de petróleo, como Kuwait e Irã</v>
      </c>
      <c r="Q62" s="4" t="str">
        <f ca="1">IFERROR(__xludf.DUMMYFUNCTION("""COMPUTED_VALUE"""),"incorporação da China à Organização do Tratado
do Atlântico Norte (Otan).")</f>
        <v>incorporação da China à Organização do Tratado
do Atlântico Norte (Otan).</v>
      </c>
      <c r="R62" s="4"/>
      <c r="S62" s="4"/>
      <c r="T62" s="4"/>
      <c r="U62" s="4"/>
      <c r="V62" s="4"/>
      <c r="W62" s="4"/>
      <c r="X62" s="4"/>
      <c r="Y62" s="4"/>
      <c r="Z62" s="4"/>
    </row>
    <row r="63" spans="1:26" x14ac:dyDescent="0.25">
      <c r="A63" s="3" t="str">
        <f ca="1">IFERROR(__xludf.DUMMYFUNCTION("""COMPUTED_VALUE"""),"https://drive.google.com/open?id=1IQkfULACka2A1hijfhRsi7iArS-IXl6B")</f>
        <v>https://drive.google.com/open?id=1IQkfULACka2A1hijfhRsi7iArS-IXl6B</v>
      </c>
      <c r="B63" s="4" t="str">
        <f ca="1">IFERROR(__xludf.DUMMYFUNCTION("""COMPUTED_VALUE"""),"Enem")</f>
        <v>Enem</v>
      </c>
      <c r="C63" s="4">
        <f ca="1">IFERROR(__xludf.DUMMYFUNCTION("""COMPUTED_VALUE"""),2017)</f>
        <v>2017</v>
      </c>
      <c r="D63" s="4" t="str">
        <f ca="1">IFERROR(__xludf.DUMMYFUNCTION("""COMPUTED_VALUE"""),"Ciências Humanas")</f>
        <v>Ciências Humanas</v>
      </c>
      <c r="E63" s="4" t="str">
        <f ca="1">IFERROR(__xludf.DUMMYFUNCTION("""COMPUTED_VALUE"""),"História")</f>
        <v>História</v>
      </c>
      <c r="F63" s="4" t="str">
        <f ca="1">IFERROR(__xludf.DUMMYFUNCTION("""COMPUTED_VALUE"""),"História Geral")</f>
        <v>História Geral</v>
      </c>
      <c r="G63" s="4"/>
      <c r="H63" s="4"/>
      <c r="I63" s="4" t="str">
        <f ca="1">IFERROR(__xludf.DUMMYFUNCTION("""COMPUTED_VALUE"""),"Azul")</f>
        <v>Azul</v>
      </c>
      <c r="J63" s="4">
        <f ca="1">IFERROR(__xludf.DUMMYFUNCTION("""COMPUTED_VALUE"""),62)</f>
        <v>62</v>
      </c>
      <c r="K63" s="4" t="str">
        <f ca="1">IFERROR(__xludf.DUMMYFUNCTION("""COMPUTED_VALUE"""),"E")</f>
        <v>E</v>
      </c>
      <c r="L63" s="4" t="str">
        <f ca="1">IFERROR(__xludf.DUMMYFUNCTION("""COMPUTED_VALUE"""),"O New Deal visa restabelecer o equilíbrio entre o
custo de produção e o preço, entre a cidade e o campo,
entre os preços agrícolas e os preços industriais, reativar
o mercado interno — o único que é importante —, pelo
controle de preços e da produção, pel"&amp;"a revalorização
dos salários e do poder aquisitivo das massas, isto é,
dos lavradores e operários, e pela regulamentação das
condições de emprego.
Tendo como referência os condicionantes históricos do
entreguerras, as medidas governamentais descritas
obje"&amp;"tivavam")</f>
        <v>O New Deal visa restabelecer o equilíbrio entre o
custo de produção e o preço, entre a cidade e o campo,
entre os preços agrícolas e os preços industriais, reativar
o mercado interno — o único que é importante —, pelo
controle de preços e da produção, pela revalorização
dos salários e do poder aquisitivo das massas, isto é,
dos lavradores e operários, e pela regulamentação das
condições de emprego.
Tendo como referência os condicionantes históricos do
entreguerras, as medidas governamentais descritas
objetivavam</v>
      </c>
      <c r="M63" s="4" t="str">
        <f ca="1">IFERROR(__xludf.DUMMYFUNCTION("""COMPUTED_VALUE"""),"flexibilizar as regras do mercado financeiro")</f>
        <v>flexibilizar as regras do mercado financeiro</v>
      </c>
      <c r="N63" s="4" t="str">
        <f ca="1">IFERROR(__xludf.DUMMYFUNCTION("""COMPUTED_VALUE"""),"fortalecer o sistema de tributação regressiva")</f>
        <v>fortalecer o sistema de tributação regressiva</v>
      </c>
      <c r="O63" s="4" t="str">
        <f ca="1">IFERROR(__xludf.DUMMYFUNCTION("""COMPUTED_VALUE"""),"introduzir os dispositivos de contenção creditícia")</f>
        <v>introduzir os dispositivos de contenção creditícia</v>
      </c>
      <c r="P63" s="4" t="str">
        <f ca="1">IFERROR(__xludf.DUMMYFUNCTION("""COMPUTED_VALUE"""),"racionalizar os custos da automação industrial
mediante negociação sindical.")</f>
        <v>racionalizar os custos da automação industrial
mediante negociação sindical.</v>
      </c>
      <c r="Q63" s="4" t="str">
        <f ca="1">IFERROR(__xludf.DUMMYFUNCTION("""COMPUTED_VALUE"""),"recompor os mecanismos de acumulação econômica
por meio da intervenção estatal")</f>
        <v>recompor os mecanismos de acumulação econômica
por meio da intervenção estatal</v>
      </c>
      <c r="R63" s="4"/>
      <c r="S63" s="4"/>
      <c r="T63" s="4"/>
      <c r="U63" s="4"/>
      <c r="V63" s="4"/>
      <c r="W63" s="4"/>
      <c r="X63" s="4"/>
      <c r="Y63" s="4"/>
      <c r="Z63" s="4"/>
    </row>
    <row r="64" spans="1:26" x14ac:dyDescent="0.25">
      <c r="A64" s="3" t="str">
        <f ca="1">IFERROR(__xludf.DUMMYFUNCTION("""COMPUTED_VALUE"""),"https://drive.google.com/open?id=15vGyAFLjwLpOzIzwcu4lyeYSdgJKo6Ne")</f>
        <v>https://drive.google.com/open?id=15vGyAFLjwLpOzIzwcu4lyeYSdgJKo6Ne</v>
      </c>
      <c r="B64" s="4" t="str">
        <f ca="1">IFERROR(__xludf.DUMMYFUNCTION("""COMPUTED_VALUE"""),"Enem")</f>
        <v>Enem</v>
      </c>
      <c r="C64" s="4">
        <f ca="1">IFERROR(__xludf.DUMMYFUNCTION("""COMPUTED_VALUE"""),2017)</f>
        <v>2017</v>
      </c>
      <c r="D64" s="4" t="str">
        <f ca="1">IFERROR(__xludf.DUMMYFUNCTION("""COMPUTED_VALUE"""),"Ciências Humanas")</f>
        <v>Ciências Humanas</v>
      </c>
      <c r="E64" s="4" t="str">
        <f ca="1">IFERROR(__xludf.DUMMYFUNCTION("""COMPUTED_VALUE"""),"História")</f>
        <v>História</v>
      </c>
      <c r="F64" s="4" t="str">
        <f ca="1">IFERROR(__xludf.DUMMYFUNCTION("""COMPUTED_VALUE"""),"História Geral")</f>
        <v>História Geral</v>
      </c>
      <c r="G64" s="4"/>
      <c r="H64" s="4"/>
      <c r="I64" s="4" t="str">
        <f ca="1">IFERROR(__xludf.DUMMYFUNCTION("""COMPUTED_VALUE"""),"Azul")</f>
        <v>Azul</v>
      </c>
      <c r="J64" s="4">
        <f ca="1">IFERROR(__xludf.DUMMYFUNCTION("""COMPUTED_VALUE"""),70)</f>
        <v>70</v>
      </c>
      <c r="K64" s="4" t="str">
        <f ca="1">IFERROR(__xludf.DUMMYFUNCTION("""COMPUTED_VALUE"""),"B")</f>
        <v>B</v>
      </c>
      <c r="L64" s="4" t="str">
        <f ca="1">IFERROR(__xludf.DUMMYFUNCTION("""COMPUTED_VALUE"""),"Mas era sobretudo a lã que os compradores, vindos
da Flandres ou da Itália, procuravam por toda a parte.
Para satisfazê-los, as raças foram melhoradas através
do aumento progressivo das suas dimensões. Esse crescimento prosseguiu durante todo o século XII"&amp;"I, e as abadias da Ordem de Cister, onde eram utilizados os métodos mais racionais de criação de gado, desempenharam certamente um papel determinante
nesse aperfeiçoamento.
O texto aponta para a relação entre aperfeiçoamento da atividade pastoril e avanço"&amp;" técnico na Europa ocidental feudal, que resultou do(a)")</f>
        <v>Mas era sobretudo a lã que os compradores, vindos
da Flandres ou da Itália, procuravam por toda a parte.
Para satisfazê-los, as raças foram melhoradas através
do aumento progressivo das suas dimensões. Esse crescimento prosseguiu durante todo o século XIII, e as abadias da Ordem de Cister, onde eram utilizados os métodos mais racionais de criação de gado, desempenharam certamente um papel determinante
nesse aperfeiçoamento.
O texto aponta para a relação entre aperfeiçoamento da atividade pastoril e avanço técnico na Europa ocidental feudal, que resultou do(a)</v>
      </c>
      <c r="M64" s="4" t="str">
        <f ca="1">IFERROR(__xludf.DUMMYFUNCTION("""COMPUTED_VALUE"""),"crescimento do trabalho escravo. ")</f>
        <v xml:space="preserve">crescimento do trabalho escravo. </v>
      </c>
      <c r="N64" s="4" t="str">
        <f ca="1">IFERROR(__xludf.DUMMYFUNCTION("""COMPUTED_VALUE"""),"desenvolvimento da vida urbana")</f>
        <v>desenvolvimento da vida urbana</v>
      </c>
      <c r="O64" s="4" t="str">
        <f ca="1">IFERROR(__xludf.DUMMYFUNCTION("""COMPUTED_VALUE"""),"padronização dos impostos locais.")</f>
        <v>padronização dos impostos locais.</v>
      </c>
      <c r="P64" s="4" t="str">
        <f ca="1">IFERROR(__xludf.DUMMYFUNCTION("""COMPUTED_VALUE"""),"uniformização do processo produtivo.")</f>
        <v>uniformização do processo produtivo.</v>
      </c>
      <c r="Q64" s="4" t="str">
        <f ca="1">IFERROR(__xludf.DUMMYFUNCTION("""COMPUTED_VALUE"""),"desconcentração da estrutura fundiária.")</f>
        <v>desconcentração da estrutura fundiária.</v>
      </c>
      <c r="R64" s="4"/>
      <c r="S64" s="4"/>
      <c r="T64" s="4"/>
      <c r="U64" s="4"/>
      <c r="V64" s="4"/>
      <c r="W64" s="4"/>
      <c r="X64" s="4"/>
      <c r="Y64" s="4"/>
      <c r="Z64" s="4"/>
    </row>
    <row r="65" spans="1:26" x14ac:dyDescent="0.25">
      <c r="A65" s="3" t="str">
        <f ca="1">IFERROR(__xludf.DUMMYFUNCTION("""COMPUTED_VALUE"""),"https://drive.google.com/open?id=1z-IqDCMAmZg9J8MDK9mcDeLOmJv_9sci")</f>
        <v>https://drive.google.com/open?id=1z-IqDCMAmZg9J8MDK9mcDeLOmJv_9sci</v>
      </c>
      <c r="B65" s="4" t="str">
        <f ca="1">IFERROR(__xludf.DUMMYFUNCTION("""COMPUTED_VALUE"""),"Enem")</f>
        <v>Enem</v>
      </c>
      <c r="C65" s="4">
        <f ca="1">IFERROR(__xludf.DUMMYFUNCTION("""COMPUTED_VALUE"""),2017)</f>
        <v>2017</v>
      </c>
      <c r="D65" s="4" t="str">
        <f ca="1">IFERROR(__xludf.DUMMYFUNCTION("""COMPUTED_VALUE"""),"Ciências Humanas")</f>
        <v>Ciências Humanas</v>
      </c>
      <c r="E65" s="4" t="str">
        <f ca="1">IFERROR(__xludf.DUMMYFUNCTION("""COMPUTED_VALUE"""),"História")</f>
        <v>História</v>
      </c>
      <c r="F65" s="4" t="str">
        <f ca="1">IFERROR(__xludf.DUMMYFUNCTION("""COMPUTED_VALUE"""),"História Geral")</f>
        <v>História Geral</v>
      </c>
      <c r="G65" s="4" t="str">
        <f ca="1">IFERROR(__xludf.DUMMYFUNCTION("""COMPUTED_VALUE"""),"Atualidade")</f>
        <v>Atualidade</v>
      </c>
      <c r="H65" s="4"/>
      <c r="I65" s="4" t="str">
        <f ca="1">IFERROR(__xludf.DUMMYFUNCTION("""COMPUTED_VALUE"""),"Azul")</f>
        <v>Azul</v>
      </c>
      <c r="J65" s="4">
        <f ca="1">IFERROR(__xludf.DUMMYFUNCTION("""COMPUTED_VALUE"""),75)</f>
        <v>75</v>
      </c>
      <c r="K65" s="4" t="str">
        <f ca="1">IFERROR(__xludf.DUMMYFUNCTION("""COMPUTED_VALUE"""),"D")</f>
        <v>D</v>
      </c>
      <c r="L65" s="4" t="str">
        <f ca="1">IFERROR(__xludf.DUMMYFUNCTION("""COMPUTED_VALUE"""),"Palestinos se agruparam em frente a aparelhos de
televisão e telas montadas ao ar livre em Ramalah, na
Cisjordânia, para acompanhar o voto da resolução que
pedia o reconhecimento da chamada Palestina como
um Estado observador não membro da Organização
das"&amp;" Nações Unidas (ONU). O objetivo era esperar pelo
nascimento, ao menos formal, de um Estado palestino.
Depois da aprovação da resolução, centenas de pessoas
foram à praça da cidade com bandeiras palestinas, soltaram fogos de artifício, fizeram buzinaços e"&amp;" dançaram pelas ruas. Aprovada com 138 votos dos 193 da
Assembleia-Geral, a resolução eleva o status do Estado
palestino perante a organização.
A mencionada resolução da ONU referendou o(a)")</f>
        <v>Palestinos se agruparam em frente a aparelhos de
televisão e telas montadas ao ar livre em Ramalah, na
Cisjordânia, para acompanhar o voto da resolução que
pedia o reconhecimento da chamada Palestina como
um Estado observador não membro da Organização
das Nações Unidas (ONU). O objetivo era esperar pelo
nascimento, ao menos formal, de um Estado palestino.
Depois da aprovação da resolução, centenas de pessoas
foram à praça da cidade com bandeiras palestinas, soltaram fogos de artifício, fizeram buzinaços e dançaram pelas ruas. Aprovada com 138 votos dos 193 da
Assembleia-Geral, a resolução eleva o status do Estado
palestino perante a organização.
A mencionada resolução da ONU referendou o(a)</v>
      </c>
      <c r="M65" s="4" t="str">
        <f ca="1">IFERROR(__xludf.DUMMYFUNCTION("""COMPUTED_VALUE"""),"delimitação institucional das fronteiras territoriais.")</f>
        <v>delimitação institucional das fronteiras territoriais.</v>
      </c>
      <c r="N65" s="4" t="str">
        <f ca="1">IFERROR(__xludf.DUMMYFUNCTION("""COMPUTED_VALUE"""),"aumento da qualidade de vida da população local.")</f>
        <v>aumento da qualidade de vida da população local.</v>
      </c>
      <c r="O65" s="4" t="str">
        <f ca="1">IFERROR(__xludf.DUMMYFUNCTION("""COMPUTED_VALUE"""),"implementação do tratado de paz com os israelenses")</f>
        <v>implementação do tratado de paz com os israelenses</v>
      </c>
      <c r="P65" s="4" t="str">
        <f ca="1">IFERROR(__xludf.DUMMYFUNCTION("""COMPUTED_VALUE"""),"apoio da comunidade internacional à demanda
nacional")</f>
        <v>apoio da comunidade internacional à demanda
nacional</v>
      </c>
      <c r="Q65" s="4" t="str">
        <f ca="1">IFERROR(__xludf.DUMMYFUNCTION("""COMPUTED_VALUE"""),"equiparação da condição política com a dos demais
países")</f>
        <v>equiparação da condição política com a dos demais
países</v>
      </c>
      <c r="R65" s="4"/>
      <c r="S65" s="4"/>
      <c r="T65" s="4"/>
      <c r="U65" s="4"/>
      <c r="V65" s="4"/>
      <c r="W65" s="4"/>
      <c r="X65" s="4"/>
      <c r="Y65" s="4"/>
      <c r="Z65" s="4"/>
    </row>
    <row r="66" spans="1:26" x14ac:dyDescent="0.25">
      <c r="A66" s="3" t="str">
        <f ca="1">IFERROR(__xludf.DUMMYFUNCTION("""COMPUTED_VALUE"""),"https://drive.google.com/open?id=1h_SckoDRWeGkt-D783iNptVuA3DpL4tW")</f>
        <v>https://drive.google.com/open?id=1h_SckoDRWeGkt-D783iNptVuA3DpL4tW</v>
      </c>
      <c r="B66" s="4" t="str">
        <f ca="1">IFERROR(__xludf.DUMMYFUNCTION("""COMPUTED_VALUE"""),"Enem")</f>
        <v>Enem</v>
      </c>
      <c r="C66" s="4">
        <f ca="1">IFERROR(__xludf.DUMMYFUNCTION("""COMPUTED_VALUE"""),2017)</f>
        <v>2017</v>
      </c>
      <c r="D66" s="4" t="str">
        <f ca="1">IFERROR(__xludf.DUMMYFUNCTION("""COMPUTED_VALUE"""),"Ciências Humanas")</f>
        <v>Ciências Humanas</v>
      </c>
      <c r="E66" s="4" t="str">
        <f ca="1">IFERROR(__xludf.DUMMYFUNCTION("""COMPUTED_VALUE"""),"História")</f>
        <v>História</v>
      </c>
      <c r="F66" s="4" t="str">
        <f ca="1">IFERROR(__xludf.DUMMYFUNCTION("""COMPUTED_VALUE"""),"História do Brasil")</f>
        <v>História do Brasil</v>
      </c>
      <c r="G66" s="4"/>
      <c r="H66" s="4"/>
      <c r="I66" s="4" t="str">
        <f ca="1">IFERROR(__xludf.DUMMYFUNCTION("""COMPUTED_VALUE"""),"Azul")</f>
        <v>Azul</v>
      </c>
      <c r="J66" s="4">
        <f ca="1">IFERROR(__xludf.DUMMYFUNCTION("""COMPUTED_VALUE"""),80)</f>
        <v>80</v>
      </c>
      <c r="K66" s="4" t="str">
        <f ca="1">IFERROR(__xludf.DUMMYFUNCTION("""COMPUTED_VALUE"""),"C")</f>
        <v>C</v>
      </c>
      <c r="L66" s="4" t="str">
        <f ca="1">IFERROR(__xludf.DUMMYFUNCTION("""COMPUTED_VALUE"""),"Com a Lei de Terras de 1850, o acesso à terra só
passou a ser possível por meio da compra com pagamento
em dinheiro. Isso limitava, ou mesmo praticamente impedia, o acesso à terra para os trabalhadores escravos
que conquistavam a liberdade.
O fato legal e"&amp;"videnciado no texto acentuou o processo de")</f>
        <v>Com a Lei de Terras de 1850, o acesso à terra só
passou a ser possível por meio da compra com pagamento
em dinheiro. Isso limitava, ou mesmo praticamente impedia, o acesso à terra para os trabalhadores escravos
que conquistavam a liberdade.
O fato legal evidenciado no texto acentuou o processo de</v>
      </c>
      <c r="M66" s="4" t="str">
        <f ca="1">IFERROR(__xludf.DUMMYFUNCTION("""COMPUTED_VALUE"""),"A reforma agrária")</f>
        <v>A reforma agrária</v>
      </c>
      <c r="N66" s="4" t="str">
        <f ca="1">IFERROR(__xludf.DUMMYFUNCTION("""COMPUTED_VALUE"""),"expansão mercantil.
")</f>
        <v xml:space="preserve">expansão mercantil.
</v>
      </c>
      <c r="O66" s="4" t="str">
        <f ca="1">IFERROR(__xludf.DUMMYFUNCTION("""COMPUTED_VALUE"""),"concentração fundiária")</f>
        <v>concentração fundiária</v>
      </c>
      <c r="P66" s="4" t="str">
        <f ca="1">IFERROR(__xludf.DUMMYFUNCTION("""COMPUTED_VALUE"""),"desruralização da elite")</f>
        <v>desruralização da elite</v>
      </c>
      <c r="Q66" s="4" t="str">
        <f ca="1">IFERROR(__xludf.DUMMYFUNCTION("""COMPUTED_VALUE"""),"mecanização da produção.")</f>
        <v>mecanização da produção.</v>
      </c>
      <c r="R66" s="4"/>
      <c r="S66" s="4"/>
      <c r="T66" s="4"/>
      <c r="U66" s="4"/>
      <c r="V66" s="4"/>
      <c r="W66" s="4"/>
      <c r="X66" s="4"/>
      <c r="Y66" s="4"/>
      <c r="Z66" s="4"/>
    </row>
    <row r="67" spans="1:26" x14ac:dyDescent="0.25">
      <c r="A67" s="3" t="str">
        <f ca="1">IFERROR(__xludf.DUMMYFUNCTION("""COMPUTED_VALUE"""),"https://drive.google.com/open?id=1HFCYZ_vH8xISsT3hNA16ow2h2KqXgjpE")</f>
        <v>https://drive.google.com/open?id=1HFCYZ_vH8xISsT3hNA16ow2h2KqXgjpE</v>
      </c>
      <c r="B67" s="4" t="str">
        <f ca="1">IFERROR(__xludf.DUMMYFUNCTION("""COMPUTED_VALUE"""),"Enem")</f>
        <v>Enem</v>
      </c>
      <c r="C67" s="4">
        <f ca="1">IFERROR(__xludf.DUMMYFUNCTION("""COMPUTED_VALUE"""),2017)</f>
        <v>2017</v>
      </c>
      <c r="D67" s="4" t="str">
        <f ca="1">IFERROR(__xludf.DUMMYFUNCTION("""COMPUTED_VALUE"""),"Ciências Humanas")</f>
        <v>Ciências Humanas</v>
      </c>
      <c r="E67" s="4" t="str">
        <f ca="1">IFERROR(__xludf.DUMMYFUNCTION("""COMPUTED_VALUE"""),"História")</f>
        <v>História</v>
      </c>
      <c r="F67" s="4" t="str">
        <f ca="1">IFERROR(__xludf.DUMMYFUNCTION("""COMPUTED_VALUE"""),"História do Brasil")</f>
        <v>História do Brasil</v>
      </c>
      <c r="G67" s="4"/>
      <c r="H67" s="4"/>
      <c r="I67" s="4" t="str">
        <f ca="1">IFERROR(__xludf.DUMMYFUNCTION("""COMPUTED_VALUE"""),"Azul")</f>
        <v>Azul</v>
      </c>
      <c r="J67" s="4">
        <f ca="1">IFERROR(__xludf.DUMMYFUNCTION("""COMPUTED_VALUE"""),81)</f>
        <v>81</v>
      </c>
      <c r="K67" s="4" t="str">
        <f ca="1">IFERROR(__xludf.DUMMYFUNCTION("""COMPUTED_VALUE"""),"D")</f>
        <v>D</v>
      </c>
      <c r="L67" s="4" t="str">
        <f ca="1">IFERROR(__xludf.DUMMYFUNCTION("""COMPUTED_VALUE"""),"Estão aí, como se sabe, dois candidatos à presidência,
os senhores Eduardo Gomes e Eurico Dutra, e um terceiro,
o senhor Getúlio Vargas, que deve ser candidato de algum
grupo político oculto, mas é também o candidato popular.
Porque há dois “queremos”: o "&amp;"“queremos” dos que
querem ver se continuam nas posições e o “queremos”
dos que querem ver se continuam nas posições e o ''queremos'' popular... Afinal, o que é que o senhor Getúlio Vargas é? É fascista? É comunista? É ateu? É Cristão? Quer sair? Quer fica"&amp;"r? O povo, entretanto, parece que gosta dele
por isso mesmo, porque ele é “à moda da casa”.
O movimento político mencionado no texto caracterizou-se
por")</f>
        <v>Estão aí, como se sabe, dois candidatos à presidência,
os senhores Eduardo Gomes e Eurico Dutra, e um terceiro,
o senhor Getúlio Vargas, que deve ser candidato de algum
grupo político oculto, mas é também o candidato popular.
Porque há dois “queremos”: o “queremos” dos que
querem ver se continuam nas posições e o “queremos”
dos que querem ver se continuam nas posições e o ''queremos'' popular... Afinal, o que é que o senhor Getúlio Vargas é? É fascista? É comunista? É ateu? É Cristão? Quer sair? Quer ficar? O povo, entretanto, parece que gosta dele
por isso mesmo, porque ele é “à moda da casa”.
O movimento político mencionado no texto caracterizou-se
por</v>
      </c>
      <c r="M67" s="4" t="str">
        <f ca="1">IFERROR(__xludf.DUMMYFUNCTION("""COMPUTED_VALUE"""),"reclamar a participação das agremiações partidárias")</f>
        <v>reclamar a participação das agremiações partidárias</v>
      </c>
      <c r="N67" s="4" t="str">
        <f ca="1">IFERROR(__xludf.DUMMYFUNCTION("""COMPUTED_VALUE"""),"apoiar a permanência da ditadura estadonovista.")</f>
        <v>apoiar a permanência da ditadura estadonovista.</v>
      </c>
      <c r="O67" s="4" t="str">
        <f ca="1">IFERROR(__xludf.DUMMYFUNCTION("""COMPUTED_VALUE"""),"demandar a confirmação dos direitos trabalhistas.")</f>
        <v>demandar a confirmação dos direitos trabalhistas.</v>
      </c>
      <c r="P67" s="4" t="str">
        <f ca="1">IFERROR(__xludf.DUMMYFUNCTION("""COMPUTED_VALUE"""),"reivindicar a transição constitucional sob influência do governante.")</f>
        <v>reivindicar a transição constitucional sob influência do governante.</v>
      </c>
      <c r="Q67" s="4" t="str">
        <f ca="1">IFERROR(__xludf.DUMMYFUNCTION("""COMPUTED_VALUE"""),"resgatar a representatividade dos sindicatos sob controle social.")</f>
        <v>resgatar a representatividade dos sindicatos sob controle social.</v>
      </c>
      <c r="R67" s="4"/>
      <c r="S67" s="4"/>
      <c r="T67" s="4"/>
      <c r="U67" s="4"/>
      <c r="V67" s="4"/>
      <c r="W67" s="4"/>
      <c r="X67" s="4"/>
      <c r="Y67" s="4"/>
      <c r="Z67" s="4"/>
    </row>
    <row r="68" spans="1:26" x14ac:dyDescent="0.25">
      <c r="A68" s="3" t="str">
        <f ca="1">IFERROR(__xludf.DUMMYFUNCTION("""COMPUTED_VALUE"""),"https://drive.google.com/open?id=1B-G-3yozFa-djBSBT4wu6WT4Qcrwae-n")</f>
        <v>https://drive.google.com/open?id=1B-G-3yozFa-djBSBT4wu6WT4Qcrwae-n</v>
      </c>
      <c r="B68" s="4" t="str">
        <f ca="1">IFERROR(__xludf.DUMMYFUNCTION("""COMPUTED_VALUE"""),"Enem")</f>
        <v>Enem</v>
      </c>
      <c r="C68" s="4">
        <f ca="1">IFERROR(__xludf.DUMMYFUNCTION("""COMPUTED_VALUE"""),2017)</f>
        <v>2017</v>
      </c>
      <c r="D68" s="4" t="str">
        <f ca="1">IFERROR(__xludf.DUMMYFUNCTION("""COMPUTED_VALUE"""),"Ciências Humanas")</f>
        <v>Ciências Humanas</v>
      </c>
      <c r="E68" s="4" t="str">
        <f ca="1">IFERROR(__xludf.DUMMYFUNCTION("""COMPUTED_VALUE"""),"História")</f>
        <v>História</v>
      </c>
      <c r="F68" s="4" t="str">
        <f ca="1">IFERROR(__xludf.DUMMYFUNCTION("""COMPUTED_VALUE"""),"História do Brasil")</f>
        <v>História do Brasil</v>
      </c>
      <c r="G68" s="4"/>
      <c r="H68" s="4"/>
      <c r="I68" s="4" t="str">
        <f ca="1">IFERROR(__xludf.DUMMYFUNCTION("""COMPUTED_VALUE"""),"Azul")</f>
        <v>Azul</v>
      </c>
      <c r="J68" s="4">
        <f ca="1">IFERROR(__xludf.DUMMYFUNCTION("""COMPUTED_VALUE"""),82)</f>
        <v>82</v>
      </c>
      <c r="K68" s="4" t="str">
        <f ca="1">IFERROR(__xludf.DUMMYFUNCTION("""COMPUTED_VALUE"""),"A")</f>
        <v>A</v>
      </c>
      <c r="L68" s="4" t="str">
        <f ca="1">IFERROR(__xludf.DUMMYFUNCTION("""COMPUTED_VALUE"""),"O instituto popular, de acordo com o exame da
razão, fez da figura do alferes Xavier o principal dos inconfidentes, e colocou os seus parceiros a meia ração de glória. Merecem, decerto, a nossa estima aqueles outros;
eram patriotas. Mas o que se ofereceu "&amp;"a carregar com os
pecadores de Israel, o que se ofereceu a carregar com os pecadores de Israel, o que chorou de alegria quando viu comutada a pena de morte dos seus companheiros, pena
que só ia ser executada nele, o enforcado, o esquartejado,
o decapitado"&amp;", esse tem de receber o prêmio na proporção
do martírio, e ganhar por todos, visto que pagou por todos.
No processo de transição para a República, a narrativa machadiana sobre a Inconfidência Mineira associa")</f>
        <v>O instituto popular, de acordo com o exame da
razão, fez da figura do alferes Xavier o principal dos inconfidentes, e colocou os seus parceiros a meia ração de glória. Merecem, decerto, a nossa estima aqueles outros;
eram patriotas. Mas o que se ofereceu a carregar com os
pecadores de Israel, o que se ofereceu a carregar com os pecadores de Israel, o que chorou de alegria quando viu comutada a pena de morte dos seus companheiros, pena
que só ia ser executada nele, o enforcado, o esquartejado,
o decapitado, esse tem de receber o prêmio na proporção
do martírio, e ganhar por todos, visto que pagou por todos.
No processo de transição para a República, a narrativa machadiana sobre a Inconfidência Mineira associa</v>
      </c>
      <c r="M68" s="4" t="str">
        <f ca="1">IFERROR(__xludf.DUMMYFUNCTION("""COMPUTED_VALUE"""),"redenção cristã e cultura cívica")</f>
        <v>redenção cristã e cultura cívica</v>
      </c>
      <c r="N68" s="4" t="str">
        <f ca="1">IFERROR(__xludf.DUMMYFUNCTION("""COMPUTED_VALUE"""),"veneração aos santos e radicalismo militar")</f>
        <v>veneração aos santos e radicalismo militar</v>
      </c>
      <c r="O68" s="4" t="str">
        <f ca="1">IFERROR(__xludf.DUMMYFUNCTION("""COMPUTED_VALUE"""),"apologia aos protestantes e culto ufanista.")</f>
        <v>apologia aos protestantes e culto ufanista.</v>
      </c>
      <c r="P68" s="4" t="str">
        <f ca="1">IFERROR(__xludf.DUMMYFUNCTION("""COMPUTED_VALUE"""),"tradição messiânica e tendência regionalista")</f>
        <v>tradição messiânica e tendência regionalista</v>
      </c>
      <c r="Q68" s="4" t="str">
        <f ca="1">IFERROR(__xludf.DUMMYFUNCTION("""COMPUTED_VALUE"""),"representação eclesiástica e dogmatismo ideológico")</f>
        <v>representação eclesiástica e dogmatismo ideológico</v>
      </c>
      <c r="R68" s="4"/>
      <c r="S68" s="4"/>
      <c r="T68" s="4"/>
      <c r="U68" s="4"/>
      <c r="V68" s="4"/>
      <c r="W68" s="4"/>
      <c r="X68" s="4"/>
      <c r="Y68" s="4"/>
      <c r="Z68" s="4"/>
    </row>
    <row r="69" spans="1:26" x14ac:dyDescent="0.25">
      <c r="A69" s="3" t="str">
        <f ca="1">IFERROR(__xludf.DUMMYFUNCTION("""COMPUTED_VALUE"""),"https://drive.google.com/open?id=1nPIZ3ZQ8ARMv_0LEd7x5FI1xTIcrfYql")</f>
        <v>https://drive.google.com/open?id=1nPIZ3ZQ8ARMv_0LEd7x5FI1xTIcrfYql</v>
      </c>
      <c r="B69" s="4" t="str">
        <f ca="1">IFERROR(__xludf.DUMMYFUNCTION("""COMPUTED_VALUE"""),"Enem")</f>
        <v>Enem</v>
      </c>
      <c r="C69" s="4">
        <f ca="1">IFERROR(__xludf.DUMMYFUNCTION("""COMPUTED_VALUE"""),2017)</f>
        <v>2017</v>
      </c>
      <c r="D69" s="4" t="str">
        <f ca="1">IFERROR(__xludf.DUMMYFUNCTION("""COMPUTED_VALUE"""),"Ciências Humanas")</f>
        <v>Ciências Humanas</v>
      </c>
      <c r="E69" s="4" t="str">
        <f ca="1">IFERROR(__xludf.DUMMYFUNCTION("""COMPUTED_VALUE"""),"História")</f>
        <v>História</v>
      </c>
      <c r="F69" s="4" t="str">
        <f ca="1">IFERROR(__xludf.DUMMYFUNCTION("""COMPUTED_VALUE"""),"História do Brasil")</f>
        <v>História do Brasil</v>
      </c>
      <c r="G69" s="4"/>
      <c r="H69" s="4"/>
      <c r="I69" s="4" t="str">
        <f ca="1">IFERROR(__xludf.DUMMYFUNCTION("""COMPUTED_VALUE"""),"Azul")</f>
        <v>Azul</v>
      </c>
      <c r="J69" s="4">
        <f ca="1">IFERROR(__xludf.DUMMYFUNCTION("""COMPUTED_VALUE"""),83)</f>
        <v>83</v>
      </c>
      <c r="K69" s="4" t="str">
        <f ca="1">IFERROR(__xludf.DUMMYFUNCTION("""COMPUTED_VALUE"""),"E")</f>
        <v>E</v>
      </c>
      <c r="L69" s="4" t="str">
        <f ca="1">IFERROR(__xludf.DUMMYFUNCTION("""COMPUTED_VALUE"""),"No período anterior ao golpe militar de 1964, os
documentos episcopais indicavam para os bispos
que o desenvolvimento econômico, e claramente o
desenvolvimento capitalista, orientando-se no sentido
da justa distribuição da riqueza, resolveria o problema
d"&amp;"a miséria rural e, consequentemente, suprimiria a
possibilidade do proselitismo e da expansão comunista
entre os camponeses. Foi nesse sentido que o golpe de Estado, de 31 de março de 1964, foi acolhido pela Igreja.
Em que pesem as divergências no interio"&amp;"r do clero após
a instalação da ditadura civil-militar, o posicionamento
mencionado no texto fundamentou-se no entendimento
da hierarquia católica de que o(a)")</f>
        <v>No período anterior ao golpe militar de 1964, os
documentos episcopais indicavam para os bispos
que o desenvolvimento econômico, e claramente o
desenvolvimento capitalista, orientando-se no sentido
da justa distribuição da riqueza, resolveria o problema
da miséria rural e, consequentemente, suprimiria a
possibilidade do proselitismo e da expansão comunista
entre os camponeses. Foi nesse sentido que o golpe de Estado, de 31 de março de 1964, foi acolhido pela Igreja.
Em que pesem as divergências no interior do clero após
a instalação da ditadura civil-militar, o posicionamento
mencionado no texto fundamentou-se no entendimento
da hierarquia católica de que o(a)</v>
      </c>
      <c r="M69" s="4" t="str">
        <f ca="1">IFERROR(__xludf.DUMMYFUNCTION("""COMPUTED_VALUE"""),"luta de classes é estimulada pelo livre mercado.")</f>
        <v>luta de classes é estimulada pelo livre mercado.</v>
      </c>
      <c r="N69" s="4" t="str">
        <f ca="1">IFERROR(__xludf.DUMMYFUNCTION("""COMPUTED_VALUE"""),"poder oligárquico é limitado pela ação do Exército")</f>
        <v>poder oligárquico é limitado pela ação do Exército</v>
      </c>
      <c r="O69" s="4" t="str">
        <f ca="1">IFERROR(__xludf.DUMMYFUNCTION("""COMPUTED_VALUE"""),"doutrina cristã é beneficiada pelo atraso do interior")</f>
        <v>doutrina cristã é beneficiada pelo atraso do interior</v>
      </c>
      <c r="P69" s="4" t="str">
        <f ca="1">IFERROR(__xludf.DUMMYFUNCTION("""COMPUTED_VALUE"""),"espaço político é dominado pelo interesse empresarial")</f>
        <v>espaço político é dominado pelo interesse empresarial</v>
      </c>
      <c r="Q69" s="4" t="str">
        <f ca="1">IFERROR(__xludf.DUMMYFUNCTION("""COMPUTED_VALUE"""),"E manipulação ideológica é favorecida pela privação
material.")</f>
        <v>E manipulação ideológica é favorecida pela privação
material.</v>
      </c>
      <c r="R69" s="4"/>
      <c r="S69" s="4"/>
      <c r="T69" s="4"/>
      <c r="U69" s="4"/>
      <c r="V69" s="4"/>
      <c r="W69" s="4"/>
      <c r="X69" s="4"/>
      <c r="Y69" s="4"/>
      <c r="Z69" s="4"/>
    </row>
    <row r="70" spans="1:26" x14ac:dyDescent="0.25">
      <c r="A70" s="3" t="str">
        <f ca="1">IFERROR(__xludf.DUMMYFUNCTION("""COMPUTED_VALUE"""),"https://drive.google.com/open?id=1WaLJIWXqQk6YHdyRTD9KnGIgh703astR")</f>
        <v>https://drive.google.com/open?id=1WaLJIWXqQk6YHdyRTD9KnGIgh703astR</v>
      </c>
      <c r="B70" s="4" t="str">
        <f ca="1">IFERROR(__xludf.DUMMYFUNCTION("""COMPUTED_VALUE"""),"Enem")</f>
        <v>Enem</v>
      </c>
      <c r="C70" s="4">
        <f ca="1">IFERROR(__xludf.DUMMYFUNCTION("""COMPUTED_VALUE"""),2017)</f>
        <v>2017</v>
      </c>
      <c r="D70" s="4" t="str">
        <f ca="1">IFERROR(__xludf.DUMMYFUNCTION("""COMPUTED_VALUE"""),"Ciências Humanas")</f>
        <v>Ciências Humanas</v>
      </c>
      <c r="E70" s="4" t="str">
        <f ca="1">IFERROR(__xludf.DUMMYFUNCTION("""COMPUTED_VALUE"""),"História")</f>
        <v>História</v>
      </c>
      <c r="F70" s="4" t="str">
        <f ca="1">IFERROR(__xludf.DUMMYFUNCTION("""COMPUTED_VALUE"""),"História do Brasil")</f>
        <v>História do Brasil</v>
      </c>
      <c r="G70" s="4"/>
      <c r="H70" s="4"/>
      <c r="I70" s="4" t="str">
        <f ca="1">IFERROR(__xludf.DUMMYFUNCTION("""COMPUTED_VALUE"""),"Azul")</f>
        <v>Azul</v>
      </c>
      <c r="J70" s="4">
        <f ca="1">IFERROR(__xludf.DUMMYFUNCTION("""COMPUTED_VALUE"""),90)</f>
        <v>90</v>
      </c>
      <c r="K70" s="4" t="str">
        <f ca="1">IFERROR(__xludf.DUMMYFUNCTION("""COMPUTED_VALUE"""),"E")</f>
        <v>E</v>
      </c>
      <c r="L70" s="4" t="str">
        <f ca="1">IFERROR(__xludf.DUMMYFUNCTION("""COMPUTED_VALUE"""),"Elaborada em 1969, a releitura contida na Figura 2 revela
aspectos de uma trajetória e obra dedicadas à")</f>
        <v>Elaborada em 1969, a releitura contida na Figura 2 revela
aspectos de uma trajetória e obra dedicadas à</v>
      </c>
      <c r="M70" s="4" t="str">
        <f ca="1">IFERROR(__xludf.DUMMYFUNCTION("""COMPUTED_VALUE"""),"valorização de uma representação tradicional da
mulher.")</f>
        <v>valorização de uma representação tradicional da
mulher.</v>
      </c>
      <c r="N70" s="4" t="str">
        <f ca="1">IFERROR(__xludf.DUMMYFUNCTION("""COMPUTED_VALUE"""),"descaracterização de referências do folclore
nordestino.")</f>
        <v>descaracterização de referências do folclore
nordestino.</v>
      </c>
      <c r="O70" s="4" t="str">
        <f ca="1">IFERROR(__xludf.DUMMYFUNCTION("""COMPUTED_VALUE"""),"fusão de elementos brasileiros à moda da Europa")</f>
        <v>fusão de elementos brasileiros à moda da Europa</v>
      </c>
      <c r="P70" s="4" t="str">
        <f ca="1">IFERROR(__xludf.DUMMYFUNCTION("""COMPUTED_VALUE"""),"massificação do consumo de uma arte local")</f>
        <v>massificação do consumo de uma arte local</v>
      </c>
      <c r="Q70" s="4" t="str">
        <f ca="1">IFERROR(__xludf.DUMMYFUNCTION("""COMPUTED_VALUE"""),"criação de uma estética de resistência.")</f>
        <v>criação de uma estética de resistência.</v>
      </c>
      <c r="R70" s="4"/>
      <c r="S70" s="4"/>
      <c r="T70" s="4"/>
      <c r="U70" s="4"/>
      <c r="V70" s="4"/>
      <c r="W70" s="4"/>
      <c r="X70" s="4"/>
      <c r="Y70" s="4"/>
      <c r="Z70" s="4"/>
    </row>
    <row r="71" spans="1:26" x14ac:dyDescent="0.25">
      <c r="A71" s="3" t="str">
        <f ca="1">IFERROR(__xludf.DUMMYFUNCTION("""COMPUTED_VALUE"""),"https://drive.google.com/open?id=1OM08pH11kirVVZWGz267olVn1NJyuVD9")</f>
        <v>https://drive.google.com/open?id=1OM08pH11kirVVZWGz267olVn1NJyuVD9</v>
      </c>
      <c r="B71" s="4" t="str">
        <f ca="1">IFERROR(__xludf.DUMMYFUNCTION("""COMPUTED_VALUE"""),"Enem")</f>
        <v>Enem</v>
      </c>
      <c r="C71" s="4">
        <f ca="1">IFERROR(__xludf.DUMMYFUNCTION("""COMPUTED_VALUE"""),2019)</f>
        <v>2019</v>
      </c>
      <c r="D71" s="4" t="str">
        <f ca="1">IFERROR(__xludf.DUMMYFUNCTION("""COMPUTED_VALUE"""),"Linguagens")</f>
        <v>Linguagens</v>
      </c>
      <c r="E71" s="4" t="str">
        <f ca="1">IFERROR(__xludf.DUMMYFUNCTION("""COMPUTED_VALUE"""),"Literatura")</f>
        <v>Literatura</v>
      </c>
      <c r="F71" s="4" t="str">
        <f ca="1">IFERROR(__xludf.DUMMYFUNCTION("""COMPUTED_VALUE"""),"Literatura")</f>
        <v>Literatura</v>
      </c>
      <c r="G71" s="4"/>
      <c r="H71" s="4"/>
      <c r="I71" s="4" t="str">
        <f ca="1">IFERROR(__xludf.DUMMYFUNCTION("""COMPUTED_VALUE"""),"Azul")</f>
        <v>Azul</v>
      </c>
      <c r="J71" s="4">
        <f ca="1">IFERROR(__xludf.DUMMYFUNCTION("""COMPUTED_VALUE"""),7)</f>
        <v>7</v>
      </c>
      <c r="K71" s="4" t="str">
        <f ca="1">IFERROR(__xludf.DUMMYFUNCTION("""COMPUTED_VALUE"""),"B")</f>
        <v>B</v>
      </c>
      <c r="L71" s="4" t="str">
        <f ca="1">IFERROR(__xludf.DUMMYFUNCTION("""COMPUTED_VALUE"""),"19-11-1959
Eu a conheci da primeira vez em que estive aqui. Parece-me que é esquizofrênica, caso crônico, doente há 
mais de vinte anos — não estou bem certa. Foi transferida para a Colônia Juliano Moreira e nunca mais a vi. [...] 
À tarde, quando ia lá, "&amp;"pedia-lhe para cantar a ária da Bohème, “Valsa da Musetta”. Dona Georgiana, recortada no 
meio do pátio, cantava — e era de doer o coração. As dementes, descalças e rasgadas, paravam em surpresa, 
rindo bonito em silêncio, os rostos transformados. Outras,"&amp;" sentadas no chão úmido, avançavam as faces inundadas 
de presença — elas que eram tão distantes. Os rostos fulgiam por instantes, irisados e indestrutíveis. Me deixava 
imóvel, as lágrimas cegando-me. Dona Georgiana cantava: cheia de graça, os olhos azui"&amp;"s sorrindo, aquele passado 
tão presente, ela que fora, ela que era, se elevando na limpidez das notas, minhas lágrimas descendo caladas, o 
pátio de mulheres existindo em dor e beleza. A beleza terrífica que Puccini não alcançou: uma mulher descalça, 
su"&amp;"ja, gasta, louca, e as notas saindo-lhe em tragicidade difícil e bela demais — para existir fora de um hospício.
CANÇADO, M. L. Hospício é Deus. Belo Horizonte: Autêntica, 2015.
O diário da autora, como interna de hospital psiquiátrico, configura um regis"&amp;"tro singular, fundamentado por uma 
percepção que")</f>
        <v>19-11-1959
Eu a conheci da primeira vez em que estive aqui. Parece-me que é esquizofrênica, caso crônico, doente há 
mais de vinte anos — não estou bem certa. Foi transferida para a Colônia Juliano Moreira e nunca mais a vi. [...] 
À tarde, quando ia lá, pedia-lhe para cantar a ária da Bohème, “Valsa da Musetta”. Dona Georgiana, recortada no 
meio do pátio, cantava — e era de doer o coração. As dementes, descalças e rasgadas, paravam em surpresa, 
rindo bonito em silêncio, os rostos transformados. Outras, sentadas no chão úmido, avançavam as faces inundadas 
de presença — elas que eram tão distantes. Os rostos fulgiam por instantes, irisados e indestrutíveis. Me deixava 
imóvel, as lágrimas cegando-me. Dona Georgiana cantava: cheia de graça, os olhos azuis sorrindo, aquele passado 
tão presente, ela que fora, ela que era, se elevando na limpidez das notas, minhas lágrimas descendo caladas, o 
pátio de mulheres existindo em dor e beleza. A beleza terrífica que Puccini não alcançou: uma mulher descalça, 
suja, gasta, louca, e as notas saindo-lhe em tragicidade difícil e bela demais — para existir fora de um hospício.
CANÇADO, M. L. Hospício é Deus. Belo Horizonte: Autêntica, 2015.
O diário da autora, como interna de hospital psiquiátrico, configura um registro singular, fundamentado por uma 
percepção que</v>
      </c>
      <c r="M71" s="4" t="str">
        <f ca="1">IFERROR(__xludf.DUMMYFUNCTION("""COMPUTED_VALUE"""),"atenua a realidade do sofrimento por meio da música.")</f>
        <v>atenua a realidade do sofrimento por meio da música.</v>
      </c>
      <c r="N71" s="4" t="str">
        <f ca="1">IFERROR(__xludf.DUMMYFUNCTION("""COMPUTED_VALUE"""),"redimensiona a essência humana tocada pela sensibilidade.")</f>
        <v>redimensiona a essência humana tocada pela sensibilidade.</v>
      </c>
      <c r="O71" s="4" t="str">
        <f ca="1">IFERROR(__xludf.DUMMYFUNCTION("""COMPUTED_VALUE"""),"evidencia os efeitos dos maus-tratos sobre a imagem feminina.")</f>
        <v>evidencia os efeitos dos maus-tratos sobre a imagem feminina.</v>
      </c>
      <c r="P71" s="4" t="str">
        <f ca="1">IFERROR(__xludf.DUMMYFUNCTION("""COMPUTED_VALUE"""),"transfigura o cotidiano da internação pelo poder de se emocionar.")</f>
        <v>transfigura o cotidiano da internação pelo poder de se emocionar.</v>
      </c>
      <c r="Q71" s="4" t="str">
        <f ca="1">IFERROR(__xludf.DUMMYFUNCTION("""COMPUTED_VALUE"""),"aponta para a recuperação da saúde mental graças à atividade artística.")</f>
        <v>aponta para a recuperação da saúde mental graças à atividade artística.</v>
      </c>
      <c r="R71" s="4"/>
      <c r="S71" s="4"/>
      <c r="T71" s="4"/>
      <c r="U71" s="4"/>
      <c r="V71" s="4"/>
      <c r="W71" s="4"/>
      <c r="X71" s="4"/>
      <c r="Y71" s="4"/>
      <c r="Z71" s="4"/>
    </row>
    <row r="72" spans="1:26" x14ac:dyDescent="0.25">
      <c r="A72" s="3" t="str">
        <f ca="1">IFERROR(__xludf.DUMMYFUNCTION("""COMPUTED_VALUE"""),"https://drive.google.com/open?id=19IA3ziA80GpL4OeOnRnDE-GppPRaBjyj")</f>
        <v>https://drive.google.com/open?id=19IA3ziA80GpL4OeOnRnDE-GppPRaBjyj</v>
      </c>
      <c r="B72" s="4" t="str">
        <f ca="1">IFERROR(__xludf.DUMMYFUNCTION("""COMPUTED_VALUE"""),"Enem")</f>
        <v>Enem</v>
      </c>
      <c r="C72" s="4">
        <f ca="1">IFERROR(__xludf.DUMMYFUNCTION("""COMPUTED_VALUE"""),2019)</f>
        <v>2019</v>
      </c>
      <c r="D72" s="4" t="str">
        <f ca="1">IFERROR(__xludf.DUMMYFUNCTION("""COMPUTED_VALUE"""),"Linguagens")</f>
        <v>Linguagens</v>
      </c>
      <c r="E72" s="4" t="str">
        <f ca="1">IFERROR(__xludf.DUMMYFUNCTION("""COMPUTED_VALUE"""),"Literatura")</f>
        <v>Literatura</v>
      </c>
      <c r="F72" s="4" t="str">
        <f ca="1">IFERROR(__xludf.DUMMYFUNCTION("""COMPUTED_VALUE"""),"Literatura")</f>
        <v>Literatura</v>
      </c>
      <c r="G72" s="4"/>
      <c r="H72" s="4"/>
      <c r="I72" s="4" t="str">
        <f ca="1">IFERROR(__xludf.DUMMYFUNCTION("""COMPUTED_VALUE"""),"Azul")</f>
        <v>Azul</v>
      </c>
      <c r="J72" s="4"/>
      <c r="K72" s="4" t="str">
        <f ca="1">IFERROR(__xludf.DUMMYFUNCTION("""COMPUTED_VALUE"""),"A")</f>
        <v>A</v>
      </c>
      <c r="L72" s="4" t="str">
        <f ca="1">IFERROR(__xludf.DUMMYFUNCTION("""COMPUTED_VALUE"""),"A porca e os sete leitões
É um mito que está desaparecendo, pouca gente 
o conhece. É provável que a geração infantil atual o 
desconheça. (Em nossa infância em Botucatu, ouvimos 
falar que aparecia atrás da igreja de São Benedito no 
largo do Rosário.) A"&amp;"parece atrás das igrejas antigas. Não 
faz mal a ninguém, pode-se correr para apanhá-la com 
seus bacorinhos que não se conseguirá. Desaparecem 
do lugar costumeiro da aparição, a qual só se dá à noite, 
depois de terem “cumprido a sina”.
Em São Luís do P"&amp;"araitinga, informaram que se a 
gente atirar contra a porca, o tiro não acerta. Ninguém 
é dono dela e por muitos anos apareceu atrás da igreja 
de Nossa Senhora das Mercês, na cidade onde nasceu 
Oswaldo Cruz.
ARAÚJO, A. M. Folclore nacional I: festas, b"&amp;"ailados, mitos e lendas. 
São Paulo: Martins Fontes, 2004.
Os mitos são importantes para a cultura porque, entre 
outras funções, auxiliam na composição do imaginário 
de um povo por meio da linguagem. Esse texto contribui 
com o patrimônio cultural brasi"&amp;"leiro porque")</f>
        <v>A porca e os sete leitões
É um mito que está desaparecendo, pouca gente 
o conhece. É provável que a geração infantil atual o 
desconheça. (Em nossa infância em Botucatu, ouvimos 
falar que aparecia atrás da igreja de São Benedito no 
largo do Rosário.) Aparece atrás das igrejas antigas. Não 
faz mal a ninguém, pode-se correr para apanhá-la com 
seus bacorinhos que não se conseguirá. Desaparecem 
do lugar costumeiro da aparição, a qual só se dá à noite, 
depois de terem “cumprido a sina”.
Em São Luís do Paraitinga, informaram que se a 
gente atirar contra a porca, o tiro não acerta. Ninguém 
é dono dela e por muitos anos apareceu atrás da igreja 
de Nossa Senhora das Mercês, na cidade onde nasceu 
Oswaldo Cruz.
ARAÚJO, A. M. Folclore nacional I: festas, bailados, mitos e lendas. 
São Paulo: Martins Fontes, 2004.
Os mitos são importantes para a cultura porque, entre 
outras funções, auxiliam na composição do imaginário 
de um povo por meio da linguagem. Esse texto contribui 
com o patrimônio cultural brasileiro porque</v>
      </c>
      <c r="M72" s="4" t="str">
        <f ca="1">IFERROR(__xludf.DUMMYFUNCTION("""COMPUTED_VALUE"""),"preserva uma história da tradição oral.")</f>
        <v>preserva uma história da tradição oral.</v>
      </c>
      <c r="N72" s="4" t="str">
        <f ca="1">IFERROR(__xludf.DUMMYFUNCTION("""COMPUTED_VALUE"""),"confirma a veracidade dos fatos narrados.")</f>
        <v>confirma a veracidade dos fatos narrados.</v>
      </c>
      <c r="O72" s="4" t="str">
        <f ca="1">IFERROR(__xludf.DUMMYFUNCTION("""COMPUTED_VALUE"""),"identifica a origem de uma história popular.")</f>
        <v>identifica a origem de uma história popular.</v>
      </c>
      <c r="P72" s="4" t="str">
        <f ca="1">IFERROR(__xludf.DUMMYFUNCTION("""COMPUTED_VALUE"""),"apresenta as diferentes visões sobre a aparição.")</f>
        <v>apresenta as diferentes visões sobre a aparição.</v>
      </c>
      <c r="Q72" s="4" t="str">
        <f ca="1">IFERROR(__xludf.DUMMYFUNCTION("""COMPUTED_VALUE"""),"reforça a necessidade de registro das narrativas 
folclóricas.")</f>
        <v>reforça a necessidade de registro das narrativas 
folclóricas.</v>
      </c>
      <c r="R72" s="4"/>
      <c r="S72" s="4"/>
      <c r="T72" s="4"/>
      <c r="U72" s="4"/>
      <c r="V72" s="4"/>
      <c r="W72" s="4"/>
      <c r="X72" s="4"/>
      <c r="Y72" s="4"/>
      <c r="Z72" s="4"/>
    </row>
    <row r="73" spans="1:26" x14ac:dyDescent="0.25">
      <c r="A73" s="3" t="str">
        <f ca="1">IFERROR(__xludf.DUMMYFUNCTION("""COMPUTED_VALUE"""),"https://drive.google.com/open?id=1vHSubPRDJZMn4uMwb-R3KljA3IyYq4al")</f>
        <v>https://drive.google.com/open?id=1vHSubPRDJZMn4uMwb-R3KljA3IyYq4al</v>
      </c>
      <c r="B73" s="4" t="str">
        <f ca="1">IFERROR(__xludf.DUMMYFUNCTION("""COMPUTED_VALUE"""),"Enem")</f>
        <v>Enem</v>
      </c>
      <c r="C73" s="4">
        <f ca="1">IFERROR(__xludf.DUMMYFUNCTION("""COMPUTED_VALUE"""),2019)</f>
        <v>2019</v>
      </c>
      <c r="D73" s="4" t="str">
        <f ca="1">IFERROR(__xludf.DUMMYFUNCTION("""COMPUTED_VALUE"""),"Linguagens")</f>
        <v>Linguagens</v>
      </c>
      <c r="E73" s="4" t="str">
        <f ca="1">IFERROR(__xludf.DUMMYFUNCTION("""COMPUTED_VALUE"""),"Literatura")</f>
        <v>Literatura</v>
      </c>
      <c r="F73" s="4" t="str">
        <f ca="1">IFERROR(__xludf.DUMMYFUNCTION("""COMPUTED_VALUE"""),"Literatura")</f>
        <v>Literatura</v>
      </c>
      <c r="G73" s="4"/>
      <c r="H73" s="4"/>
      <c r="I73" s="4" t="str">
        <f ca="1">IFERROR(__xludf.DUMMYFUNCTION("""COMPUTED_VALUE"""),"Azul")</f>
        <v>Azul</v>
      </c>
      <c r="J73" s="4">
        <f ca="1">IFERROR(__xludf.DUMMYFUNCTION("""COMPUTED_VALUE"""),12)</f>
        <v>12</v>
      </c>
      <c r="K73" s="4" t="str">
        <f ca="1">IFERROR(__xludf.DUMMYFUNCTION("""COMPUTED_VALUE"""),"A")</f>
        <v>A</v>
      </c>
      <c r="L73" s="4" t="str">
        <f ca="1">IFERROR(__xludf.DUMMYFUNCTION("""COMPUTED_VALUE"""),"Em suas produções, nem o olho nem o ouvido 
são capazes de encontrar um ponto fixo no qual se 
concentrarem. O espectador das peças de Foreman é 
bombardeado por uma multiplicidade de eventos visuais 
e auditivos. No nível visual, há contínuas mudanças 
d"&amp;"a forma geométrica do palco, mesmo dentro de um 
ato. A iluminação também muda continuamente; suas 
transformações podem ocorrer com lentidão ou rapidez 
e podem afetar o palco e a plateia: os espectadores 
podem de súbito se ver banhados de luz quando os"&amp;" 
canhões são voltados para eles sem aviso. Quanto 
ao som, tudo é gravado: buzinas de carros, sirenes, 
apitos, trechos de jazz, bem como o próprio diálogo. 
O roteiro é fragmentado, composto de frases curtas, 
aforísticas, desconectadas.
DURAND, R. In: "&amp;"CONNOR, S. Cultura pós-moderna: introdução às 
teorias do contemporâneo. São Paulo: Loyola, 1992 (adaptado).
A descrição, que referencia o Teatro Ontológico-
-Histérico do dramaturgo estadunidense Richard Foreman, 
representa uma forma de fazer teatro mar"&amp;"cada pela")</f>
        <v>Em suas produções, nem o olho nem o ouvido 
são capazes de encontrar um ponto fixo no qual se 
concentrarem. O espectador das peças de Foreman é 
bombardeado por uma multiplicidade de eventos visuais 
e auditivos. No nível visual, há contínuas mudanças 
da forma geométrica do palco, mesmo dentro de um 
ato. A iluminação também muda continuamente; suas 
transformações podem ocorrer com lentidão ou rapidez 
e podem afetar o palco e a plateia: os espectadores 
podem de súbito se ver banhados de luz quando os 
canhões são voltados para eles sem aviso. Quanto 
ao som, tudo é gravado: buzinas de carros, sirenes, 
apitos, trechos de jazz, bem como o próprio diálogo. 
O roteiro é fragmentado, composto de frases curtas, 
aforísticas, desconectadas.
DURAND, R. In: CONNOR, S. Cultura pós-moderna: introdução às 
teorias do contemporâneo. São Paulo: Loyola, 1992 (adaptado).
A descrição, que referencia o Teatro Ontológico-
-Histérico do dramaturgo estadunidense Richard Foreman, 
representa uma forma de fazer teatro marcada pela</v>
      </c>
      <c r="M73" s="4" t="str">
        <f ca="1">IFERROR(__xludf.DUMMYFUNCTION("""COMPUTED_VALUE"""),"subversão aos elementos tradicionais da narrativa 
teatral.")</f>
        <v>subversão aos elementos tradicionais da narrativa 
teatral.</v>
      </c>
      <c r="N73" s="4" t="str">
        <f ca="1">IFERROR(__xludf.DUMMYFUNCTION("""COMPUTED_VALUE"""),"visão idealizada do mundo na construção de uma 
narrativa onírica.")</f>
        <v>visão idealizada do mundo na construção de uma 
narrativa onírica.</v>
      </c>
      <c r="O73" s="4" t="str">
        <f ca="1">IFERROR(__xludf.DUMMYFUNCTION("""COMPUTED_VALUE"""),"representação da vida real, aproximando-se de uma 
verdade histórica.")</f>
        <v>representação da vida real, aproximando-se de uma 
verdade histórica.</v>
      </c>
      <c r="P73" s="4" t="str">
        <f ca="1">IFERROR(__xludf.DUMMYFUNCTION("""COMPUTED_VALUE"""),"adaptação aos novos valores da burguesia 
frequentadora de espaços teatrais.")</f>
        <v>adaptação aos novos valores da burguesia 
frequentadora de espaços teatrais.</v>
      </c>
      <c r="Q73" s="4" t="str">
        <f ca="1">IFERROR(__xludf.DUMMYFUNCTION("""COMPUTED_VALUE""")," valorização espetacular do ideal humano, retomando 
o princípio do Classicismo grego.")</f>
        <v xml:space="preserve"> valorização espetacular do ideal humano, retomando 
o princípio do Classicismo grego.</v>
      </c>
      <c r="R73" s="4"/>
      <c r="S73" s="4"/>
      <c r="T73" s="4"/>
      <c r="U73" s="4"/>
      <c r="V73" s="4"/>
      <c r="W73" s="4"/>
      <c r="X73" s="4"/>
      <c r="Y73" s="4"/>
      <c r="Z73" s="4"/>
    </row>
    <row r="74" spans="1:26" x14ac:dyDescent="0.25">
      <c r="A74" s="3" t="str">
        <f ca="1">IFERROR(__xludf.DUMMYFUNCTION("""COMPUTED_VALUE"""),"https://drive.google.com/open?id=1-rigo8wXxrWQ2WDfjt2o3oyATbfMdbvJ")</f>
        <v>https://drive.google.com/open?id=1-rigo8wXxrWQ2WDfjt2o3oyATbfMdbvJ</v>
      </c>
      <c r="B74" s="4" t="str">
        <f ca="1">IFERROR(__xludf.DUMMYFUNCTION("""COMPUTED_VALUE"""),"Enem")</f>
        <v>Enem</v>
      </c>
      <c r="C74" s="4">
        <f ca="1">IFERROR(__xludf.DUMMYFUNCTION("""COMPUTED_VALUE"""),2019)</f>
        <v>2019</v>
      </c>
      <c r="D74" s="4" t="str">
        <f ca="1">IFERROR(__xludf.DUMMYFUNCTION("""COMPUTED_VALUE"""),"Linguagens")</f>
        <v>Linguagens</v>
      </c>
      <c r="E74" s="4" t="str">
        <f ca="1">IFERROR(__xludf.DUMMYFUNCTION("""COMPUTED_VALUE"""),"Literatura")</f>
        <v>Literatura</v>
      </c>
      <c r="F74" s="4" t="str">
        <f ca="1">IFERROR(__xludf.DUMMYFUNCTION("""COMPUTED_VALUE"""),"Literatura")</f>
        <v>Literatura</v>
      </c>
      <c r="G74" s="4"/>
      <c r="H74" s="4"/>
      <c r="I74" s="4" t="str">
        <f ca="1">IFERROR(__xludf.DUMMYFUNCTION("""COMPUTED_VALUE"""),"Azul")</f>
        <v>Azul</v>
      </c>
      <c r="J74" s="4">
        <f ca="1">IFERROR(__xludf.DUMMYFUNCTION("""COMPUTED_VALUE"""),14)</f>
        <v>14</v>
      </c>
      <c r="K74" s="4" t="str">
        <f ca="1">IFERROR(__xludf.DUMMYFUNCTION("""COMPUTED_VALUE"""),"E")</f>
        <v>E</v>
      </c>
      <c r="L74" s="4" t="str">
        <f ca="1">IFERROR(__xludf.DUMMYFUNCTION("""COMPUTED_VALUE"""),"O mato do Mutúm é um enorme mundo preto, que 
nasce dos buracões e sobe a serra. O guará-lobo trota 
a vago no campo. As pessôas mais velhas são inimigas 
dos meninos. Soltam e estumam cachorros, para ir 
matar os bichinhos assustados — o tatú que se agar"&amp;"ra 
no chão dando guinchos suplicantes, os macacos que 
fazem artes, o coelho que mesmo até quando dorme 
todo-tempo sonha que está sendo perseguido. O tatú 
levanta as mãozinhas cruzadas, ele não sabe — e os 
cachorros estão rasgando o sangue dele, e ele"&amp;" pega a 
sororocar. O tamanduá. Tamanduá passeia no cerrado, 
na beira do capoeirão. Ele conhece as árvores, abraça 
as árvores. Nenhum nem pode rezar, triste é o gemido 
deles campeando socôrro. Todo choro suplicando por 
socôrro é feito para Nossa Senho"&amp;"ra, como quem diz 
a salve-rainha. Tem uma Nossa Senhora velhinha. Os 
homens, pé-ante-pé, indo a peitavento, cercaram o 
casal de tamanduás, encantoados contra o barranco, 
o casal de tamanduás estavam dormindo. Os homens 
empurraram com a vara de ferrão"&amp;", com pancada bruta, 
o tamanduá que se acordava. Deu som surdo, no corpo 
do bicho, quando bateram, o tamanduá caiu pra lá, como 
um colchão velho.
ROSA, G. Noites do sertão (Corpo de baile). 
Rio de Janeiro: Nova Fronteira, 2016.
Na obra de Guimarães Ro"&amp;"sa, destaca-se o aspecto 
afetivo no contorno da paisagem dos sertões mineiros. 
Nesse fragmento, o narrador empresta à cena uma 
expressividade apoiada na")</f>
        <v>O mato do Mutúm é um enorme mundo preto, que 
nasce dos buracões e sobe a serra. O guará-lobo trota 
a vago no campo. As pessôas mais velhas são inimigas 
dos meninos. Soltam e estumam cachorros, para ir 
matar os bichinhos assustados — o tatú que se agarra 
no chão dando guinchos suplicantes, os macacos que 
fazem artes, o coelho que mesmo até quando dorme 
todo-tempo sonha que está sendo perseguido. O tatú 
levanta as mãozinhas cruzadas, ele não sabe — e os 
cachorros estão rasgando o sangue dele, e ele pega a 
sororocar. O tamanduá. Tamanduá passeia no cerrado, 
na beira do capoeirão. Ele conhece as árvores, abraça 
as árvores. Nenhum nem pode rezar, triste é o gemido 
deles campeando socôrro. Todo choro suplicando por 
socôrro é feito para Nossa Senhora, como quem diz 
a salve-rainha. Tem uma Nossa Senhora velhinha. Os 
homens, pé-ante-pé, indo a peitavento, cercaram o 
casal de tamanduás, encantoados contra o barranco, 
o casal de tamanduás estavam dormindo. Os homens 
empurraram com a vara de ferrão, com pancada bruta, 
o tamanduá que se acordava. Deu som surdo, no corpo 
do bicho, quando bateram, o tamanduá caiu pra lá, como 
um colchão velho.
ROSA, G. Noites do sertão (Corpo de baile). 
Rio de Janeiro: Nova Fronteira, 2016.
Na obra de Guimarães Rosa, destaca-se o aspecto 
afetivo no contorno da paisagem dos sertões mineiros. 
Nesse fragmento, o narrador empresta à cena uma 
expressividade apoiada na</v>
      </c>
      <c r="M74" s="4" t="str">
        <f ca="1">IFERROR(__xludf.DUMMYFUNCTION("""COMPUTED_VALUE"""),"plasticidade de cores e sons dos elementos nativos")</f>
        <v>plasticidade de cores e sons dos elementos nativos</v>
      </c>
      <c r="N74" s="4" t="str">
        <f ca="1">IFERROR(__xludf.DUMMYFUNCTION("""COMPUTED_VALUE"""),"dinâmica do ataque e da fuga na luta pela 
sobrevivência.")</f>
        <v>dinâmica do ataque e da fuga na luta pela 
sobrevivência.</v>
      </c>
      <c r="O74" s="4" t="str">
        <f ca="1">IFERROR(__xludf.DUMMYFUNCTION("""COMPUTED_VALUE"""),"religiosidade na contemplação do sertanejo e de 
seus costumes")</f>
        <v>religiosidade na contemplação do sertanejo e de 
seus costumes</v>
      </c>
      <c r="P74" s="4" t="str">
        <f ca="1">IFERROR(__xludf.DUMMYFUNCTION("""COMPUTED_VALUE"""),"correspondência entre práticas e tradições e a 
hostilidade do campo.")</f>
        <v>correspondência entre práticas e tradições e a 
hostilidade do campo.</v>
      </c>
      <c r="Q74" s="4" t="str">
        <f ca="1">IFERROR(__xludf.DUMMYFUNCTION("""COMPUTED_VALUE"""),"humanização da presa em contraste com o desdém 
e a ferocidade do homem.")</f>
        <v>humanização da presa em contraste com o desdém 
e a ferocidade do homem.</v>
      </c>
      <c r="R74" s="4"/>
      <c r="S74" s="4"/>
      <c r="T74" s="4"/>
      <c r="U74" s="4"/>
      <c r="V74" s="4"/>
      <c r="W74" s="4"/>
      <c r="X74" s="4"/>
      <c r="Y74" s="4"/>
      <c r="Z74" s="4"/>
    </row>
    <row r="75" spans="1:26" x14ac:dyDescent="0.25">
      <c r="A75" s="3" t="str">
        <f ca="1">IFERROR(__xludf.DUMMYFUNCTION("""COMPUTED_VALUE"""),"https://drive.google.com/open?id=1YrAFNwYXPKKdbSLDuHgSYrwjHQhJURPn")</f>
        <v>https://drive.google.com/open?id=1YrAFNwYXPKKdbSLDuHgSYrwjHQhJURPn</v>
      </c>
      <c r="B75" s="4" t="str">
        <f ca="1">IFERROR(__xludf.DUMMYFUNCTION("""COMPUTED_VALUE"""),"Enem")</f>
        <v>Enem</v>
      </c>
      <c r="C75" s="4">
        <f ca="1">IFERROR(__xludf.DUMMYFUNCTION("""COMPUTED_VALUE"""),2019)</f>
        <v>2019</v>
      </c>
      <c r="D75" s="4" t="str">
        <f ca="1">IFERROR(__xludf.DUMMYFUNCTION("""COMPUTED_VALUE"""),"Linguagens")</f>
        <v>Linguagens</v>
      </c>
      <c r="E75" s="4" t="str">
        <f ca="1">IFERROR(__xludf.DUMMYFUNCTION("""COMPUTED_VALUE"""),"Literatura")</f>
        <v>Literatura</v>
      </c>
      <c r="F75" s="4" t="str">
        <f ca="1">IFERROR(__xludf.DUMMYFUNCTION("""COMPUTED_VALUE"""),"Literatura")</f>
        <v>Literatura</v>
      </c>
      <c r="G75" s="4"/>
      <c r="H75" s="4"/>
      <c r="I75" s="4" t="str">
        <f ca="1">IFERROR(__xludf.DUMMYFUNCTION("""COMPUTED_VALUE"""),"Azul")</f>
        <v>Azul</v>
      </c>
      <c r="J75" s="4">
        <f ca="1">IFERROR(__xludf.DUMMYFUNCTION("""COMPUTED_VALUE"""),19)</f>
        <v>19</v>
      </c>
      <c r="K75" s="4" t="str">
        <f ca="1">IFERROR(__xludf.DUMMYFUNCTION("""COMPUTED_VALUE"""),"B")</f>
        <v>B</v>
      </c>
      <c r="L75" s="4" t="str">
        <f ca="1">IFERROR(__xludf.DUMMYFUNCTION("""COMPUTED_VALUE"""),"A nossa emotividade literária só se interessa pelos 
populares do sertão, unicamente porque são pitorescos 
e talvez não se possa verificar a verdade de suas 
criações. No mais é uma continuação do exame de 
português, uma retórica mais difícil, a se dese"&amp;"nvolver 
por este tema sempre o mesmo: Dona Dulce, moça 
de Botafogo em Petrópolis, que se casa com o 
Dr. Frederico. O comendador seu pai não quer 
porque o tal Dr. Frederico, apesar de doutor, não tem 
emprego. Dulce vai à superiora do colégio de irmãs."&amp;" 
Esta escreve à mulher do ministro, antiga aluna 
do colégio, que arranja um emprego para o rapaz. 
Está acabada a história. É preciso não esquecer que 
Frederico é moço pobre, isto é, o pai tem dinheiro, 
fazenda ou engenho, mas não pode dar uma mesada "&amp;"
grande.
Está aí o grande drama de amor em nossas letras, e 
o tema de seu ciclo literário.
BARRETO, L. Vida e morte de MJ Gonzaga de Sá. Disponível em: 
www.brasiliana.usp.br. Acesso em: 10 ago. 2017.
Situado num momento de transição, Lima Barreto 
produ"&amp;"ziu uma literatura renovadora em diversos 
aspectos. No fragmento, esse viés se fundamenta na")</f>
        <v>A nossa emotividade literária só se interessa pelos 
populares do sertão, unicamente porque são pitorescos 
e talvez não se possa verificar a verdade de suas 
criações. No mais é uma continuação do exame de 
português, uma retórica mais difícil, a se desenvolver 
por este tema sempre o mesmo: Dona Dulce, moça 
de Botafogo em Petrópolis, que se casa com o 
Dr. Frederico. O comendador seu pai não quer 
porque o tal Dr. Frederico, apesar de doutor, não tem 
emprego. Dulce vai à superiora do colégio de irmãs. 
Esta escreve à mulher do ministro, antiga aluna 
do colégio, que arranja um emprego para o rapaz. 
Está acabada a história. É preciso não esquecer que 
Frederico é moço pobre, isto é, o pai tem dinheiro, 
fazenda ou engenho, mas não pode dar uma mesada 
grande.
Está aí o grande drama de amor em nossas letras, e 
o tema de seu ciclo literário.
BARRETO, L. Vida e morte de MJ Gonzaga de Sá. Disponível em: 
www.brasiliana.usp.br. Acesso em: 10 ago. 2017.
Situado num momento de transição, Lima Barreto 
produziu uma literatura renovadora em diversos 
aspectos. No fragmento, esse viés se fundamenta na</v>
      </c>
      <c r="M75" s="4" t="str">
        <f ca="1">IFERROR(__xludf.DUMMYFUNCTION("""COMPUTED_VALUE"""),"releitura da importância do regionalismo.")</f>
        <v>releitura da importância do regionalismo.</v>
      </c>
      <c r="N75" s="4" t="str">
        <f ca="1">IFERROR(__xludf.DUMMYFUNCTION("""COMPUTED_VALUE"""),"ironia ao folhetim da tradição romântica.")</f>
        <v>ironia ao folhetim da tradição romântica.</v>
      </c>
      <c r="O75" s="4" t="str">
        <f ca="1">IFERROR(__xludf.DUMMYFUNCTION("""COMPUTED_VALUE"""),"desconstrução da formalidade parnasiana.")</f>
        <v>desconstrução da formalidade parnasiana.</v>
      </c>
      <c r="P75" s="4" t="str">
        <f ca="1">IFERROR(__xludf.DUMMYFUNCTION("""COMPUTED_VALUE"""),"quebra da padronização do gênero narrativo.")</f>
        <v>quebra da padronização do gênero narrativo.</v>
      </c>
      <c r="Q75" s="4" t="str">
        <f ca="1">IFERROR(__xludf.DUMMYFUNCTION("""COMPUTED_VALUE"""),"rejeição à classificação dos estilos de época.")</f>
        <v>rejeição à classificação dos estilos de época.</v>
      </c>
      <c r="R75" s="4"/>
      <c r="S75" s="4"/>
      <c r="T75" s="4"/>
      <c r="U75" s="4"/>
      <c r="V75" s="4"/>
      <c r="W75" s="4"/>
      <c r="X75" s="4"/>
      <c r="Y75" s="4"/>
      <c r="Z75" s="4"/>
    </row>
    <row r="76" spans="1:26" x14ac:dyDescent="0.25">
      <c r="A76" s="3" t="str">
        <f ca="1">IFERROR(__xludf.DUMMYFUNCTION("""COMPUTED_VALUE"""),"https://drive.google.com/open?id=1vdrArF8NH9JkVSaA6tkFCwkcOIQVjvGu")</f>
        <v>https://drive.google.com/open?id=1vdrArF8NH9JkVSaA6tkFCwkcOIQVjvGu</v>
      </c>
      <c r="B76" s="4" t="str">
        <f ca="1">IFERROR(__xludf.DUMMYFUNCTION("""COMPUTED_VALUE"""),"Enem")</f>
        <v>Enem</v>
      </c>
      <c r="C76" s="4">
        <f ca="1">IFERROR(__xludf.DUMMYFUNCTION("""COMPUTED_VALUE"""),2019)</f>
        <v>2019</v>
      </c>
      <c r="D76" s="4" t="str">
        <f ca="1">IFERROR(__xludf.DUMMYFUNCTION("""COMPUTED_VALUE"""),"Linguagens")</f>
        <v>Linguagens</v>
      </c>
      <c r="E76" s="4" t="str">
        <f ca="1">IFERROR(__xludf.DUMMYFUNCTION("""COMPUTED_VALUE"""),"Literatura")</f>
        <v>Literatura</v>
      </c>
      <c r="F76" s="4" t="str">
        <f ca="1">IFERROR(__xludf.DUMMYFUNCTION("""COMPUTED_VALUE"""),"Literatura")</f>
        <v>Literatura</v>
      </c>
      <c r="G76" s="4"/>
      <c r="H76" s="4"/>
      <c r="I76" s="4" t="str">
        <f ca="1">IFERROR(__xludf.DUMMYFUNCTION("""COMPUTED_VALUE"""),"Azul")</f>
        <v>Azul</v>
      </c>
      <c r="J76" s="4">
        <f ca="1">IFERROR(__xludf.DUMMYFUNCTION("""COMPUTED_VALUE"""),25)</f>
        <v>25</v>
      </c>
      <c r="K76" s="4" t="str">
        <f ca="1">IFERROR(__xludf.DUMMYFUNCTION("""COMPUTED_VALUE"""),"A")</f>
        <v>A</v>
      </c>
      <c r="L76" s="4" t="str">
        <f ca="1">IFERROR(__xludf.DUMMYFUNCTION("""COMPUTED_VALUE"""),"Biografia de Pasárgada
Quando eu tinha meus 15 anos e traduzia na classe 
de grego do D. Pedro II a Ciropédia fiquei encantado 
com o nome dessa cidadezinha fundada por Ciro, 
o Antigo, nas montanhas do sul da Pérsia, para lá 
passar os verões. A minha im"&amp;"aginação de adolescente 
começou a trabalhar, e vi Pasárgada e vivi durante 
alguns anos em Pasárgada.
Mais de vinte anos depois, num momento de 
profundo desânimo, saltou-me do subconsciente este 
grito de evasão: “Vou-me embora pra Pasárgada!” 
Imediata"&amp;"mente senti que era a célula de um poema. 
Peguei do lápis e do papel, mas o poema não veio. Não 
pensei mais nisso. Uns cinco anos mais tarde, o mesmo 
grito de evasão nas mesmas circunstâncias. Desta vez, 
o poema saiu quase ao correr da pena. Se há bel"&amp;"ezas 
em “Vou-me embora pra Pasárgada!”, elas não passam 
de acidentes. Não construí o poema, ele construiu-se 
em mim, nos recessos do subconsciente, utilizando as 
reminiscências da infância — as histórias que Rosa, 
minha ama-seca mulata, me contava, o"&amp;" sonho jamais 
realizado de uma bicicleta etc.
BANDEIRA, M. Itinerário de Pasárgada. São Paulo: Global, 2012.
O texto é um depoimento de Manuel Bandeira a respeito 
da criação de um de seus poemas mais conhecidos. 
De acordo com esse depoimento, o fazer p"&amp;"oético em 
“Vou-me embora pra Pasárgada!”")</f>
        <v>Biografia de Pasárgada
Quando eu tinha meus 15 anos e traduzia na classe 
de grego do D. Pedro II a Ciropédia fiquei encantado 
com o nome dessa cidadezinha fundada por Ciro, 
o Antigo, nas montanhas do sul da Pérsia, para lá 
passar os verões. A minha imaginação de adolescente 
começou a trabalhar, e vi Pasárgada e vivi durante 
alguns anos em Pasárgada.
Mais de vinte anos depois, num momento de 
profundo desânimo, saltou-me do subconsciente este 
grito de evasão: “Vou-me embora pra Pasárgada!” 
Imediatamente senti que era a célula de um poema. 
Peguei do lápis e do papel, mas o poema não veio. Não 
pensei mais nisso. Uns cinco anos mais tarde, o mesmo 
grito de evasão nas mesmas circunstâncias. Desta vez, 
o poema saiu quase ao correr da pena. Se há belezas 
em “Vou-me embora pra Pasárgada!”, elas não passam 
de acidentes. Não construí o poema, ele construiu-se 
em mim, nos recessos do subconsciente, utilizando as 
reminiscências da infância — as histórias que Rosa, 
minha ama-seca mulata, me contava, o sonho jamais 
realizado de uma bicicleta etc.
BANDEIRA, M. Itinerário de Pasárgada. São Paulo: Global, 2012.
O texto é um depoimento de Manuel Bandeira a respeito 
da criação de um de seus poemas mais conhecidos. 
De acordo com esse depoimento, o fazer poético em 
“Vou-me embora pra Pasárgada!”</v>
      </c>
      <c r="M76" s="4" t="str">
        <f ca="1">IFERROR(__xludf.DUMMYFUNCTION("""COMPUTED_VALUE"""),"acontece de maneira progressiva, natural e pouco 
intencional.")</f>
        <v>acontece de maneira progressiva, natural e pouco 
intencional.</v>
      </c>
      <c r="N76" s="4" t="str">
        <f ca="1">IFERROR(__xludf.DUMMYFUNCTION("""COMPUTED_VALUE"""),"decorre de uma inspiração fulminante, num momento 
de extrema emoção.")</f>
        <v>decorre de uma inspiração fulminante, num momento 
de extrema emoção.</v>
      </c>
      <c r="O76" s="4" t="str">
        <f ca="1">IFERROR(__xludf.DUMMYFUNCTION("""COMPUTED_VALUE"""),"ratifica as informações do senso comum de que 
Pasárgada é a representação de um lugar utópico.")</f>
        <v>ratifica as informações do senso comum de que 
Pasárgada é a representação de um lugar utópico.</v>
      </c>
      <c r="P76" s="4" t="str">
        <f ca="1">IFERROR(__xludf.DUMMYFUNCTION("""COMPUTED_VALUE"""),"resulta das mais fortes lembranças da juventude do 
poeta e de seu envolvimento com a literatura grega.")</f>
        <v>resulta das mais fortes lembranças da juventude do 
poeta e de seu envolvimento com a literatura grega.</v>
      </c>
      <c r="Q76" s="4" t="str">
        <f ca="1">IFERROR(__xludf.DUMMYFUNCTION("""COMPUTED_VALUE"""),"remete a um tempo da vida de Manuel Bandeira 
marcado por desigualdades sociais e econômicas.")</f>
        <v>remete a um tempo da vida de Manuel Bandeira 
marcado por desigualdades sociais e econômicas.</v>
      </c>
      <c r="R76" s="4"/>
      <c r="S76" s="4"/>
      <c r="T76" s="4"/>
      <c r="U76" s="4"/>
      <c r="V76" s="4"/>
      <c r="W76" s="4"/>
      <c r="X76" s="4"/>
      <c r="Y76" s="4"/>
      <c r="Z76" s="4"/>
    </row>
    <row r="77" spans="1:26" x14ac:dyDescent="0.25">
      <c r="A77" s="3" t="str">
        <f ca="1">IFERROR(__xludf.DUMMYFUNCTION("""COMPUTED_VALUE"""),"https://drive.google.com/open?id=1MvUrXdH_ql0F_QudnOMKVva5ivwpk2Hr")</f>
        <v>https://drive.google.com/open?id=1MvUrXdH_ql0F_QudnOMKVva5ivwpk2Hr</v>
      </c>
      <c r="B77" s="4" t="str">
        <f ca="1">IFERROR(__xludf.DUMMYFUNCTION("""COMPUTED_VALUE"""),"Enem")</f>
        <v>Enem</v>
      </c>
      <c r="C77" s="4">
        <f ca="1">IFERROR(__xludf.DUMMYFUNCTION("""COMPUTED_VALUE"""),2019)</f>
        <v>2019</v>
      </c>
      <c r="D77" s="4" t="str">
        <f ca="1">IFERROR(__xludf.DUMMYFUNCTION("""COMPUTED_VALUE"""),"Linguagens")</f>
        <v>Linguagens</v>
      </c>
      <c r="E77" s="4" t="str">
        <f ca="1">IFERROR(__xludf.DUMMYFUNCTION("""COMPUTED_VALUE"""),"Literatura")</f>
        <v>Literatura</v>
      </c>
      <c r="F77" s="4" t="str">
        <f ca="1">IFERROR(__xludf.DUMMYFUNCTION("""COMPUTED_VALUE"""),"Literatura")</f>
        <v>Literatura</v>
      </c>
      <c r="G77" s="4"/>
      <c r="H77" s="4"/>
      <c r="I77" s="4" t="str">
        <f ca="1">IFERROR(__xludf.DUMMYFUNCTION("""COMPUTED_VALUE"""),"Azul")</f>
        <v>Azul</v>
      </c>
      <c r="J77" s="4">
        <f ca="1">IFERROR(__xludf.DUMMYFUNCTION("""COMPUTED_VALUE"""),31)</f>
        <v>31</v>
      </c>
      <c r="K77" s="4" t="str">
        <f ca="1">IFERROR(__xludf.DUMMYFUNCTION("""COMPUTED_VALUE"""),"D")</f>
        <v>D</v>
      </c>
      <c r="L77" s="4" t="str">
        <f ca="1">IFERROR(__xludf.DUMMYFUNCTION("""COMPUTED_VALUE"""),"A
Esbraseia o Ocidente na agonia
O sol... Aves em bandos destacados,
Por céus de ouro e púrpura raiados,
Fogem... Fecha-se a pálpebra do dia...
Delineiam-se além da serrania
Os vértices de chamas aureolados,
E em tudo, em torno, esbatem derramados
Uns ton"&amp;"s suaves de melancolia.
Um mundo de vapores no ar flutua...
Como uma informe nódoa avulta e cresce
A sombra à proporção que a luz recua.
A natureza apática esmaece...
Pouco a pouco, entre as árvores, a lua
Surge trêmula, trêmula... Anoitece.
CORRÊA, R. Di"&amp;"sponível em: www.brasiliana.usp.br. 
Acesso em: 13 ago. 2017.
Composição de formato fixo, o soneto tornou-se um 
modelo particularmente ajustado à poesia parnasiana. 
No poema de Raimundo Corrêa, remete(m) a 
essa estética")</f>
        <v>A
Esbraseia o Ocidente na agonia
O sol... Aves em bandos destacados,
Por céus de ouro e púrpura raiados,
Fogem... Fecha-se a pálpebra do dia...
Delineiam-se além da serrania
Os vértices de chamas aureolados,
E em tudo, em torno, esbatem derramados
Uns tons suaves de melancolia.
Um mundo de vapores no ar flutua...
Como uma informe nódoa avulta e cresce
A sombra à proporção que a luz recua.
A natureza apática esmaece...
Pouco a pouco, entre as árvores, a lua
Surge trêmula, trêmula... Anoitece.
CORRÊA, R. Disponível em: www.brasiliana.usp.br. 
Acesso em: 13 ago. 2017.
Composição de formato fixo, o soneto tornou-se um 
modelo particularmente ajustado à poesia parnasiana. 
No poema de Raimundo Corrêa, remete(m) a 
essa estética</v>
      </c>
      <c r="M77" s="4" t="str">
        <f ca="1">IFERROR(__xludf.DUMMYFUNCTION("""COMPUTED_VALUE"""),"as metáforas inspiradas na visão da natureza.")</f>
        <v>as metáforas inspiradas na visão da natureza.</v>
      </c>
      <c r="N77" s="4" t="str">
        <f ca="1">IFERROR(__xludf.DUMMYFUNCTION("""COMPUTED_VALUE"""),"a ausência de emotividade pelo eu lírico.")</f>
        <v>a ausência de emotividade pelo eu lírico.</v>
      </c>
      <c r="O77" s="4" t="str">
        <f ca="1">IFERROR(__xludf.DUMMYFUNCTION("""COMPUTED_VALUE"""),"a retórica ornamental desvinculada da realidade.")</f>
        <v>a retórica ornamental desvinculada da realidade.</v>
      </c>
      <c r="P77" s="4" t="str">
        <f ca="1">IFERROR(__xludf.DUMMYFUNCTION("""COMPUTED_VALUE"""),"o uso da descrição como meio de expressividade.")</f>
        <v>o uso da descrição como meio de expressividade.</v>
      </c>
      <c r="Q77" s="4" t="str">
        <f ca="1">IFERROR(__xludf.DUMMYFUNCTION("""COMPUTED_VALUE"""),"o vínculo a temas comuns à Antiguidade Clássica.")</f>
        <v>o vínculo a temas comuns à Antiguidade Clássica.</v>
      </c>
      <c r="R77" s="4"/>
      <c r="S77" s="4"/>
      <c r="T77" s="4"/>
      <c r="U77" s="4"/>
      <c r="V77" s="4"/>
      <c r="W77" s="4"/>
      <c r="X77" s="4"/>
      <c r="Y77" s="4"/>
      <c r="Z77" s="4"/>
    </row>
    <row r="78" spans="1:26" x14ac:dyDescent="0.25">
      <c r="A78" s="3" t="str">
        <f ca="1">IFERROR(__xludf.DUMMYFUNCTION("""COMPUTED_VALUE"""),"https://drive.google.com/open?id=1vLP0xbx2AuARSTb8JSFa_n3sPyvSGAtn")</f>
        <v>https://drive.google.com/open?id=1vLP0xbx2AuARSTb8JSFa_n3sPyvSGAtn</v>
      </c>
      <c r="B78" s="4" t="str">
        <f ca="1">IFERROR(__xludf.DUMMYFUNCTION("""COMPUTED_VALUE"""),"Enem")</f>
        <v>Enem</v>
      </c>
      <c r="C78" s="4">
        <f ca="1">IFERROR(__xludf.DUMMYFUNCTION("""COMPUTED_VALUE"""),2019)</f>
        <v>2019</v>
      </c>
      <c r="D78" s="4" t="str">
        <f ca="1">IFERROR(__xludf.DUMMYFUNCTION("""COMPUTED_VALUE"""),"Linguagens")</f>
        <v>Linguagens</v>
      </c>
      <c r="E78" s="4" t="str">
        <f ca="1">IFERROR(__xludf.DUMMYFUNCTION("""COMPUTED_VALUE"""),"Literatura")</f>
        <v>Literatura</v>
      </c>
      <c r="F78" s="4" t="str">
        <f ca="1">IFERROR(__xludf.DUMMYFUNCTION("""COMPUTED_VALUE"""),"Literatura")</f>
        <v>Literatura</v>
      </c>
      <c r="G78" s="4"/>
      <c r="H78" s="4"/>
      <c r="I78" s="4" t="str">
        <f ca="1">IFERROR(__xludf.DUMMYFUNCTION("""COMPUTED_VALUE"""),"Azul")</f>
        <v>Azul</v>
      </c>
      <c r="J78" s="4">
        <f ca="1">IFERROR(__xludf.DUMMYFUNCTION("""COMPUTED_VALUE"""),36)</f>
        <v>36</v>
      </c>
      <c r="K78" s="4" t="str">
        <f ca="1">IFERROR(__xludf.DUMMYFUNCTION("""COMPUTED_VALUE"""),"A")</f>
        <v>A</v>
      </c>
      <c r="L78" s="4" t="str">
        <f ca="1">IFERROR(__xludf.DUMMYFUNCTION("""COMPUTED_VALUE"""),"As cores
Maria Alice abandonou o livro onde seus dedos 
longos liam uma história de amor. Em seu pequeno 
mundo de volumes, de cheiros, de sons, todas aquelas 
palavras eram a perpétua renovação dos mistérios em 
cujo seio sua imaginação se perdia. [...] "&amp;"Como seria cor 
e o que seria? [...]. Era, com certeza, a nota marcante de 
todas as coisas para aqueles cujos olhos viam, aqueles 
olhos que tantas vezes palpara com inveja calada e 
que se fechavam, quando os tocava, sensíveis como 
pássaros assustados,"&amp;" palpitantes de vida, sob seus 
dedos trêmulos, que diziam ser claros. Que seria o 
claro, afinal? Algo que aprendera, de há muito, ser igual 
ao branco. [...]
E agora Maria Alice voltava outra vez ao Instituto. 
E ao grande amigo que lá conhecera. [...]."&amp;" Lembrava-se 
da ternura daquela voz, da beleza daquela voz. De como 
se adivinhavam entre dezenas de outros e suas mãos 
se encontravam. De como as palavras de amor tinham 
irrompido e suas bocas se encontrado... De como um dia 
seus pais haviam surgido "&amp;"inesperadamente no Instituto e 
a haviam levado à sala do diretor e se haviam queixado 
da falta de vigilância e moralidade no estabelecimento. 
E de como, no momento em que a retiravam e quando 
ela disse que pretendia se despedir de um amigo pelo 
qual "&amp;"tinha grande afeição e com quem se queria casar, o 
pai exclamara, horrorizado:
— Você não tem juízo, criatura? Casar-se com um 
mulato? Nunca!
Mulato era cor. Estava longe aquele dia. Estava 
longe o Instituto, ao qual não saberia voltar, do qual 
nunca "&amp;"mais tivera notícia, e do qual somente restara o 
privilégio de caminhar sozinha pelo reino dos livros, tão 
parecido com a vida dos outros, tão cheio de cores...
LESSA, O. Seleta de Orígenes Lessa. 
Rio de Janeiro: José Olympio, 1973.
No texto, a condiçã"&amp;"o da personagem e os 
desdobramentos da narrativa conduzem o leitor a 
compreender o(a)")</f>
        <v>As cores
Maria Alice abandonou o livro onde seus dedos 
longos liam uma história de amor. Em seu pequeno 
mundo de volumes, de cheiros, de sons, todas aquelas 
palavras eram a perpétua renovação dos mistérios em 
cujo seio sua imaginação se perdia. [...] Como seria cor 
e o que seria? [...]. Era, com certeza, a nota marcante de 
todas as coisas para aqueles cujos olhos viam, aqueles 
olhos que tantas vezes palpara com inveja calada e 
que se fechavam, quando os tocava, sensíveis como 
pássaros assustados, palpitantes de vida, sob seus 
dedos trêmulos, que diziam ser claros. Que seria o 
claro, afinal? Algo que aprendera, de há muito, ser igual 
ao branco. [...]
E agora Maria Alice voltava outra vez ao Instituto. 
E ao grande amigo que lá conhecera. [...]. Lembrava-se 
da ternura daquela voz, da beleza daquela voz. De como 
se adivinhavam entre dezenas de outros e suas mãos 
se encontravam. De como as palavras de amor tinham 
irrompido e suas bocas se encontrado... De como um dia 
seus pais haviam surgido inesperadamente no Instituto e 
a haviam levado à sala do diretor e se haviam queixado 
da falta de vigilância e moralidade no estabelecimento. 
E de como, no momento em que a retiravam e quando 
ela disse que pretendia se despedir de um amigo pelo 
qual tinha grande afeição e com quem se queria casar, o 
pai exclamara, horrorizado:
— Você não tem juízo, criatura? Casar-se com um 
mulato? Nunca!
Mulato era cor. Estava longe aquele dia. Estava 
longe o Instituto, ao qual não saberia voltar, do qual 
nunca mais tivera notícia, e do qual somente restara o 
privilégio de caminhar sozinha pelo reino dos livros, tão 
parecido com a vida dos outros, tão cheio de cores...
LESSA, O. Seleta de Orígenes Lessa. 
Rio de Janeiro: José Olympio, 1973.
No texto, a condição da personagem e os 
desdobramentos da narrativa conduzem o leitor a 
compreender o(a)</v>
      </c>
      <c r="M78" s="4" t="str">
        <f ca="1">IFERROR(__xludf.DUMMYFUNCTION("""COMPUTED_VALUE"""),"percepção das cores como metáfora da discriminação 
racial.")</f>
        <v>percepção das cores como metáfora da discriminação 
racial.</v>
      </c>
      <c r="N78" s="4" t="str">
        <f ca="1">IFERROR(__xludf.DUMMYFUNCTION("""COMPUTED_VALUE"""),"privação da visão como elemento definidor das 
relações humanas.")</f>
        <v>privação da visão como elemento definidor das 
relações humanas.</v>
      </c>
      <c r="O78" s="4" t="str">
        <f ca="1">IFERROR(__xludf.DUMMYFUNCTION("""COMPUTED_VALUE"""),"contraste entre as representações do amor de 
diferentes gerações.")</f>
        <v>contraste entre as representações do amor de 
diferentes gerações.</v>
      </c>
      <c r="P78" s="4" t="str">
        <f ca="1">IFERROR(__xludf.DUMMYFUNCTION("""COMPUTED_VALUE"""),"prevalência das diferenças sociais sobre a liberdade 
das relações afetivas.")</f>
        <v>prevalência das diferenças sociais sobre a liberdade 
das relações afetivas.</v>
      </c>
      <c r="Q78" s="4" t="str">
        <f ca="1">IFERROR(__xludf.DUMMYFUNCTION("""COMPUTED_VALUE"""),"embate entre a ingenuidade juvenil e a manutenção 
de tradições familiares.")</f>
        <v>embate entre a ingenuidade juvenil e a manutenção 
de tradições familiares.</v>
      </c>
      <c r="R78" s="4"/>
      <c r="S78" s="4"/>
      <c r="T78" s="4"/>
      <c r="U78" s="4"/>
      <c r="V78" s="4"/>
      <c r="W78" s="4"/>
      <c r="X78" s="4"/>
      <c r="Y78" s="4"/>
      <c r="Z78" s="4"/>
    </row>
    <row r="79" spans="1:26" x14ac:dyDescent="0.25">
      <c r="A79" s="3" t="str">
        <f ca="1">IFERROR(__xludf.DUMMYFUNCTION("""COMPUTED_VALUE"""),"https://drive.google.com/open?id=1vb6SpnFpO7QpjL2NKKt3zcZffgjslj3K")</f>
        <v>https://drive.google.com/open?id=1vb6SpnFpO7QpjL2NKKt3zcZffgjslj3K</v>
      </c>
      <c r="B79" s="4" t="str">
        <f ca="1">IFERROR(__xludf.DUMMYFUNCTION("""COMPUTED_VALUE"""),"Enem")</f>
        <v>Enem</v>
      </c>
      <c r="C79" s="4">
        <f ca="1">IFERROR(__xludf.DUMMYFUNCTION("""COMPUTED_VALUE"""),2019)</f>
        <v>2019</v>
      </c>
      <c r="D79" s="4" t="str">
        <f ca="1">IFERROR(__xludf.DUMMYFUNCTION("""COMPUTED_VALUE"""),"Linguagens")</f>
        <v>Linguagens</v>
      </c>
      <c r="E79" s="4" t="str">
        <f ca="1">IFERROR(__xludf.DUMMYFUNCTION("""COMPUTED_VALUE"""),"Literatura")</f>
        <v>Literatura</v>
      </c>
      <c r="F79" s="4" t="str">
        <f ca="1">IFERROR(__xludf.DUMMYFUNCTION("""COMPUTED_VALUE"""),"Literatura")</f>
        <v>Literatura</v>
      </c>
      <c r="G79" s="4"/>
      <c r="H79" s="4"/>
      <c r="I79" s="4" t="str">
        <f ca="1">IFERROR(__xludf.DUMMYFUNCTION("""COMPUTED_VALUE"""),"Azul")</f>
        <v>Azul</v>
      </c>
      <c r="J79" s="4">
        <f ca="1">IFERROR(__xludf.DUMMYFUNCTION("""COMPUTED_VALUE"""),41)</f>
        <v>41</v>
      </c>
      <c r="K79" s="4" t="str">
        <f ca="1">IFERROR(__xludf.DUMMYFUNCTION("""COMPUTED_VALUE"""),"E")</f>
        <v>E</v>
      </c>
      <c r="L79" s="4" t="str">
        <f ca="1">IFERROR(__xludf.DUMMYFUNCTION("""COMPUTED_VALUE"""),"— Não digo que seja uma mulher perdida, mas recebeu uma educação muito livre, saracoteia sozinha por 
toda a cidade e não tem podido, por conseguinte, escapar à implacável maledicência dos fluminenses. Demais, 
está habituada ao luxo, ao luxo da rua, que "&amp;"é o mais caro; em casa arranjam-se ela e a tia sabe Deus como. Não 
é mulher com quem a gente se case. Depois, lembra-te que apenas começas e não tens ainda onde cair morto. 
Enfim, és um homem: faze o que bem te parecer.
Essas palavras, proferidas com um"&amp;"a franqueza por tantos motivos autorizada, calaram no ânimo do bacharel. 
Intimamente ele estimava que o velho amigo de seu pai o dissuadisse de requestar a moça, não pelas consequências 
morais do casamento, mas pela obrigação, que este lhe impunha, de s"&amp;"atisfazer uma dívida de vinte contos de réis, 
quando, apesar de todos os seus esforços, não conseguira até então pôr de parte nem o terço daquela quantia.
AZEVEDO, A. A dívida. Disponível em: www.dominiopublico.gov.br. Acesso em: 20 ago. 2017.
O texto, p"&amp;"ublicado no fim do século XIX, traz à tona representações sociais da sociedade brasileira da época. Em 
consonância com a estética realista, traços da visão crítica do narrador manifestam-se na")</f>
        <v>— Não digo que seja uma mulher perdida, mas recebeu uma educação muito livre, saracoteia sozinha por 
toda a cidade e não tem podido, por conseguinte, escapar à implacável maledicência dos fluminenses. Demais, 
está habituada ao luxo, ao luxo da rua, que é o mais caro; em casa arranjam-se ela e a tia sabe Deus como. Não 
é mulher com quem a gente se case. Depois, lembra-te que apenas começas e não tens ainda onde cair morto. 
Enfim, és um homem: faze o que bem te parecer.
Essas palavras, proferidas com uma franqueza por tantos motivos autorizada, calaram no ânimo do bacharel. 
Intimamente ele estimava que o velho amigo de seu pai o dissuadisse de requestar a moça, não pelas consequências 
morais do casamento, mas pela obrigação, que este lhe impunha, de satisfazer uma dívida de vinte contos de réis, 
quando, apesar de todos os seus esforços, não conseguira até então pôr de parte nem o terço daquela quantia.
AZEVEDO, A. A dívida. Disponível em: www.dominiopublico.gov.br. Acesso em: 20 ago. 2017.
O texto, publicado no fim do século XIX, traz à tona representações sociais da sociedade brasileira da época. Em 
consonância com a estética realista, traços da visão crítica do narrador manifestam-se na</v>
      </c>
      <c r="M79" s="4" t="str">
        <f ca="1">IFERROR(__xludf.DUMMYFUNCTION("""COMPUTED_VALUE"""),"caracterização pejorativa do comportamento da mulher solteira.")</f>
        <v>caracterização pejorativa do comportamento da mulher solteira.</v>
      </c>
      <c r="N79" s="4" t="str">
        <f ca="1">IFERROR(__xludf.DUMMYFUNCTION("""COMPUTED_VALUE"""),"concepção irônica acerca dos valores morais inerentes à vida conjugal.")</f>
        <v>concepção irônica acerca dos valores morais inerentes à vida conjugal.</v>
      </c>
      <c r="O79" s="4" t="str">
        <f ca="1">IFERROR(__xludf.DUMMYFUNCTION("""COMPUTED_VALUE"""),"contraposição entre a idealização do amor e as imposições do trabalho.")</f>
        <v>contraposição entre a idealização do amor e as imposições do trabalho.</v>
      </c>
      <c r="P79" s="4" t="str">
        <f ca="1">IFERROR(__xludf.DUMMYFUNCTION("""COMPUTED_VALUE"""),"expressão caricatural do casamento pelo viés do sentimentalismo burguês.")</f>
        <v>expressão caricatural do casamento pelo viés do sentimentalismo burguês.</v>
      </c>
      <c r="Q79" s="4" t="str">
        <f ca="1">IFERROR(__xludf.DUMMYFUNCTION("""COMPUTED_VALUE"""),"sobreposição da preocupação financeira em relação ao sentimento amoroso.")</f>
        <v>sobreposição da preocupação financeira em relação ao sentimento amoroso.</v>
      </c>
      <c r="R79" s="4"/>
      <c r="S79" s="4"/>
      <c r="T79" s="4"/>
      <c r="U79" s="4"/>
      <c r="V79" s="4"/>
      <c r="W79" s="4"/>
      <c r="X79" s="4"/>
      <c r="Y79" s="4"/>
      <c r="Z79" s="4"/>
    </row>
    <row r="80" spans="1:26" x14ac:dyDescent="0.25">
      <c r="A80" s="3" t="str">
        <f ca="1">IFERROR(__xludf.DUMMYFUNCTION("""COMPUTED_VALUE"""),"https://drive.google.com/open?id=15xdJnqzGszobad7URuO_lUfVxHcgivwk")</f>
        <v>https://drive.google.com/open?id=15xdJnqzGszobad7URuO_lUfVxHcgivwk</v>
      </c>
      <c r="B80" s="4" t="str">
        <f ca="1">IFERROR(__xludf.DUMMYFUNCTION("""COMPUTED_VALUE"""),"Enem")</f>
        <v>Enem</v>
      </c>
      <c r="C80" s="4">
        <f ca="1">IFERROR(__xludf.DUMMYFUNCTION("""COMPUTED_VALUE"""),2019)</f>
        <v>2019</v>
      </c>
      <c r="D80" s="4" t="str">
        <f ca="1">IFERROR(__xludf.DUMMYFUNCTION("""COMPUTED_VALUE"""),"Linguagens")</f>
        <v>Linguagens</v>
      </c>
      <c r="E80" s="4" t="str">
        <f ca="1">IFERROR(__xludf.DUMMYFUNCTION("""COMPUTED_VALUE"""),"Literatura")</f>
        <v>Literatura</v>
      </c>
      <c r="F80" s="4" t="str">
        <f ca="1">IFERROR(__xludf.DUMMYFUNCTION("""COMPUTED_VALUE"""),"Literatura")</f>
        <v>Literatura</v>
      </c>
      <c r="G80" s="4"/>
      <c r="H80" s="4"/>
      <c r="I80" s="4" t="str">
        <f ca="1">IFERROR(__xludf.DUMMYFUNCTION("""COMPUTED_VALUE"""),"Azul")</f>
        <v>Azul</v>
      </c>
      <c r="J80" s="4">
        <f ca="1">IFERROR(__xludf.DUMMYFUNCTION("""COMPUTED_VALUE"""),42)</f>
        <v>42</v>
      </c>
      <c r="K80" s="4" t="str">
        <f ca="1">IFERROR(__xludf.DUMMYFUNCTION("""COMPUTED_VALUE"""),"A")</f>
        <v>A</v>
      </c>
      <c r="L80" s="4" t="str">
        <f ca="1">IFERROR(__xludf.DUMMYFUNCTION("""COMPUTED_VALUE"""),"As alegres meninas que passam na rua, com suas 
pastas escolares, às vezes com seus namorados. 
As alegres meninas que estão sempre rindo, 
comentando o besouro que entrou na classe e pousou 
no vestido da professora; essas meninas; essas coisas 
sem impo"&amp;"rtância.
O uniforme as despersonaliza, mas o riso de 
cada uma as diferencia. Riem alto, riem musical, riem 
desafinado, riem sem motivo; riem.
Hoje de manhã estavam sérias, era como se nunca 
mais voltassem a rir e falar coisas sem importância. 
Faltava "&amp;"uma delas. O jornal dera notícia do crime. 
O corpo da menina encontrado naquelas condições, em 
lugar ermo. A selvageria de um tempo que não deixa 
mais rir.
As alegres meninas, agora sérias, tornaram-se 
adultas de uma hora para outra; essas mulheres.
A"&amp;"NDRADE, C. D. Essas meninas. Contos plausíveis. 
Rio de Janeiro: José Olympio, 1985.
No texto, há recorrência do emprego do artigo “as” e 
do pronome “essas”. No último parágrafo, esse recurso 
linguístico contribui para")</f>
        <v>As alegres meninas que passam na rua, com suas 
pastas escolares, às vezes com seus namorados. 
As alegres meninas que estão sempre rindo, 
comentando o besouro que entrou na classe e pousou 
no vestido da professora; essas meninas; essas coisas 
sem importância.
O uniforme as despersonaliza, mas o riso de 
cada uma as diferencia. Riem alto, riem musical, riem 
desafinado, riem sem motivo; riem.
Hoje de manhã estavam sérias, era como se nunca 
mais voltassem a rir e falar coisas sem importância. 
Faltava uma delas. O jornal dera notícia do crime. 
O corpo da menina encontrado naquelas condições, em 
lugar ermo. A selvageria de um tempo que não deixa 
mais rir.
As alegres meninas, agora sérias, tornaram-se 
adultas de uma hora para outra; essas mulheres.
ANDRADE, C. D. Essas meninas. Contos plausíveis. 
Rio de Janeiro: José Olympio, 1985.
No texto, há recorrência do emprego do artigo “as” e 
do pronome “essas”. No último parágrafo, esse recurso 
linguístico contribui para</v>
      </c>
      <c r="M80" s="4" t="str">
        <f ca="1">IFERROR(__xludf.DUMMYFUNCTION("""COMPUTED_VALUE"""),"intensificar a ideia do súbito amadurecimento.")</f>
        <v>intensificar a ideia do súbito amadurecimento.</v>
      </c>
      <c r="N80" s="4" t="str">
        <f ca="1">IFERROR(__xludf.DUMMYFUNCTION("""COMPUTED_VALUE"""),"indicar a falta de identidade típica da adolescência.")</f>
        <v>indicar a falta de identidade típica da adolescência.</v>
      </c>
      <c r="O80" s="4" t="str">
        <f ca="1">IFERROR(__xludf.DUMMYFUNCTION("""COMPUTED_VALUE"""),"organizar a sequência temporal dos fatos narrados.")</f>
        <v>organizar a sequência temporal dos fatos narrados.</v>
      </c>
      <c r="P80" s="4" t="str">
        <f ca="1">IFERROR(__xludf.DUMMYFUNCTION("""COMPUTED_VALUE""")," complementar a descrição do acontecimento trágico.")</f>
        <v xml:space="preserve"> complementar a descrição do acontecimento trágico.</v>
      </c>
      <c r="Q80" s="4" t="str">
        <f ca="1">IFERROR(__xludf.DUMMYFUNCTION("""COMPUTED_VALUE"""),"expressar a banalidade dos assuntos tratados 
na escola.")</f>
        <v>expressar a banalidade dos assuntos tratados 
na escola.</v>
      </c>
      <c r="R80" s="4"/>
      <c r="S80" s="4"/>
      <c r="T80" s="4"/>
      <c r="U80" s="4"/>
      <c r="V80" s="4"/>
      <c r="W80" s="4"/>
      <c r="X80" s="4"/>
      <c r="Y80" s="4"/>
      <c r="Z80" s="4"/>
    </row>
    <row r="81" spans="1:26" x14ac:dyDescent="0.25">
      <c r="A81" s="3" t="str">
        <f ca="1">IFERROR(__xludf.DUMMYFUNCTION("""COMPUTED_VALUE"""),"https://drive.google.com/open?id=14Bv8y_3du3aUApVTkh9lMshEAH7dN1ug")</f>
        <v>https://drive.google.com/open?id=14Bv8y_3du3aUApVTkh9lMshEAH7dN1ug</v>
      </c>
      <c r="B81" s="4" t="str">
        <f ca="1">IFERROR(__xludf.DUMMYFUNCTION("""COMPUTED_VALUE"""),"Enem")</f>
        <v>Enem</v>
      </c>
      <c r="C81" s="4">
        <f ca="1">IFERROR(__xludf.DUMMYFUNCTION("""COMPUTED_VALUE"""),2019)</f>
        <v>2019</v>
      </c>
      <c r="D81" s="4" t="str">
        <f ca="1">IFERROR(__xludf.DUMMYFUNCTION("""COMPUTED_VALUE"""),"Linguagens")</f>
        <v>Linguagens</v>
      </c>
      <c r="E81" s="4" t="str">
        <f ca="1">IFERROR(__xludf.DUMMYFUNCTION("""COMPUTED_VALUE"""),"Literatura")</f>
        <v>Literatura</v>
      </c>
      <c r="F81" s="4" t="str">
        <f ca="1">IFERROR(__xludf.DUMMYFUNCTION("""COMPUTED_VALUE"""),"Literatura")</f>
        <v>Literatura</v>
      </c>
      <c r="G81" s="4"/>
      <c r="H81" s="4"/>
      <c r="I81" s="4" t="str">
        <f ca="1">IFERROR(__xludf.DUMMYFUNCTION("""COMPUTED_VALUE"""),"Azul")</f>
        <v>Azul</v>
      </c>
      <c r="J81" s="4">
        <f ca="1">IFERROR(__xludf.DUMMYFUNCTION("""COMPUTED_VALUE"""),44)</f>
        <v>44</v>
      </c>
      <c r="K81" s="4" t="str">
        <f ca="1">IFERROR(__xludf.DUMMYFUNCTION("""COMPUTED_VALUE"""),"B")</f>
        <v>B</v>
      </c>
      <c r="L81" s="4" t="str">
        <f ca="1">IFERROR(__xludf.DUMMYFUNCTION("""COMPUTED_VALUE"""),"As montanhas correm agora, lá fora, umas atrás das 
outras, hostis e espectrais, desertas de vontades novas 
que as humanizem, esquecidas já dos antigos homens 
lendários que as povoaram e dominaram.
Carregam nos seus dorsos poderosos as pequenas 
cidades"&amp;" decadentes, como uma doença aviltante e 
tenaz, que se aninhou para sempre em suas dobras. 
Não podendo matá-las de todo ou arrancá-las de si 
e vencer, elas resignam-se e as ocultam com sua 
vegetação escura e densa, que lhes serve de coberta, e 
resgua"&amp;"rdam o seu sonho imperial de ferro e ouro.
PENNA, C. Fronteira. Rio de Janeiro: Artium, 2001.
As soluções de linguagem encontradas pelo narrador 
projetam uma perspectiva lírica da paisagem 
contemplada. Essa projeção alinha-se ao poético na 
medida em qu"&amp;"e")</f>
        <v>As montanhas correm agora, lá fora, umas atrás das 
outras, hostis e espectrais, desertas de vontades novas 
que as humanizem, esquecidas já dos antigos homens 
lendários que as povoaram e dominaram.
Carregam nos seus dorsos poderosos as pequenas 
cidades decadentes, como uma doença aviltante e 
tenaz, que se aninhou para sempre em suas dobras. 
Não podendo matá-las de todo ou arrancá-las de si 
e vencer, elas resignam-se e as ocultam com sua 
vegetação escura e densa, que lhes serve de coberta, e 
resguardam o seu sonho imperial de ferro e ouro.
PENNA, C. Fronteira. Rio de Janeiro: Artium, 2001.
As soluções de linguagem encontradas pelo narrador 
projetam uma perspectiva lírica da paisagem 
contemplada. Essa projeção alinha-se ao poético na 
medida em que</v>
      </c>
      <c r="M81" s="4" t="str">
        <f ca="1">IFERROR(__xludf.DUMMYFUNCTION("""COMPUTED_VALUE"""),"explora a identidade entre o homem e a natureza.")</f>
        <v>explora a identidade entre o homem e a natureza.</v>
      </c>
      <c r="N81" s="4" t="str">
        <f ca="1">IFERROR(__xludf.DUMMYFUNCTION("""COMPUTED_VALUE"""),"reveste o inanimado de vitalidade e ressentimento.")</f>
        <v>reveste o inanimado de vitalidade e ressentimento.</v>
      </c>
      <c r="O81" s="4" t="str">
        <f ca="1">IFERROR(__xludf.DUMMYFUNCTION("""COMPUTED_VALUE"""),"congela no tempo a prosperidade de antigas cidades.")</f>
        <v>congela no tempo a prosperidade de antigas cidades.</v>
      </c>
      <c r="P81" s="4" t="str">
        <f ca="1">IFERROR(__xludf.DUMMYFUNCTION("""COMPUTED_VALUE"""),"destaca a estética das formas e das cores da 
paisagem.")</f>
        <v>destaca a estética das formas e das cores da 
paisagem.</v>
      </c>
      <c r="Q81" s="4" t="str">
        <f ca="1">IFERROR(__xludf.DUMMYFUNCTION("""COMPUTED_VALUE"""),"captura o sentido da ruína causada pela extração 
mineral.")</f>
        <v>captura o sentido da ruína causada pela extração 
mineral.</v>
      </c>
      <c r="R81" s="4"/>
      <c r="S81" s="4"/>
      <c r="T81" s="4"/>
      <c r="U81" s="4"/>
      <c r="V81" s="4"/>
      <c r="W81" s="4"/>
      <c r="X81" s="4"/>
      <c r="Y81" s="4"/>
      <c r="Z81" s="4"/>
    </row>
    <row r="82" spans="1:26" x14ac:dyDescent="0.25">
      <c r="A82" s="3" t="str">
        <f ca="1">IFERROR(__xludf.DUMMYFUNCTION("""COMPUTED_VALUE"""),"https://drive.google.com/open?id=1cvRewWdWPWUOPDpFm5glm9STq65-PRzQ")</f>
        <v>https://drive.google.com/open?id=1cvRewWdWPWUOPDpFm5glm9STq65-PRzQ</v>
      </c>
      <c r="B82" s="4" t="str">
        <f ca="1">IFERROR(__xludf.DUMMYFUNCTION("""COMPUTED_VALUE"""),"Enem")</f>
        <v>Enem</v>
      </c>
      <c r="C82" s="4">
        <f ca="1">IFERROR(__xludf.DUMMYFUNCTION("""COMPUTED_VALUE"""),2017)</f>
        <v>2017</v>
      </c>
      <c r="D82" s="4" t="str">
        <f ca="1">IFERROR(__xludf.DUMMYFUNCTION("""COMPUTED_VALUE"""),"Linguagens")</f>
        <v>Linguagens</v>
      </c>
      <c r="E82" s="4" t="str">
        <f ca="1">IFERROR(__xludf.DUMMYFUNCTION("""COMPUTED_VALUE"""),"Língua Portuguesa")</f>
        <v>Língua Portuguesa</v>
      </c>
      <c r="F82" s="4" t="str">
        <f ca="1">IFERROR(__xludf.DUMMYFUNCTION("""COMPUTED_VALUE"""),"Gramática")</f>
        <v>Gramática</v>
      </c>
      <c r="G82" s="4" t="str">
        <f ca="1">IFERROR(__xludf.DUMMYFUNCTION("""COMPUTED_VALUE"""),"Gramática")</f>
        <v>Gramática</v>
      </c>
      <c r="H82" s="4"/>
      <c r="I82" s="4" t="str">
        <f ca="1">IFERROR(__xludf.DUMMYFUNCTION("""COMPUTED_VALUE"""),"Azul")</f>
        <v>Azul</v>
      </c>
      <c r="J82" s="4">
        <f ca="1">IFERROR(__xludf.DUMMYFUNCTION("""COMPUTED_VALUE"""),10)</f>
        <v>10</v>
      </c>
      <c r="K82" s="4" t="str">
        <f ca="1">IFERROR(__xludf.DUMMYFUNCTION("""COMPUTED_VALUE"""),"D")</f>
        <v>D</v>
      </c>
      <c r="L82" s="4" t="str">
        <f ca="1">IFERROR(__xludf.DUMMYFUNCTION("""COMPUTED_VALUE"""),"Essas moças tinham o vezo de afirmar o contrário do que desejavam. Notei
a singularidade quando principiaram a elogiar o meu paletó cor de macaco.
Examinavam-no sérias, achavam o pano e os aviamentos de qualidade superior, o
feitio admirável. Envaideci-me"&amp;": nunca havia reparado em tais vantagens. Mas os gabos
se prolongaram, trouxeram-me desconfiança. Percebi afinal que elas zombavam e não
me susceptibilizei. Longe disso: achei curiosa aquela maneira de falar pelo avesso,
diferente das grosserias a que me "&amp;"habituara. Em geral me diziam com franqueza que
a roupa não me assentava no corpo, sobrava nos sovacos.
Por meio de recursos linguísticos, os textos mobilizam estratégias para introduzir e retomar
ideias, promovendo a progressão do tema. No fragmento tran"&amp;"scrito, um novo aspecto do
tema é introduzido pela expressão")</f>
        <v>Essas moças tinham o vezo de afirmar o contrário do que desejavam. Notei
a singularidade quando principiaram a elogiar o meu paletó cor de macaco.
Examinavam-no sérias, achavam o pano e os aviamentos de qualidade superior, o
feitio admirável. Envaideci-me: nunca havia reparado em tais vantagens. Mas os gabos
se prolongaram, trouxeram-me desconfiança. Percebi afinal que elas zombavam e não
me susceptibilizei. Longe disso: achei curiosa aquela maneira de falar pelo avesso,
diferente das grosserias a que me habituara. Em geral me diziam com franqueza que
a roupa não me assentava no corpo, sobrava nos sovacos.
Por meio de recursos linguísticos, os textos mobilizam estratégias para introduzir e retomar
ideias, promovendo a progressão do tema. No fragmento transcrito, um novo aspecto do
tema é introduzido pela expressão</v>
      </c>
      <c r="M82" s="4" t="str">
        <f ca="1">IFERROR(__xludf.DUMMYFUNCTION("""COMPUTED_VALUE"""),"“a singularidade”.")</f>
        <v>“a singularidade”.</v>
      </c>
      <c r="N82" s="4" t="str">
        <f ca="1">IFERROR(__xludf.DUMMYFUNCTION("""COMPUTED_VALUE"""),"“tais vantagens”.")</f>
        <v>“tais vantagens”.</v>
      </c>
      <c r="O82" s="4" t="str">
        <f ca="1">IFERROR(__xludf.DUMMYFUNCTION("""COMPUTED_VALUE"""),"“os gabos”.")</f>
        <v>“os gabos”.</v>
      </c>
      <c r="P82" s="4" t="str">
        <f ca="1">IFERROR(__xludf.DUMMYFUNCTION("""COMPUTED_VALUE"""),"“Longe disso”.")</f>
        <v>“Longe disso”.</v>
      </c>
      <c r="Q82" s="4" t="str">
        <f ca="1">IFERROR(__xludf.DUMMYFUNCTION("""COMPUTED_VALUE"""),"“Em geral”.")</f>
        <v>“Em geral”.</v>
      </c>
      <c r="R82" s="4"/>
      <c r="S82" s="4"/>
      <c r="T82" s="4"/>
      <c r="U82" s="4"/>
      <c r="V82" s="4"/>
      <c r="W82" s="4"/>
      <c r="X82" s="4"/>
      <c r="Y82" s="4"/>
      <c r="Z82" s="4"/>
    </row>
    <row r="83" spans="1:26" x14ac:dyDescent="0.25">
      <c r="A83" s="3" t="str">
        <f ca="1">IFERROR(__xludf.DUMMYFUNCTION("""COMPUTED_VALUE"""),"https://drive.google.com/open?id=1Fb1xXFTBQQpc6DBpSD_w0maptRy-fk8e")</f>
        <v>https://drive.google.com/open?id=1Fb1xXFTBQQpc6DBpSD_w0maptRy-fk8e</v>
      </c>
      <c r="B83" s="4" t="str">
        <f ca="1">IFERROR(__xludf.DUMMYFUNCTION("""COMPUTED_VALUE"""),"Enem")</f>
        <v>Enem</v>
      </c>
      <c r="C83" s="4">
        <f ca="1">IFERROR(__xludf.DUMMYFUNCTION("""COMPUTED_VALUE"""),2018)</f>
        <v>2018</v>
      </c>
      <c r="D83" s="4" t="str">
        <f ca="1">IFERROR(__xludf.DUMMYFUNCTION("""COMPUTED_VALUE"""),"Linguagens")</f>
        <v>Linguagens</v>
      </c>
      <c r="E83" s="4" t="str">
        <f ca="1">IFERROR(__xludf.DUMMYFUNCTION("""COMPUTED_VALUE"""),"Língua Portuguesa")</f>
        <v>Língua Portuguesa</v>
      </c>
      <c r="F83" s="4" t="str">
        <f ca="1">IFERROR(__xludf.DUMMYFUNCTION("""COMPUTED_VALUE"""),"Gramática")</f>
        <v>Gramática</v>
      </c>
      <c r="G83" s="4" t="str">
        <f ca="1">IFERROR(__xludf.DUMMYFUNCTION("""COMPUTED_VALUE"""),"Gramática")</f>
        <v>Gramática</v>
      </c>
      <c r="H83" s="4" t="str">
        <f ca="1">IFERROR(__xludf.DUMMYFUNCTION("""COMPUTED_VALUE"""),"Gramática")</f>
        <v>Gramática</v>
      </c>
      <c r="I83" s="4" t="str">
        <f ca="1">IFERROR(__xludf.DUMMYFUNCTION("""COMPUTED_VALUE"""),"Azul")</f>
        <v>Azul</v>
      </c>
      <c r="J83" s="4">
        <f ca="1">IFERROR(__xludf.DUMMYFUNCTION("""COMPUTED_VALUE"""),7)</f>
        <v>7</v>
      </c>
      <c r="K83" s="4" t="str">
        <f ca="1">IFERROR(__xludf.DUMMYFUNCTION("""COMPUTED_VALUE"""),"E")</f>
        <v>E</v>
      </c>
      <c r="L83" s="4" t="str">
        <f ca="1">IFERROR(__xludf.DUMMYFUNCTION("""COMPUTED_VALUE"""),"A utilização de determinadas variedades linguísticas em campanhas educativas tem a função de atingir o público-alvo de forma mais direta e eficaz. No caso desse texto, identifica-se essa estratégia pelo(a)")</f>
        <v>A utilização de determinadas variedades linguísticas em campanhas educativas tem a função de atingir o público-alvo de forma mais direta e eficaz. No caso desse texto, identifica-se essa estratégia pelo(a)</v>
      </c>
      <c r="M83" s="4" t="str">
        <f ca="1">IFERROR(__xludf.DUMMYFUNCTION("""COMPUTED_VALUE"""),"A discurso formal da língua portuguesa.")</f>
        <v>A discurso formal da língua portuguesa.</v>
      </c>
      <c r="N83" s="4" t="str">
        <f ca="1">IFERROR(__xludf.DUMMYFUNCTION("""COMPUTED_VALUE"""),"registro padrão próprio da língua escrita.")</f>
        <v>registro padrão próprio da língua escrita.</v>
      </c>
      <c r="O83" s="4" t="str">
        <f ca="1">IFERROR(__xludf.DUMMYFUNCTION("""COMPUTED_VALUE"""),"seleção lexical restrita à esfera da medicina.")</f>
        <v>seleção lexical restrita à esfera da medicina.</v>
      </c>
      <c r="P83" s="4" t="str">
        <f ca="1">IFERROR(__xludf.DUMMYFUNCTION("""COMPUTED_VALUE"""),"fidelidade ao jargão da linguagem publicitária.")</f>
        <v>fidelidade ao jargão da linguagem publicitária.</v>
      </c>
      <c r="Q83" s="4" t="str">
        <f ca="1">IFERROR(__xludf.DUMMYFUNCTION("""COMPUTED_VALUE"""),"uso de marcas linguísticas típicas da oralidade.")</f>
        <v>uso de marcas linguísticas típicas da oralidade.</v>
      </c>
      <c r="R83" s="4"/>
      <c r="S83" s="4"/>
      <c r="T83" s="4"/>
      <c r="U83" s="4"/>
      <c r="V83" s="4"/>
      <c r="W83" s="4"/>
      <c r="X83" s="4"/>
      <c r="Y83" s="4"/>
      <c r="Z83" s="4"/>
    </row>
    <row r="84" spans="1:26" x14ac:dyDescent="0.25">
      <c r="A84" s="3" t="str">
        <f ca="1">IFERROR(__xludf.DUMMYFUNCTION("""COMPUTED_VALUE"""),"https://drive.google.com/open?id=1uAheop3lSl_XZi3VWAoSDnPlZrOtZgzf")</f>
        <v>https://drive.google.com/open?id=1uAheop3lSl_XZi3VWAoSDnPlZrOtZgzf</v>
      </c>
      <c r="B84" s="4" t="str">
        <f ca="1">IFERROR(__xludf.DUMMYFUNCTION("""COMPUTED_VALUE"""),"Enem")</f>
        <v>Enem</v>
      </c>
      <c r="C84" s="4">
        <f ca="1">IFERROR(__xludf.DUMMYFUNCTION("""COMPUTED_VALUE"""),2018)</f>
        <v>2018</v>
      </c>
      <c r="D84" s="4" t="str">
        <f ca="1">IFERROR(__xludf.DUMMYFUNCTION("""COMPUTED_VALUE"""),"Linguagens")</f>
        <v>Linguagens</v>
      </c>
      <c r="E84" s="4" t="str">
        <f ca="1">IFERROR(__xludf.DUMMYFUNCTION("""COMPUTED_VALUE"""),"Língua Portuguesa")</f>
        <v>Língua Portuguesa</v>
      </c>
      <c r="F84" s="4" t="str">
        <f ca="1">IFERROR(__xludf.DUMMYFUNCTION("""COMPUTED_VALUE"""),"Gramática")</f>
        <v>Gramática</v>
      </c>
      <c r="G84" s="4" t="str">
        <f ca="1">IFERROR(__xludf.DUMMYFUNCTION("""COMPUTED_VALUE"""),"Gramática")</f>
        <v>Gramática</v>
      </c>
      <c r="H84" s="4" t="str">
        <f ca="1">IFERROR(__xludf.DUMMYFUNCTION("""COMPUTED_VALUE"""),"Gramática")</f>
        <v>Gramática</v>
      </c>
      <c r="I84" s="4" t="str">
        <f ca="1">IFERROR(__xludf.DUMMYFUNCTION("""COMPUTED_VALUE"""),"Azul")</f>
        <v>Azul</v>
      </c>
      <c r="J84" s="4">
        <f ca="1">IFERROR(__xludf.DUMMYFUNCTION("""COMPUTED_VALUE"""),8)</f>
        <v>8</v>
      </c>
      <c r="K84" s="4" t="str">
        <f ca="1">IFERROR(__xludf.DUMMYFUNCTION("""COMPUTED_VALUE"""),"C")</f>
        <v>C</v>
      </c>
      <c r="L84" s="4" t="str">
        <f ca="1">IFERROR(__xludf.DUMMYFUNCTION("""COMPUTED_VALUE"""),"Nesse texto, a associação de vocábulos da língua portuguesa a determinados dias da
semana remete ao")</f>
        <v>Nesse texto, a associação de vocábulos da língua portuguesa a determinados dias da
semana remete ao</v>
      </c>
      <c r="M84" s="4" t="str">
        <f ca="1">IFERROR(__xludf.DUMMYFUNCTION("""COMPUTED_VALUE"""),"local de origem dos interlocutores.")</f>
        <v>local de origem dos interlocutores.</v>
      </c>
      <c r="N84" s="4" t="str">
        <f ca="1">IFERROR(__xludf.DUMMYFUNCTION("""COMPUTED_VALUE"""),"estado emocional dos interlocutores.")</f>
        <v>estado emocional dos interlocutores.</v>
      </c>
      <c r="O84" s="4" t="str">
        <f ca="1">IFERROR(__xludf.DUMMYFUNCTION("""COMPUTED_VALUE"""),"grau de coloquialidade da comunicação.")</f>
        <v>grau de coloquialidade da comunicação.</v>
      </c>
      <c r="P84" s="4" t="str">
        <f ca="1">IFERROR(__xludf.DUMMYFUNCTION("""COMPUTED_VALUE"""),"nível de intimidade entre os interlocutores.")</f>
        <v>nível de intimidade entre os interlocutores.</v>
      </c>
      <c r="Q84" s="4" t="str">
        <f ca="1">IFERROR(__xludf.DUMMYFUNCTION("""COMPUTED_VALUE"""),"conhecimento compartilhado na comunicação.")</f>
        <v>conhecimento compartilhado na comunicação.</v>
      </c>
      <c r="R84" s="4"/>
      <c r="S84" s="4"/>
      <c r="T84" s="4"/>
      <c r="U84" s="4"/>
      <c r="V84" s="4"/>
      <c r="W84" s="4"/>
      <c r="X84" s="4"/>
      <c r="Y84" s="4"/>
      <c r="Z84" s="4"/>
    </row>
    <row r="85" spans="1:26" x14ac:dyDescent="0.25">
      <c r="A85" s="3" t="str">
        <f ca="1">IFERROR(__xludf.DUMMYFUNCTION("""COMPUTED_VALUE"""),"https://drive.google.com/open?id=16orVnjjB-g9Qq6UcwSa26Jbw7QSb-eVN")</f>
        <v>https://drive.google.com/open?id=16orVnjjB-g9Qq6UcwSa26Jbw7QSb-eVN</v>
      </c>
      <c r="B85" s="4" t="str">
        <f ca="1">IFERROR(__xludf.DUMMYFUNCTION("""COMPUTED_VALUE"""),"Enem")</f>
        <v>Enem</v>
      </c>
      <c r="C85" s="4">
        <f ca="1">IFERROR(__xludf.DUMMYFUNCTION("""COMPUTED_VALUE"""),2018)</f>
        <v>2018</v>
      </c>
      <c r="D85" s="4" t="str">
        <f ca="1">IFERROR(__xludf.DUMMYFUNCTION("""COMPUTED_VALUE"""),"Linguagens")</f>
        <v>Linguagens</v>
      </c>
      <c r="E85" s="4" t="str">
        <f ca="1">IFERROR(__xludf.DUMMYFUNCTION("""COMPUTED_VALUE"""),"Língua Portuguesa")</f>
        <v>Língua Portuguesa</v>
      </c>
      <c r="F85" s="4" t="str">
        <f ca="1">IFERROR(__xludf.DUMMYFUNCTION("""COMPUTED_VALUE"""),"Gramática")</f>
        <v>Gramática</v>
      </c>
      <c r="G85" s="4" t="str">
        <f ca="1">IFERROR(__xludf.DUMMYFUNCTION("""COMPUTED_VALUE"""),"Gramática")</f>
        <v>Gramática</v>
      </c>
      <c r="H85" s="4" t="str">
        <f ca="1">IFERROR(__xludf.DUMMYFUNCTION("""COMPUTED_VALUE"""),"Gramática")</f>
        <v>Gramática</v>
      </c>
      <c r="I85" s="4" t="str">
        <f ca="1">IFERROR(__xludf.DUMMYFUNCTION("""COMPUTED_VALUE"""),"Azul")</f>
        <v>Azul</v>
      </c>
      <c r="J85" s="4">
        <f ca="1">IFERROR(__xludf.DUMMYFUNCTION("""COMPUTED_VALUE"""),22)</f>
        <v>22</v>
      </c>
      <c r="K85" s="4" t="str">
        <f ca="1">IFERROR(__xludf.DUMMYFUNCTION("""COMPUTED_VALUE"""),"B")</f>
        <v>B</v>
      </c>
      <c r="L85" s="4" t="str">
        <f ca="1">IFERROR(__xludf.DUMMYFUNCTION("""COMPUTED_VALUE"""),"A fotografia exibe a fachada de um supermercado em Foz do Iguaçu, cuja localização transfronteiriça é marcada tanto pelo limite com Argentina e Paraguai quanto pela
presença de outros povos. Essa fachada revela o(a)")</f>
        <v>A fotografia exibe a fachada de um supermercado em Foz do Iguaçu, cuja localização transfronteiriça é marcada tanto pelo limite com Argentina e Paraguai quanto pela
presença de outros povos. Essa fachada revela o(a)</v>
      </c>
      <c r="M85" s="4" t="str">
        <f ca="1">IFERROR(__xludf.DUMMYFUNCTION("""COMPUTED_VALUE"""),"apagamento da identidade linguística.")</f>
        <v>apagamento da identidade linguística.</v>
      </c>
      <c r="N85" s="4" t="str">
        <f ca="1">IFERROR(__xludf.DUMMYFUNCTION("""COMPUTED_VALUE"""),"planejamento linguístico no espaço urbano.")</f>
        <v>planejamento linguístico no espaço urbano.</v>
      </c>
      <c r="O85" s="4" t="str">
        <f ca="1">IFERROR(__xludf.DUMMYFUNCTION("""COMPUTED_VALUE"""),"presença marcante da tradição oral na cidade.")</f>
        <v>presença marcante da tradição oral na cidade.</v>
      </c>
      <c r="P85" s="4" t="str">
        <f ca="1">IFERROR(__xludf.DUMMYFUNCTION("""COMPUTED_VALUE"""),"disputa de comunidades linguísticas diferentes.")</f>
        <v>disputa de comunidades linguísticas diferentes.</v>
      </c>
      <c r="Q85" s="4" t="str">
        <f ca="1">IFERROR(__xludf.DUMMYFUNCTION("""COMPUTED_VALUE"""),"poluição visual promovida pelo multilinguismo.")</f>
        <v>poluição visual promovida pelo multilinguismo.</v>
      </c>
      <c r="R85" s="4"/>
      <c r="S85" s="4"/>
      <c r="T85" s="4"/>
      <c r="U85" s="4"/>
      <c r="V85" s="4"/>
      <c r="W85" s="4"/>
      <c r="X85" s="4"/>
      <c r="Y85" s="4"/>
      <c r="Z85" s="4"/>
    </row>
    <row r="86" spans="1:26" x14ac:dyDescent="0.25">
      <c r="A86" s="3" t="str">
        <f ca="1">IFERROR(__xludf.DUMMYFUNCTION("""COMPUTED_VALUE"""),"https://drive.google.com/open?id=1ykvpp3K38nSriDoNDB58c9P-7pjLCmzc")</f>
        <v>https://drive.google.com/open?id=1ykvpp3K38nSriDoNDB58c9P-7pjLCmzc</v>
      </c>
      <c r="B86" s="4" t="str">
        <f ca="1">IFERROR(__xludf.DUMMYFUNCTION("""COMPUTED_VALUE"""),"Enem")</f>
        <v>Enem</v>
      </c>
      <c r="C86" s="4">
        <f ca="1">IFERROR(__xludf.DUMMYFUNCTION("""COMPUTED_VALUE"""),2018)</f>
        <v>2018</v>
      </c>
      <c r="D86" s="4" t="str">
        <f ca="1">IFERROR(__xludf.DUMMYFUNCTION("""COMPUTED_VALUE"""),"Linguagens")</f>
        <v>Linguagens</v>
      </c>
      <c r="E86" s="4" t="str">
        <f ca="1">IFERROR(__xludf.DUMMYFUNCTION("""COMPUTED_VALUE"""),"Língua Portuguesa")</f>
        <v>Língua Portuguesa</v>
      </c>
      <c r="F86" s="4" t="str">
        <f ca="1">IFERROR(__xludf.DUMMYFUNCTION("""COMPUTED_VALUE"""),"Gramática")</f>
        <v>Gramática</v>
      </c>
      <c r="G86" s="4" t="str">
        <f ca="1">IFERROR(__xludf.DUMMYFUNCTION("""COMPUTED_VALUE"""),"Gramática")</f>
        <v>Gramática</v>
      </c>
      <c r="H86" s="4" t="str">
        <f ca="1">IFERROR(__xludf.DUMMYFUNCTION("""COMPUTED_VALUE"""),"Gramática")</f>
        <v>Gramática</v>
      </c>
      <c r="I86" s="4" t="str">
        <f ca="1">IFERROR(__xludf.DUMMYFUNCTION("""COMPUTED_VALUE"""),"Azul")</f>
        <v>Azul</v>
      </c>
      <c r="J86" s="4">
        <f ca="1">IFERROR(__xludf.DUMMYFUNCTION("""COMPUTED_VALUE"""),36)</f>
        <v>36</v>
      </c>
      <c r="K86" s="4" t="str">
        <f ca="1">IFERROR(__xludf.DUMMYFUNCTION("""COMPUTED_VALUE"""),"B")</f>
        <v>B</v>
      </c>
      <c r="L86" s="4" t="str">
        <f ca="1">IFERROR(__xludf.DUMMYFUNCTION("""COMPUTED_VALUE"""),"O sujeito poético questiona o uso do vocábulo “enseada” porque a")</f>
        <v>O sujeito poético questiona o uso do vocábulo “enseada” porque a</v>
      </c>
      <c r="M86" s="4" t="str">
        <f ca="1">IFERROR(__xludf.DUMMYFUNCTION("""COMPUTED_VALUE"""),"terminologia mencionada é incorreta.")</f>
        <v>terminologia mencionada é incorreta.</v>
      </c>
      <c r="N86" s="4" t="str">
        <f ca="1">IFERROR(__xludf.DUMMYFUNCTION("""COMPUTED_VALUE"""),"nomeação minimiza a percepção subjetiva.")</f>
        <v>nomeação minimiza a percepção subjetiva.</v>
      </c>
      <c r="O86" s="4" t="str">
        <f ca="1">IFERROR(__xludf.DUMMYFUNCTION("""COMPUTED_VALUE"""),"palavra é aplicada a outro espaço geográfico.")</f>
        <v>palavra é aplicada a outro espaço geográfico.</v>
      </c>
      <c r="P86" s="4" t="str">
        <f ca="1">IFERROR(__xludf.DUMMYFUNCTION("""COMPUTED_VALUE"""),"designação atribuída ao termo é desconhecida.")</f>
        <v>designação atribuída ao termo é desconhecida.</v>
      </c>
      <c r="Q86" s="4" t="str">
        <f ca="1">IFERROR(__xludf.DUMMYFUNCTION("""COMPUTED_VALUE"""),"definição modifica o significado do termo no dicionário.")</f>
        <v>definição modifica o significado do termo no dicionário.</v>
      </c>
      <c r="R86" s="4"/>
      <c r="S86" s="4"/>
      <c r="T86" s="4"/>
      <c r="U86" s="4"/>
      <c r="V86" s="4"/>
      <c r="W86" s="4"/>
      <c r="X86" s="4"/>
      <c r="Y86" s="4"/>
      <c r="Z86" s="4"/>
    </row>
    <row r="87" spans="1:26" x14ac:dyDescent="0.25">
      <c r="A87" s="3" t="str">
        <f ca="1">IFERROR(__xludf.DUMMYFUNCTION("""COMPUTED_VALUE"""),"https://drive.google.com/open?id=19AQ5kfEefB6y84-_g3ozlKyxmT5m1yZi")</f>
        <v>https://drive.google.com/open?id=19AQ5kfEefB6y84-_g3ozlKyxmT5m1yZi</v>
      </c>
      <c r="B87" s="4" t="str">
        <f ca="1">IFERROR(__xludf.DUMMYFUNCTION("""COMPUTED_VALUE"""),"Enem")</f>
        <v>Enem</v>
      </c>
      <c r="C87" s="4">
        <f ca="1">IFERROR(__xludf.DUMMYFUNCTION("""COMPUTED_VALUE"""),2018)</f>
        <v>2018</v>
      </c>
      <c r="D87" s="4" t="str">
        <f ca="1">IFERROR(__xludf.DUMMYFUNCTION("""COMPUTED_VALUE"""),"Linguagens")</f>
        <v>Linguagens</v>
      </c>
      <c r="E87" s="4" t="str">
        <f ca="1">IFERROR(__xludf.DUMMYFUNCTION("""COMPUTED_VALUE"""),"Língua Portuguesa")</f>
        <v>Língua Portuguesa</v>
      </c>
      <c r="F87" s="4" t="str">
        <f ca="1">IFERROR(__xludf.DUMMYFUNCTION("""COMPUTED_VALUE"""),"Gramática")</f>
        <v>Gramática</v>
      </c>
      <c r="G87" s="4" t="str">
        <f ca="1">IFERROR(__xludf.DUMMYFUNCTION("""COMPUTED_VALUE"""),"Gramática")</f>
        <v>Gramática</v>
      </c>
      <c r="H87" s="4" t="str">
        <f ca="1">IFERROR(__xludf.DUMMYFUNCTION("""COMPUTED_VALUE"""),"Gramática")</f>
        <v>Gramática</v>
      </c>
      <c r="I87" s="4" t="str">
        <f ca="1">IFERROR(__xludf.DUMMYFUNCTION("""COMPUTED_VALUE"""),"Azul")</f>
        <v>Azul</v>
      </c>
      <c r="J87" s="4">
        <f ca="1">IFERROR(__xludf.DUMMYFUNCTION("""COMPUTED_VALUE"""),37)</f>
        <v>37</v>
      </c>
      <c r="K87" s="4" t="str">
        <f ca="1">IFERROR(__xludf.DUMMYFUNCTION("""COMPUTED_VALUE"""),"C")</f>
        <v>C</v>
      </c>
      <c r="L87" s="4" t="str">
        <f ca="1">IFERROR(__xludf.DUMMYFUNCTION("""COMPUTED_VALUE"""),"Da perspectiva do usuário, o pajubá ganha status de dialeto, caracterizando-se como
elemento de patrimônio linguístico, especialmente por")</f>
        <v>Da perspectiva do usuário, o pajubá ganha status de dialeto, caracterizando-se como
elemento de patrimônio linguístico, especialmente por</v>
      </c>
      <c r="M87" s="4" t="str">
        <f ca="1">IFERROR(__xludf.DUMMYFUNCTION("""COMPUTED_VALUE"""),"ter mais de mil palavras conhecidas.")</f>
        <v>ter mais de mil palavras conhecidas.</v>
      </c>
      <c r="N87" s="4" t="str">
        <f ca="1">IFERROR(__xludf.DUMMYFUNCTION("""COMPUTED_VALUE"""),"ter palavras diferentes de uma linguagem secreta.")</f>
        <v>ter palavras diferentes de uma linguagem secreta.</v>
      </c>
      <c r="O87" s="4" t="str">
        <f ca="1">IFERROR(__xludf.DUMMYFUNCTION("""COMPUTED_VALUE"""),"ser consolidado por objetos formais de registro.")</f>
        <v>ser consolidado por objetos formais de registro.</v>
      </c>
      <c r="P87" s="4" t="str">
        <f ca="1">IFERROR(__xludf.DUMMYFUNCTION("""COMPUTED_VALUE"""),"ser utilizado por advogados em situações formais.")</f>
        <v>ser utilizado por advogados em situações formais.</v>
      </c>
      <c r="Q87" s="4" t="str">
        <f ca="1">IFERROR(__xludf.DUMMYFUNCTION("""COMPUTED_VALUE"""),"ser comum em conversas no ambiente de trabalho.")</f>
        <v>ser comum em conversas no ambiente de trabalho.</v>
      </c>
      <c r="R87" s="4"/>
      <c r="S87" s="4"/>
      <c r="T87" s="4"/>
      <c r="U87" s="4"/>
      <c r="V87" s="4"/>
      <c r="W87" s="4"/>
      <c r="X87" s="4"/>
      <c r="Y87" s="4"/>
      <c r="Z87" s="4"/>
    </row>
    <row r="88" spans="1:26" x14ac:dyDescent="0.25">
      <c r="A88" s="3" t="str">
        <f ca="1">IFERROR(__xludf.DUMMYFUNCTION("""COMPUTED_VALUE"""),"https://drive.google.com/open?id=1UpZW17UMtU_Yn4Zbh8UwC_a6VF7FR1De")</f>
        <v>https://drive.google.com/open?id=1UpZW17UMtU_Yn4Zbh8UwC_a6VF7FR1De</v>
      </c>
      <c r="B88" s="4" t="str">
        <f ca="1">IFERROR(__xludf.DUMMYFUNCTION("""COMPUTED_VALUE"""),"Enem")</f>
        <v>Enem</v>
      </c>
      <c r="C88" s="4">
        <f ca="1">IFERROR(__xludf.DUMMYFUNCTION("""COMPUTED_VALUE"""),2020)</f>
        <v>2020</v>
      </c>
      <c r="D88" s="4" t="str">
        <f ca="1">IFERROR(__xludf.DUMMYFUNCTION("""COMPUTED_VALUE"""),"Linguagens")</f>
        <v>Linguagens</v>
      </c>
      <c r="E88" s="4" t="str">
        <f ca="1">IFERROR(__xludf.DUMMYFUNCTION("""COMPUTED_VALUE"""),"Língua Portuguesa")</f>
        <v>Língua Portuguesa</v>
      </c>
      <c r="F88" s="4" t="str">
        <f ca="1">IFERROR(__xludf.DUMMYFUNCTION("""COMPUTED_VALUE"""),"Gramática")</f>
        <v>Gramática</v>
      </c>
      <c r="G88" s="4"/>
      <c r="H88" s="4"/>
      <c r="I88" s="4" t="str">
        <f ca="1">IFERROR(__xludf.DUMMYFUNCTION("""COMPUTED_VALUE"""),"Rosa")</f>
        <v>Rosa</v>
      </c>
      <c r="J88" s="4">
        <f ca="1">IFERROR(__xludf.DUMMYFUNCTION("""COMPUTED_VALUE"""),13)</f>
        <v>13</v>
      </c>
      <c r="K88" s="4" t="str">
        <f ca="1">IFERROR(__xludf.DUMMYFUNCTION("""COMPUTED_VALUE"""),"D")</f>
        <v>D</v>
      </c>
      <c r="L88" s="4" t="str">
        <f ca="1">IFERROR(__xludf.DUMMYFUNCTION("""COMPUTED_VALUE"""),"De acordo com o texto, é possível identificar o “empreendedor de palco” por")</f>
        <v>De acordo com o texto, é possível identificar o “empreendedor de palco” por</v>
      </c>
      <c r="M88" s="4" t="str">
        <f ca="1">IFERROR(__xludf.DUMMYFUNCTION("""COMPUTED_VALUE""")," livros por ele indicados.")</f>
        <v xml:space="preserve"> livros por ele indicados.</v>
      </c>
      <c r="N88" s="4" t="str">
        <f ca="1">IFERROR(__xludf.DUMMYFUNCTION("""COMPUTED_VALUE"""),"suas habilidades em língua inglesa.")</f>
        <v>suas habilidades em língua inglesa.</v>
      </c>
      <c r="O88" s="4" t="str">
        <f ca="1">IFERROR(__xludf.DUMMYFUNCTION("""COMPUTED_VALUE""")," experiências por ele compartilhadas.")</f>
        <v xml:space="preserve"> experiências por ele compartilhadas.</v>
      </c>
      <c r="P88" s="4" t="str">
        <f ca="1">IFERROR(__xludf.DUMMYFUNCTION("""COMPUTED_VALUE"""),"padrões de linguagem por ele utilizados.")</f>
        <v>padrões de linguagem por ele utilizados.</v>
      </c>
      <c r="Q88" s="4" t="str">
        <f ca="1">IFERROR(__xludf.DUMMYFUNCTION("""COMPUTED_VALUE"""),"preços acessíveis de seus treinamentos.")</f>
        <v>preços acessíveis de seus treinamentos.</v>
      </c>
      <c r="R88" s="4"/>
      <c r="S88" s="4"/>
      <c r="T88" s="4"/>
      <c r="U88" s="4"/>
      <c r="V88" s="4"/>
      <c r="W88" s="4"/>
      <c r="X88" s="4"/>
      <c r="Y88" s="4"/>
      <c r="Z88" s="4"/>
    </row>
    <row r="89" spans="1:26" x14ac:dyDescent="0.25">
      <c r="A89" s="3" t="str">
        <f ca="1">IFERROR(__xludf.DUMMYFUNCTION("""COMPUTED_VALUE"""),"https://drive.google.com/open?id=1CYL-JEu1m_NmjeNgx6ZFJcYaWjuotkHz")</f>
        <v>https://drive.google.com/open?id=1CYL-JEu1m_NmjeNgx6ZFJcYaWjuotkHz</v>
      </c>
      <c r="B89" s="4" t="str">
        <f ca="1">IFERROR(__xludf.DUMMYFUNCTION("""COMPUTED_VALUE"""),"Enem")</f>
        <v>Enem</v>
      </c>
      <c r="C89" s="4">
        <f ca="1">IFERROR(__xludf.DUMMYFUNCTION("""COMPUTED_VALUE"""),2020)</f>
        <v>2020</v>
      </c>
      <c r="D89" s="4" t="str">
        <f ca="1">IFERROR(__xludf.DUMMYFUNCTION("""COMPUTED_VALUE"""),"Linguagens")</f>
        <v>Linguagens</v>
      </c>
      <c r="E89" s="4" t="str">
        <f ca="1">IFERROR(__xludf.DUMMYFUNCTION("""COMPUTED_VALUE"""),"Língua Portuguesa")</f>
        <v>Língua Portuguesa</v>
      </c>
      <c r="F89" s="4" t="str">
        <f ca="1">IFERROR(__xludf.DUMMYFUNCTION("""COMPUTED_VALUE"""),"Gramática")</f>
        <v>Gramática</v>
      </c>
      <c r="G89" s="4"/>
      <c r="H89" s="4"/>
      <c r="I89" s="4" t="str">
        <f ca="1">IFERROR(__xludf.DUMMYFUNCTION("""COMPUTED_VALUE"""),"Rosa")</f>
        <v>Rosa</v>
      </c>
      <c r="J89" s="4">
        <f ca="1">IFERROR(__xludf.DUMMYFUNCTION("""COMPUTED_VALUE"""),29)</f>
        <v>29</v>
      </c>
      <c r="K89" s="4" t="str">
        <f ca="1">IFERROR(__xludf.DUMMYFUNCTION("""COMPUTED_VALUE"""),"D")</f>
        <v>D</v>
      </c>
      <c r="L89" s="4" t="str">
        <f ca="1">IFERROR(__xludf.DUMMYFUNCTION("""COMPUTED_VALUE"""),"Esse decreto pauta-se na ideia de que o uso do gerúndio, como “desculpa de ineficiência”,
indica")</f>
        <v>Esse decreto pauta-se na ideia de que o uso do gerúndio, como “desculpa de ineficiência”,
indica</v>
      </c>
      <c r="M89" s="4" t="str">
        <f ca="1">IFERROR(__xludf.DUMMYFUNCTION("""COMPUTED_VALUE"""),"conclusão de uma ação.")</f>
        <v>conclusão de uma ação.</v>
      </c>
      <c r="N89" s="4" t="str">
        <f ca="1">IFERROR(__xludf.DUMMYFUNCTION("""COMPUTED_VALUE""")," realização de um evento.")</f>
        <v xml:space="preserve"> realização de um evento.</v>
      </c>
      <c r="O89" s="4" t="str">
        <f ca="1">IFERROR(__xludf.DUMMYFUNCTION("""COMPUTED_VALUE"""),"repetição de uma prática.")</f>
        <v>repetição de uma prática.</v>
      </c>
      <c r="P89" s="4" t="str">
        <f ca="1">IFERROR(__xludf.DUMMYFUNCTION("""COMPUTED_VALUE""")," continuidade de um processo.")</f>
        <v xml:space="preserve"> continuidade de um processo.</v>
      </c>
      <c r="Q89" s="4" t="str">
        <f ca="1">IFERROR(__xludf.DUMMYFUNCTION("""COMPUTED_VALUE"""),"transferência de responsabilidade.")</f>
        <v>transferência de responsabilidade.</v>
      </c>
      <c r="R89" s="4"/>
      <c r="S89" s="4"/>
      <c r="T89" s="4"/>
      <c r="U89" s="4"/>
      <c r="V89" s="4"/>
      <c r="W89" s="4"/>
      <c r="X89" s="4"/>
      <c r="Y89" s="4"/>
      <c r="Z89" s="4"/>
    </row>
    <row r="90" spans="1:26" x14ac:dyDescent="0.25">
      <c r="A90" s="3" t="str">
        <f ca="1">IFERROR(__xludf.DUMMYFUNCTION("""COMPUTED_VALUE"""),"https://drive.google.com/open?id=1HId2s5OCE9AGyUxf9PbjLJJtWDH_OEoJ")</f>
        <v>https://drive.google.com/open?id=1HId2s5OCE9AGyUxf9PbjLJJtWDH_OEoJ</v>
      </c>
      <c r="B90" s="4" t="str">
        <f ca="1">IFERROR(__xludf.DUMMYFUNCTION("""COMPUTED_VALUE"""),"Enem")</f>
        <v>Enem</v>
      </c>
      <c r="C90" s="4">
        <f ca="1">IFERROR(__xludf.DUMMYFUNCTION("""COMPUTED_VALUE"""),2020)</f>
        <v>2020</v>
      </c>
      <c r="D90" s="4" t="str">
        <f ca="1">IFERROR(__xludf.DUMMYFUNCTION("""COMPUTED_VALUE"""),"Linguagens")</f>
        <v>Linguagens</v>
      </c>
      <c r="E90" s="4" t="str">
        <f ca="1">IFERROR(__xludf.DUMMYFUNCTION("""COMPUTED_VALUE"""),"Língua Portuguesa")</f>
        <v>Língua Portuguesa</v>
      </c>
      <c r="F90" s="4" t="str">
        <f ca="1">IFERROR(__xludf.DUMMYFUNCTION("""COMPUTED_VALUE"""),"Gramática")</f>
        <v>Gramática</v>
      </c>
      <c r="G90" s="4"/>
      <c r="H90" s="4"/>
      <c r="I90" s="4" t="str">
        <f ca="1">IFERROR(__xludf.DUMMYFUNCTION("""COMPUTED_VALUE"""),"Rosa")</f>
        <v>Rosa</v>
      </c>
      <c r="J90" s="4">
        <f ca="1">IFERROR(__xludf.DUMMYFUNCTION("""COMPUTED_VALUE"""),16)</f>
        <v>16</v>
      </c>
      <c r="K90" s="4" t="str">
        <f ca="1">IFERROR(__xludf.DUMMYFUNCTION("""COMPUTED_VALUE"""),"D")</f>
        <v>D</v>
      </c>
      <c r="L90" s="4" t="str">
        <f ca="1">IFERROR(__xludf.DUMMYFUNCTION("""COMPUTED_VALUE"""),"De acordo com o texto, podemos identificar uma abordagem das lutas nas aulas de
educação física quando o professor realiza uma proposta envolvendo")</f>
        <v>De acordo com o texto, podemos identificar uma abordagem das lutas nas aulas de
educação física quando o professor realiza uma proposta envolvendo</v>
      </c>
      <c r="M90" s="4" t="str">
        <f ca="1">IFERROR(__xludf.DUMMYFUNCTION("""COMPUTED_VALUE"""),"contato corporal intenso entre o aluno e seu oponente.")</f>
        <v>contato corporal intenso entre o aluno e seu oponente.</v>
      </c>
      <c r="N90" s="4" t="str">
        <f ca="1">IFERROR(__xludf.DUMMYFUNCTION("""COMPUTED_VALUE"""),"contenda entre os alunos que se agridem fisicamente.")</f>
        <v>contenda entre os alunos que se agridem fisicamente.</v>
      </c>
      <c r="O90" s="4" t="str">
        <f ca="1">IFERROR(__xludf.DUMMYFUNCTION("""COMPUTED_VALUE"""),"confronto corporal em que os vencedores são previamente identificados.")</f>
        <v>confronto corporal em que os vencedores são previamente identificados.</v>
      </c>
      <c r="P90" s="4" t="str">
        <f ca="1">IFERROR(__xludf.DUMMYFUNCTION("""COMPUTED_VALUE"""),"combate corporal intencional com ações regulamentadas entre os oponentes.")</f>
        <v>combate corporal intencional com ações regulamentadas entre os oponentes.</v>
      </c>
      <c r="Q90" s="4" t="str">
        <f ca="1">IFERROR(__xludf.DUMMYFUNCTION("""COMPUTED_VALUE""")," conflito resolvido pelos alunos por meio de regras previamente estabelecidas.")</f>
        <v xml:space="preserve"> conflito resolvido pelos alunos por meio de regras previamente estabelecidas.</v>
      </c>
      <c r="R90" s="4"/>
      <c r="S90" s="4"/>
      <c r="T90" s="4"/>
      <c r="U90" s="4"/>
      <c r="V90" s="4"/>
      <c r="W90" s="4"/>
      <c r="X90" s="4"/>
      <c r="Y90" s="4"/>
      <c r="Z90" s="4"/>
    </row>
    <row r="91" spans="1:26" x14ac:dyDescent="0.25">
      <c r="A91" s="3" t="str">
        <f ca="1">IFERROR(__xludf.DUMMYFUNCTION("""COMPUTED_VALUE"""),"https://drive.google.com/open?id=1Ind4ZLaOr5EW4Vjo56f_G9QQ4dmq8_xa")</f>
        <v>https://drive.google.com/open?id=1Ind4ZLaOr5EW4Vjo56f_G9QQ4dmq8_xa</v>
      </c>
      <c r="B91" s="4" t="str">
        <f ca="1">IFERROR(__xludf.DUMMYFUNCTION("""COMPUTED_VALUE"""),"Enem")</f>
        <v>Enem</v>
      </c>
      <c r="C91" s="4">
        <f ca="1">IFERROR(__xludf.DUMMYFUNCTION("""COMPUTED_VALUE"""),2020)</f>
        <v>2020</v>
      </c>
      <c r="D91" s="4" t="str">
        <f ca="1">IFERROR(__xludf.DUMMYFUNCTION("""COMPUTED_VALUE"""),"Linguagens")</f>
        <v>Linguagens</v>
      </c>
      <c r="E91" s="4" t="str">
        <f ca="1">IFERROR(__xludf.DUMMYFUNCTION("""COMPUTED_VALUE"""),"Língua Portuguesa")</f>
        <v>Língua Portuguesa</v>
      </c>
      <c r="F91" s="4" t="str">
        <f ca="1">IFERROR(__xludf.DUMMYFUNCTION("""COMPUTED_VALUE"""),"Gramática")</f>
        <v>Gramática</v>
      </c>
      <c r="G91" s="4"/>
      <c r="H91" s="4"/>
      <c r="I91" s="4" t="str">
        <f ca="1">IFERROR(__xludf.DUMMYFUNCTION("""COMPUTED_VALUE"""),"Rosa")</f>
        <v>Rosa</v>
      </c>
      <c r="J91" s="4">
        <f ca="1">IFERROR(__xludf.DUMMYFUNCTION("""COMPUTED_VALUE"""),11)</f>
        <v>11</v>
      </c>
      <c r="K91" s="4" t="str">
        <f ca="1">IFERROR(__xludf.DUMMYFUNCTION("""COMPUTED_VALUE"""),"A")</f>
        <v>A</v>
      </c>
      <c r="L91" s="4" t="str">
        <f ca="1">IFERROR(__xludf.DUMMYFUNCTION("""COMPUTED_VALUE"""),"Nessa petição da pitoresca personagem do romance de Lima Barreto, o uso da normapadrão justifica-se pela")</f>
        <v>Nessa petição da pitoresca personagem do romance de Lima Barreto, o uso da normapadrão justifica-se pela</v>
      </c>
      <c r="M91" s="4" t="str">
        <f ca="1">IFERROR(__xludf.DUMMYFUNCTION("""COMPUTED_VALUE"""),"situação social de enunciação representada.")</f>
        <v>situação social de enunciação representada.</v>
      </c>
      <c r="N91" s="4" t="str">
        <f ca="1">IFERROR(__xludf.DUMMYFUNCTION("""COMPUTED_VALUE""")," divergência teórica entre gramáticos e literatos.")</f>
        <v xml:space="preserve"> divergência teórica entre gramáticos e literatos.</v>
      </c>
      <c r="O91" s="4" t="str">
        <f ca="1">IFERROR(__xludf.DUMMYFUNCTION("""COMPUTED_VALUE"""),"pouca representatividade das línguas indígenas.")</f>
        <v>pouca representatividade das línguas indígenas.</v>
      </c>
      <c r="P91" s="4" t="str">
        <f ca="1">IFERROR(__xludf.DUMMYFUNCTION("""COMPUTED_VALUE"""),"atitude irônica diante da língua dos colonizadores.")</f>
        <v>atitude irônica diante da língua dos colonizadores.</v>
      </c>
      <c r="Q91" s="4" t="str">
        <f ca="1">IFERROR(__xludf.DUMMYFUNCTION("""COMPUTED_VALUE""")," tentativa de solicitação do documento demandado.")</f>
        <v xml:space="preserve"> tentativa de solicitação do documento demandado.</v>
      </c>
      <c r="R91" s="4"/>
      <c r="S91" s="4"/>
      <c r="T91" s="4"/>
      <c r="U91" s="4"/>
      <c r="V91" s="4"/>
      <c r="W91" s="4"/>
      <c r="X91" s="4"/>
      <c r="Y91" s="4"/>
      <c r="Z91" s="4"/>
    </row>
    <row r="92" spans="1:26" x14ac:dyDescent="0.25">
      <c r="A92" s="3" t="str">
        <f ca="1">IFERROR(__xludf.DUMMYFUNCTION("""COMPUTED_VALUE"""),"https://drive.google.com/open?id=1DbhU2WJAYm1gpf6aS-ePuZ09bn5JcdAs")</f>
        <v>https://drive.google.com/open?id=1DbhU2WJAYm1gpf6aS-ePuZ09bn5JcdAs</v>
      </c>
      <c r="B92" s="4" t="str">
        <f ca="1">IFERROR(__xludf.DUMMYFUNCTION("""COMPUTED_VALUE"""),"Enem")</f>
        <v>Enem</v>
      </c>
      <c r="C92" s="4">
        <f ca="1">IFERROR(__xludf.DUMMYFUNCTION("""COMPUTED_VALUE"""),2017)</f>
        <v>2017</v>
      </c>
      <c r="D92" s="4" t="str">
        <f ca="1">IFERROR(__xludf.DUMMYFUNCTION("""COMPUTED_VALUE"""),"Linguagens")</f>
        <v>Linguagens</v>
      </c>
      <c r="E92" s="4" t="str">
        <f ca="1">IFERROR(__xludf.DUMMYFUNCTION("""COMPUTED_VALUE"""),"Língua Portuguesa")</f>
        <v>Língua Portuguesa</v>
      </c>
      <c r="F92" s="4" t="str">
        <f ca="1">IFERROR(__xludf.DUMMYFUNCTION("""COMPUTED_VALUE"""),"Gramática")</f>
        <v>Gramática</v>
      </c>
      <c r="G92" s="4" t="str">
        <f ca="1">IFERROR(__xludf.DUMMYFUNCTION("""COMPUTED_VALUE"""),"Gramática")</f>
        <v>Gramática</v>
      </c>
      <c r="H92" s="4"/>
      <c r="I92" s="4" t="str">
        <f ca="1">IFERROR(__xludf.DUMMYFUNCTION("""COMPUTED_VALUE"""),"Azul")</f>
        <v>Azul</v>
      </c>
      <c r="J92" s="4">
        <f ca="1">IFERROR(__xludf.DUMMYFUNCTION("""COMPUTED_VALUE"""),16)</f>
        <v>16</v>
      </c>
      <c r="K92" s="4" t="str">
        <f ca="1">IFERROR(__xludf.DUMMYFUNCTION("""COMPUTED_VALUE"""),"C")</f>
        <v>C</v>
      </c>
      <c r="L92" s="4" t="str">
        <f ca="1">IFERROR(__xludf.DUMMYFUNCTION("""COMPUTED_VALUE"""),"Os dois textos apresentados versam sobre o tema Criatividade. O Texto I é um resumo de Caráter Científico e o Texto II, uma homenagem promovida por um site de publicidade. De que maneira O Texto II exemplifica o conceito de criatividade em publicidade apr"&amp;"esentado no Texto I?")</f>
        <v>Os dois textos apresentados versam sobre o tema Criatividade. O Texto I é um resumo de Caráter Científico e o Texto II, uma homenagem promovida por um site de publicidade. De que maneira O Texto II exemplifica o conceito de criatividade em publicidade apresentado no Texto I?</v>
      </c>
      <c r="M92" s="4" t="str">
        <f ca="1">IFERROR(__xludf.DUMMYFUNCTION("""COMPUTED_VALUE"""),"Fazendo menção ao difícil trabalho das mães em criar seus filhos.")</f>
        <v>Fazendo menção ao difícil trabalho das mães em criar seus filhos.</v>
      </c>
      <c r="N92" s="4" t="str">
        <f ca="1">IFERROR(__xludf.DUMMYFUNCTION("""COMPUTED_VALUE"""),"Promovendo uma leitura simplista do papel materno em seu trabalho de criar os filhos.")</f>
        <v>Promovendo uma leitura simplista do papel materno em seu trabalho de criar os filhos.</v>
      </c>
      <c r="O92" s="4" t="str">
        <f ca="1">IFERROR(__xludf.DUMMYFUNCTION("""COMPUTED_VALUE"""),"Explorando a polissemia do termo “criação”.")</f>
        <v>Explorando a polissemia do termo “criação”.</v>
      </c>
      <c r="P92" s="4" t="str">
        <f ca="1">IFERROR(__xludf.DUMMYFUNCTION("""COMPUTED_VALUE"""),"Recorrendo a uma estrutura linguística simples.")</f>
        <v>Recorrendo a uma estrutura linguística simples.</v>
      </c>
      <c r="Q92" s="4" t="str">
        <f ca="1">IFERROR(__xludf.DUMMYFUNCTION("""COMPUTED_VALUE"""),"Utilizando recursos gráficos diversificados.")</f>
        <v>Utilizando recursos gráficos diversificados.</v>
      </c>
      <c r="R92" s="4"/>
      <c r="S92" s="4"/>
      <c r="T92" s="4"/>
      <c r="U92" s="4"/>
      <c r="V92" s="4"/>
      <c r="W92" s="4"/>
      <c r="X92" s="4"/>
      <c r="Y92" s="4"/>
      <c r="Z92" s="4"/>
    </row>
    <row r="93" spans="1:26" x14ac:dyDescent="0.25">
      <c r="A93" s="3" t="str">
        <f ca="1">IFERROR(__xludf.DUMMYFUNCTION("""COMPUTED_VALUE"""),"https://drive.google.com/open?id=1ONus_lRoFRa7HGeVFP6NJcxTFEHF6Hny")</f>
        <v>https://drive.google.com/open?id=1ONus_lRoFRa7HGeVFP6NJcxTFEHF6Hny</v>
      </c>
      <c r="B93" s="4" t="str">
        <f ca="1">IFERROR(__xludf.DUMMYFUNCTION("""COMPUTED_VALUE"""),"Enem")</f>
        <v>Enem</v>
      </c>
      <c r="C93" s="4">
        <f ca="1">IFERROR(__xludf.DUMMYFUNCTION("""COMPUTED_VALUE"""),2017)</f>
        <v>2017</v>
      </c>
      <c r="D93" s="4" t="str">
        <f ca="1">IFERROR(__xludf.DUMMYFUNCTION("""COMPUTED_VALUE"""),"Linguagens")</f>
        <v>Linguagens</v>
      </c>
      <c r="E93" s="4" t="str">
        <f ca="1">IFERROR(__xludf.DUMMYFUNCTION("""COMPUTED_VALUE"""),"Língua Portuguesa")</f>
        <v>Língua Portuguesa</v>
      </c>
      <c r="F93" s="4" t="str">
        <f ca="1">IFERROR(__xludf.DUMMYFUNCTION("""COMPUTED_VALUE"""),"Gramática")</f>
        <v>Gramática</v>
      </c>
      <c r="G93" s="4"/>
      <c r="H93" s="4"/>
      <c r="I93" s="4" t="str">
        <f ca="1">IFERROR(__xludf.DUMMYFUNCTION("""COMPUTED_VALUE"""),"Azul")</f>
        <v>Azul</v>
      </c>
      <c r="J93" s="4">
        <f ca="1">IFERROR(__xludf.DUMMYFUNCTION("""COMPUTED_VALUE"""),22)</f>
        <v>22</v>
      </c>
      <c r="K93" s="4" t="str">
        <f ca="1">IFERROR(__xludf.DUMMYFUNCTION("""COMPUTED_VALUE"""),"D")</f>
        <v>D</v>
      </c>
      <c r="L93" s="4" t="str">
        <f ca="1">IFERROR(__xludf.DUMMYFUNCTION("""COMPUTED_VALUE"""),"Os textos tratam de línguas de culturas completamente diferentes, cujas realidades se aproximam em função do(a)")</f>
        <v>Os textos tratam de línguas de culturas completamente diferentes, cujas realidades se aproximam em função do(a)</v>
      </c>
      <c r="M93" s="4" t="str">
        <f ca="1">IFERROR(__xludf.DUMMYFUNCTION("""COMPUTED_VALUE"""),"semelhança no modo de expansão.")</f>
        <v>semelhança no modo de expansão.</v>
      </c>
      <c r="N93" s="4" t="str">
        <f ca="1">IFERROR(__xludf.DUMMYFUNCTION("""COMPUTED_VALUE"""),"preferência de uso na modalidade falada.")</f>
        <v>preferência de uso na modalidade falada.</v>
      </c>
      <c r="O93" s="4" t="str">
        <f ca="1">IFERROR(__xludf.DUMMYFUNCTION("""COMPUTED_VALUE"""),"modo de organização das regras sintáticas.")</f>
        <v>modo de organização das regras sintáticas.</v>
      </c>
      <c r="P93" s="4" t="str">
        <f ca="1">IFERROR(__xludf.DUMMYFUNCTION("""COMPUTED_VALUE"""),"predomínio em relação às outras línguas de contato.")</f>
        <v>predomínio em relação às outras línguas de contato.</v>
      </c>
      <c r="Q93" s="4" t="str">
        <f ca="1">IFERROR(__xludf.DUMMYFUNCTION("""COMPUTED_VALUE"""),"fato de motivarem o desaparecimento de línguas minoritárias.")</f>
        <v>fato de motivarem o desaparecimento de línguas minoritárias.</v>
      </c>
      <c r="R93" s="4"/>
      <c r="S93" s="4"/>
      <c r="T93" s="4"/>
      <c r="U93" s="4"/>
      <c r="V93" s="4"/>
      <c r="W93" s="4"/>
      <c r="X93" s="4"/>
      <c r="Y93" s="4"/>
      <c r="Z93" s="4"/>
    </row>
    <row r="94" spans="1:26" x14ac:dyDescent="0.25">
      <c r="A94" s="3" t="str">
        <f ca="1">IFERROR(__xludf.DUMMYFUNCTION("""COMPUTED_VALUE"""),"https://drive.google.com/open?id=16jeb4iL4gKmZ0f3fwubaaTbDsPkHjZeX")</f>
        <v>https://drive.google.com/open?id=16jeb4iL4gKmZ0f3fwubaaTbDsPkHjZeX</v>
      </c>
      <c r="B94" s="4" t="str">
        <f ca="1">IFERROR(__xludf.DUMMYFUNCTION("""COMPUTED_VALUE"""),"Enem")</f>
        <v>Enem</v>
      </c>
      <c r="C94" s="4">
        <f ca="1">IFERROR(__xludf.DUMMYFUNCTION("""COMPUTED_VALUE"""),2017)</f>
        <v>2017</v>
      </c>
      <c r="D94" s="4" t="str">
        <f ca="1">IFERROR(__xludf.DUMMYFUNCTION("""COMPUTED_VALUE"""),"Linguagens")</f>
        <v>Linguagens</v>
      </c>
      <c r="E94" s="4" t="str">
        <f ca="1">IFERROR(__xludf.DUMMYFUNCTION("""COMPUTED_VALUE"""),"Língua Portuguesa")</f>
        <v>Língua Portuguesa</v>
      </c>
      <c r="F94" s="4" t="str">
        <f ca="1">IFERROR(__xludf.DUMMYFUNCTION("""COMPUTED_VALUE"""),"Gramática")</f>
        <v>Gramática</v>
      </c>
      <c r="G94" s="4"/>
      <c r="H94" s="4"/>
      <c r="I94" s="4" t="str">
        <f ca="1">IFERROR(__xludf.DUMMYFUNCTION("""COMPUTED_VALUE"""),"Azul")</f>
        <v>Azul</v>
      </c>
      <c r="J94" s="4">
        <f ca="1">IFERROR(__xludf.DUMMYFUNCTION("""COMPUTED_VALUE"""),27)</f>
        <v>27</v>
      </c>
      <c r="K94" s="4" t="str">
        <f ca="1">IFERROR(__xludf.DUMMYFUNCTION("""COMPUTED_VALUE"""),"B")</f>
        <v>B</v>
      </c>
      <c r="L94" s="4" t="str">
        <f ca="1">IFERROR(__xludf.DUMMYFUNCTION("""COMPUTED_VALUE"""),"O texto trata da diferença de sentido entre vocábulos muito próximos. Essa diferença é apresentada considerando-se a(s)")</f>
        <v>O texto trata da diferença de sentido entre vocábulos muito próximos. Essa diferença é apresentada considerando-se a(s)</v>
      </c>
      <c r="M94" s="4" t="str">
        <f ca="1">IFERROR(__xludf.DUMMYFUNCTION("""COMPUTED_VALUE"""),"alternâncias na sonoridade.")</f>
        <v>alternâncias na sonoridade.</v>
      </c>
      <c r="N94" s="4" t="str">
        <f ca="1">IFERROR(__xludf.DUMMYFUNCTION("""COMPUTED_VALUE"""),"adequação às situações de uso.")</f>
        <v>adequação às situações de uso.</v>
      </c>
      <c r="O94" s="4" t="str">
        <f ca="1">IFERROR(__xludf.DUMMYFUNCTION("""COMPUTED_VALUE"""),"marcação flexional das palavras.")</f>
        <v>marcação flexional das palavras.</v>
      </c>
      <c r="P94" s="4" t="str">
        <f ca="1">IFERROR(__xludf.DUMMYFUNCTION("""COMPUTED_VALUE"""),"grafia na norma-padrão da língua.")</f>
        <v>grafia na norma-padrão da língua.</v>
      </c>
      <c r="Q94" s="4" t="str">
        <f ca="1">IFERROR(__xludf.DUMMYFUNCTION("""COMPUTED_VALUE"""),"categorias gramaticais das palavras.")</f>
        <v>categorias gramaticais das palavras.</v>
      </c>
      <c r="R94" s="4"/>
      <c r="S94" s="4"/>
      <c r="T94" s="4"/>
      <c r="U94" s="4"/>
      <c r="V94" s="4"/>
      <c r="W94" s="4"/>
      <c r="X94" s="4"/>
      <c r="Y94" s="4"/>
      <c r="Z94" s="4"/>
    </row>
    <row r="95" spans="1:26" x14ac:dyDescent="0.25">
      <c r="A95" s="3" t="str">
        <f ca="1">IFERROR(__xludf.DUMMYFUNCTION("""COMPUTED_VALUE"""),"https://drive.google.com/open?id=1DMaorImdwq1KsxuynZYpwBuxX9ha4T3W")</f>
        <v>https://drive.google.com/open?id=1DMaorImdwq1KsxuynZYpwBuxX9ha4T3W</v>
      </c>
      <c r="B95" s="4" t="str">
        <f ca="1">IFERROR(__xludf.DUMMYFUNCTION("""COMPUTED_VALUE"""),"Enem")</f>
        <v>Enem</v>
      </c>
      <c r="C95" s="4">
        <f ca="1">IFERROR(__xludf.DUMMYFUNCTION("""COMPUTED_VALUE"""),2017)</f>
        <v>2017</v>
      </c>
      <c r="D95" s="4" t="str">
        <f ca="1">IFERROR(__xludf.DUMMYFUNCTION("""COMPUTED_VALUE"""),"Linguagens")</f>
        <v>Linguagens</v>
      </c>
      <c r="E95" s="4" t="str">
        <f ca="1">IFERROR(__xludf.DUMMYFUNCTION("""COMPUTED_VALUE"""),"Língua Portuguesa")</f>
        <v>Língua Portuguesa</v>
      </c>
      <c r="F95" s="4" t="str">
        <f ca="1">IFERROR(__xludf.DUMMYFUNCTION("""COMPUTED_VALUE"""),"Gramática")</f>
        <v>Gramática</v>
      </c>
      <c r="G95" s="4"/>
      <c r="H95" s="4"/>
      <c r="I95" s="4" t="str">
        <f ca="1">IFERROR(__xludf.DUMMYFUNCTION("""COMPUTED_VALUE"""),"Azul")</f>
        <v>Azul</v>
      </c>
      <c r="J95" s="4">
        <f ca="1">IFERROR(__xludf.DUMMYFUNCTION("""COMPUTED_VALUE"""),33)</f>
        <v>33</v>
      </c>
      <c r="K95" s="4" t="str">
        <f ca="1">IFERROR(__xludf.DUMMYFUNCTION("""COMPUTED_VALUE"""),"B")</f>
        <v>B</v>
      </c>
      <c r="L95" s="4" t="str">
        <f ca="1">IFERROR(__xludf.DUMMYFUNCTION("""COMPUTED_VALUE"""),"Qual aspecto da organização gramatical atualiza os eventos apresentados na resenha, contribuindo para despertar o interesse do leitor pelo filme?")</f>
        <v>Qual aspecto da organização gramatical atualiza os eventos apresentados na resenha, contribuindo para despertar o interesse do leitor pelo filme?</v>
      </c>
      <c r="M95" s="4" t="str">
        <f ca="1">IFERROR(__xludf.DUMMYFUNCTION("""COMPUTED_VALUE"""),"O emprego do verbo haver, em vez de ter, em “há 20 anos atrás foi humilhado”.")</f>
        <v>O emprego do verbo haver, em vez de ter, em “há 20 anos atrás foi humilhado”.</v>
      </c>
      <c r="N95" s="4" t="str">
        <f ca="1">IFERROR(__xludf.DUMMYFUNCTION("""COMPUTED_VALUE"""),"A descrição dos fatos com verbos no presente do indicativo, como “retorna” e “descobre”.")</f>
        <v>A descrição dos fatos com verbos no presente do indicativo, como “retorna” e “descobre”.</v>
      </c>
      <c r="O95" s="4" t="str">
        <f ca="1">IFERROR(__xludf.DUMMYFUNCTION("""COMPUTED_VALUE"""),"A repetição do emprego da conjunção “mas” para contrapor ideias.")</f>
        <v>A repetição do emprego da conjunção “mas” para contrapor ideias.</v>
      </c>
      <c r="P95" s="4" t="str">
        <f ca="1">IFERROR(__xludf.DUMMYFUNCTION("""COMPUTED_VALUE"""),"A finalização do texto com a frase de efeito ""Será que ele conseguirá acertar as coisas?"".")</f>
        <v>A finalização do texto com a frase de efeito "Será que ele conseguirá acertar as coisas?".</v>
      </c>
      <c r="Q95" s="4" t="str">
        <f ca="1">IFERROR(__xludf.DUMMYFUNCTION("""COMPUTED_VALUE"""),"O uso do pronome de terceira pessoa “ele” ao longo do texto para fazer referência ao protagonista ""João/Zero"".")</f>
        <v>O uso do pronome de terceira pessoa “ele” ao longo do texto para fazer referência ao protagonista "João/Zero".</v>
      </c>
      <c r="R95" s="4"/>
      <c r="S95" s="4"/>
      <c r="T95" s="4"/>
      <c r="U95" s="4"/>
      <c r="V95" s="4"/>
      <c r="W95" s="4"/>
      <c r="X95" s="4"/>
      <c r="Y95" s="4"/>
      <c r="Z95" s="4"/>
    </row>
    <row r="96" spans="1:26" x14ac:dyDescent="0.25">
      <c r="A96" s="3" t="str">
        <f ca="1">IFERROR(__xludf.DUMMYFUNCTION("""COMPUTED_VALUE"""),"https://drive.google.com/open?id=12wJ06s4N1NmGQuDjk7kfBEVsCXf834rJ")</f>
        <v>https://drive.google.com/open?id=12wJ06s4N1NmGQuDjk7kfBEVsCXf834rJ</v>
      </c>
      <c r="B96" s="4" t="str">
        <f ca="1">IFERROR(__xludf.DUMMYFUNCTION("""COMPUTED_VALUE"""),"Enem")</f>
        <v>Enem</v>
      </c>
      <c r="C96" s="4">
        <f ca="1">IFERROR(__xludf.DUMMYFUNCTION("""COMPUTED_VALUE"""),2017)</f>
        <v>2017</v>
      </c>
      <c r="D96" s="4" t="str">
        <f ca="1">IFERROR(__xludf.DUMMYFUNCTION("""COMPUTED_VALUE"""),"Linguagens")</f>
        <v>Linguagens</v>
      </c>
      <c r="E96" s="4" t="str">
        <f ca="1">IFERROR(__xludf.DUMMYFUNCTION("""COMPUTED_VALUE"""),"Língua Portuguesa")</f>
        <v>Língua Portuguesa</v>
      </c>
      <c r="F96" s="4" t="str">
        <f ca="1">IFERROR(__xludf.DUMMYFUNCTION("""COMPUTED_VALUE"""),"Gramática")</f>
        <v>Gramática</v>
      </c>
      <c r="G96" s="4"/>
      <c r="H96" s="4"/>
      <c r="I96" s="4" t="str">
        <f ca="1">IFERROR(__xludf.DUMMYFUNCTION("""COMPUTED_VALUE"""),"Azul")</f>
        <v>Azul</v>
      </c>
      <c r="J96" s="4">
        <f ca="1">IFERROR(__xludf.DUMMYFUNCTION("""COMPUTED_VALUE"""),39)</f>
        <v>39</v>
      </c>
      <c r="K96" s="4" t="str">
        <f ca="1">IFERROR(__xludf.DUMMYFUNCTION("""COMPUTED_VALUE"""),"A")</f>
        <v>A</v>
      </c>
      <c r="L96" s="4" t="str">
        <f ca="1">IFERROR(__xludf.DUMMYFUNCTION("""COMPUTED_VALUE"""),"O comentário do narrador do romance “[…] emendou com uma valsa mais arretada ainda, cheia de palavras difíceis, mas bonita que só a gota serena” relaciona-se ao fato de que essa valsa é representativa de uma variedade linguística")</f>
        <v>O comentário do narrador do romance “[…] emendou com uma valsa mais arretada ainda, cheia de palavras difíceis, mas bonita que só a gota serena” relaciona-se ao fato de que essa valsa é representativa de uma variedade linguística</v>
      </c>
      <c r="M96" s="4" t="str">
        <f ca="1">IFERROR(__xludf.DUMMYFUNCTION("""COMPUTED_VALUE"""),"detentora de grande prestígio social.")</f>
        <v>detentora de grande prestígio social.</v>
      </c>
      <c r="N96" s="4" t="str">
        <f ca="1">IFERROR(__xludf.DUMMYFUNCTION("""COMPUTED_VALUE"""),"específica da modalidade oral da língua.")</f>
        <v>específica da modalidade oral da língua.</v>
      </c>
      <c r="O96" s="4" t="str">
        <f ca="1">IFERROR(__xludf.DUMMYFUNCTION("""COMPUTED_VALUE"""),"previsível para o contexto social da narrativa.")</f>
        <v>previsível para o contexto social da narrativa.</v>
      </c>
      <c r="P96" s="4" t="str">
        <f ca="1">IFERROR(__xludf.DUMMYFUNCTION("""COMPUTED_VALUE"""),"constituída de construções sintáticas complexas.")</f>
        <v>constituída de construções sintáticas complexas.</v>
      </c>
      <c r="Q96" s="4" t="str">
        <f ca="1">IFERROR(__xludf.DUMMYFUNCTION("""COMPUTED_VALUE"""),"valorizadora do conteúdo em detrimento da forma.")</f>
        <v>valorizadora do conteúdo em detrimento da forma.</v>
      </c>
      <c r="R96" s="4"/>
      <c r="S96" s="4"/>
      <c r="T96" s="4"/>
      <c r="U96" s="4"/>
      <c r="V96" s="4"/>
      <c r="W96" s="4"/>
      <c r="X96" s="4"/>
      <c r="Y96" s="4"/>
      <c r="Z96" s="4"/>
    </row>
    <row r="97" spans="1:26" x14ac:dyDescent="0.25">
      <c r="A97" s="3" t="str">
        <f ca="1">IFERROR(__xludf.DUMMYFUNCTION("""COMPUTED_VALUE"""),"https://drive.google.com/open?id=1Sv-CtUVQLNPBLBph1dkJkJwzM7lLvwFg")</f>
        <v>https://drive.google.com/open?id=1Sv-CtUVQLNPBLBph1dkJkJwzM7lLvwFg</v>
      </c>
      <c r="B97" s="4" t="str">
        <f ca="1">IFERROR(__xludf.DUMMYFUNCTION("""COMPUTED_VALUE"""),"Enem")</f>
        <v>Enem</v>
      </c>
      <c r="C97" s="4">
        <f ca="1">IFERROR(__xludf.DUMMYFUNCTION("""COMPUTED_VALUE"""),2017)</f>
        <v>2017</v>
      </c>
      <c r="D97" s="4" t="str">
        <f ca="1">IFERROR(__xludf.DUMMYFUNCTION("""COMPUTED_VALUE"""),"Linguagens")</f>
        <v>Linguagens</v>
      </c>
      <c r="E97" s="4" t="str">
        <f ca="1">IFERROR(__xludf.DUMMYFUNCTION("""COMPUTED_VALUE"""),"Língua Portuguesa")</f>
        <v>Língua Portuguesa</v>
      </c>
      <c r="F97" s="4" t="str">
        <f ca="1">IFERROR(__xludf.DUMMYFUNCTION("""COMPUTED_VALUE"""),"Gramática")</f>
        <v>Gramática</v>
      </c>
      <c r="G97" s="4"/>
      <c r="H97" s="4"/>
      <c r="I97" s="4" t="str">
        <f ca="1">IFERROR(__xludf.DUMMYFUNCTION("""COMPUTED_VALUE"""),"Azul")</f>
        <v>Azul</v>
      </c>
      <c r="J97" s="4">
        <f ca="1">IFERROR(__xludf.DUMMYFUNCTION("""COMPUTED_VALUE"""),44)</f>
        <v>44</v>
      </c>
      <c r="K97" s="4" t="str">
        <f ca="1">IFERROR(__xludf.DUMMYFUNCTION("""COMPUTED_VALUE"""),"C")</f>
        <v>C</v>
      </c>
      <c r="L97" s="4" t="str">
        <f ca="1">IFERROR(__xludf.DUMMYFUNCTION("""COMPUTED_VALUE"""),"A cena retrata as experiências das personagens em um país atingido por uma epidemia. No diálogo, a violação de determinadas regras de pontuação")</f>
        <v>A cena retrata as experiências das personagens em um país atingido por uma epidemia. No diálogo, a violação de determinadas regras de pontuação</v>
      </c>
      <c r="M97" s="4" t="str">
        <f ca="1">IFERROR(__xludf.DUMMYFUNCTION("""COMPUTED_VALUE"""),"revela uma incompatibilidade entre o sistema de pontuação convencional e a produção do gênero romance.")</f>
        <v>revela uma incompatibilidade entre o sistema de pontuação convencional e a produção do gênero romance.</v>
      </c>
      <c r="N97" s="4" t="str">
        <f ca="1">IFERROR(__xludf.DUMMYFUNCTION("""COMPUTED_VALUE"""),"provoca uma leitura equivocada das frases interrogativas e prejudica a verossimilhança.")</f>
        <v>provoca uma leitura equivocada das frases interrogativas e prejudica a verossimilhança.</v>
      </c>
      <c r="O97" s="4" t="str">
        <f ca="1">IFERROR(__xludf.DUMMYFUNCTION("""COMPUTED_VALUE"""),"singulariza o estilo do autor e auxilia na representação do ambiente caótico.")</f>
        <v>singulariza o estilo do autor e auxilia na representação do ambiente caótico.</v>
      </c>
      <c r="P97" s="4" t="str">
        <f ca="1">IFERROR(__xludf.DUMMYFUNCTION("""COMPUTED_VALUE"""),"representa uma exceção às regras do sistema de pontuação canônica.")</f>
        <v>representa uma exceção às regras do sistema de pontuação canônica.</v>
      </c>
      <c r="Q97" s="4" t="str">
        <f ca="1">IFERROR(__xludf.DUMMYFUNCTION("""COMPUTED_VALUE"""),"colabora para a construção da identidade do narrador pouco escolarizado.")</f>
        <v>colabora para a construção da identidade do narrador pouco escolarizado.</v>
      </c>
      <c r="R97" s="4"/>
      <c r="S97" s="4"/>
      <c r="T97" s="4"/>
      <c r="U97" s="4"/>
      <c r="V97" s="4"/>
      <c r="W97" s="4"/>
      <c r="X97" s="4"/>
      <c r="Y97" s="4"/>
      <c r="Z97" s="4"/>
    </row>
    <row r="98" spans="1:26" x14ac:dyDescent="0.25">
      <c r="A98" s="3" t="str">
        <f ca="1">IFERROR(__xludf.DUMMYFUNCTION("""COMPUTED_VALUE"""),"https://drive.google.com/open?id=1QC8LVv1-6-DdU9RebfNPorXi1xOyrbR8")</f>
        <v>https://drive.google.com/open?id=1QC8LVv1-6-DdU9RebfNPorXi1xOyrbR8</v>
      </c>
      <c r="B98" s="4" t="str">
        <f ca="1">IFERROR(__xludf.DUMMYFUNCTION("""COMPUTED_VALUE"""),"Enem")</f>
        <v>Enem</v>
      </c>
      <c r="C98" s="4">
        <f ca="1">IFERROR(__xludf.DUMMYFUNCTION("""COMPUTED_VALUE"""),2017)</f>
        <v>2017</v>
      </c>
      <c r="D98" s="4" t="str">
        <f ca="1">IFERROR(__xludf.DUMMYFUNCTION("""COMPUTED_VALUE"""),"Linguagens")</f>
        <v>Linguagens</v>
      </c>
      <c r="E98" s="4" t="str">
        <f ca="1">IFERROR(__xludf.DUMMYFUNCTION("""COMPUTED_VALUE"""),"Língua Estrangeira")</f>
        <v>Língua Estrangeira</v>
      </c>
      <c r="F98" s="4" t="str">
        <f ca="1">IFERROR(__xludf.DUMMYFUNCTION("""COMPUTED_VALUE"""),"Inglês")</f>
        <v>Inglês</v>
      </c>
      <c r="G98" s="4"/>
      <c r="H98" s="4"/>
      <c r="I98" s="4" t="str">
        <f ca="1">IFERROR(__xludf.DUMMYFUNCTION("""COMPUTED_VALUE"""),"Azul")</f>
        <v>Azul</v>
      </c>
      <c r="J98" s="4">
        <f ca="1">IFERROR(__xludf.DUMMYFUNCTION("""COMPUTED_VALUE"""),1)</f>
        <v>1</v>
      </c>
      <c r="K98" s="4" t="str">
        <f ca="1">IFERROR(__xludf.DUMMYFUNCTION("""COMPUTED_VALUE"""),"D")</f>
        <v>D</v>
      </c>
      <c r="L98" s="4" t="str">
        <f ca="1">IFERROR(__xludf.DUMMYFUNCTION("""COMPUTED_VALUE"""),"One of the things that made an incredible impression on me in the film was Frida’s comfort in and celebration of her own unique beauty. She didn’t try to fit into conventional ideas or images about womanhood or what makes someone or something beautiful. I"&amp;"nstead, she fully inhabited her own unique gifts, not particularly caring what other people thought. She was magnetic and beautiful in her own right. She painted for years, not to be a commercial success or to be discovered, but to express her own inner p"&amp;"ain, joy, family, love and culture. She absolutely and resolutely was who she was. The trueness of her own unique vision and her ability to stand firmly in her own truth was what made her successful in the end.
A autora deste comentário sobre o filme Fri"&amp;"da mostra-se impressionada com o fato de a pintora:")</f>
        <v>One of the things that made an incredible impression on me in the film was Frida’s comfort in and celebration of her own unique beauty. She didn’t try to fit into conventional ideas or images about womanhood or what makes someone or something beautiful. Instead, she fully inhabited her own unique gifts, not particularly caring what other people thought. She was magnetic and beautiful in her own right. She painted for years, not to be a commercial success or to be discovered, but to express her own inner pain, joy, family, love and culture. She absolutely and resolutely was who she was. The trueness of her own unique vision and her ability to stand firmly in her own truth was what made her successful in the end.
A autora deste comentário sobre o filme Frida mostra-se impressionada com o fato de a pintora:</v>
      </c>
      <c r="M98" s="4" t="str">
        <f ca="1">IFERROR(__xludf.DUMMYFUNCTION("""COMPUTED_VALUE"""),"ter uma aparência exótica.")</f>
        <v>ter uma aparência exótica.</v>
      </c>
      <c r="N98" s="4" t="str">
        <f ca="1">IFERROR(__xludf.DUMMYFUNCTION("""COMPUTED_VALUE"""),"vender bem a sua imagem.")</f>
        <v>vender bem a sua imagem.</v>
      </c>
      <c r="O98" s="4" t="str">
        <f ca="1">IFERROR(__xludf.DUMMYFUNCTION("""COMPUTED_VALUE"""),"ter grande poder de sedução.")</f>
        <v>ter grande poder de sedução.</v>
      </c>
      <c r="P98" s="4" t="str">
        <f ca="1">IFERROR(__xludf.DUMMYFUNCTION("""COMPUTED_VALUE"""),"assumir sua beleza singular.")</f>
        <v>assumir sua beleza singular.</v>
      </c>
      <c r="Q98" s="4" t="str">
        <f ca="1">IFERROR(__xludf.DUMMYFUNCTION("""COMPUTED_VALUE"""),"recriar-se por meio da pintura.")</f>
        <v>recriar-se por meio da pintura.</v>
      </c>
      <c r="R98" s="4"/>
      <c r="S98" s="4"/>
      <c r="T98" s="4"/>
      <c r="U98" s="4"/>
      <c r="V98" s="4"/>
      <c r="W98" s="4"/>
      <c r="X98" s="4"/>
      <c r="Y98" s="4"/>
      <c r="Z98" s="4"/>
    </row>
    <row r="99" spans="1:26" x14ac:dyDescent="0.25">
      <c r="A99" s="3" t="str">
        <f ca="1">IFERROR(__xludf.DUMMYFUNCTION("""COMPUTED_VALUE"""),"https://drive.google.com/open?id=1BwcruElr9-djNKE0aOT7wWHLAUjwyBDG")</f>
        <v>https://drive.google.com/open?id=1BwcruElr9-djNKE0aOT7wWHLAUjwyBDG</v>
      </c>
      <c r="B99" s="4" t="str">
        <f ca="1">IFERROR(__xludf.DUMMYFUNCTION("""COMPUTED_VALUE"""),"Enem")</f>
        <v>Enem</v>
      </c>
      <c r="C99" s="4">
        <f ca="1">IFERROR(__xludf.DUMMYFUNCTION("""COMPUTED_VALUE"""),2017)</f>
        <v>2017</v>
      </c>
      <c r="D99" s="4" t="str">
        <f ca="1">IFERROR(__xludf.DUMMYFUNCTION("""COMPUTED_VALUE"""),"Linguagens")</f>
        <v>Linguagens</v>
      </c>
      <c r="E99" s="4" t="str">
        <f ca="1">IFERROR(__xludf.DUMMYFUNCTION("""COMPUTED_VALUE"""),"Língua Estrangeira")</f>
        <v>Língua Estrangeira</v>
      </c>
      <c r="F99" s="4" t="str">
        <f ca="1">IFERROR(__xludf.DUMMYFUNCTION("""COMPUTED_VALUE"""),"Inglês")</f>
        <v>Inglês</v>
      </c>
      <c r="G99" s="4"/>
      <c r="H99" s="4"/>
      <c r="I99" s="4" t="str">
        <f ca="1">IFERROR(__xludf.DUMMYFUNCTION("""COMPUTED_VALUE"""),"Azul")</f>
        <v>Azul</v>
      </c>
      <c r="J99" s="4">
        <f ca="1">IFERROR(__xludf.DUMMYFUNCTION("""COMPUTED_VALUE"""),2)</f>
        <v>2</v>
      </c>
      <c r="K99" s="4" t="str">
        <f ca="1">IFERROR(__xludf.DUMMYFUNCTION("""COMPUTED_VALUE"""),"D")</f>
        <v>D</v>
      </c>
      <c r="L99" s="4" t="str">
        <f ca="1">IFERROR(__xludf.DUMMYFUNCTION("""COMPUTED_VALUE"""),"British Government to Recruit Teens as Next Generation of Spies
In the 50 years since the first James Bond movie created a lasting impression of a British secret agent, a completely different character is about to emerge. Britain’s intelligence agencies "&amp;"are to recruit their next generation of cyber spies by harnessing the talents of the “Xbox generation”.
In an expansion of a pilot program, Foreign Secretary William Hague announced Thursday that up to 100 18-year-olds will be given the chance to train fo"&amp;"r a career in Britain’s secret services. The move to recruit school-leavers marks a break with the past, when agencies mainly drew their staff from among university graduates.
“Young people are the key to our country’s future success, just as they were du"&amp;"ring the War”, Hague said. “Today we are not at war, but I see evidence every day of deliberate, organized attacks against intellectual property and government networks in the United Kingdom.”
The new recruitment program, called the Single Intelligence Ac"&amp;"count apprenticeship scheme will enable students with suitable qualifications in science, technology or engineering, to spend two years learning about communications, security and engineering through formal education, technical training and work placement"&amp;"s.
Segundo informações veiculadas pela NBC News, a geração digital já tem seu espaço conquistado nas agências britânicas de inteligência. O governo britânico
decidiu que
")</f>
        <v xml:space="preserve">British Government to Recruit Teens as Next Generation of Spies
In the 50 years since the first James Bond movie created a lasting impression of a British secret agent, a completely different character is about to emerge. Britain’s intelligence agencies are to recruit their next generation of cyber spies by harnessing the talents of the “Xbox generation”.
In an expansion of a pilot program, Foreign Secretary William Hague announced Thursday that up to 100 18-year-olds will be given the chance to train for a career in Britain’s secret services. The move to recruit school-leavers marks a break with the past, when agencies mainly drew their staff from among university graduates.
“Young people are the key to our country’s future success, just as they were during the War”, Hague said. “Today we are not at war, but I see evidence every day of deliberate, organized attacks against intellectual property and government networks in the United Kingdom.”
The new recruitment program, called the Single Intelligence Account apprenticeship scheme will enable students with suitable qualifications in science, technology or engineering, to spend two years learning about communications, security and engineering through formal education, technical training and work placements.
Segundo informações veiculadas pela NBC News, a geração digital já tem seu espaço conquistado nas agências britânicas de inteligência. O governo britânico
decidiu que
</v>
      </c>
      <c r="M99" s="4" t="str">
        <f ca="1">IFERROR(__xludf.DUMMYFUNCTION("""COMPUTED_VALUE"""),"enfrentará a guerra vigente e deliberada contra a propriedade intelectual no Reino Unido.")</f>
        <v>enfrentará a guerra vigente e deliberada contra a propriedade intelectual no Reino Unido.</v>
      </c>
      <c r="N99" s="4" t="str">
        <f ca="1">IFERROR(__xludf.DUMMYFUNCTION("""COMPUTED_VALUE"""),"abandonará a política de contratação de universitários como agentes secretos.")</f>
        <v>abandonará a política de contratação de universitários como agentes secretos.</v>
      </c>
      <c r="O99" s="4" t="str">
        <f ca="1">IFERROR(__xludf.DUMMYFUNCTION("""COMPUTED_VALUE"""),"recrutará jovens jogadores de Xbox como ciberespiões das agências de inteligência.")</f>
        <v>recrutará jovens jogadores de Xbox como ciberespiões das agências de inteligência.</v>
      </c>
      <c r="P99" s="4" t="str">
        <f ca="1">IFERROR(__xludf.DUMMYFUNCTION("""COMPUTED_VALUE"""),"implantará um esquema de capacitação de adolescentes para atuarem como agentes secretos.")</f>
        <v>implantará um esquema de capacitação de adolescentes para atuarem como agentes secretos.</v>
      </c>
      <c r="Q99" s="4" t="str">
        <f ca="1">IFERROR(__xludf.DUMMYFUNCTION("""COMPUTED_VALUE"""),"anunciará os nomes dos jovens a serem contratados pelas agências de inteligência.")</f>
        <v>anunciará os nomes dos jovens a serem contratados pelas agências de inteligência.</v>
      </c>
      <c r="R99" s="4"/>
      <c r="S99" s="4"/>
      <c r="T99" s="4"/>
      <c r="U99" s="4"/>
      <c r="V99" s="4"/>
      <c r="W99" s="4"/>
      <c r="X99" s="4"/>
      <c r="Y99" s="4"/>
      <c r="Z99" s="4"/>
    </row>
    <row r="100" spans="1:26" x14ac:dyDescent="0.25">
      <c r="A100" s="3" t="str">
        <f ca="1">IFERROR(__xludf.DUMMYFUNCTION("""COMPUTED_VALUE"""),"https://drive.google.com/open?id=1MowGKBs4nVoP3rvaM3sCJPezFwd8DV5i")</f>
        <v>https://drive.google.com/open?id=1MowGKBs4nVoP3rvaM3sCJPezFwd8DV5i</v>
      </c>
      <c r="B100" s="4" t="str">
        <f ca="1">IFERROR(__xludf.DUMMYFUNCTION("""COMPUTED_VALUE"""),"Enem")</f>
        <v>Enem</v>
      </c>
      <c r="C100" s="4">
        <f ca="1">IFERROR(__xludf.DUMMYFUNCTION("""COMPUTED_VALUE"""),2017)</f>
        <v>2017</v>
      </c>
      <c r="D100" s="4" t="str">
        <f ca="1">IFERROR(__xludf.DUMMYFUNCTION("""COMPUTED_VALUE"""),"Linguagens")</f>
        <v>Linguagens</v>
      </c>
      <c r="E100" s="4" t="str">
        <f ca="1">IFERROR(__xludf.DUMMYFUNCTION("""COMPUTED_VALUE"""),"Língua Estrangeira")</f>
        <v>Língua Estrangeira</v>
      </c>
      <c r="F100" s="4" t="str">
        <f ca="1">IFERROR(__xludf.DUMMYFUNCTION("""COMPUTED_VALUE"""),"Inglês")</f>
        <v>Inglês</v>
      </c>
      <c r="G100" s="4"/>
      <c r="H100" s="4"/>
      <c r="I100" s="4" t="str">
        <f ca="1">IFERROR(__xludf.DUMMYFUNCTION("""COMPUTED_VALUE"""),"Azul")</f>
        <v>Azul</v>
      </c>
      <c r="J100" s="4">
        <f ca="1">IFERROR(__xludf.DUMMYFUNCTION("""COMPUTED_VALUE"""),3)</f>
        <v>3</v>
      </c>
      <c r="K100" s="4" t="str">
        <f ca="1">IFERROR(__xludf.DUMMYFUNCTION("""COMPUTED_VALUE"""),"C")</f>
        <v>C</v>
      </c>
      <c r="L100" s="4" t="str">
        <f ca="1">IFERROR(__xludf.DUMMYFUNCTION("""COMPUTED_VALUE"""),"(imagem contida no arquivo) Nesse texto publicitário são utilizados recursos verbais e não verbais para transmitir a mensagem. Ao associar os termos anyplace e regret à imagem do texto, constata-se que o tema da propaganda é a importância da")</f>
        <v>(imagem contida no arquivo) Nesse texto publicitário são utilizados recursos verbais e não verbais para transmitir a mensagem. Ao associar os termos anyplace e regret à imagem do texto, constata-se que o tema da propaganda é a importância da</v>
      </c>
      <c r="M100" s="4" t="str">
        <f ca="1">IFERROR(__xludf.DUMMYFUNCTION("""COMPUTED_VALUE"""),"preservação do meio ambiente.")</f>
        <v>preservação do meio ambiente.</v>
      </c>
      <c r="N100" s="4" t="str">
        <f ca="1">IFERROR(__xludf.DUMMYFUNCTION("""COMPUTED_VALUE"""),"manutenção do motor.")</f>
        <v>manutenção do motor.</v>
      </c>
      <c r="O100" s="4" t="str">
        <f ca="1">IFERROR(__xludf.DUMMYFUNCTION("""COMPUTED_VALUE"""),"escolha da empresa certa.")</f>
        <v>escolha da empresa certa.</v>
      </c>
      <c r="P100" s="4" t="str">
        <f ca="1">IFERROR(__xludf.DUMMYFUNCTION("""COMPUTED_VALUE"""),"consistência do produto.")</f>
        <v>consistência do produto.</v>
      </c>
      <c r="Q100" s="4" t="str">
        <f ca="1">IFERROR(__xludf.DUMMYFUNCTION("""COMPUTED_VALUE"""),"conservação do carro.")</f>
        <v>conservação do carro.</v>
      </c>
      <c r="R100" s="4"/>
      <c r="S100" s="4"/>
      <c r="T100" s="4"/>
      <c r="U100" s="4"/>
      <c r="V100" s="4"/>
      <c r="W100" s="4"/>
      <c r="X100" s="4"/>
      <c r="Y100" s="4"/>
      <c r="Z100" s="4"/>
    </row>
    <row r="101" spans="1:26" x14ac:dyDescent="0.25">
      <c r="A101" s="3" t="str">
        <f ca="1">IFERROR(__xludf.DUMMYFUNCTION("""COMPUTED_VALUE"""),"https://drive.google.com/open?id=1JnMZZ1F1Ig4jFsudxFxhnPwVwRJhgCxd")</f>
        <v>https://drive.google.com/open?id=1JnMZZ1F1Ig4jFsudxFxhnPwVwRJhgCxd</v>
      </c>
      <c r="B101" s="4" t="str">
        <f ca="1">IFERROR(__xludf.DUMMYFUNCTION("""COMPUTED_VALUE"""),"Enem")</f>
        <v>Enem</v>
      </c>
      <c r="C101" s="4">
        <f ca="1">IFERROR(__xludf.DUMMYFUNCTION("""COMPUTED_VALUE"""),2017)</f>
        <v>2017</v>
      </c>
      <c r="D101" s="4" t="str">
        <f ca="1">IFERROR(__xludf.DUMMYFUNCTION("""COMPUTED_VALUE"""),"Linguagens")</f>
        <v>Linguagens</v>
      </c>
      <c r="E101" s="4" t="str">
        <f ca="1">IFERROR(__xludf.DUMMYFUNCTION("""COMPUTED_VALUE"""),"Língua Estrangeira")</f>
        <v>Língua Estrangeira</v>
      </c>
      <c r="F101" s="4" t="str">
        <f ca="1">IFERROR(__xludf.DUMMYFUNCTION("""COMPUTED_VALUE"""),"Inglês")</f>
        <v>Inglês</v>
      </c>
      <c r="G101" s="4"/>
      <c r="H101" s="4"/>
      <c r="I101" s="4" t="str">
        <f ca="1">IFERROR(__xludf.DUMMYFUNCTION("""COMPUTED_VALUE"""),"Azul")</f>
        <v>Azul</v>
      </c>
      <c r="J101" s="4">
        <f ca="1">IFERROR(__xludf.DUMMYFUNCTION("""COMPUTED_VALUE"""),4)</f>
        <v>4</v>
      </c>
      <c r="K101" s="4" t="str">
        <f ca="1">IFERROR(__xludf.DUMMYFUNCTION("""COMPUTED_VALUE"""),"D")</f>
        <v>D</v>
      </c>
      <c r="L101" s="4" t="str">
        <f ca="1">IFERROR(__xludf.DUMMYFUNCTION("""COMPUTED_VALUE"""),"Letters
Children and Guns
Published: May 7, 2013
To the editor: Re “Girl’s Death by gunshot Is Rejected as Symbol” (news article, May 6):
I find it abhorrent that the people of Burkesville, Ky., are not willing to learn a lesson from the tragic shooting"&amp;" of a 2-year-old girl by her 5-year-old brother. I am not judging their lifestyle of introducing guns to children at a young age, but I do feel that it’s irresponsible not to practice basic safety with anything potentially lethal — guns, knives, fire and "&amp;"so on. How can anyone justify leaving guns lying around, unlocked and possibly loaded, in a home with two young children? I wish the family of the victim comfort during this difficult time, but to dismiss this as a simple accident leaves open the potentia"&amp;"l for many more such “accidents” to occur. I hope this doesn’t have to happen several more times for legislators to realize that something needs to be changed.
EMILY LOUBATON
Brooklyn, May 6, 2013. 
No que diz respeito à tragédia ocorrida em Burkesville,"&amp;" a autora da carta enviada ao The New York Times busca
")</f>
        <v xml:space="preserve">Letters
Children and Guns
Published: May 7, 2013
To the editor: Re “Girl’s Death by gunshot Is Rejected as Symbol” (news article, May 6):
I find it abhorrent that the people of Burkesville, Ky., are not willing to learn a lesson from the tragic shooting of a 2-year-old girl by her 5-year-old brother. I am not judging their lifestyle of introducing guns to children at a young age, but I do feel that it’s irresponsible not to practice basic safety with anything potentially lethal — guns, knives, fire and so on. How can anyone justify leaving guns lying around, unlocked and possibly loaded, in a home with two young children? I wish the family of the victim comfort during this difficult time, but to dismiss this as a simple accident leaves open the potential for many more such “accidents” to occur. I hope this doesn’t have to happen several more times for legislators to realize that something needs to be changed.
EMILY LOUBATON
Brooklyn, May 6, 2013. 
No que diz respeito à tragédia ocorrida em Burkesville, a autora da carta enviada ao The New York Times busca
</v>
      </c>
      <c r="M101" s="4" t="str">
        <f ca="1">IFERROR(__xludf.DUMMYFUNCTION("""COMPUTED_VALUE"""),"reconhecer o acidente noticiado como um fato isolado.")</f>
        <v>reconhecer o acidente noticiado como um fato isolado.</v>
      </c>
      <c r="N101" s="4" t="str">
        <f ca="1">IFERROR(__xludf.DUMMYFUNCTION("""COMPUTED_VALUE"""),"responsabilizar o irmão da vítima pelo incidente ocorrido.")</f>
        <v>responsabilizar o irmão da vítima pelo incidente ocorrido.</v>
      </c>
      <c r="O101" s="4" t="str">
        <f ca="1">IFERROR(__xludf.DUMMYFUNCTION("""COMPUTED_VALUE"""),"apresentar versão diferente da notícia publicada pelo jornal.")</f>
        <v>apresentar versão diferente da notícia publicada pelo jornal.</v>
      </c>
      <c r="P101" s="4" t="str">
        <f ca="1">IFERROR(__xludf.DUMMYFUNCTION("""COMPUTED_VALUE"""),"expor sua indignação com a negligência de portadores de armas.")</f>
        <v>expor sua indignação com a negligência de portadores de armas.</v>
      </c>
      <c r="Q101" s="4" t="str">
        <f ca="1">IFERROR(__xludf.DUMMYFUNCTION("""COMPUTED_VALUE"""),"reforçar a necessidade de proibição do uso de armas por crianças.")</f>
        <v>reforçar a necessidade de proibição do uso de armas por crianças.</v>
      </c>
      <c r="R101" s="4"/>
      <c r="S101" s="4"/>
      <c r="T101" s="4"/>
      <c r="U101" s="4"/>
      <c r="V101" s="4"/>
      <c r="W101" s="4"/>
      <c r="X101" s="4"/>
      <c r="Y101" s="4"/>
      <c r="Z101" s="4"/>
    </row>
    <row r="102" spans="1:26" x14ac:dyDescent="0.25">
      <c r="A102" s="3" t="str">
        <f ca="1">IFERROR(__xludf.DUMMYFUNCTION("""COMPUTED_VALUE"""),"https://drive.google.com/open?id=11QZw9AwR3iac6mXk0ygtj_p2ZzGKGnxe")</f>
        <v>https://drive.google.com/open?id=11QZw9AwR3iac6mXk0ygtj_p2ZzGKGnxe</v>
      </c>
      <c r="B102" s="4" t="str">
        <f ca="1">IFERROR(__xludf.DUMMYFUNCTION("""COMPUTED_VALUE"""),"Enem")</f>
        <v>Enem</v>
      </c>
      <c r="C102" s="4">
        <f ca="1">IFERROR(__xludf.DUMMYFUNCTION("""COMPUTED_VALUE"""),2017)</f>
        <v>2017</v>
      </c>
      <c r="D102" s="4" t="str">
        <f ca="1">IFERROR(__xludf.DUMMYFUNCTION("""COMPUTED_VALUE"""),"Linguagens")</f>
        <v>Linguagens</v>
      </c>
      <c r="E102" s="4" t="str">
        <f ca="1">IFERROR(__xludf.DUMMYFUNCTION("""COMPUTED_VALUE"""),"Língua Estrangeira")</f>
        <v>Língua Estrangeira</v>
      </c>
      <c r="F102" s="4" t="str">
        <f ca="1">IFERROR(__xludf.DUMMYFUNCTION("""COMPUTED_VALUE"""),"Inglês")</f>
        <v>Inglês</v>
      </c>
      <c r="G102" s="4"/>
      <c r="H102" s="4"/>
      <c r="I102" s="4" t="str">
        <f ca="1">IFERROR(__xludf.DUMMYFUNCTION("""COMPUTED_VALUE"""),"Azul")</f>
        <v>Azul</v>
      </c>
      <c r="J102" s="4">
        <f ca="1">IFERROR(__xludf.DUMMYFUNCTION("""COMPUTED_VALUE"""),5)</f>
        <v>5</v>
      </c>
      <c r="K102" s="4" t="str">
        <f ca="1">IFERROR(__xludf.DUMMYFUNCTION("""COMPUTED_VALUE"""),"E")</f>
        <v>E</v>
      </c>
      <c r="L102" s="4" t="str">
        <f ca="1">IFERROR(__xludf.DUMMYFUNCTION("""COMPUTED_VALUE"""),"Israel Travel Guide
Israel has always been a standout destination. From the days of prophets to the modern day nomad this tiny slice of land on the eastern Mediteranean has long attracted visitors. While some arrive in the “Holy Land'' on a spiritual que"&amp;"st, many others are on cultural tours, beach holidays and eco-tourism trips. Weeding through Israel’s convoluted history is both exhilarating and exhausting. There are crumbling temples, ruined cities, abandoned forts and hundreds of places associated wit"&amp;"h the Bible. And while a sense of adventure is required, most sites are safe and easily accessible. Most of all, Israel is about its incredibly diverse population. Jews come from all over the world to live here, while about 20% of the population is Muslim"&amp;". Politics are hard to get away from in Israel as everyone has an opinion on how to move the country forward — with a ready ear you’re sure to hear opinions from every side of the political spectrum.
Antes de viajar, turistas geralmente buscam informaçõe"&amp;"s sobre o local para onde pretendem ir. O trecho do guia de viagens de Israel
")</f>
        <v xml:space="preserve">Israel Travel Guide
Israel has always been a standout destination. From the days of prophets to the modern day nomad this tiny slice of land on the eastern Mediteranean has long attracted visitors. While some arrive in the “Holy Land'' on a spiritual quest, many others are on cultural tours, beach holidays and eco-tourism trips. Weeding through Israel’s convoluted history is both exhilarating and exhausting. There are crumbling temples, ruined cities, abandoned forts and hundreds of places associated with the Bible. And while a sense of adventure is required, most sites are safe and easily accessible. Most of all, Israel is about its incredibly diverse population. Jews come from all over the world to live here, while about 20% of the population is Muslim. Politics are hard to get away from in Israel as everyone has an opinion on how to move the country forward — with a ready ear you’re sure to hear opinions from every side of the political spectrum.
Antes de viajar, turistas geralmente buscam informações sobre o local para onde pretendem ir. O trecho do guia de viagens de Israel
</v>
      </c>
      <c r="M102" s="4" t="str">
        <f ca="1">IFERROR(__xludf.DUMMYFUNCTION("""COMPUTED_VALUE"""),"descreve a história desse local para que turistas valorizem seus costumes milenares.")</f>
        <v>descreve a história desse local para que turistas valorizem seus costumes milenares.</v>
      </c>
      <c r="N102" s="4" t="str">
        <f ca="1">IFERROR(__xludf.DUMMYFUNCTION("""COMPUTED_VALUE"""),"informa hábitos religiosos para auxiliar turistas a entenderem as diferenças culturais.")</f>
        <v>informa hábitos religiosos para auxiliar turistas a entenderem as diferenças culturais.</v>
      </c>
      <c r="O102" s="4" t="str">
        <f ca="1">IFERROR(__xludf.DUMMYFUNCTION("""COMPUTED_VALUE"""),"divulga os principais pontos turísticos para ajudar turistas a planejarem sua viagem.")</f>
        <v>divulga os principais pontos turísticos para ajudar turistas a planejarem sua viagem.</v>
      </c>
      <c r="P102" s="4" t="str">
        <f ca="1">IFERROR(__xludf.DUMMYFUNCTION("""COMPUTED_VALUE"""),"recomenda medidas de segurança para alertar turistas sobre possíveis riscos locais.")</f>
        <v>recomenda medidas de segurança para alertar turistas sobre possíveis riscos locais.</v>
      </c>
      <c r="Q102" s="4" t="str">
        <f ca="1">IFERROR(__xludf.DUMMYFUNCTION("""COMPUTED_VALUE"""),"apresenta aspectos gerais da cultura do país para continuar a atrair turistas estrangeiros.")</f>
        <v>apresenta aspectos gerais da cultura do país para continuar a atrair turistas estrangeiros.</v>
      </c>
      <c r="R102" s="4"/>
      <c r="S102" s="4"/>
      <c r="T102" s="4"/>
      <c r="U102" s="4"/>
      <c r="V102" s="4"/>
      <c r="W102" s="4"/>
      <c r="X102" s="4"/>
      <c r="Y102" s="4"/>
      <c r="Z102" s="4"/>
    </row>
    <row r="103" spans="1:26" x14ac:dyDescent="0.25">
      <c r="A103" s="3" t="str">
        <f ca="1">IFERROR(__xludf.DUMMYFUNCTION("""COMPUTED_VALUE"""),"https://drive.google.com/open?id=1p13_hcjfbEhgGwgCS2UufCs9nEYsyeyy")</f>
        <v>https://drive.google.com/open?id=1p13_hcjfbEhgGwgCS2UufCs9nEYsyeyy</v>
      </c>
      <c r="B103" s="4" t="str">
        <f ca="1">IFERROR(__xludf.DUMMYFUNCTION("""COMPUTED_VALUE"""),"Enem")</f>
        <v>Enem</v>
      </c>
      <c r="C103" s="4">
        <f ca="1">IFERROR(__xludf.DUMMYFUNCTION("""COMPUTED_VALUE"""),2016)</f>
        <v>2016</v>
      </c>
      <c r="D103" s="4" t="str">
        <f ca="1">IFERROR(__xludf.DUMMYFUNCTION("""COMPUTED_VALUE"""),"Ciências Humanas")</f>
        <v>Ciências Humanas</v>
      </c>
      <c r="E103" s="4" t="str">
        <f ca="1">IFERROR(__xludf.DUMMYFUNCTION("""COMPUTED_VALUE"""),"História")</f>
        <v>História</v>
      </c>
      <c r="F103" s="4" t="str">
        <f ca="1">IFERROR(__xludf.DUMMYFUNCTION("""COMPUTED_VALUE"""),"História do Brasil")</f>
        <v>História do Brasil</v>
      </c>
      <c r="G103" s="4"/>
      <c r="H103" s="4"/>
      <c r="I103" s="4" t="str">
        <f ca="1">IFERROR(__xludf.DUMMYFUNCTION("""COMPUTED_VALUE"""),"Azul")</f>
        <v>Azul</v>
      </c>
      <c r="J103" s="4"/>
      <c r="K103" s="4" t="str">
        <f ca="1">IFERROR(__xludf.DUMMYFUNCTION("""COMPUTED_VALUE"""),"C")</f>
        <v>C</v>
      </c>
      <c r="L103" s="4" t="str">
        <f ca="1">IFERROR(__xludf.DUMMYFUNCTION("""COMPUTED_VALUE"""),"Batizado por Tancredo Neves de “Nova República”,
o período que marca o reencontro do Brasil com os
governos civis e a democracia ainda não completou
seu quinto ano e já viveu dias de grande comoção.
Começou com a tragédia de Tancredo, seguiu pela
euforia "&amp;"do Plano Cruzado, conheceu as depressões da inflação e das ameaças da hiperinflação e desembocou na movimentação que antecede as primeiras eleições
diretas para presidente em 29 anos.
O período descrito apresenta continuidades e rupturas
em relação à conj"&amp;"untura histórica anterior. Uma dessas
continuidades consistiu na")</f>
        <v>Batizado por Tancredo Neves de “Nova República”,
o período que marca o reencontro do Brasil com os
governos civis e a democracia ainda não completou
seu quinto ano e já viveu dias de grande comoção.
Começou com a tragédia de Tancredo, seguiu pela
euforia do Plano Cruzado, conheceu as depressões da inflação e das ameaças da hiperinflação e desembocou na movimentação que antecede as primeiras eleições
diretas para presidente em 29 anos.
O período descrito apresenta continuidades e rupturas
em relação à conjuntura histórica anterior. Uma dessas
continuidades consistiu na</v>
      </c>
      <c r="M103" s="4" t="str">
        <f ca="1">IFERROR(__xludf.DUMMYFUNCTION("""COMPUTED_VALUE"""),"representação do legislativo com a fórmula do
bipartidarismo.")</f>
        <v>representação do legislativo com a fórmula do
bipartidarismo.</v>
      </c>
      <c r="N103" s="4" t="str">
        <f ca="1">IFERROR(__xludf.DUMMYFUNCTION("""COMPUTED_VALUE"""),"detenção de lideranças populares por crimes de
subversão")</f>
        <v>detenção de lideranças populares por crimes de
subversão</v>
      </c>
      <c r="O103" s="4" t="str">
        <f ca="1">IFERROR(__xludf.DUMMYFUNCTION("""COMPUTED_VALUE"""),"presença de políticos com trajetórias no regime
autoritário")</f>
        <v>presença de políticos com trajetórias no regime
autoritário</v>
      </c>
      <c r="P103" s="4" t="str">
        <f ca="1">IFERROR(__xludf.DUMMYFUNCTION("""COMPUTED_VALUE"""),"prorrogação das restrições advindas dos atos
institucionais")</f>
        <v>prorrogação das restrições advindas dos atos
institucionais</v>
      </c>
      <c r="Q103" s="4" t="str">
        <f ca="1">IFERROR(__xludf.DUMMYFUNCTION("""COMPUTED_VALUE"""),"estabilidade da economia com o congelamento anual
de preços.")</f>
        <v>estabilidade da economia com o congelamento anual
de preços.</v>
      </c>
      <c r="R103" s="4"/>
      <c r="S103" s="4"/>
      <c r="T103" s="4"/>
      <c r="U103" s="4"/>
      <c r="V103" s="4"/>
      <c r="W103" s="4"/>
      <c r="X103" s="4"/>
      <c r="Y103" s="4"/>
      <c r="Z103" s="4"/>
    </row>
    <row r="104" spans="1:26" x14ac:dyDescent="0.25">
      <c r="A104" s="3" t="str">
        <f ca="1">IFERROR(__xludf.DUMMYFUNCTION("""COMPUTED_VALUE"""),"https://drive.google.com/open?id=1Y-0kNtJM9zL6o3vYwuBAev7jLQWuJ9pU")</f>
        <v>https://drive.google.com/open?id=1Y-0kNtJM9zL6o3vYwuBAev7jLQWuJ9pU</v>
      </c>
      <c r="B104" s="4" t="str">
        <f ca="1">IFERROR(__xludf.DUMMYFUNCTION("""COMPUTED_VALUE"""),"Enem")</f>
        <v>Enem</v>
      </c>
      <c r="C104" s="4">
        <f ca="1">IFERROR(__xludf.DUMMYFUNCTION("""COMPUTED_VALUE"""),2016)</f>
        <v>2016</v>
      </c>
      <c r="D104" s="4" t="str">
        <f ca="1">IFERROR(__xludf.DUMMYFUNCTION("""COMPUTED_VALUE"""),"Ciências Humanas")</f>
        <v>Ciências Humanas</v>
      </c>
      <c r="E104" s="4" t="str">
        <f ca="1">IFERROR(__xludf.DUMMYFUNCTION("""COMPUTED_VALUE"""),"História")</f>
        <v>História</v>
      </c>
      <c r="F104" s="4" t="str">
        <f ca="1">IFERROR(__xludf.DUMMYFUNCTION("""COMPUTED_VALUE"""),"História do Brasil")</f>
        <v>História do Brasil</v>
      </c>
      <c r="G104" s="4"/>
      <c r="H104" s="4"/>
      <c r="I104" s="4" t="str">
        <f ca="1">IFERROR(__xludf.DUMMYFUNCTION("""COMPUTED_VALUE"""),"Azul")</f>
        <v>Azul</v>
      </c>
      <c r="J104" s="4"/>
      <c r="K104" s="4" t="str">
        <f ca="1">IFERROR(__xludf.DUMMYFUNCTION("""COMPUTED_VALUE"""),"C")</f>
        <v>C</v>
      </c>
      <c r="L104" s="4" t="str">
        <f ca="1">IFERROR(__xludf.DUMMYFUNCTION("""COMPUTED_VALUE"""),"Documentos do século XVI algumas vezes se
referem aos habitantes indígenas como “os brasis”,
ou “gente brasília” e, ocasionalmente no século
XVII, o termo “brasileiro” era a eles aplicado, mas as
referências ao status econômico e jurídico desses
eram muit"&amp;"o mais populares. Assim, os termos “negro
da terra” e “índios” eram utilizados com mais frequência
do que qualquer outro.
Índio é um conceito construído no processo de
conquista da América pelos europeus. Desinteressados
pela diversidade cultural, imbuído"&amp;"s de forte preconceito
para com o outro, o indivíduo de outras culturas,
espanhóis, portugueses, franceses e anglo-saxões
terminaram por denominar da mesma forma povos tão
díspares quanto os tupinambás e os astecas.
Ao comparar os textos, as formas de des"&amp;"ignação dos
grupos nativos pelos europeus, durante o período
analisado, são reveladoras da")</f>
        <v>Documentos do século XVI algumas vezes se
referem aos habitantes indígenas como “os brasis”,
ou “gente brasília” e, ocasionalmente no século
XVII, o termo “brasileiro” era a eles aplicado, mas as
referências ao status econômico e jurídico desses
eram muito mais populares. Assim, os termos “negro
da terra” e “índios” eram utilizados com mais frequência
do que qualquer outro.
Índio é um conceito construído no processo de
conquista da América pelos europeus. Desinteressados
pela diversidade cultural, imbuídos de forte preconceito
para com o outro, o indivíduo de outras culturas,
espanhóis, portugueses, franceses e anglo-saxões
terminaram por denominar da mesma forma povos tão
díspares quanto os tupinambás e os astecas.
Ao comparar os textos, as formas de designação dos
grupos nativos pelos europeus, durante o período
analisado, são reveladoras da</v>
      </c>
      <c r="M104" s="4" t="str">
        <f ca="1">IFERROR(__xludf.DUMMYFUNCTION("""COMPUTED_VALUE"""),"concepção idealizada do território, entendido como
geograficamente indiferenciado")</f>
        <v>concepção idealizada do território, entendido como
geograficamente indiferenciado</v>
      </c>
      <c r="N104" s="4" t="str">
        <f ca="1">IFERROR(__xludf.DUMMYFUNCTION("""COMPUTED_VALUE"""),"percepção corrente de uma ancestralidade comum às
populações ameríndias.")</f>
        <v>percepção corrente de uma ancestralidade comum às
populações ameríndias.</v>
      </c>
      <c r="O104" s="4" t="str">
        <f ca="1">IFERROR(__xludf.DUMMYFUNCTION("""COMPUTED_VALUE"""),"compreensão etnocêntrica acerca das populações
dos territórios conquistados.")</f>
        <v>compreensão etnocêntrica acerca das populações
dos territórios conquistados.</v>
      </c>
      <c r="P104" s="4" t="str">
        <f ca="1">IFERROR(__xludf.DUMMYFUNCTION("""COMPUTED_VALUE"""),"transposição direta das categorias originadas no
imaginário medieval.")</f>
        <v>transposição direta das categorias originadas no
imaginário medieval.</v>
      </c>
      <c r="Q104" s="4" t="str">
        <f ca="1">IFERROR(__xludf.DUMMYFUNCTION("""COMPUTED_VALUE"""),"visão utópica configurada a partir de fantasias de riqueza.")</f>
        <v>visão utópica configurada a partir de fantasias de riqueza.</v>
      </c>
      <c r="R104" s="4"/>
      <c r="S104" s="4"/>
      <c r="T104" s="4"/>
      <c r="U104" s="4"/>
      <c r="V104" s="4"/>
      <c r="W104" s="4"/>
      <c r="X104" s="4"/>
      <c r="Y104" s="4"/>
      <c r="Z104" s="4"/>
    </row>
    <row r="105" spans="1:26" x14ac:dyDescent="0.25">
      <c r="A105" s="3" t="str">
        <f ca="1">IFERROR(__xludf.DUMMYFUNCTION("""COMPUTED_VALUE"""),"https://drive.google.com/open?id=1GZ6mZzL0cbpOEbvnmBa9hQ2qupBULvwI")</f>
        <v>https://drive.google.com/open?id=1GZ6mZzL0cbpOEbvnmBa9hQ2qupBULvwI</v>
      </c>
      <c r="B105" s="4" t="str">
        <f ca="1">IFERROR(__xludf.DUMMYFUNCTION("""COMPUTED_VALUE"""),"Enem")</f>
        <v>Enem</v>
      </c>
      <c r="C105" s="4">
        <f ca="1">IFERROR(__xludf.DUMMYFUNCTION("""COMPUTED_VALUE"""),2016)</f>
        <v>2016</v>
      </c>
      <c r="D105" s="4" t="str">
        <f ca="1">IFERROR(__xludf.DUMMYFUNCTION("""COMPUTED_VALUE"""),"Ciências Humanas")</f>
        <v>Ciências Humanas</v>
      </c>
      <c r="E105" s="4" t="str">
        <f ca="1">IFERROR(__xludf.DUMMYFUNCTION("""COMPUTED_VALUE"""),"História")</f>
        <v>História</v>
      </c>
      <c r="F105" s="4" t="str">
        <f ca="1">IFERROR(__xludf.DUMMYFUNCTION("""COMPUTED_VALUE"""),"Atualidade")</f>
        <v>Atualidade</v>
      </c>
      <c r="G105" s="4"/>
      <c r="H105" s="4"/>
      <c r="I105" s="4" t="str">
        <f ca="1">IFERROR(__xludf.DUMMYFUNCTION("""COMPUTED_VALUE"""),"Azul")</f>
        <v>Azul</v>
      </c>
      <c r="J105" s="4"/>
      <c r="K105" s="4" t="str">
        <f ca="1">IFERROR(__xludf.DUMMYFUNCTION("""COMPUTED_VALUE"""),"D")</f>
        <v>D</v>
      </c>
      <c r="L105" s="4" t="str">
        <f ca="1">IFERROR(__xludf.DUMMYFUNCTION("""COMPUTED_VALUE"""),"Metade da nova equipe da Nasa
é composta por mulheres
Até hoje, cerca de 350 astronautas americanos
já estiveram no espaço, enquanto as mulheres não
chegam a ser um terço desse número. Após o anúncio
da turma composta 50% por mulheres, alguns internautas
"&amp;"escreveram comentários machistas e desrespeitosos
sobre a escolha nas redes sociais.
A comparação entre o anúncio publicitário de 1968 e a
repercussão da notícia de 2016 mostra a")</f>
        <v>Metade da nova equipe da Nasa
é composta por mulheres
Até hoje, cerca de 350 astronautas americanos
já estiveram no espaço, enquanto as mulheres não
chegam a ser um terço desse número. Após o anúncio
da turma composta 50% por mulheres, alguns internautas
escreveram comentários machistas e desrespeitosos
sobre a escolha nas redes sociais.
A comparação entre o anúncio publicitário de 1968 e a
repercussão da notícia de 2016 mostra a</v>
      </c>
      <c r="M105" s="4" t="str">
        <f ca="1">IFERROR(__xludf.DUMMYFUNCTION("""COMPUTED_VALUE"""),"elitização da atividade doméstica ")</f>
        <v xml:space="preserve">elitização da atividade doméstica </v>
      </c>
      <c r="N105" s="4" t="str">
        <f ca="1">IFERROR(__xludf.DUMMYFUNCTION("""COMPUTED_VALUE"""),"qualificação da atividade doméstica")</f>
        <v>qualificação da atividade doméstica</v>
      </c>
      <c r="O105" s="4" t="str">
        <f ca="1">IFERROR(__xludf.DUMMYFUNCTION("""COMPUTED_VALUE"""),"ambição de indústrias patrocinadoras.")</f>
        <v>ambição de indústrias patrocinadoras.</v>
      </c>
      <c r="P105" s="4" t="str">
        <f ca="1">IFERROR(__xludf.DUMMYFUNCTION("""COMPUTED_VALUE"""),"manutenção de estereótipos de gênero.")</f>
        <v>manutenção de estereótipos de gênero.</v>
      </c>
      <c r="Q105" s="4" t="str">
        <f ca="1">IFERROR(__xludf.DUMMYFUNCTION("""COMPUTED_VALUE"""),"equiparação de papéis nas relações familiares.")</f>
        <v>equiparação de papéis nas relações familiares.</v>
      </c>
      <c r="R105" s="4"/>
      <c r="S105" s="4"/>
      <c r="T105" s="4"/>
      <c r="U105" s="4"/>
      <c r="V105" s="4"/>
      <c r="W105" s="4"/>
      <c r="X105" s="4"/>
      <c r="Y105" s="4"/>
      <c r="Z105" s="4"/>
    </row>
    <row r="106" spans="1:26" x14ac:dyDescent="0.25">
      <c r="A106" s="3" t="str">
        <f ca="1">IFERROR(__xludf.DUMMYFUNCTION("""COMPUTED_VALUE"""),"https://drive.google.com/open?id=1BHVWnXWsSVxHdyjuHS2IVNlrSYfPT9cZ")</f>
        <v>https://drive.google.com/open?id=1BHVWnXWsSVxHdyjuHS2IVNlrSYfPT9cZ</v>
      </c>
      <c r="B106" s="4" t="str">
        <f ca="1">IFERROR(__xludf.DUMMYFUNCTION("""COMPUTED_VALUE"""),"Enem")</f>
        <v>Enem</v>
      </c>
      <c r="C106" s="4">
        <f ca="1">IFERROR(__xludf.DUMMYFUNCTION("""COMPUTED_VALUE"""),2016)</f>
        <v>2016</v>
      </c>
      <c r="D106" s="4" t="str">
        <f ca="1">IFERROR(__xludf.DUMMYFUNCTION("""COMPUTED_VALUE"""),"Ciências Humanas")</f>
        <v>Ciências Humanas</v>
      </c>
      <c r="E106" s="4" t="str">
        <f ca="1">IFERROR(__xludf.DUMMYFUNCTION("""COMPUTED_VALUE"""),"História")</f>
        <v>História</v>
      </c>
      <c r="F106" s="4" t="str">
        <f ca="1">IFERROR(__xludf.DUMMYFUNCTION("""COMPUTED_VALUE"""),"História do Brasil")</f>
        <v>História do Brasil</v>
      </c>
      <c r="G106" s="4"/>
      <c r="H106" s="4"/>
      <c r="I106" s="4" t="str">
        <f ca="1">IFERROR(__xludf.DUMMYFUNCTION("""COMPUTED_VALUE"""),"Azul")</f>
        <v>Azul</v>
      </c>
      <c r="J106" s="4"/>
      <c r="K106" s="4" t="str">
        <f ca="1">IFERROR(__xludf.DUMMYFUNCTION("""COMPUTED_VALUE"""),"C")</f>
        <v>C</v>
      </c>
      <c r="L106" s="4" t="str">
        <f ca="1">IFERROR(__xludf.DUMMYFUNCTION("""COMPUTED_VALUE"""),"A África Ocidental é conhecida pela dinâmica das
suas mulheres comerciantes, caracterizadas pela perícia,
autonomia e mobilidade. A sua presença, que fora
atestada por viajantes e por missionários portugueses que
visitaram a costa a partir do século XV, c"&amp;"onsta também na
ampla documentação sobre a região. A literatura é rica
em referências às grandes mulheres como as vendedoras
ambulantes, cujo jeito para o negócio, bem como a
autonomia e mobilidade, é tão típico da região.
A abordagem realizada pelo autor"&amp;" sobre a vida social da
África Ocidental pode ser relacionada a uma característica
marcante das cidades no Brasil escravista nos séculos
XVIII e XIX, que se observa pela
")</f>
        <v xml:space="preserve">A África Ocidental é conhecida pela dinâmica das
suas mulheres comerciantes, caracterizadas pela perícia,
autonomia e mobilidade. A sua presença, que fora
atestada por viajantes e por missionários portugueses que
visitaram a costa a partir do século XV, consta também na
ampla documentação sobre a região. A literatura é rica
em referências às grandes mulheres como as vendedoras
ambulantes, cujo jeito para o negócio, bem como a
autonomia e mobilidade, é tão típico da região.
A abordagem realizada pelo autor sobre a vida social da
África Ocidental pode ser relacionada a uma característica
marcante das cidades no Brasil escravista nos séculos
XVIII e XIX, que se observa pela
</v>
      </c>
      <c r="M106" s="4" t="str">
        <f ca="1">IFERROR(__xludf.DUMMYFUNCTION("""COMPUTED_VALUE"""),"restrição à realização do comércio ambulante por
africanos escravizados e seus descendentes.")</f>
        <v>restrição à realização do comércio ambulante por
africanos escravizados e seus descendentes.</v>
      </c>
      <c r="N106" s="4" t="str">
        <f ca="1">IFERROR(__xludf.DUMMYFUNCTION("""COMPUTED_VALUE"""),"convivência entre homens e mulheres livres, de
diversas origens, no pequeno comércio")</f>
        <v>convivência entre homens e mulheres livres, de
diversas origens, no pequeno comércio</v>
      </c>
      <c r="O106" s="4" t="str">
        <f ca="1">IFERROR(__xludf.DUMMYFUNCTION("""COMPUTED_VALUE"""),"presença de mulheres negras no comércio de rua de
diversos produtos e alimentos")</f>
        <v>presença de mulheres negras no comércio de rua de
diversos produtos e alimentos</v>
      </c>
      <c r="P106" s="4" t="str">
        <f ca="1">IFERROR(__xludf.DUMMYFUNCTION("""COMPUTED_VALUE"""),"dissolução dos hábitos culturais trazidos do continente
de origem dos escravizados.")</f>
        <v>dissolução dos hábitos culturais trazidos do continente
de origem dos escravizados.</v>
      </c>
      <c r="Q106" s="4" t="str">
        <f ca="1">IFERROR(__xludf.DUMMYFUNCTION("""COMPUTED_VALUE"""),"entrada de imigrantes portugueses nas atividades
ligadas ao pequeno comércio urbano.")</f>
        <v>entrada de imigrantes portugueses nas atividades
ligadas ao pequeno comércio urbano.</v>
      </c>
      <c r="R106" s="4"/>
      <c r="S106" s="4"/>
      <c r="T106" s="4"/>
      <c r="U106" s="4"/>
      <c r="V106" s="4"/>
      <c r="W106" s="4"/>
      <c r="X106" s="4"/>
      <c r="Y106" s="4"/>
      <c r="Z106" s="4"/>
    </row>
    <row r="107" spans="1:26" x14ac:dyDescent="0.25">
      <c r="A107" s="3" t="str">
        <f ca="1">IFERROR(__xludf.DUMMYFUNCTION("""COMPUTED_VALUE"""),"https://drive.google.com/open?id=1jcogJRrj8WE2o8CODTYkZ5i4SFH7wzkx")</f>
        <v>https://drive.google.com/open?id=1jcogJRrj8WE2o8CODTYkZ5i4SFH7wzkx</v>
      </c>
      <c r="B107" s="4" t="str">
        <f ca="1">IFERROR(__xludf.DUMMYFUNCTION("""COMPUTED_VALUE"""),"Enem")</f>
        <v>Enem</v>
      </c>
      <c r="C107" s="4">
        <f ca="1">IFERROR(__xludf.DUMMYFUNCTION("""COMPUTED_VALUE"""),2016)</f>
        <v>2016</v>
      </c>
      <c r="D107" s="4" t="str">
        <f ca="1">IFERROR(__xludf.DUMMYFUNCTION("""COMPUTED_VALUE"""),"Ciências Humanas")</f>
        <v>Ciências Humanas</v>
      </c>
      <c r="E107" s="4" t="str">
        <f ca="1">IFERROR(__xludf.DUMMYFUNCTION("""COMPUTED_VALUE"""),"História")</f>
        <v>História</v>
      </c>
      <c r="F107" s="4" t="str">
        <f ca="1">IFERROR(__xludf.DUMMYFUNCTION("""COMPUTED_VALUE"""),"História Geral")</f>
        <v>História Geral</v>
      </c>
      <c r="G107" s="4"/>
      <c r="H107" s="4"/>
      <c r="I107" s="4" t="str">
        <f ca="1">IFERROR(__xludf.DUMMYFUNCTION("""COMPUTED_VALUE"""),"Azul")</f>
        <v>Azul</v>
      </c>
      <c r="J107" s="4"/>
      <c r="K107" s="4" t="str">
        <f ca="1">IFERROR(__xludf.DUMMYFUNCTION("""COMPUTED_VALUE"""),"C")</f>
        <v>C</v>
      </c>
      <c r="L107" s="4" t="str">
        <f ca="1">IFERROR(__xludf.DUMMYFUNCTION("""COMPUTED_VALUE"""),"Quanto mais complicada se tornou a produção
industrial, mais numerosos passaram a ser os elementos
da indústria que exigiam garantia de fornecimento.
Três deles eram de importância fundamental: o trabalho,
a terra e o dinheiro. Numa sociedade comercial, e"&amp;"sse
fornecimento só poderia ser organizado de uma forma:
tornando-os disponíveis à compra. Agora eles tinham que
ser organizados para a venda no mercado. Isso estava
de acordo com a exigência de um sistema de mercado.
Sabemos que em um sistema como esse, "&amp;"os lucros só
podem ser assegurados se se garante a autorregulação
por meio de mercados competitivos interdependentes
A consequência do processo de transformação
socioeconômica abordado no texto é a")</f>
        <v>Quanto mais complicada se tornou a produção
industrial, mais numerosos passaram a ser os elementos
da indústria que exigiam garantia de fornecimento.
Três deles eram de importância fundamental: o trabalho,
a terra e o dinheiro. Numa sociedade comercial, esse
fornecimento só poderia ser organizado de uma forma:
tornando-os disponíveis à compra. Agora eles tinham que
ser organizados para a venda no mercado. Isso estava
de acordo com a exigência de um sistema de mercado.
Sabemos que em um sistema como esse, os lucros só
podem ser assegurados se se garante a autorregulação
por meio de mercados competitivos interdependentes
A consequência do processo de transformação
socioeconômica abordado no texto é a</v>
      </c>
      <c r="M107" s="4" t="str">
        <f ca="1">IFERROR(__xludf.DUMMYFUNCTION("""COMPUTED_VALUE"""),"expansão das terras comunais.")</f>
        <v>expansão das terras comunais.</v>
      </c>
      <c r="N107" s="4" t="str">
        <f ca="1">IFERROR(__xludf.DUMMYFUNCTION("""COMPUTED_VALUE"""),"limitação do mercado como meio de especulação")</f>
        <v>limitação do mercado como meio de especulação</v>
      </c>
      <c r="O107" s="4" t="str">
        <f ca="1">IFERROR(__xludf.DUMMYFUNCTION("""COMPUTED_VALUE"""),"consolidação da força de trabalho como mercadoria.")</f>
        <v>consolidação da força de trabalho como mercadoria.</v>
      </c>
      <c r="P107" s="4" t="str">
        <f ca="1">IFERROR(__xludf.DUMMYFUNCTION("""COMPUTED_VALUE"""),"diminuição do comércio como efeito da industrialização")</f>
        <v>diminuição do comércio como efeito da industrialização</v>
      </c>
      <c r="Q107" s="4" t="str">
        <f ca="1">IFERROR(__xludf.DUMMYFUNCTION("""COMPUTED_VALUE"""),"adequação do dinheiro como elemento padrão
das transações.")</f>
        <v>adequação do dinheiro como elemento padrão
das transações.</v>
      </c>
      <c r="R107" s="4"/>
      <c r="S107" s="4"/>
      <c r="T107" s="4"/>
      <c r="U107" s="4"/>
      <c r="V107" s="4"/>
      <c r="W107" s="4"/>
      <c r="X107" s="4"/>
      <c r="Y107" s="4"/>
      <c r="Z107" s="4"/>
    </row>
    <row r="108" spans="1:26" x14ac:dyDescent="0.25">
      <c r="A108" s="3" t="str">
        <f ca="1">IFERROR(__xludf.DUMMYFUNCTION("""COMPUTED_VALUE"""),"https://drive.google.com/open?id=1BO3b--hkAHXvopUSKRGe90BVssQ9uwb6")</f>
        <v>https://drive.google.com/open?id=1BO3b--hkAHXvopUSKRGe90BVssQ9uwb6</v>
      </c>
      <c r="B108" s="4" t="str">
        <f ca="1">IFERROR(__xludf.DUMMYFUNCTION("""COMPUTED_VALUE"""),"Enem")</f>
        <v>Enem</v>
      </c>
      <c r="C108" s="4">
        <f ca="1">IFERROR(__xludf.DUMMYFUNCTION("""COMPUTED_VALUE"""),2016)</f>
        <v>2016</v>
      </c>
      <c r="D108" s="4" t="str">
        <f ca="1">IFERROR(__xludf.DUMMYFUNCTION("""COMPUTED_VALUE"""),"Ciências Humanas")</f>
        <v>Ciências Humanas</v>
      </c>
      <c r="E108" s="4" t="str">
        <f ca="1">IFERROR(__xludf.DUMMYFUNCTION("""COMPUTED_VALUE"""),"História")</f>
        <v>História</v>
      </c>
      <c r="F108" s="4" t="str">
        <f ca="1">IFERROR(__xludf.DUMMYFUNCTION("""COMPUTED_VALUE"""),"História do Brasil")</f>
        <v>História do Brasil</v>
      </c>
      <c r="G108" s="4"/>
      <c r="H108" s="4"/>
      <c r="I108" s="4" t="str">
        <f ca="1">IFERROR(__xludf.DUMMYFUNCTION("""COMPUTED_VALUE"""),"Azul")</f>
        <v>Azul</v>
      </c>
      <c r="J108" s="4">
        <f ca="1">IFERROR(__xludf.DUMMYFUNCTION("""COMPUTED_VALUE"""),10)</f>
        <v>10</v>
      </c>
      <c r="K108" s="4" t="str">
        <f ca="1">IFERROR(__xludf.DUMMYFUNCTION("""COMPUTED_VALUE"""),"B")</f>
        <v>B</v>
      </c>
      <c r="L108" s="4" t="str">
        <f ca="1">IFERROR(__xludf.DUMMYFUNCTION("""COMPUTED_VALUE"""),"O que ocorreu na Bahia de 1798, ao contrário das
outras situações de contestação política na América
portuguesa, é que o projeto que lhe era subjacente
não tocou somente na condição, ou no instrumento, da
integração subordinada das colônias no império lus"&amp;"o.
Dessa feita, ao contrário do que se deu nas Minas Gerais
(1789), a sedição avançou sobre a sua decorrência.
A diferença entre as sedições abordadas no texto
encontrava-se na pretensão de")</f>
        <v>O que ocorreu na Bahia de 1798, ao contrário das
outras situações de contestação política na América
portuguesa, é que o projeto que lhe era subjacente
não tocou somente na condição, ou no instrumento, da
integração subordinada das colônias no império luso.
Dessa feita, ao contrário do que se deu nas Minas Gerais
(1789), a sedição avançou sobre a sua decorrência.
A diferença entre as sedições abordadas no texto
encontrava-se na pretensão de</v>
      </c>
      <c r="M108" s="4" t="str">
        <f ca="1">IFERROR(__xludf.DUMMYFUNCTION("""COMPUTED_VALUE"""),"eliminar a hierarquia militar.")</f>
        <v>eliminar a hierarquia militar.</v>
      </c>
      <c r="N108" s="4" t="str">
        <f ca="1">IFERROR(__xludf.DUMMYFUNCTION("""COMPUTED_VALUE"""),"abolir a escravidão africana")</f>
        <v>abolir a escravidão africana</v>
      </c>
      <c r="O108" s="4" t="str">
        <f ca="1">IFERROR(__xludf.DUMMYFUNCTION("""COMPUTED_VALUE"""),"anular o domínio metropolitano")</f>
        <v>anular o domínio metropolitano</v>
      </c>
      <c r="P108" s="4" t="str">
        <f ca="1">IFERROR(__xludf.DUMMYFUNCTION("""COMPUTED_VALUE"""),"suprimir a propriedade fundiária.")</f>
        <v>suprimir a propriedade fundiária.</v>
      </c>
      <c r="Q108" s="4" t="str">
        <f ca="1">IFERROR(__xludf.DUMMYFUNCTION("""COMPUTED_VALUE"""),"extinguir o absolutismo monárquico.")</f>
        <v>extinguir o absolutismo monárquico.</v>
      </c>
      <c r="R108" s="4"/>
      <c r="S108" s="4"/>
      <c r="T108" s="4"/>
      <c r="U108" s="4"/>
      <c r="V108" s="4"/>
      <c r="W108" s="4"/>
      <c r="X108" s="4"/>
      <c r="Y108" s="4"/>
      <c r="Z108" s="4"/>
    </row>
    <row r="109" spans="1:26" x14ac:dyDescent="0.25">
      <c r="A109" s="3" t="str">
        <f ca="1">IFERROR(__xludf.DUMMYFUNCTION("""COMPUTED_VALUE"""),"https://drive.google.com/open?id=137fgTpOFGX32bK_DpeGGIC-ov595TO17")</f>
        <v>https://drive.google.com/open?id=137fgTpOFGX32bK_DpeGGIC-ov595TO17</v>
      </c>
      <c r="B109" s="4" t="str">
        <f ca="1">IFERROR(__xludf.DUMMYFUNCTION("""COMPUTED_VALUE"""),"Enem")</f>
        <v>Enem</v>
      </c>
      <c r="C109" s="4">
        <f ca="1">IFERROR(__xludf.DUMMYFUNCTION("""COMPUTED_VALUE"""),2016)</f>
        <v>2016</v>
      </c>
      <c r="D109" s="4" t="str">
        <f ca="1">IFERROR(__xludf.DUMMYFUNCTION("""COMPUTED_VALUE"""),"Ciências Humanas")</f>
        <v>Ciências Humanas</v>
      </c>
      <c r="E109" s="4" t="str">
        <f ca="1">IFERROR(__xludf.DUMMYFUNCTION("""COMPUTED_VALUE"""),"História")</f>
        <v>História</v>
      </c>
      <c r="F109" s="4" t="str">
        <f ca="1">IFERROR(__xludf.DUMMYFUNCTION("""COMPUTED_VALUE"""),"Atualidade")</f>
        <v>Atualidade</v>
      </c>
      <c r="G109" s="4"/>
      <c r="H109" s="4"/>
      <c r="I109" s="4" t="str">
        <f ca="1">IFERROR(__xludf.DUMMYFUNCTION("""COMPUTED_VALUE"""),"Azul")</f>
        <v>Azul</v>
      </c>
      <c r="J109" s="4">
        <f ca="1">IFERROR(__xludf.DUMMYFUNCTION("""COMPUTED_VALUE"""),11)</f>
        <v>11</v>
      </c>
      <c r="K109" s="4" t="str">
        <f ca="1">IFERROR(__xludf.DUMMYFUNCTION("""COMPUTED_VALUE"""),"E")</f>
        <v>E</v>
      </c>
      <c r="L109" s="4" t="str">
        <f ca="1">IFERROR(__xludf.DUMMYFUNCTION("""COMPUTED_VALUE"""),"A eleição dos novos bens, ou melhor, de novas
formas de se conceber a condição do patrimônio cultural
nacional, também permite que diferentes grupos sociais,
utilizando as leis do Estado e o apoio de especialistas,
revejam as imagens e alegorias do seu pa"&amp;"ssado, do que querem guardar e definir como próprio e identitário
O texto chama a atenção para a importância da proteção
de bens que, como aquele apresentado na imagem, se
identificam como:
")</f>
        <v xml:space="preserve">A eleição dos novos bens, ou melhor, de novas
formas de se conceber a condição do patrimônio cultural
nacional, também permite que diferentes grupos sociais,
utilizando as leis do Estado e o apoio de especialistas,
revejam as imagens e alegorias do seu passado, do que querem guardar e definir como próprio e identitário
O texto chama a atenção para a importância da proteção
de bens que, como aquele apresentado na imagem, se
identificam como:
</v>
      </c>
      <c r="M109" s="4" t="str">
        <f ca="1">IFERROR(__xludf.DUMMYFUNCTION("""COMPUTED_VALUE"""),"Artefatos sagrados")</f>
        <v>Artefatos sagrados</v>
      </c>
      <c r="N109" s="4" t="str">
        <f ca="1">IFERROR(__xludf.DUMMYFUNCTION("""COMPUTED_VALUE"""),"Heranças materiais")</f>
        <v>Heranças materiais</v>
      </c>
      <c r="O109" s="4" t="str">
        <f ca="1">IFERROR(__xludf.DUMMYFUNCTION("""COMPUTED_VALUE"""),"Objetos arqueológicos")</f>
        <v>Objetos arqueológicos</v>
      </c>
      <c r="P109" s="4" t="str">
        <f ca="1">IFERROR(__xludf.DUMMYFUNCTION("""COMPUTED_VALUE"""),"Peças comercializáveis")</f>
        <v>Peças comercializáveis</v>
      </c>
      <c r="Q109" s="4" t="str">
        <f ca="1">IFERROR(__xludf.DUMMYFUNCTION("""COMPUTED_VALUE"""),"Conhecimentos tradicionais")</f>
        <v>Conhecimentos tradicionais</v>
      </c>
      <c r="R109" s="4"/>
      <c r="S109" s="4"/>
      <c r="T109" s="4"/>
      <c r="U109" s="4"/>
      <c r="V109" s="4"/>
      <c r="W109" s="4"/>
      <c r="X109" s="4"/>
      <c r="Y109" s="4"/>
      <c r="Z109" s="4"/>
    </row>
    <row r="110" spans="1:26" x14ac:dyDescent="0.25">
      <c r="A110" s="3" t="str">
        <f ca="1">IFERROR(__xludf.DUMMYFUNCTION("""COMPUTED_VALUE"""),"https://drive.google.com/open?id=10zZxHII0ar3JqDtJD1b2ROfNwWFhvq13")</f>
        <v>https://drive.google.com/open?id=10zZxHII0ar3JqDtJD1b2ROfNwWFhvq13</v>
      </c>
      <c r="B110" s="4" t="str">
        <f ca="1">IFERROR(__xludf.DUMMYFUNCTION("""COMPUTED_VALUE"""),"Enem")</f>
        <v>Enem</v>
      </c>
      <c r="C110" s="4">
        <f ca="1">IFERROR(__xludf.DUMMYFUNCTION("""COMPUTED_VALUE"""),2016)</f>
        <v>2016</v>
      </c>
      <c r="D110" s="4" t="str">
        <f ca="1">IFERROR(__xludf.DUMMYFUNCTION("""COMPUTED_VALUE"""),"Ciências Humanas")</f>
        <v>Ciências Humanas</v>
      </c>
      <c r="E110" s="4" t="str">
        <f ca="1">IFERROR(__xludf.DUMMYFUNCTION("""COMPUTED_VALUE"""),"História")</f>
        <v>História</v>
      </c>
      <c r="F110" s="4" t="str">
        <f ca="1">IFERROR(__xludf.DUMMYFUNCTION("""COMPUTED_VALUE"""),"História do Brasil")</f>
        <v>História do Brasil</v>
      </c>
      <c r="G110" s="4"/>
      <c r="H110" s="4"/>
      <c r="I110" s="4" t="str">
        <f ca="1">IFERROR(__xludf.DUMMYFUNCTION("""COMPUTED_VALUE"""),"Azul")</f>
        <v>Azul</v>
      </c>
      <c r="J110" s="4">
        <f ca="1">IFERROR(__xludf.DUMMYFUNCTION("""COMPUTED_VALUE"""),13)</f>
        <v>13</v>
      </c>
      <c r="K110" s="4" t="str">
        <f ca="1">IFERROR(__xludf.DUMMYFUNCTION("""COMPUTED_VALUE"""),"D")</f>
        <v>D</v>
      </c>
      <c r="L110" s="4" t="str">
        <f ca="1">IFERROR(__xludf.DUMMYFUNCTION("""COMPUTED_VALUE"""),"A Operação Condor está diretamente vinculada
às experiências históricas das ditaduras civil-militares
que se disseminaram pelo Cone Sul entre as décadas
de 1960 e 1980. Depois do Brasil (e do Paraguai de
Stroessner), foi a vez da Argentina (1966), Bolívia"&amp;"
(1966 e 1971), Uruguai e Chile (1973) e Argentina
(novamente, em 1976). Em todos os casos se
instalaram ditaduras civil-militares (em menor ou
maior medida) com base na Doutrina de Segurança
Nacional e tendo como principais características um
anticomunis"&amp;"mo militante, a identificação do inimigo
interno, a imposição do papel político das Forças
Armadas e a definição de fronteiras ideológicas.
Levando-se em conta o contexto em que foi criada, a
referida operação tinha como objetivo coordenar a")</f>
        <v>A Operação Condor está diretamente vinculada
às experiências históricas das ditaduras civil-militares
que se disseminaram pelo Cone Sul entre as décadas
de 1960 e 1980. Depois do Brasil (e do Paraguai de
Stroessner), foi a vez da Argentina (1966), Bolívia
(1966 e 1971), Uruguai e Chile (1973) e Argentina
(novamente, em 1976). Em todos os casos se
instalaram ditaduras civil-militares (em menor ou
maior medida) com base na Doutrina de Segurança
Nacional e tendo como principais características um
anticomunismo militante, a identificação do inimigo
interno, a imposição do papel político das Forças
Armadas e a definição de fronteiras ideológicas.
Levando-se em conta o contexto em que foi criada, a
referida operação tinha como objetivo coordenar a</v>
      </c>
      <c r="M110" s="4" t="str">
        <f ca="1">IFERROR(__xludf.DUMMYFUNCTION("""COMPUTED_VALUE"""),"modificação de limites territoriais")</f>
        <v>modificação de limites territoriais</v>
      </c>
      <c r="N110" s="4" t="str">
        <f ca="1">IFERROR(__xludf.DUMMYFUNCTION("""COMPUTED_VALUE"""),"sobrevivência de oficiais exilados ")</f>
        <v xml:space="preserve">sobrevivência de oficiais exilados </v>
      </c>
      <c r="O110" s="4" t="str">
        <f ca="1">IFERROR(__xludf.DUMMYFUNCTION("""COMPUTED_VALUE"""),"interferência de potências mundiais")</f>
        <v>interferência de potências mundiais</v>
      </c>
      <c r="P110" s="4" t="str">
        <f ca="1">IFERROR(__xludf.DUMMYFUNCTION("""COMPUTED_VALUE"""),"repressão de ativistas oposicionistas ")</f>
        <v xml:space="preserve">repressão de ativistas oposicionistas </v>
      </c>
      <c r="Q110" s="4" t="str">
        <f ca="1">IFERROR(__xludf.DUMMYFUNCTION("""COMPUTED_VALUE"""),"implantação de governos nacionalistas")</f>
        <v>implantação de governos nacionalistas</v>
      </c>
      <c r="R110" s="4"/>
      <c r="S110" s="4"/>
      <c r="T110" s="4"/>
      <c r="U110" s="4"/>
      <c r="V110" s="4"/>
      <c r="W110" s="4"/>
      <c r="X110" s="4"/>
      <c r="Y110" s="4"/>
      <c r="Z110" s="4"/>
    </row>
    <row r="111" spans="1:26" x14ac:dyDescent="0.25">
      <c r="A111" s="3" t="str">
        <f ca="1">IFERROR(__xludf.DUMMYFUNCTION("""COMPUTED_VALUE"""),"https://drive.google.com/open?id=13YkTf8-O7GM6-87B19EMyB5QKd3yyOfj")</f>
        <v>https://drive.google.com/open?id=13YkTf8-O7GM6-87B19EMyB5QKd3yyOfj</v>
      </c>
      <c r="B111" s="4" t="str">
        <f ca="1">IFERROR(__xludf.DUMMYFUNCTION("""COMPUTED_VALUE"""),"Enem")</f>
        <v>Enem</v>
      </c>
      <c r="C111" s="4">
        <f ca="1">IFERROR(__xludf.DUMMYFUNCTION("""COMPUTED_VALUE"""),2016)</f>
        <v>2016</v>
      </c>
      <c r="D111" s="4" t="str">
        <f ca="1">IFERROR(__xludf.DUMMYFUNCTION("""COMPUTED_VALUE"""),"Ciências Humanas")</f>
        <v>Ciências Humanas</v>
      </c>
      <c r="E111" s="4" t="str">
        <f ca="1">IFERROR(__xludf.DUMMYFUNCTION("""COMPUTED_VALUE"""),"História")</f>
        <v>História</v>
      </c>
      <c r="F111" s="4" t="str">
        <f ca="1">IFERROR(__xludf.DUMMYFUNCTION("""COMPUTED_VALUE"""),"História do Brasil")</f>
        <v>História do Brasil</v>
      </c>
      <c r="G111" s="4"/>
      <c r="H111" s="4"/>
      <c r="I111" s="4" t="str">
        <f ca="1">IFERROR(__xludf.DUMMYFUNCTION("""COMPUTED_VALUE"""),"Azul")</f>
        <v>Azul</v>
      </c>
      <c r="J111" s="4">
        <f ca="1">IFERROR(__xludf.DUMMYFUNCTION("""COMPUTED_VALUE"""),14)</f>
        <v>14</v>
      </c>
      <c r="K111" s="4" t="str">
        <f ca="1">IFERROR(__xludf.DUMMYFUNCTION("""COMPUTED_VALUE"""),"B")</f>
        <v>B</v>
      </c>
      <c r="L111" s="4" t="str">
        <f ca="1">IFERROR(__xludf.DUMMYFUNCTION("""COMPUTED_VALUE"""),"A regulação das relações de trabalho compõe uma
estrutura complexa, em que cada elemento se ajusta aos
demais. A Justiça do Trabalho é apenas uma das peças
dessa vasta engrenagem. A presença de representantes
classistas na composição dos órgãos da Justiça"&amp;" do
Trabalho é também resultante da montagem dessa
regulação. O poder normativo também reflete essa característica. Instituída pela Constituição de 1934, a
Justiça do Trabalho só vicejou no ambiente político do
Estado Novo instaurado em 1937.
A criação da"&amp;" referida instituição estatal na conjuntura
histórica abordada teve por objetivo ")</f>
        <v xml:space="preserve">A regulação das relações de trabalho compõe uma
estrutura complexa, em que cada elemento se ajusta aos
demais. A Justiça do Trabalho é apenas uma das peças
dessa vasta engrenagem. A presença de representantes
classistas na composição dos órgãos da Justiça do
Trabalho é também resultante da montagem dessa
regulação. O poder normativo também reflete essa característica. Instituída pela Constituição de 1934, a
Justiça do Trabalho só vicejou no ambiente político do
Estado Novo instaurado em 1937.
A criação da referida instituição estatal na conjuntura
histórica abordada teve por objetivo </v>
      </c>
      <c r="M111" s="4" t="str">
        <f ca="1">IFERROR(__xludf.DUMMYFUNCTION("""COMPUTED_VALUE"""),"legitimar os protestos fabris. ")</f>
        <v xml:space="preserve">legitimar os protestos fabris. </v>
      </c>
      <c r="N111" s="4" t="str">
        <f ca="1">IFERROR(__xludf.DUMMYFUNCTION("""COMPUTED_VALUE"""),"ordenar os conflitos laborais")</f>
        <v>ordenar os conflitos laborais</v>
      </c>
      <c r="O111" s="4" t="str">
        <f ca="1">IFERROR(__xludf.DUMMYFUNCTION("""COMPUTED_VALUE"""),"oficializar os conflitos laborais")</f>
        <v>oficializar os conflitos laborais</v>
      </c>
      <c r="P111" s="4" t="str">
        <f ca="1">IFERROR(__xludf.DUMMYFUNCTION("""COMPUTED_VALUE"""),"assegurar os princípios liberais ")</f>
        <v xml:space="preserve">assegurar os princípios liberais </v>
      </c>
      <c r="Q111" s="4" t="str">
        <f ca="1">IFERROR(__xludf.DUMMYFUNCTION("""COMPUTED_VALUE"""),"unificar os salários profissionais ")</f>
        <v xml:space="preserve">unificar os salários profissionais </v>
      </c>
      <c r="R111" s="4"/>
      <c r="S111" s="4"/>
      <c r="T111" s="4"/>
      <c r="U111" s="4"/>
      <c r="V111" s="4"/>
      <c r="W111" s="4"/>
      <c r="X111" s="4"/>
      <c r="Y111" s="4"/>
      <c r="Z111" s="4"/>
    </row>
    <row r="112" spans="1:26" x14ac:dyDescent="0.25">
      <c r="A112" s="3" t="str">
        <f ca="1">IFERROR(__xludf.DUMMYFUNCTION("""COMPUTED_VALUE"""),"https://drive.google.com/open?id=1DrtoMc2OvmYH7SFQcEFe3LybUFsD2Ziy")</f>
        <v>https://drive.google.com/open?id=1DrtoMc2OvmYH7SFQcEFe3LybUFsD2Ziy</v>
      </c>
      <c r="B112" s="4" t="str">
        <f ca="1">IFERROR(__xludf.DUMMYFUNCTION("""COMPUTED_VALUE"""),"Enem")</f>
        <v>Enem</v>
      </c>
      <c r="C112" s="4">
        <f ca="1">IFERROR(__xludf.DUMMYFUNCTION("""COMPUTED_VALUE"""),2016)</f>
        <v>2016</v>
      </c>
      <c r="D112" s="4" t="str">
        <f ca="1">IFERROR(__xludf.DUMMYFUNCTION("""COMPUTED_VALUE"""),"Ciências Humanas")</f>
        <v>Ciências Humanas</v>
      </c>
      <c r="E112" s="4" t="str">
        <f ca="1">IFERROR(__xludf.DUMMYFUNCTION("""COMPUTED_VALUE"""),"História")</f>
        <v>História</v>
      </c>
      <c r="F112" s="4" t="str">
        <f ca="1">IFERROR(__xludf.DUMMYFUNCTION("""COMPUTED_VALUE"""),"História Geral")</f>
        <v>História Geral</v>
      </c>
      <c r="G112" s="4"/>
      <c r="H112" s="4"/>
      <c r="I112" s="4" t="str">
        <f ca="1">IFERROR(__xludf.DUMMYFUNCTION("""COMPUTED_VALUE"""),"Azul")</f>
        <v>Azul</v>
      </c>
      <c r="J112" s="4">
        <f ca="1">IFERROR(__xludf.DUMMYFUNCTION("""COMPUTED_VALUE"""),21)</f>
        <v>21</v>
      </c>
      <c r="K112" s="4" t="str">
        <f ca="1">IFERROR(__xludf.DUMMYFUNCTION("""COMPUTED_VALUE"""),"C")</f>
        <v>C</v>
      </c>
      <c r="L112" s="4" t="str">
        <f ca="1">IFERROR(__xludf.DUMMYFUNCTION("""COMPUTED_VALUE"""),"Pois quem seria tão inútil ou indolente a ponto
de não desejar saber como e sob que espécie de
constituição os romanos conseguiram em menos de
cinquenta e três anos submeter quase todo o mundo
habitado ao seu governo exclusivo — fato nunca antes
ocorrido?"&amp;" Ou, em outras palavras, quem seria tão
apaixonadamente devotado a outros espetáculos ou
estudos a ponto de considerar qualquer outro objetivo
mais importante que a aquisição desse conhecimento?
A experiência a que se refere o historiador Políbio, nesse
t"&amp;"exto escrito no século II a.C., é a")</f>
        <v>Pois quem seria tão inútil ou indolente a ponto
de não desejar saber como e sob que espécie de
constituição os romanos conseguiram em menos de
cinquenta e três anos submeter quase todo o mundo
habitado ao seu governo exclusivo — fato nunca antes
ocorrido? Ou, em outras palavras, quem seria tão
apaixonadamente devotado a outros espetáculos ou
estudos a ponto de considerar qualquer outro objetivo
mais importante que a aquisição desse conhecimento?
A experiência a que se refere o historiador Políbio, nesse
texto escrito no século II a.C., é a</v>
      </c>
      <c r="M112" s="4" t="str">
        <f ca="1">IFERROR(__xludf.DUMMYFUNCTION("""COMPUTED_VALUE"""),"ampliação do contingente de camponeses livres")</f>
        <v>ampliação do contingente de camponeses livres</v>
      </c>
      <c r="N112" s="4" t="str">
        <f ca="1">IFERROR(__xludf.DUMMYFUNCTION("""COMPUTED_VALUE"""),"consolidação do poder das falanges hoplitas.")</f>
        <v>consolidação do poder das falanges hoplitas.</v>
      </c>
      <c r="O112" s="4" t="str">
        <f ca="1">IFERROR(__xludf.DUMMYFUNCTION("""COMPUTED_VALUE"""),"concretização do desígnio imperialista.
")</f>
        <v xml:space="preserve">concretização do desígnio imperialista.
</v>
      </c>
      <c r="P112" s="4" t="str">
        <f ca="1">IFERROR(__xludf.DUMMYFUNCTION("""COMPUTED_VALUE"""),"adoção do monoteísmo cristão.
")</f>
        <v xml:space="preserve">adoção do monoteísmo cristão.
</v>
      </c>
      <c r="Q112" s="4" t="str">
        <f ca="1">IFERROR(__xludf.DUMMYFUNCTION("""COMPUTED_VALUE"""),"libertação do domínio etrusco.
")</f>
        <v xml:space="preserve">libertação do domínio etrusco.
</v>
      </c>
      <c r="R112" s="4"/>
      <c r="S112" s="4"/>
      <c r="T112" s="4"/>
      <c r="U112" s="4"/>
      <c r="V112" s="4"/>
      <c r="W112" s="4"/>
      <c r="X112" s="4"/>
      <c r="Y112" s="4"/>
      <c r="Z112" s="4"/>
    </row>
    <row r="113" spans="1:26" x14ac:dyDescent="0.25">
      <c r="A113" s="3" t="str">
        <f ca="1">IFERROR(__xludf.DUMMYFUNCTION("""COMPUTED_VALUE"""),"https://drive.google.com/open?id=1Pbm7zidEC3Z67dtP6cE62pwTkGv65cEp")</f>
        <v>https://drive.google.com/open?id=1Pbm7zidEC3Z67dtP6cE62pwTkGv65cEp</v>
      </c>
      <c r="B113" s="4" t="str">
        <f ca="1">IFERROR(__xludf.DUMMYFUNCTION("""COMPUTED_VALUE"""),"Enem")</f>
        <v>Enem</v>
      </c>
      <c r="C113" s="4">
        <f ca="1">IFERROR(__xludf.DUMMYFUNCTION("""COMPUTED_VALUE"""),2016)</f>
        <v>2016</v>
      </c>
      <c r="D113" s="4" t="str">
        <f ca="1">IFERROR(__xludf.DUMMYFUNCTION("""COMPUTED_VALUE"""),"Ciências Humanas")</f>
        <v>Ciências Humanas</v>
      </c>
      <c r="E113" s="4" t="str">
        <f ca="1">IFERROR(__xludf.DUMMYFUNCTION("""COMPUTED_VALUE"""),"História")</f>
        <v>História</v>
      </c>
      <c r="F113" s="4" t="str">
        <f ca="1">IFERROR(__xludf.DUMMYFUNCTION("""COMPUTED_VALUE"""),"História do Brasil")</f>
        <v>História do Brasil</v>
      </c>
      <c r="G113" s="4"/>
      <c r="H113" s="4"/>
      <c r="I113" s="4" t="str">
        <f ca="1">IFERROR(__xludf.DUMMYFUNCTION("""COMPUTED_VALUE"""),"Azul")</f>
        <v>Azul</v>
      </c>
      <c r="J113" s="4">
        <f ca="1">IFERROR(__xludf.DUMMYFUNCTION("""COMPUTED_VALUE"""),26)</f>
        <v>26</v>
      </c>
      <c r="K113" s="4" t="str">
        <f ca="1">IFERROR(__xludf.DUMMYFUNCTION("""COMPUTED_VALUE"""),"B")</f>
        <v>B</v>
      </c>
      <c r="L113" s="4" t="str">
        <f ca="1">IFERROR(__xludf.DUMMYFUNCTION("""COMPUTED_VALUE"""),"Os santos tornaram-se grandes aliados da Igreja para
atrair novos devotos, pois eram obedientes a Deus e ao
poder clerical. Contando e estimulando o conhecimento
sobre a vida dos santos, a igreja transmitia aos fiéis os
ensinamentos que julgava corretos e"&amp;" que deviam ser
imitados por escravos que, em geral, traziam outras
crenças de suas terras de origem, muito diferentes das
que preconizava a fé católica.
Posteriormente ressignificados no interior de certas
irmandades e no contato com outra matriz religio"&amp;"sa, o
ícone e a prática mencionada no texto estiveram desde
o século XVII relacionados a um esforço da Igreja
Católica para")</f>
        <v>Os santos tornaram-se grandes aliados da Igreja para
atrair novos devotos, pois eram obedientes a Deus e ao
poder clerical. Contando e estimulando o conhecimento
sobre a vida dos santos, a igreja transmitia aos fiéis os
ensinamentos que julgava corretos e que deviam ser
imitados por escravos que, em geral, traziam outras
crenças de suas terras de origem, muito diferentes das
que preconizava a fé católica.
Posteriormente ressignificados no interior de certas
irmandades e no contato com outra matriz religiosa, o
ícone e a prática mencionada no texto estiveram desde
o século XVII relacionados a um esforço da Igreja
Católica para</v>
      </c>
      <c r="M113" s="4" t="str">
        <f ca="1">IFERROR(__xludf.DUMMYFUNCTION("""COMPUTED_VALUE"""),"reduzir o poder das confrarias.")</f>
        <v>reduzir o poder das confrarias.</v>
      </c>
      <c r="N113" s="4" t="str">
        <f ca="1">IFERROR(__xludf.DUMMYFUNCTION("""COMPUTED_VALUE"""),"cristianizar a população afro-brasileira")</f>
        <v>cristianizar a população afro-brasileira</v>
      </c>
      <c r="O113" s="4" t="str">
        <f ca="1">IFERROR(__xludf.DUMMYFUNCTION("""COMPUTED_VALUE"""),"espoliar recursos materiais dos cativos.")</f>
        <v>espoliar recursos materiais dos cativos.</v>
      </c>
      <c r="P113" s="4" t="str">
        <f ca="1">IFERROR(__xludf.DUMMYFUNCTION("""COMPUTED_VALUE"""),"recrutar libertos para seu corpo eclesiástico.")</f>
        <v>recrutar libertos para seu corpo eclesiástico.</v>
      </c>
      <c r="Q113" s="4" t="str">
        <f ca="1">IFERROR(__xludf.DUMMYFUNCTION("""COMPUTED_VALUE"""),"atender a demanda popular por padroeiros locais")</f>
        <v>atender a demanda popular por padroeiros locais</v>
      </c>
      <c r="R113" s="4"/>
      <c r="S113" s="4"/>
      <c r="T113" s="4"/>
      <c r="U113" s="4"/>
      <c r="V113" s="4"/>
      <c r="W113" s="4"/>
      <c r="X113" s="4"/>
      <c r="Y113" s="4"/>
      <c r="Z113" s="4"/>
    </row>
    <row r="114" spans="1:26" x14ac:dyDescent="0.25">
      <c r="A114" s="3" t="str">
        <f ca="1">IFERROR(__xludf.DUMMYFUNCTION("""COMPUTED_VALUE"""),"https://drive.google.com/open?id=1RwyTu3NwuNJsBjQOqfr4IgESawaaaASD")</f>
        <v>https://drive.google.com/open?id=1RwyTu3NwuNJsBjQOqfr4IgESawaaaASD</v>
      </c>
      <c r="B114" s="4" t="str">
        <f ca="1">IFERROR(__xludf.DUMMYFUNCTION("""COMPUTED_VALUE"""),"Enem")</f>
        <v>Enem</v>
      </c>
      <c r="C114" s="4">
        <f ca="1">IFERROR(__xludf.DUMMYFUNCTION("""COMPUTED_VALUE"""),2016)</f>
        <v>2016</v>
      </c>
      <c r="D114" s="4" t="str">
        <f ca="1">IFERROR(__xludf.DUMMYFUNCTION("""COMPUTED_VALUE"""),"Ciências Humanas")</f>
        <v>Ciências Humanas</v>
      </c>
      <c r="E114" s="4" t="str">
        <f ca="1">IFERROR(__xludf.DUMMYFUNCTION("""COMPUTED_VALUE"""),"História")</f>
        <v>História</v>
      </c>
      <c r="F114" s="4" t="str">
        <f ca="1">IFERROR(__xludf.DUMMYFUNCTION("""COMPUTED_VALUE"""),"História do Brasil")</f>
        <v>História do Brasil</v>
      </c>
      <c r="G114" s="4"/>
      <c r="H114" s="4"/>
      <c r="I114" s="4" t="str">
        <f ca="1">IFERROR(__xludf.DUMMYFUNCTION("""COMPUTED_VALUE"""),"Azul")</f>
        <v>Azul</v>
      </c>
      <c r="J114" s="4">
        <f ca="1">IFERROR(__xludf.DUMMYFUNCTION("""COMPUTED_VALUE"""),27)</f>
        <v>27</v>
      </c>
      <c r="K114" s="4" t="str">
        <f ca="1">IFERROR(__xludf.DUMMYFUNCTION("""COMPUTED_VALUE"""),"E")</f>
        <v>E</v>
      </c>
      <c r="L114" s="4" t="str">
        <f ca="1">IFERROR(__xludf.DUMMYFUNCTION("""COMPUTED_VALUE"""),"Em 1935, o governo brasileiro começou a negar vistos
a judeus. Posteriormente, durante o Estado Novo, uma
circular secreta proibiu a concessão de vistos a “pessoas
de origem semita”, inclusive turistas e negociantes, o que
causou uma queda de 75% da imigr"&amp;"ação judaica ao longo
daquele ano. Entretanto, mesmo com as imposições da
lei, muitos judeus continuaram entrando ilegalmente no
país durante a guerra e as ameaças de deportação em
massa nunca foram concretizadas, apesar da extradição
de alguns indivíduos"&amp;" por sua militância política
Uma razão para a adoção da política de imigração
mencionada no texto foi o(a)")</f>
        <v>Em 1935, o governo brasileiro começou a negar vistos
a judeus. Posteriormente, durante o Estado Novo, uma
circular secreta proibiu a concessão de vistos a “pessoas
de origem semita”, inclusive turistas e negociantes, o que
causou uma queda de 75% da imigração judaica ao longo
daquele ano. Entretanto, mesmo com as imposições da
lei, muitos judeus continuaram entrando ilegalmente no
país durante a guerra e as ameaças de deportação em
massa nunca foram concretizadas, apesar da extradição
de alguns indivíduos por sua militância política
Uma razão para a adoção da política de imigração
mencionada no texto foi o(a)</v>
      </c>
      <c r="M114" s="4" t="str">
        <f ca="1">IFERROR(__xludf.DUMMYFUNCTION("""COMPUTED_VALUE"""),"receio do controle sionista sobre a economia nacional")</f>
        <v>receio do controle sionista sobre a economia nacional</v>
      </c>
      <c r="N114" s="4" t="str">
        <f ca="1">IFERROR(__xludf.DUMMYFUNCTION("""COMPUTED_VALUE"""),"reserva de postos de trabalho para a mão de obra
local.")</f>
        <v>reserva de postos de trabalho para a mão de obra
local.</v>
      </c>
      <c r="O114" s="4" t="str">
        <f ca="1">IFERROR(__xludf.DUMMYFUNCTION("""COMPUTED_VALUE"""),"oposição do clero católico à expansão de novas
religiões")</f>
        <v>oposição do clero católico à expansão de novas
religiões</v>
      </c>
      <c r="P114" s="4" t="str">
        <f ca="1">IFERROR(__xludf.DUMMYFUNCTION("""COMPUTED_VALUE"""),"apoio da diplomacia varguista às opiniões dos
líderes árabes")</f>
        <v>apoio da diplomacia varguista às opiniões dos
líderes árabes</v>
      </c>
      <c r="Q114" s="4" t="str">
        <f ca="1">IFERROR(__xludf.DUMMYFUNCTION("""COMPUTED_VALUE"""),"simpatia de membros da burocracia pelo projeto
totalitário alemão.")</f>
        <v>simpatia de membros da burocracia pelo projeto
totalitário alemão.</v>
      </c>
      <c r="R114" s="4"/>
      <c r="S114" s="4"/>
      <c r="T114" s="4"/>
      <c r="U114" s="4"/>
      <c r="V114" s="4"/>
      <c r="W114" s="4"/>
      <c r="X114" s="4"/>
      <c r="Y114" s="4"/>
      <c r="Z114" s="4"/>
    </row>
    <row r="115" spans="1:26" x14ac:dyDescent="0.25">
      <c r="A115" s="3" t="str">
        <f ca="1">IFERROR(__xludf.DUMMYFUNCTION("""COMPUTED_VALUE"""),"https://drive.google.com/open?id=1uDtiaJjuX7-K0145GTyhVD67vWPq9n-R")</f>
        <v>https://drive.google.com/open?id=1uDtiaJjuX7-K0145GTyhVD67vWPq9n-R</v>
      </c>
      <c r="B115" s="4" t="str">
        <f ca="1">IFERROR(__xludf.DUMMYFUNCTION("""COMPUTED_VALUE"""),"Enem")</f>
        <v>Enem</v>
      </c>
      <c r="C115" s="4">
        <f ca="1">IFERROR(__xludf.DUMMYFUNCTION("""COMPUTED_VALUE"""),2016)</f>
        <v>2016</v>
      </c>
      <c r="D115" s="4" t="str">
        <f ca="1">IFERROR(__xludf.DUMMYFUNCTION("""COMPUTED_VALUE"""),"Ciências Humanas")</f>
        <v>Ciências Humanas</v>
      </c>
      <c r="E115" s="4" t="str">
        <f ca="1">IFERROR(__xludf.DUMMYFUNCTION("""COMPUTED_VALUE"""),"História")</f>
        <v>História</v>
      </c>
      <c r="F115" s="4" t="str">
        <f ca="1">IFERROR(__xludf.DUMMYFUNCTION("""COMPUTED_VALUE"""),"História do Brasil")</f>
        <v>História do Brasil</v>
      </c>
      <c r="G115" s="4"/>
      <c r="H115" s="4"/>
      <c r="I115" s="4" t="str">
        <f ca="1">IFERROR(__xludf.DUMMYFUNCTION("""COMPUTED_VALUE"""),"Azul")</f>
        <v>Azul</v>
      </c>
      <c r="J115" s="4">
        <f ca="1">IFERROR(__xludf.DUMMYFUNCTION("""COMPUTED_VALUE"""),35)</f>
        <v>35</v>
      </c>
      <c r="K115" s="4" t="str">
        <f ca="1">IFERROR(__xludf.DUMMYFUNCTION("""COMPUTED_VALUE"""),"D")</f>
        <v>D</v>
      </c>
      <c r="L115" s="4" t="str">
        <f ca="1">IFERROR(__xludf.DUMMYFUNCTION("""COMPUTED_VALUE"""),"O coronelismo era fruto de alteração na relação de forças entre os proprietários rurais e o governo, e significava o fortalecimento do poder do Estado antes que o predomínio do coronel. Nessa concepção, o coronelismo é, então, um
sistema político nacional"&amp;", com base em barganhas entre o governo e os coronéis. O coronel tem o controle dos cargos
públicos, desde o delegado de polícia até a professora primária. O coronel hipoteca seu apoio ao governo, sobretudo
na forma de voto
No contexto da Primeira Repúbli"&amp;"ca no Brasil, as relações políticas descritas baseavam-se na")</f>
        <v>O coronelismo era fruto de alteração na relação de forças entre os proprietários rurais e o governo, e significava o fortalecimento do poder do Estado antes que o predomínio do coronel. Nessa concepção, o coronelismo é, então, um
sistema político nacional, com base em barganhas entre o governo e os coronéis. O coronel tem o controle dos cargos
públicos, desde o delegado de polícia até a professora primária. O coronel hipoteca seu apoio ao governo, sobretudo
na forma de voto
No contexto da Primeira República no Brasil, as relações políticas descritas baseavam-se na</v>
      </c>
      <c r="M115" s="4" t="str">
        <f ca="1">IFERROR(__xludf.DUMMYFUNCTION("""COMPUTED_VALUE"""),"coação das milícias locais.
")</f>
        <v xml:space="preserve">coação das milícias locais.
</v>
      </c>
      <c r="N115" s="4" t="str">
        <f ca="1">IFERROR(__xludf.DUMMYFUNCTION("""COMPUTED_VALUE"""),"estagnação da dinâmica urbana.
")</f>
        <v xml:space="preserve">estagnação da dinâmica urbana.
</v>
      </c>
      <c r="O115" s="4" t="str">
        <f ca="1">IFERROR(__xludf.DUMMYFUNCTION("""COMPUTED_VALUE"""),"valorização do proselitismo partidário")</f>
        <v>valorização do proselitismo partidário</v>
      </c>
      <c r="P115" s="4" t="str">
        <f ca="1">IFERROR(__xludf.DUMMYFUNCTION("""COMPUTED_VALUE"""),"disseminação de práticas clientelistas.")</f>
        <v>disseminação de práticas clientelistas.</v>
      </c>
      <c r="Q115" s="4" t="str">
        <f ca="1">IFERROR(__xludf.DUMMYFUNCTION("""COMPUTED_VALUE"""),"centralização de decisões administrativas.")</f>
        <v>centralização de decisões administrativas.</v>
      </c>
      <c r="R115" s="4"/>
      <c r="S115" s="4"/>
      <c r="T115" s="4"/>
      <c r="U115" s="4"/>
      <c r="V115" s="4"/>
      <c r="W115" s="4"/>
      <c r="X115" s="4"/>
      <c r="Y115" s="4"/>
      <c r="Z115" s="4"/>
    </row>
    <row r="116" spans="1:26" x14ac:dyDescent="0.25">
      <c r="A116" s="3" t="str">
        <f ca="1">IFERROR(__xludf.DUMMYFUNCTION("""COMPUTED_VALUE"""),"https://drive.google.com/open?id=1U3Ic2Fd2ZCvCl8nLZvuzsivwuINaPlLr")</f>
        <v>https://drive.google.com/open?id=1U3Ic2Fd2ZCvCl8nLZvuzsivwuINaPlLr</v>
      </c>
      <c r="B116" s="4" t="str">
        <f ca="1">IFERROR(__xludf.DUMMYFUNCTION("""COMPUTED_VALUE"""),"Enem")</f>
        <v>Enem</v>
      </c>
      <c r="C116" s="4">
        <f ca="1">IFERROR(__xludf.DUMMYFUNCTION("""COMPUTED_VALUE"""),2016)</f>
        <v>2016</v>
      </c>
      <c r="D116" s="4" t="str">
        <f ca="1">IFERROR(__xludf.DUMMYFUNCTION("""COMPUTED_VALUE"""),"Ciências Humanas")</f>
        <v>Ciências Humanas</v>
      </c>
      <c r="E116" s="4" t="str">
        <f ca="1">IFERROR(__xludf.DUMMYFUNCTION("""COMPUTED_VALUE"""),"História")</f>
        <v>História</v>
      </c>
      <c r="F116" s="4" t="str">
        <f ca="1">IFERROR(__xludf.DUMMYFUNCTION("""COMPUTED_VALUE"""),"História do Brasil")</f>
        <v>História do Brasil</v>
      </c>
      <c r="G116" s="4"/>
      <c r="H116" s="4"/>
      <c r="I116" s="4" t="str">
        <f ca="1">IFERROR(__xludf.DUMMYFUNCTION("""COMPUTED_VALUE"""),"Azul")</f>
        <v>Azul</v>
      </c>
      <c r="J116" s="4">
        <f ca="1">IFERROR(__xludf.DUMMYFUNCTION("""COMPUTED_VALUE"""),38)</f>
        <v>38</v>
      </c>
      <c r="K116" s="4" t="str">
        <f ca="1">IFERROR(__xludf.DUMMYFUNCTION("""COMPUTED_VALUE"""),"D")</f>
        <v>D</v>
      </c>
      <c r="L116" s="4" t="str">
        <f ca="1">IFERROR(__xludf.DUMMYFUNCTION("""COMPUTED_VALUE"""),"No anúncio, há referências a algumas das transformações
ocorridas no Brasil nos anos 1950 e 1960. No entanto,
tais referências omitem transformações que impactaram
segmentos da população, como a")</f>
        <v>No anúncio, há referências a algumas das transformações
ocorridas no Brasil nos anos 1950 e 1960. No entanto,
tais referências omitem transformações que impactaram
segmentos da população, como a</v>
      </c>
      <c r="M116" s="4" t="str">
        <f ca="1">IFERROR(__xludf.DUMMYFUNCTION("""COMPUTED_VALUE"""),"exaltação da tradição colonial.")</f>
        <v>exaltação da tradição colonial.</v>
      </c>
      <c r="N116" s="4" t="str">
        <f ca="1">IFERROR(__xludf.DUMMYFUNCTION("""COMPUTED_VALUE"""),"redução da influência estrangeira")</f>
        <v>redução da influência estrangeira</v>
      </c>
      <c r="O116" s="4" t="str">
        <f ca="1">IFERROR(__xludf.DUMMYFUNCTION("""COMPUTED_VALUE"""),"ampliação da imigração internacional.")</f>
        <v>ampliação da imigração internacional.</v>
      </c>
      <c r="P116" s="4" t="str">
        <f ca="1">IFERROR(__xludf.DUMMYFUNCTION("""COMPUTED_VALUE"""),"intensificação da desigualdade regional")</f>
        <v>intensificação da desigualdade regional</v>
      </c>
      <c r="Q116" s="4" t="str">
        <f ca="1">IFERROR(__xludf.DUMMYFUNCTION("""COMPUTED_VALUE"""),"desconcentração da produção industrial.")</f>
        <v>desconcentração da produção industrial.</v>
      </c>
      <c r="R116" s="4"/>
      <c r="S116" s="4"/>
      <c r="T116" s="4"/>
      <c r="U116" s="4"/>
      <c r="V116" s="4"/>
      <c r="W116" s="4"/>
      <c r="X116" s="4"/>
      <c r="Y116" s="4"/>
      <c r="Z116" s="4"/>
    </row>
    <row r="117" spans="1:26" x14ac:dyDescent="0.25">
      <c r="A117" s="3" t="str">
        <f ca="1">IFERROR(__xludf.DUMMYFUNCTION("""COMPUTED_VALUE"""),"https://drive.google.com/open?id=1I3w-FfMGm_9pguQGzA0zEC8Oqo3itWL1")</f>
        <v>https://drive.google.com/open?id=1I3w-FfMGm_9pguQGzA0zEC8Oqo3itWL1</v>
      </c>
      <c r="B117" s="4" t="str">
        <f ca="1">IFERROR(__xludf.DUMMYFUNCTION("""COMPUTED_VALUE"""),"Enem")</f>
        <v>Enem</v>
      </c>
      <c r="C117" s="4">
        <f ca="1">IFERROR(__xludf.DUMMYFUNCTION("""COMPUTED_VALUE"""),2016)</f>
        <v>2016</v>
      </c>
      <c r="D117" s="4" t="str">
        <f ca="1">IFERROR(__xludf.DUMMYFUNCTION("""COMPUTED_VALUE"""),"Ciências Humanas")</f>
        <v>Ciências Humanas</v>
      </c>
      <c r="E117" s="4" t="str">
        <f ca="1">IFERROR(__xludf.DUMMYFUNCTION("""COMPUTED_VALUE"""),"História")</f>
        <v>História</v>
      </c>
      <c r="F117" s="4" t="str">
        <f ca="1">IFERROR(__xludf.DUMMYFUNCTION("""COMPUTED_VALUE"""),"História do Brasil")</f>
        <v>História do Brasil</v>
      </c>
      <c r="G117" s="4"/>
      <c r="H117" s="4"/>
      <c r="I117" s="4" t="str">
        <f ca="1">IFERROR(__xludf.DUMMYFUNCTION("""COMPUTED_VALUE"""),"Azul")</f>
        <v>Azul</v>
      </c>
      <c r="J117" s="4">
        <f ca="1">IFERROR(__xludf.DUMMYFUNCTION("""COMPUTED_VALUE"""),38)</f>
        <v>38</v>
      </c>
      <c r="K117" s="4" t="str">
        <f ca="1">IFERROR(__xludf.DUMMYFUNCTION("""COMPUTED_VALUE"""),"D")</f>
        <v>D</v>
      </c>
      <c r="L117" s="4" t="str">
        <f ca="1">IFERROR(__xludf.DUMMYFUNCTION("""COMPUTED_VALUE"""),"No anúncio, há referências a algumas das transformações
ocorridas no Brasil nos anos 1950 e 1960. No entanto,
tais referências omitem transformações que impactaram
segmentos da população, como a")</f>
        <v>No anúncio, há referências a algumas das transformações
ocorridas no Brasil nos anos 1950 e 1960. No entanto,
tais referências omitem transformações que impactaram
segmentos da população, como a</v>
      </c>
      <c r="M117" s="4" t="str">
        <f ca="1">IFERROR(__xludf.DUMMYFUNCTION("""COMPUTED_VALUE"""),"exaltação da tradição colonial.")</f>
        <v>exaltação da tradição colonial.</v>
      </c>
      <c r="N117" s="4" t="str">
        <f ca="1">IFERROR(__xludf.DUMMYFUNCTION("""COMPUTED_VALUE"""),"redução da influência estrangeira")</f>
        <v>redução da influência estrangeira</v>
      </c>
      <c r="O117" s="4" t="str">
        <f ca="1">IFERROR(__xludf.DUMMYFUNCTION("""COMPUTED_VALUE"""),"ampliação da imigração internacional.")</f>
        <v>ampliação da imigração internacional.</v>
      </c>
      <c r="P117" s="4" t="str">
        <f ca="1">IFERROR(__xludf.DUMMYFUNCTION("""COMPUTED_VALUE"""),"intensificação da desigualdade regional")</f>
        <v>intensificação da desigualdade regional</v>
      </c>
      <c r="Q117" s="4" t="str">
        <f ca="1">IFERROR(__xludf.DUMMYFUNCTION("""COMPUTED_VALUE"""),"desconcentração da produção industrial")</f>
        <v>desconcentração da produção industrial</v>
      </c>
      <c r="R117" s="4"/>
      <c r="S117" s="4"/>
      <c r="T117" s="4"/>
      <c r="U117" s="4"/>
      <c r="V117" s="4"/>
      <c r="W117" s="4"/>
      <c r="X117" s="4"/>
      <c r="Y117" s="4"/>
      <c r="Z117" s="4"/>
    </row>
    <row r="118" spans="1:26" x14ac:dyDescent="0.25">
      <c r="A118" s="3" t="str">
        <f ca="1">IFERROR(__xludf.DUMMYFUNCTION("""COMPUTED_VALUE"""),"https://drive.google.com/open?id=1VWAsV3SYeDXhamjMVk3esak5QwR8CXsu")</f>
        <v>https://drive.google.com/open?id=1VWAsV3SYeDXhamjMVk3esak5QwR8CXsu</v>
      </c>
      <c r="B118" s="4" t="str">
        <f ca="1">IFERROR(__xludf.DUMMYFUNCTION("""COMPUTED_VALUE"""),"Enem")</f>
        <v>Enem</v>
      </c>
      <c r="C118" s="4">
        <f ca="1">IFERROR(__xludf.DUMMYFUNCTION("""COMPUTED_VALUE"""),2016)</f>
        <v>2016</v>
      </c>
      <c r="D118" s="4" t="str">
        <f ca="1">IFERROR(__xludf.DUMMYFUNCTION("""COMPUTED_VALUE"""),"Ciências Humanas")</f>
        <v>Ciências Humanas</v>
      </c>
      <c r="E118" s="4" t="str">
        <f ca="1">IFERROR(__xludf.DUMMYFUNCTION("""COMPUTED_VALUE"""),"História")</f>
        <v>História</v>
      </c>
      <c r="F118" s="4" t="str">
        <f ca="1">IFERROR(__xludf.DUMMYFUNCTION("""COMPUTED_VALUE"""),"História do Brasil")</f>
        <v>História do Brasil</v>
      </c>
      <c r="G118" s="4"/>
      <c r="H118" s="4"/>
      <c r="I118" s="4" t="str">
        <f ca="1">IFERROR(__xludf.DUMMYFUNCTION("""COMPUTED_VALUE"""),"Azul")</f>
        <v>Azul</v>
      </c>
      <c r="J118" s="4">
        <f ca="1">IFERROR(__xludf.DUMMYFUNCTION("""COMPUTED_VALUE"""),43)</f>
        <v>43</v>
      </c>
      <c r="K118" s="4" t="str">
        <f ca="1">IFERROR(__xludf.DUMMYFUNCTION("""COMPUTED_VALUE"""),"D")</f>
        <v>D</v>
      </c>
      <c r="L118" s="4" t="str">
        <f ca="1">IFERROR(__xludf.DUMMYFUNCTION("""COMPUTED_VALUE"""),"A página do periódico do início do século XX documenta
um importante elemento da cultura francesa, que é
revelador do papel do Brasil na economia mundial,
indicado no seguinte aspecto:")</f>
        <v>A página do periódico do início do século XX documenta
um importante elemento da cultura francesa, que é
revelador do papel do Brasil na economia mundial,
indicado no seguinte aspecto:</v>
      </c>
      <c r="M118" s="4" t="str">
        <f ca="1">IFERROR(__xludf.DUMMYFUNCTION("""COMPUTED_VALUE"""),"Prestador de serviços gerais.")</f>
        <v>Prestador de serviços gerais.</v>
      </c>
      <c r="N118" s="4" t="str">
        <f ca="1">IFERROR(__xludf.DUMMYFUNCTION("""COMPUTED_VALUE"""),"Exportador de bens industriais.")</f>
        <v>Exportador de bens industriais.</v>
      </c>
      <c r="O118" s="4" t="str">
        <f ca="1">IFERROR(__xludf.DUMMYFUNCTION("""COMPUTED_VALUE"""),"Importador de padrões estéticos")</f>
        <v>Importador de padrões estéticos</v>
      </c>
      <c r="P118" s="4" t="str">
        <f ca="1">IFERROR(__xludf.DUMMYFUNCTION("""COMPUTED_VALUE"""),"Fornecedor de produtos agrícolas.")</f>
        <v>Fornecedor de produtos agrícolas.</v>
      </c>
      <c r="Q118" s="4" t="str">
        <f ca="1">IFERROR(__xludf.DUMMYFUNCTION("""COMPUTED_VALUE"""),"Formador de padrões de consumo")</f>
        <v>Formador de padrões de consumo</v>
      </c>
      <c r="R118" s="4"/>
      <c r="S118" s="4"/>
      <c r="T118" s="4"/>
      <c r="U118" s="4"/>
      <c r="V118" s="4"/>
      <c r="W118" s="4"/>
      <c r="X118" s="4"/>
      <c r="Y118" s="4"/>
      <c r="Z118" s="4"/>
    </row>
    <row r="119" spans="1:26" x14ac:dyDescent="0.25">
      <c r="A119" s="3" t="str">
        <f ca="1">IFERROR(__xludf.DUMMYFUNCTION("""COMPUTED_VALUE"""),"https://drive.google.com/open?id=1EiT1zqAJyXn8YR8Q8bSKqEN5szbQjNpP")</f>
        <v>https://drive.google.com/open?id=1EiT1zqAJyXn8YR8Q8bSKqEN5szbQjNpP</v>
      </c>
      <c r="B119" s="4" t="str">
        <f ca="1">IFERROR(__xludf.DUMMYFUNCTION("""COMPUTED_VALUE"""),"Enem")</f>
        <v>Enem</v>
      </c>
      <c r="C119" s="4">
        <f ca="1">IFERROR(__xludf.DUMMYFUNCTION("""COMPUTED_VALUE"""),2017)</f>
        <v>2017</v>
      </c>
      <c r="D119" s="4" t="str">
        <f ca="1">IFERROR(__xludf.DUMMYFUNCTION("""COMPUTED_VALUE"""),"Ciências Humanas")</f>
        <v>Ciências Humanas</v>
      </c>
      <c r="E119" s="4" t="str">
        <f ca="1">IFERROR(__xludf.DUMMYFUNCTION("""COMPUTED_VALUE"""),"Sociologia")</f>
        <v>Sociologia</v>
      </c>
      <c r="F119" s="4" t="str">
        <f ca="1">IFERROR(__xludf.DUMMYFUNCTION("""COMPUTED_VALUE"""),"Sociologia")</f>
        <v>Sociologia</v>
      </c>
      <c r="G119" s="4" t="str">
        <f ca="1">IFERROR(__xludf.DUMMYFUNCTION("""COMPUTED_VALUE"""),"História Geral")</f>
        <v>História Geral</v>
      </c>
      <c r="H119" s="4"/>
      <c r="I119" s="4" t="str">
        <f ca="1">IFERROR(__xludf.DUMMYFUNCTION("""COMPUTED_VALUE"""),"Azul")</f>
        <v>Azul</v>
      </c>
      <c r="J119" s="4">
        <f ca="1">IFERROR(__xludf.DUMMYFUNCTION("""COMPUTED_VALUE"""),58)</f>
        <v>58</v>
      </c>
      <c r="K119" s="4" t="str">
        <f ca="1">IFERROR(__xludf.DUMMYFUNCTION("""COMPUTED_VALUE"""),"B")</f>
        <v>B</v>
      </c>
      <c r="L119" s="4" t="str">
        <f ca="1">IFERROR(__xludf.DUMMYFUNCTION("""COMPUTED_VALUE"""),"Muitos países se caracterizam por terem populações
multiétnicas. Com frequência, evoluíram desse modo
ao longo de séculos. Outras sociedades se tornaram
multiétnicas mais rapidamente, como resultado de
políticas incentivando a migração, ou por conta de le"&amp;"gados
coloniais e imperiais. 
Do ponto de vista do funcionamento das democracias
contemporâneas, o modelo de sociedade descrito
demanda, simultaneamente,")</f>
        <v>Muitos países se caracterizam por terem populações
multiétnicas. Com frequência, evoluíram desse modo
ao longo de séculos. Outras sociedades se tornaram
multiétnicas mais rapidamente, como resultado de
políticas incentivando a migração, ou por conta de legados
coloniais e imperiais. 
Do ponto de vista do funcionamento das democracias
contemporâneas, o modelo de sociedade descrito
demanda, simultaneamente,</v>
      </c>
      <c r="M119" s="4" t="str">
        <f ca="1">IFERROR(__xludf.DUMMYFUNCTION("""COMPUTED_VALUE"""),"defesa do patriotismo e rejeição ao hibridismo.")</f>
        <v>defesa do patriotismo e rejeição ao hibridismo.</v>
      </c>
      <c r="N119" s="4" t="str">
        <f ca="1">IFERROR(__xludf.DUMMYFUNCTION("""COMPUTED_VALUE"""),"universalização de direitos e respeito à diversidade.")</f>
        <v>universalização de direitos e respeito à diversidade.</v>
      </c>
      <c r="O119" s="4" t="str">
        <f ca="1">IFERROR(__xludf.DUMMYFUNCTION("""COMPUTED_VALUE"""),"segregação do território e estímulo ao autogoverno")</f>
        <v>segregação do território e estímulo ao autogoverno</v>
      </c>
      <c r="P119" s="4" t="str">
        <f ca="1">IFERROR(__xludf.DUMMYFUNCTION("""COMPUTED_VALUE"""),"políticas de compensação e homogeneização do idioma.")</f>
        <v>políticas de compensação e homogeneização do idioma.</v>
      </c>
      <c r="Q119" s="4" t="str">
        <f ca="1">IFERROR(__xludf.DUMMYFUNCTION("""COMPUTED_VALUE"""),"padronização da cultura e repressão aos
particularismos.
")</f>
        <v xml:space="preserve">padronização da cultura e repressão aos
particularismos.
</v>
      </c>
      <c r="R119" s="4"/>
      <c r="S119" s="4"/>
      <c r="T119" s="4"/>
      <c r="U119" s="4"/>
      <c r="V119" s="4"/>
      <c r="W119" s="4"/>
      <c r="X119" s="4"/>
      <c r="Y119" s="4"/>
      <c r="Z119" s="4"/>
    </row>
    <row r="120" spans="1:26" x14ac:dyDescent="0.25">
      <c r="A120" s="3" t="str">
        <f ca="1">IFERROR(__xludf.DUMMYFUNCTION("""COMPUTED_VALUE"""),"https://drive.google.com/open?id=18eqQvfA0sKYFUUoZ6fm0CgH1fGgpLsmQ")</f>
        <v>https://drive.google.com/open?id=18eqQvfA0sKYFUUoZ6fm0CgH1fGgpLsmQ</v>
      </c>
      <c r="B120" s="4" t="str">
        <f ca="1">IFERROR(__xludf.DUMMYFUNCTION("""COMPUTED_VALUE"""),"Enem")</f>
        <v>Enem</v>
      </c>
      <c r="C120" s="4">
        <f ca="1">IFERROR(__xludf.DUMMYFUNCTION("""COMPUTED_VALUE"""),2017)</f>
        <v>2017</v>
      </c>
      <c r="D120" s="4" t="str">
        <f ca="1">IFERROR(__xludf.DUMMYFUNCTION("""COMPUTED_VALUE"""),"Ciências Humanas")</f>
        <v>Ciências Humanas</v>
      </c>
      <c r="E120" s="4" t="str">
        <f ca="1">IFERROR(__xludf.DUMMYFUNCTION("""COMPUTED_VALUE"""),"Sociologia")</f>
        <v>Sociologia</v>
      </c>
      <c r="F120" s="4" t="str">
        <f ca="1">IFERROR(__xludf.DUMMYFUNCTION("""COMPUTED_VALUE"""),"Sociologia")</f>
        <v>Sociologia</v>
      </c>
      <c r="G120" s="4"/>
      <c r="H120" s="4"/>
      <c r="I120" s="4" t="str">
        <f ca="1">IFERROR(__xludf.DUMMYFUNCTION("""COMPUTED_VALUE"""),"Azul")</f>
        <v>Azul</v>
      </c>
      <c r="J120" s="4">
        <f ca="1">IFERROR(__xludf.DUMMYFUNCTION("""COMPUTED_VALUE"""),67)</f>
        <v>67</v>
      </c>
      <c r="K120" s="4" t="str">
        <f ca="1">IFERROR(__xludf.DUMMYFUNCTION("""COMPUTED_VALUE"""),"D")</f>
        <v>D</v>
      </c>
      <c r="L120" s="4" t="str">
        <f ca="1">IFERROR(__xludf.DUMMYFUNCTION("""COMPUTED_VALUE"""),"A grande maioria dos países ocidentais democráticos
adotou o Tribunal Constitucional como mecanismo de
controle dos demais poderes. A inclusão dos Tribunais
no cenário político implicou alterações no cálculo para
a implementação de políticas públicas. O g"&amp;"overno,
além de negociar seu plano político com o Parlamento,
teve que se preocupar em não infringir a Constituição.
Essa nova arquitetura institucional propiciou o
desenvolvimento de um ambiente político que viabilizou a
participação do Judiciário nos pr"&amp;"ocessos decisórios. 
O texto faz referência a uma importante mudança na
dinâmica de funcionamento dos Estados contemporâneos
que, no caso brasileiro, teve como consequência a")</f>
        <v>A grande maioria dos países ocidentais democráticos
adotou o Tribunal Constitucional como mecanismo de
controle dos demais poderes. A inclusão dos Tribunais
no cenário político implicou alterações no cálculo para
a implementação de políticas públicas. O governo,
além de negociar seu plano político com o Parlamento,
teve que se preocupar em não infringir a Constituição.
Essa nova arquitetura institucional propiciou o
desenvolvimento de um ambiente político que viabilizou a
participação do Judiciário nos processos decisórios. 
O texto faz referência a uma importante mudança na
dinâmica de funcionamento dos Estados contemporâneos
que, no caso brasileiro, teve como consequência a</v>
      </c>
      <c r="M120" s="4" t="str">
        <f ca="1">IFERROR(__xludf.DUMMYFUNCTION("""COMPUTED_VALUE"""),"adoção de eleições para a alta magistratura.")</f>
        <v>adoção de eleições para a alta magistratura.</v>
      </c>
      <c r="N120" s="4" t="str">
        <f ca="1">IFERROR(__xludf.DUMMYFUNCTION("""COMPUTED_VALUE"""),"diminuição das tensões entre os entes federativos.")</f>
        <v>diminuição das tensões entre os entes federativos.</v>
      </c>
      <c r="O120" s="4" t="str">
        <f ca="1">IFERROR(__xludf.DUMMYFUNCTION("""COMPUTED_VALUE"""),"suspensão do princípio geral dos freios e contrapesos.")</f>
        <v>suspensão do princípio geral dos freios e contrapesos.</v>
      </c>
      <c r="P120" s="4" t="str">
        <f ca="1">IFERROR(__xludf.DUMMYFUNCTION("""COMPUTED_VALUE"""),"judicialização de questões próprias da esfera legislativa.")</f>
        <v>judicialização de questões próprias da esfera legislativa.</v>
      </c>
      <c r="Q120" s="4" t="str">
        <f ca="1">IFERROR(__xludf.DUMMYFUNCTION("""COMPUTED_VALUE"""),"profissionalização do quadro de funcionários da Justiça. ")</f>
        <v xml:space="preserve">profissionalização do quadro de funcionários da Justiça. </v>
      </c>
      <c r="R120" s="4"/>
      <c r="S120" s="4"/>
      <c r="T120" s="4"/>
      <c r="U120" s="4"/>
      <c r="V120" s="4"/>
      <c r="W120" s="4"/>
      <c r="X120" s="4"/>
      <c r="Y120" s="4"/>
      <c r="Z120" s="4"/>
    </row>
    <row r="121" spans="1:26" x14ac:dyDescent="0.25">
      <c r="A121" s="3" t="str">
        <f ca="1">IFERROR(__xludf.DUMMYFUNCTION("""COMPUTED_VALUE"""),"https://drive.google.com/open?id=1ffkoKHEo8wYyUGQ10x4dNwjCXlDy4x8-")</f>
        <v>https://drive.google.com/open?id=1ffkoKHEo8wYyUGQ10x4dNwjCXlDy4x8-</v>
      </c>
      <c r="B121" s="4" t="str">
        <f ca="1">IFERROR(__xludf.DUMMYFUNCTION("""COMPUTED_VALUE"""),"Enem")</f>
        <v>Enem</v>
      </c>
      <c r="C121" s="4">
        <f ca="1">IFERROR(__xludf.DUMMYFUNCTION("""COMPUTED_VALUE"""),2017)</f>
        <v>2017</v>
      </c>
      <c r="D121" s="4" t="str">
        <f ca="1">IFERROR(__xludf.DUMMYFUNCTION("""COMPUTED_VALUE"""),"Ciências Humanas")</f>
        <v>Ciências Humanas</v>
      </c>
      <c r="E121" s="4" t="str">
        <f ca="1">IFERROR(__xludf.DUMMYFUNCTION("""COMPUTED_VALUE"""),"Sociologia")</f>
        <v>Sociologia</v>
      </c>
      <c r="F121" s="4" t="str">
        <f ca="1">IFERROR(__xludf.DUMMYFUNCTION("""COMPUTED_VALUE"""),"Sociologia")</f>
        <v>Sociologia</v>
      </c>
      <c r="G121" s="4"/>
      <c r="H121" s="4"/>
      <c r="I121" s="4" t="str">
        <f ca="1">IFERROR(__xludf.DUMMYFUNCTION("""COMPUTED_VALUE"""),"Azul")</f>
        <v>Azul</v>
      </c>
      <c r="J121" s="4">
        <f ca="1">IFERROR(__xludf.DUMMYFUNCTION("""COMPUTED_VALUE"""),84)</f>
        <v>84</v>
      </c>
      <c r="K121" s="4" t="str">
        <f ca="1">IFERROR(__xludf.DUMMYFUNCTION("""COMPUTED_VALUE"""),"B")</f>
        <v>B</v>
      </c>
      <c r="L121" s="4" t="str">
        <f ca="1">IFERROR(__xludf.DUMMYFUNCTION("""COMPUTED_VALUE"""),"O conceito de democracia, no pensamento de
Habermas, é construído a partir de uma dimensão
procedimental, calcada no discurso e na deliberação.
A legitimidade democrática exige que o processo de
tomada de decisões políticas ocorra a partir de uma
ampla di"&amp;"scussão pública, para somente então decidir.
Assim, o caráter deliberativo corresponde a um
processo coletivo de ponderação e análise, permeado
pelo discurso, que antecede a decisão.
O Conceito de democracia proposto por Jügen Habermas
pode favorecer proc"&amp;"essos de inclusão social. De acordo
com o texto, é uma condição para que isso aconteça o(a)")</f>
        <v>O conceito de democracia, no pensamento de
Habermas, é construído a partir de uma dimensão
procedimental, calcada no discurso e na deliberação.
A legitimidade democrática exige que o processo de
tomada de decisões políticas ocorra a partir de uma
ampla discussão pública, para somente então decidir.
Assim, o caráter deliberativo corresponde a um
processo coletivo de ponderação e análise, permeado
pelo discurso, que antecede a decisão.
O Conceito de democracia proposto por Jügen Habermas
pode favorecer processos de inclusão social. De acordo
com o texto, é uma condição para que isso aconteça o(a)</v>
      </c>
      <c r="M121" s="4" t="str">
        <f ca="1">IFERROR(__xludf.DUMMYFUNCTION("""COMPUTED_VALUE"""),"participação direta periódica do cidadão.")</f>
        <v>participação direta periódica do cidadão.</v>
      </c>
      <c r="N121" s="4" t="str">
        <f ca="1">IFERROR(__xludf.DUMMYFUNCTION("""COMPUTED_VALUE"""),"debate livre e racional entre cidadãos e Estado.")</f>
        <v>debate livre e racional entre cidadãos e Estado.</v>
      </c>
      <c r="O121" s="4" t="str">
        <f ca="1">IFERROR(__xludf.DUMMYFUNCTION("""COMPUTED_VALUE"""),"interlocução entre os poderes governamentais.")</f>
        <v>interlocução entre os poderes governamentais.</v>
      </c>
      <c r="P121" s="4" t="str">
        <f ca="1">IFERROR(__xludf.DUMMYFUNCTION("""COMPUTED_VALUE"""),"eleição de lideranças políticas com mandatos
temporários.")</f>
        <v>eleição de lideranças políticas com mandatos
temporários.</v>
      </c>
      <c r="Q121" s="4" t="str">
        <f ca="1">IFERROR(__xludf.DUMMYFUNCTION("""COMPUTED_VALUE"""),"controle do poder político por cidadãos mais
esclarecidos.")</f>
        <v>controle do poder político por cidadãos mais
esclarecidos.</v>
      </c>
      <c r="R121" s="4"/>
      <c r="S121" s="4"/>
      <c r="T121" s="4"/>
      <c r="U121" s="4"/>
      <c r="V121" s="4"/>
      <c r="W121" s="4"/>
      <c r="X121" s="4"/>
      <c r="Y121" s="4"/>
      <c r="Z121" s="4"/>
    </row>
    <row r="122" spans="1:26" x14ac:dyDescent="0.25">
      <c r="A122" s="3" t="str">
        <f ca="1">IFERROR(__xludf.DUMMYFUNCTION("""COMPUTED_VALUE"""),"https://drive.google.com/open?id=1JpeCOr9Q1qseJu2HGo7gwXpkMEJ5Sxps")</f>
        <v>https://drive.google.com/open?id=1JpeCOr9Q1qseJu2HGo7gwXpkMEJ5Sxps</v>
      </c>
      <c r="B122" s="4" t="str">
        <f ca="1">IFERROR(__xludf.DUMMYFUNCTION("""COMPUTED_VALUE"""),"Enem")</f>
        <v>Enem</v>
      </c>
      <c r="C122" s="4">
        <f ca="1">IFERROR(__xludf.DUMMYFUNCTION("""COMPUTED_VALUE"""),2017)</f>
        <v>2017</v>
      </c>
      <c r="D122" s="4" t="str">
        <f ca="1">IFERROR(__xludf.DUMMYFUNCTION("""COMPUTED_VALUE"""),"Ciências Humanas")</f>
        <v>Ciências Humanas</v>
      </c>
      <c r="E122" s="4" t="str">
        <f ca="1">IFERROR(__xludf.DUMMYFUNCTION("""COMPUTED_VALUE"""),"Sociologia")</f>
        <v>Sociologia</v>
      </c>
      <c r="F122" s="4" t="str">
        <f ca="1">IFERROR(__xludf.DUMMYFUNCTION("""COMPUTED_VALUE"""),"Sociologia")</f>
        <v>Sociologia</v>
      </c>
      <c r="G122" s="4" t="str">
        <f ca="1">IFERROR(__xludf.DUMMYFUNCTION("""COMPUTED_VALUE"""),"Geografia Geral")</f>
        <v>Geografia Geral</v>
      </c>
      <c r="H122" s="4"/>
      <c r="I122" s="4" t="str">
        <f ca="1">IFERROR(__xludf.DUMMYFUNCTION("""COMPUTED_VALUE"""),"Azul")</f>
        <v>Azul</v>
      </c>
      <c r="J122" s="4">
        <f ca="1">IFERROR(__xludf.DUMMYFUNCTION("""COMPUTED_VALUE"""),53)</f>
        <v>53</v>
      </c>
      <c r="K122" s="4" t="str">
        <f ca="1">IFERROR(__xludf.DUMMYFUNCTION("""COMPUTED_VALUE"""),"B")</f>
        <v>B</v>
      </c>
      <c r="L122" s="4" t="str">
        <f ca="1">IFERROR(__xludf.DUMMYFUNCTION("""COMPUTED_VALUE"""),"México, Colômbia, Peru e Chile decidiram seguir um
caminho mais curto para a integração regional. Os quatro
 países, em meados de 2012, criaram a Aliança do Pacífico e eliminaram, em 2013, as tarifas aduaneiras de 90% do total de produtos comercializados "&amp;"entre suas fronteiras.
O acordo descrito no texto teve como objetivo econômico
para os países-membros")</f>
        <v>México, Colômbia, Peru e Chile decidiram seguir um
caminho mais curto para a integração regional. Os quatro
 países, em meados de 2012, criaram a Aliança do Pacífico e eliminaram, em 2013, as tarifas aduaneiras de 90% do total de produtos comercializados entre suas fronteiras.
O acordo descrito no texto teve como objetivo econômico
para os países-membros</v>
      </c>
      <c r="M122" s="4" t="str">
        <f ca="1">IFERROR(__xludf.DUMMYFUNCTION("""COMPUTED_VALUE"""),"promover a livre circulação de trabalhadores.")</f>
        <v>promover a livre circulação de trabalhadores.</v>
      </c>
      <c r="N122" s="4" t="str">
        <f ca="1">IFERROR(__xludf.DUMMYFUNCTION("""COMPUTED_VALUE"""),"fomentar a competitividade no mercado externo.")</f>
        <v>fomentar a competitividade no mercado externo.</v>
      </c>
      <c r="O122" s="4" t="str">
        <f ca="1">IFERROR(__xludf.DUMMYFUNCTION("""COMPUTED_VALUE"""),"restringir investimentos de empresas multinacionais.")</f>
        <v>restringir investimentos de empresas multinacionais.</v>
      </c>
      <c r="P122" s="4" t="str">
        <f ca="1">IFERROR(__xludf.DUMMYFUNCTION("""COMPUTED_VALUE"""),"adotar medidas cambiais para subsidiar o setor agrícola.")</f>
        <v>adotar medidas cambiais para subsidiar o setor agrícola.</v>
      </c>
      <c r="Q122" s="4" t="str">
        <f ca="1">IFERROR(__xludf.DUMMYFUNCTION("""COMPUTED_VALUE"""),"reduzir a fiscalização alfandegária para incentivar o consumo.")</f>
        <v>reduzir a fiscalização alfandegária para incentivar o consumo.</v>
      </c>
      <c r="R122" s="4"/>
      <c r="S122" s="4"/>
      <c r="T122" s="4"/>
      <c r="U122" s="4"/>
      <c r="V122" s="4"/>
      <c r="W122" s="4"/>
      <c r="X122" s="4"/>
      <c r="Y122" s="4"/>
      <c r="Z122" s="4"/>
    </row>
    <row r="123" spans="1:26" x14ac:dyDescent="0.25">
      <c r="A123" s="3" t="str">
        <f ca="1">IFERROR(__xludf.DUMMYFUNCTION("""COMPUTED_VALUE"""),"https://drive.google.com/open?id=1TulMV1MLzHI0W_hn0WdlYhqeQrcdpdQZ")</f>
        <v>https://drive.google.com/open?id=1TulMV1MLzHI0W_hn0WdlYhqeQrcdpdQZ</v>
      </c>
      <c r="B123" s="4" t="str">
        <f ca="1">IFERROR(__xludf.DUMMYFUNCTION("""COMPUTED_VALUE"""),"Enem")</f>
        <v>Enem</v>
      </c>
      <c r="C123" s="4">
        <f ca="1">IFERROR(__xludf.DUMMYFUNCTION("""COMPUTED_VALUE"""),2017)</f>
        <v>2017</v>
      </c>
      <c r="D123" s="4" t="str">
        <f ca="1">IFERROR(__xludf.DUMMYFUNCTION("""COMPUTED_VALUE"""),"Ciências Humanas")</f>
        <v>Ciências Humanas</v>
      </c>
      <c r="E123" s="4" t="str">
        <f ca="1">IFERROR(__xludf.DUMMYFUNCTION("""COMPUTED_VALUE"""),"Sociologia")</f>
        <v>Sociologia</v>
      </c>
      <c r="F123" s="4" t="str">
        <f ca="1">IFERROR(__xludf.DUMMYFUNCTION("""COMPUTED_VALUE"""),"Sociologia")</f>
        <v>Sociologia</v>
      </c>
      <c r="G123" s="4" t="str">
        <f ca="1">IFERROR(__xludf.DUMMYFUNCTION("""COMPUTED_VALUE"""),"História Geral")</f>
        <v>História Geral</v>
      </c>
      <c r="H123" s="4"/>
      <c r="I123" s="4" t="str">
        <f ca="1">IFERROR(__xludf.DUMMYFUNCTION("""COMPUTED_VALUE"""),"Azul")</f>
        <v>Azul</v>
      </c>
      <c r="J123" s="4">
        <f ca="1">IFERROR(__xludf.DUMMYFUNCTION("""COMPUTED_VALUE"""),62)</f>
        <v>62</v>
      </c>
      <c r="K123" s="4" t="str">
        <f ca="1">IFERROR(__xludf.DUMMYFUNCTION("""COMPUTED_VALUE"""),"E")</f>
        <v>E</v>
      </c>
      <c r="L123" s="4" t="str">
        <f ca="1">IFERROR(__xludf.DUMMYFUNCTION("""COMPUTED_VALUE"""),"O New Deal visa restabelecer o equilíbrio entre o
custo de produção e o preço, entre a cidade e o campo,
entre os preços agrícolas e os preços industriais, reativar
o mercado interno — o único que é importante —, pelo
controle de preços e da produção, pel"&amp;"a revalorização
dos salários e do poder aquisitivo das massas, isto é,
dos lavradores e operários, e pela regulamentação das
condições de emprego.
Tendo como referência os condicionantes históricos do
entreguerras, as medidas governamentais descritas
obje"&amp;"tivavam")</f>
        <v>O New Deal visa restabelecer o equilíbrio entre o
custo de produção e o preço, entre a cidade e o campo,
entre os preços agrícolas e os preços industriais, reativar
o mercado interno — o único que é importante —, pelo
controle de preços e da produção, pela revalorização
dos salários e do poder aquisitivo das massas, isto é,
dos lavradores e operários, e pela regulamentação das
condições de emprego.
Tendo como referência os condicionantes históricos do
entreguerras, as medidas governamentais descritas
objetivavam</v>
      </c>
      <c r="M123" s="4" t="str">
        <f ca="1">IFERROR(__xludf.DUMMYFUNCTION("""COMPUTED_VALUE"""),"flexibilizar as regras do mercado financeiro 
")</f>
        <v xml:space="preserve">flexibilizar as regras do mercado financeiro 
</v>
      </c>
      <c r="N123" s="4" t="str">
        <f ca="1">IFERROR(__xludf.DUMMYFUNCTION("""COMPUTED_VALUE"""),"fortalecer o sistema de tributação regressiva.")</f>
        <v>fortalecer o sistema de tributação regressiva.</v>
      </c>
      <c r="O123" s="4" t="str">
        <f ca="1">IFERROR(__xludf.DUMMYFUNCTION("""COMPUTED_VALUE"""),"introduzir os dispositivos de contenção creditícia")</f>
        <v>introduzir os dispositivos de contenção creditícia</v>
      </c>
      <c r="P123" s="4" t="str">
        <f ca="1">IFERROR(__xludf.DUMMYFUNCTION("""COMPUTED_VALUE"""),"racionalizar os custos da automação industrial
mediante negociação sindical.")</f>
        <v>racionalizar os custos da automação industrial
mediante negociação sindical.</v>
      </c>
      <c r="Q123" s="4" t="str">
        <f ca="1">IFERROR(__xludf.DUMMYFUNCTION("""COMPUTED_VALUE"""),"recompor os mecanismos de acumulação econômica
por meio da intervenção estatal.")</f>
        <v>recompor os mecanismos de acumulação econômica
por meio da intervenção estatal.</v>
      </c>
      <c r="R123" s="4"/>
      <c r="S123" s="4"/>
      <c r="T123" s="4"/>
      <c r="U123" s="4"/>
      <c r="V123" s="4"/>
      <c r="W123" s="4"/>
      <c r="X123" s="4"/>
      <c r="Y123" s="4"/>
      <c r="Z123" s="4"/>
    </row>
    <row r="124" spans="1:26" x14ac:dyDescent="0.25">
      <c r="A124" s="3" t="str">
        <f ca="1">IFERROR(__xludf.DUMMYFUNCTION("""COMPUTED_VALUE"""),"https://drive.google.com/open?id=1cRfWbGO5HDLNvl7fHjSLhEgRluD92u1M")</f>
        <v>https://drive.google.com/open?id=1cRfWbGO5HDLNvl7fHjSLhEgRluD92u1M</v>
      </c>
      <c r="B124" s="4" t="str">
        <f ca="1">IFERROR(__xludf.DUMMYFUNCTION("""COMPUTED_VALUE"""),"Enem")</f>
        <v>Enem</v>
      </c>
      <c r="C124" s="4">
        <f ca="1">IFERROR(__xludf.DUMMYFUNCTION("""COMPUTED_VALUE"""),2017)</f>
        <v>2017</v>
      </c>
      <c r="D124" s="4" t="str">
        <f ca="1">IFERROR(__xludf.DUMMYFUNCTION("""COMPUTED_VALUE"""),"Ciências Humanas")</f>
        <v>Ciências Humanas</v>
      </c>
      <c r="E124" s="4" t="str">
        <f ca="1">IFERROR(__xludf.DUMMYFUNCTION("""COMPUTED_VALUE"""),"Sociologia")</f>
        <v>Sociologia</v>
      </c>
      <c r="F124" s="4" t="str">
        <f ca="1">IFERROR(__xludf.DUMMYFUNCTION("""COMPUTED_VALUE"""),"Sociologia")</f>
        <v>Sociologia</v>
      </c>
      <c r="G124" s="4" t="str">
        <f ca="1">IFERROR(__xludf.DUMMYFUNCTION("""COMPUTED_VALUE"""),"Geografia Geral")</f>
        <v>Geografia Geral</v>
      </c>
      <c r="H124" s="4"/>
      <c r="I124" s="4" t="str">
        <f ca="1">IFERROR(__xludf.DUMMYFUNCTION("""COMPUTED_VALUE"""),"Azul")</f>
        <v>Azul</v>
      </c>
      <c r="J124" s="4">
        <f ca="1">IFERROR(__xludf.DUMMYFUNCTION("""COMPUTED_VALUE"""),52)</f>
        <v>52</v>
      </c>
      <c r="K124" s="4" t="str">
        <f ca="1">IFERROR(__xludf.DUMMYFUNCTION("""COMPUTED_VALUE"""),"D")</f>
        <v>D</v>
      </c>
      <c r="L124" s="4" t="str">
        <f ca="1">IFERROR(__xludf.DUMMYFUNCTION("""COMPUTED_VALUE"""),"A configuração do espaço urbano e da região do 
Entorno do Distrito Federal assemelha-se às demais
aglomerações urbanas e regiões metropolitanas do país,
,onde é facilmente identificável a constituição de um 
centro dinâmico e desenvolvido, onde se concen"&amp;"tram
as oportunidades de trabalho e os principais serviços,
e a constituição de uma região periférica concentradora
de população de baixa renda, com acesso restrito às
principais atividades com capacidade de acumulação
e produtividade, e aos serviços soci"&amp;"ais e infraestrutura
básica.
A organização interna do aglomerado urbano descrito é
resultado da ocorrência do processo de")</f>
        <v>A configuração do espaço urbano e da região do 
Entorno do Distrito Federal assemelha-se às demais
aglomerações urbanas e regiões metropolitanas do país,
,onde é facilmente identificável a constituição de um 
centro dinâmico e desenvolvido, onde se concentram
as oportunidades de trabalho e os principais serviços,
e a constituição de uma região periférica concentradora
de população de baixa renda, com acesso restrito às
principais atividades com capacidade de acumulação
e produtividade, e aos serviços sociais e infraestrutura
básica.
A organização interna do aglomerado urbano descrito é
resultado da ocorrência do processo de</v>
      </c>
      <c r="M124" s="4" t="str">
        <f ca="1">IFERROR(__xludf.DUMMYFUNCTION("""COMPUTED_VALUE"""),"expansão vertical")</f>
        <v>expansão vertical</v>
      </c>
      <c r="N124" s="4" t="str">
        <f ca="1">IFERROR(__xludf.DUMMYFUNCTION("""COMPUTED_VALUE"""),"polarização nacional.
")</f>
        <v xml:space="preserve">polarização nacional.
</v>
      </c>
      <c r="O124" s="4" t="str">
        <f ca="1">IFERROR(__xludf.DUMMYFUNCTION("""COMPUTED_VALUE"""),"emancipação municipal")</f>
        <v>emancipação municipal</v>
      </c>
      <c r="P124" s="4" t="str">
        <f ca="1">IFERROR(__xludf.DUMMYFUNCTION("""COMPUTED_VALUE"""),"segregação socioespacial.")</f>
        <v>segregação socioespacial.</v>
      </c>
      <c r="Q124" s="4" t="str">
        <f ca="1">IFERROR(__xludf.DUMMYFUNCTION("""COMPUTED_VALUE"""),"desregulamentação comercial.
")</f>
        <v xml:space="preserve">desregulamentação comercial.
</v>
      </c>
      <c r="R124" s="4"/>
      <c r="S124" s="4"/>
      <c r="T124" s="4"/>
      <c r="U124" s="4"/>
      <c r="V124" s="4"/>
      <c r="W124" s="4"/>
      <c r="X124" s="4"/>
      <c r="Y124" s="4"/>
      <c r="Z124" s="4"/>
    </row>
    <row r="125" spans="1:26" x14ac:dyDescent="0.25">
      <c r="A125" s="3" t="str">
        <f ca="1">IFERROR(__xludf.DUMMYFUNCTION("""COMPUTED_VALUE"""),"https://drive.google.com/open?id=1oVU0Tp6NHGicSIv18P11SgGccIUqsh0N")</f>
        <v>https://drive.google.com/open?id=1oVU0Tp6NHGicSIv18P11SgGccIUqsh0N</v>
      </c>
      <c r="B125" s="4" t="str">
        <f ca="1">IFERROR(__xludf.DUMMYFUNCTION("""COMPUTED_VALUE"""),"Enem")</f>
        <v>Enem</v>
      </c>
      <c r="C125" s="4">
        <f ca="1">IFERROR(__xludf.DUMMYFUNCTION("""COMPUTED_VALUE"""),2017)</f>
        <v>2017</v>
      </c>
      <c r="D125" s="4" t="str">
        <f ca="1">IFERROR(__xludf.DUMMYFUNCTION("""COMPUTED_VALUE"""),"Ciências Humanas")</f>
        <v>Ciências Humanas</v>
      </c>
      <c r="E125" s="4" t="str">
        <f ca="1">IFERROR(__xludf.DUMMYFUNCTION("""COMPUTED_VALUE"""),"Sociologia")</f>
        <v>Sociologia</v>
      </c>
      <c r="F125" s="4" t="str">
        <f ca="1">IFERROR(__xludf.DUMMYFUNCTION("""COMPUTED_VALUE"""),"Sociologia")</f>
        <v>Sociologia</v>
      </c>
      <c r="G125" s="4" t="str">
        <f ca="1">IFERROR(__xludf.DUMMYFUNCTION("""COMPUTED_VALUE"""),"Geografia Geral")</f>
        <v>Geografia Geral</v>
      </c>
      <c r="H125" s="4"/>
      <c r="I125" s="4" t="str">
        <f ca="1">IFERROR(__xludf.DUMMYFUNCTION("""COMPUTED_VALUE"""),"Azul")</f>
        <v>Azul</v>
      </c>
      <c r="J125" s="4">
        <f ca="1">IFERROR(__xludf.DUMMYFUNCTION("""COMPUTED_VALUE"""),60)</f>
        <v>60</v>
      </c>
      <c r="K125" s="4" t="str">
        <f ca="1">IFERROR(__xludf.DUMMYFUNCTION("""COMPUTED_VALUE"""),"D")</f>
        <v>D</v>
      </c>
      <c r="L125" s="4" t="str">
        <f ca="1">IFERROR(__xludf.DUMMYFUNCTION("""COMPUTED_VALUE"""),"Procuramos demonstrar que o desenvolvimento
pode ser visto como um processo de expansão das
liberdades reais que as pessoas desfrutam. O enfoque
nas liberdades humanas contrasta com visões mais
restritas de desenvolvimento, como as que identificam o  
des"&amp;"envolvimento com crescimento do Produto Nacional
Bruto, ou industrialização. O crescimento do PNB pode
ser muito importante como um meio de expandir as
liberdades. Mas as liberdades dependem também de
outros determinantes, como os serviços de educação e
s"&amp;"aúde e os direitos civis.
A concepção de desenvolvimento proposta no texto
fundamenta-se no vínculo entre
")</f>
        <v xml:space="preserve">Procuramos demonstrar que o desenvolvimento
pode ser visto como um processo de expansão das
liberdades reais que as pessoas desfrutam. O enfoque
nas liberdades humanas contrasta com visões mais
restritas de desenvolvimento, como as que identificam o  
desenvolvimento com crescimento do Produto Nacional
Bruto, ou industrialização. O crescimento do PNB pode
ser muito importante como um meio de expandir as
liberdades. Mas as liberdades dependem também de
outros determinantes, como os serviços de educação e
saúde e os direitos civis.
A concepção de desenvolvimento proposta no texto
fundamenta-se no vínculo entre
</v>
      </c>
      <c r="M125" s="4" t="str">
        <f ca="1">IFERROR(__xludf.DUMMYFUNCTION("""COMPUTED_VALUE"""),"incremento da indústria e atuação no mercado financeiro")</f>
        <v>incremento da indústria e atuação no mercado financeiro</v>
      </c>
      <c r="N125" s="4" t="str">
        <f ca="1">IFERROR(__xludf.DUMMYFUNCTION("""COMPUTED_VALUE"""),"criação de programas assistencialistas e controle de
preços.")</f>
        <v>criação de programas assistencialistas e controle de
preços.</v>
      </c>
      <c r="O125" s="4" t="str">
        <f ca="1">IFERROR(__xludf.DUMMYFUNCTION("""COMPUTED_VALUE"""),"elevação da renda média e arrecadação de impostos.")</f>
        <v>elevação da renda média e arrecadação de impostos.</v>
      </c>
      <c r="P125" s="4" t="str">
        <f ca="1">IFERROR(__xludf.DUMMYFUNCTION("""COMPUTED_VALUE"""),"garantia da cidadania e ascensão econômica.")</f>
        <v>garantia da cidadania e ascensão econômica.</v>
      </c>
      <c r="Q125" s="4" t="str">
        <f ca="1">IFERROR(__xludf.DUMMYFUNCTION("""COMPUTED_VALUE"""),"ajuste de políticas econômicas e incentivos fiscais. 
")</f>
        <v xml:space="preserve">ajuste de políticas econômicas e incentivos fiscais. 
</v>
      </c>
      <c r="R125" s="4"/>
      <c r="S125" s="4"/>
      <c r="T125" s="4"/>
      <c r="U125" s="4"/>
      <c r="V125" s="4"/>
      <c r="W125" s="4"/>
      <c r="X125" s="4"/>
      <c r="Y125" s="4"/>
      <c r="Z125" s="4"/>
    </row>
    <row r="126" spans="1:26" x14ac:dyDescent="0.25">
      <c r="A126" s="3" t="str">
        <f ca="1">IFERROR(__xludf.DUMMYFUNCTION("""COMPUTED_VALUE"""),"https://drive.google.com/open?id=1HGck9r0yUGegbgHkBaxYvDxSlp2A8do_")</f>
        <v>https://drive.google.com/open?id=1HGck9r0yUGegbgHkBaxYvDxSlp2A8do_</v>
      </c>
      <c r="B126" s="4" t="str">
        <f ca="1">IFERROR(__xludf.DUMMYFUNCTION("""COMPUTED_VALUE"""),"Enem")</f>
        <v>Enem</v>
      </c>
      <c r="C126" s="4">
        <f ca="1">IFERROR(__xludf.DUMMYFUNCTION("""COMPUTED_VALUE"""),2017)</f>
        <v>2017</v>
      </c>
      <c r="D126" s="4" t="str">
        <f ca="1">IFERROR(__xludf.DUMMYFUNCTION("""COMPUTED_VALUE"""),"Ciências Humanas")</f>
        <v>Ciências Humanas</v>
      </c>
      <c r="E126" s="4" t="str">
        <f ca="1">IFERROR(__xludf.DUMMYFUNCTION("""COMPUTED_VALUE"""),"Sociologia")</f>
        <v>Sociologia</v>
      </c>
      <c r="F126" s="4" t="str">
        <f ca="1">IFERROR(__xludf.DUMMYFUNCTION("""COMPUTED_VALUE"""),"Sociologia")</f>
        <v>Sociologia</v>
      </c>
      <c r="G126" s="4"/>
      <c r="H126" s="4"/>
      <c r="I126" s="4" t="str">
        <f ca="1">IFERROR(__xludf.DUMMYFUNCTION("""COMPUTED_VALUE"""),"Azul")</f>
        <v>Azul</v>
      </c>
      <c r="J126" s="4">
        <f ca="1">IFERROR(__xludf.DUMMYFUNCTION("""COMPUTED_VALUE"""),74)</f>
        <v>74</v>
      </c>
      <c r="K126" s="4" t="str">
        <f ca="1">IFERROR(__xludf.DUMMYFUNCTION("""COMPUTED_VALUE"""),"B")</f>
        <v>B</v>
      </c>
      <c r="L126" s="4" t="str">
        <f ca="1">IFERROR(__xludf.DUMMYFUNCTION("""COMPUTED_VALUE"""),"A participação da mulher no processo de decisão
política ainda é extremamente limitada em praticamente
todos os países, independentemente do regime
econômico e social e da estrutura institucional vigente
em cada um deles. É fato público e notório, além de"&amp;"
empiricamente comprovado, que as mulheres estão em
geral sub-representadas nos órgãos do poder, pois a
proporção não corresponde jamais ao peso relativo dessa
parte da população.
No âmbito do Poder Legislativo brasileiro, a tentativa de
reverter esse qua"&amp;"dro de sub-representação tem envolvido
a implementação, pelo Estado, de")</f>
        <v>A participação da mulher no processo de decisão
política ainda é extremamente limitada em praticamente
todos os países, independentemente do regime
econômico e social e da estrutura institucional vigente
em cada um deles. É fato público e notório, além de
empiricamente comprovado, que as mulheres estão em
geral sub-representadas nos órgãos do poder, pois a
proporção não corresponde jamais ao peso relativo dessa
parte da população.
No âmbito do Poder Legislativo brasileiro, a tentativa de
reverter esse quadro de sub-representação tem envolvido
a implementação, pelo Estado, de</v>
      </c>
      <c r="M126" s="4" t="str">
        <f ca="1">IFERROR(__xludf.DUMMYFUNCTION("""COMPUTED_VALUE"""),"leis de combate à violência doméstica. ")</f>
        <v xml:space="preserve">leis de combate à violência doméstica. </v>
      </c>
      <c r="N126" s="4" t="str">
        <f ca="1">IFERROR(__xludf.DUMMYFUNCTION("""COMPUTED_VALUE"""),"cotas de gênero nas candidaturas partidárias")</f>
        <v>cotas de gênero nas candidaturas partidárias</v>
      </c>
      <c r="O126" s="4" t="str">
        <f ca="1">IFERROR(__xludf.DUMMYFUNCTION("""COMPUTED_VALUE"""),"programas de mobilização política nas escolas.")</f>
        <v>programas de mobilização política nas escolas.</v>
      </c>
      <c r="P126" s="4" t="str">
        <f ca="1">IFERROR(__xludf.DUMMYFUNCTION("""COMPUTED_VALUE"""),"propagandas de incentivo ao voto consciente.")</f>
        <v>propagandas de incentivo ao voto consciente.</v>
      </c>
      <c r="Q126" s="4" t="str">
        <f ca="1">IFERROR(__xludf.DUMMYFUNCTION("""COMPUTED_VALUE"""),"apoio financeiro às lideranças femininas
")</f>
        <v xml:space="preserve">apoio financeiro às lideranças femininas
</v>
      </c>
      <c r="R126" s="4"/>
      <c r="S126" s="4"/>
      <c r="T126" s="4"/>
      <c r="U126" s="4"/>
      <c r="V126" s="4"/>
      <c r="W126" s="4"/>
      <c r="X126" s="4"/>
      <c r="Y126" s="4"/>
      <c r="Z126" s="4"/>
    </row>
    <row r="127" spans="1:26" x14ac:dyDescent="0.25">
      <c r="A127" s="3" t="str">
        <f ca="1">IFERROR(__xludf.DUMMYFUNCTION("""COMPUTED_VALUE"""),"https://drive.google.com/open?id=1nk465PDBr0HOCaUk6sQdfhdUp0g0ist7")</f>
        <v>https://drive.google.com/open?id=1nk465PDBr0HOCaUk6sQdfhdUp0g0ist7</v>
      </c>
      <c r="B127" s="4" t="str">
        <f ca="1">IFERROR(__xludf.DUMMYFUNCTION("""COMPUTED_VALUE"""),"Enem")</f>
        <v>Enem</v>
      </c>
      <c r="C127" s="4">
        <f ca="1">IFERROR(__xludf.DUMMYFUNCTION("""COMPUTED_VALUE"""),2018)</f>
        <v>2018</v>
      </c>
      <c r="D127" s="4" t="str">
        <f ca="1">IFERROR(__xludf.DUMMYFUNCTION("""COMPUTED_VALUE"""),"Linguagens")</f>
        <v>Linguagens</v>
      </c>
      <c r="E127" s="4" t="str">
        <f ca="1">IFERROR(__xludf.DUMMYFUNCTION("""COMPUTED_VALUE"""),"Língua Estrangeira")</f>
        <v>Língua Estrangeira</v>
      </c>
      <c r="F127" s="4" t="str">
        <f ca="1">IFERROR(__xludf.DUMMYFUNCTION("""COMPUTED_VALUE"""),"Inglês")</f>
        <v>Inglês</v>
      </c>
      <c r="G127" s="4"/>
      <c r="H127" s="4"/>
      <c r="I127" s="4" t="str">
        <f ca="1">IFERROR(__xludf.DUMMYFUNCTION("""COMPUTED_VALUE"""),"Azul")</f>
        <v>Azul</v>
      </c>
      <c r="J127" s="4">
        <f ca="1">IFERROR(__xludf.DUMMYFUNCTION("""COMPUTED_VALUE"""),1)</f>
        <v>1</v>
      </c>
      <c r="K127" s="4" t="str">
        <f ca="1">IFERROR(__xludf.DUMMYFUNCTION("""COMPUTED_VALUE"""),"B")</f>
        <v>B</v>
      </c>
      <c r="L127" s="4" t="str">
        <f ca="1">IFERROR(__xludf.DUMMYFUNCTION("""COMPUTED_VALUE"""),"Lava Mae: Creating Showers on Wheels for the Homeless
San Francisco, according to recent city numbers,
has 4,300 people living on the streets. Among the many
problems the homeless face is little or no access to
showers. San Francisco only has about 16 to"&amp;" 20 shower 
stalls to accommodate them.
But Doniece Sandoval has made it her mission to
change that. The 51-year-old former marketing executive
started Lava Mae, a sort of showers on wheels, a new
project that aims to turn decommissioned city buses into
s"&amp;"hower stations for the homeless. Each bus will have two
shower stations and Sandoval expects that they'll be able
to provide 2,000 showers a week.
A relação dos vocábulos shower, bus e homeless, no texto, refere-se a")</f>
        <v>Lava Mae: Creating Showers on Wheels for the Homeless
San Francisco, according to recent city numbers,
has 4,300 people living on the streets. Among the many
problems the homeless face is little or no access to
showers. San Francisco only has about 16 to 20 shower 
stalls to accommodate them.
But Doniece Sandoval has made it her mission to
change that. The 51-year-old former marketing executive
started Lava Mae, a sort of showers on wheels, a new
project that aims to turn decommissioned city buses into
shower stations for the homeless. Each bus will have two
shower stations and Sandoval expects that they'll be able
to provide 2,000 showers a week.
A relação dos vocábulos shower, bus e homeless, no texto, refere-se a</v>
      </c>
      <c r="M127" s="4" t="str">
        <f ca="1">IFERROR(__xludf.DUMMYFUNCTION("""COMPUTED_VALUE"""),"empregar moradores de rua em lava a jatos para ônibus.")</f>
        <v>empregar moradores de rua em lava a jatos para ônibus.</v>
      </c>
      <c r="N127" s="4" t="str">
        <f ca="1">IFERROR(__xludf.DUMMYFUNCTION("""COMPUTED_VALUE"""),"criar acesso a banhos gratuitos para moradores de rua.")</f>
        <v>criar acesso a banhos gratuitos para moradores de rua.</v>
      </c>
      <c r="O127" s="4" t="str">
        <f ca="1">IFERROR(__xludf.DUMMYFUNCTION("""COMPUTED_VALUE"""),"comissionar sem-teto para dirigir os ônibus da cidade.")</f>
        <v>comissionar sem-teto para dirigir os ônibus da cidade.</v>
      </c>
      <c r="P127" s="4" t="str">
        <f ca="1">IFERROR(__xludf.DUMMYFUNCTION("""COMPUTED_VALUE"""),"exigir das autoridades que os ônibus municipais tenham banheiros.")</f>
        <v>exigir das autoridades que os ônibus municipais tenham banheiros.</v>
      </c>
      <c r="Q127" s="4" t="str">
        <f ca="1">IFERROR(__xludf.DUMMYFUNCTION("""COMPUTED_VALUE"""),"abrigar dois mil moradores de rua em ônibus que foram adaptados.")</f>
        <v>abrigar dois mil moradores de rua em ônibus que foram adaptados.</v>
      </c>
      <c r="R127" s="4"/>
      <c r="S127" s="4"/>
      <c r="T127" s="4"/>
      <c r="U127" s="4"/>
      <c r="V127" s="4"/>
      <c r="W127" s="4"/>
      <c r="X127" s="4"/>
      <c r="Y127" s="4"/>
      <c r="Z127" s="4"/>
    </row>
    <row r="128" spans="1:26" x14ac:dyDescent="0.25">
      <c r="A128" s="3" t="str">
        <f ca="1">IFERROR(__xludf.DUMMYFUNCTION("""COMPUTED_VALUE"""),"https://drive.google.com/open?id=1MJkETpROneOvWMBgSz8iJbgM1TKc20qe")</f>
        <v>https://drive.google.com/open?id=1MJkETpROneOvWMBgSz8iJbgM1TKc20qe</v>
      </c>
      <c r="B128" s="4" t="str">
        <f ca="1">IFERROR(__xludf.DUMMYFUNCTION("""COMPUTED_VALUE"""),"Enem")</f>
        <v>Enem</v>
      </c>
      <c r="C128" s="4">
        <f ca="1">IFERROR(__xludf.DUMMYFUNCTION("""COMPUTED_VALUE"""),2018)</f>
        <v>2018</v>
      </c>
      <c r="D128" s="4" t="str">
        <f ca="1">IFERROR(__xludf.DUMMYFUNCTION("""COMPUTED_VALUE"""),"Linguagens")</f>
        <v>Linguagens</v>
      </c>
      <c r="E128" s="4" t="str">
        <f ca="1">IFERROR(__xludf.DUMMYFUNCTION("""COMPUTED_VALUE"""),"Língua Estrangeira")</f>
        <v>Língua Estrangeira</v>
      </c>
      <c r="F128" s="4" t="str">
        <f ca="1">IFERROR(__xludf.DUMMYFUNCTION("""COMPUTED_VALUE"""),"Inglês")</f>
        <v>Inglês</v>
      </c>
      <c r="G128" s="4"/>
      <c r="H128" s="4"/>
      <c r="I128" s="4" t="str">
        <f ca="1">IFERROR(__xludf.DUMMYFUNCTION("""COMPUTED_VALUE"""),"Azul")</f>
        <v>Azul</v>
      </c>
      <c r="J128" s="4">
        <f ca="1">IFERROR(__xludf.DUMMYFUNCTION("""COMPUTED_VALUE"""),2)</f>
        <v>2</v>
      </c>
      <c r="K128" s="4" t="str">
        <f ca="1">IFERROR(__xludf.DUMMYFUNCTION("""COMPUTED_VALUE"""),"B")</f>
        <v>B</v>
      </c>
      <c r="L128" s="4" t="str">
        <f ca="1">IFERROR(__xludf.DUMMYFUNCTION("""COMPUTED_VALUE"""),"(texto da imagem)
No cartum, a crítica está no fato de a sociedade exigir do
adolescente que")</f>
        <v>(texto da imagem)
No cartum, a crítica está no fato de a sociedade exigir do
adolescente que</v>
      </c>
      <c r="M128" s="4" t="str">
        <f ca="1">IFERROR(__xludf.DUMMYFUNCTION("""COMPUTED_VALUE"""),"se aposente prematuramente.")</f>
        <v>se aposente prematuramente.</v>
      </c>
      <c r="N128" s="4" t="str">
        <f ca="1">IFERROR(__xludf.DUMMYFUNCTION("""COMPUTED_VALUE"""),"amadureça precocemente.")</f>
        <v>amadureça precocemente.</v>
      </c>
      <c r="O128" s="4" t="str">
        <f ca="1">IFERROR(__xludf.DUMMYFUNCTION("""COMPUTED_VALUE"""),"estude aplicadamente.")</f>
        <v>estude aplicadamente.</v>
      </c>
      <c r="P128" s="4" t="str">
        <f ca="1">IFERROR(__xludf.DUMMYFUNCTION("""COMPUTED_VALUE"""),"se forme rapidamente.")</f>
        <v>se forme rapidamente.</v>
      </c>
      <c r="Q128" s="4" t="str">
        <f ca="1">IFERROR(__xludf.DUMMYFUNCTION("""COMPUTED_VALUE"""),"ouça atentamente.")</f>
        <v>ouça atentamente.</v>
      </c>
      <c r="R128" s="4"/>
      <c r="S128" s="4"/>
      <c r="T128" s="4"/>
      <c r="U128" s="4"/>
      <c r="V128" s="4"/>
      <c r="W128" s="4"/>
      <c r="X128" s="4"/>
      <c r="Y128" s="4"/>
      <c r="Z128" s="4"/>
    </row>
    <row r="129" spans="1:26" x14ac:dyDescent="0.25">
      <c r="A129" s="3" t="str">
        <f ca="1">IFERROR(__xludf.DUMMYFUNCTION("""COMPUTED_VALUE"""),"https://drive.google.com/open?id=1qDtihalOEUQ07991VaH1Cc0aUzHy1GfS")</f>
        <v>https://drive.google.com/open?id=1qDtihalOEUQ07991VaH1Cc0aUzHy1GfS</v>
      </c>
      <c r="B129" s="4" t="str">
        <f ca="1">IFERROR(__xludf.DUMMYFUNCTION("""COMPUTED_VALUE"""),"Enem")</f>
        <v>Enem</v>
      </c>
      <c r="C129" s="4">
        <f ca="1">IFERROR(__xludf.DUMMYFUNCTION("""COMPUTED_VALUE"""),2018)</f>
        <v>2018</v>
      </c>
      <c r="D129" s="4" t="str">
        <f ca="1">IFERROR(__xludf.DUMMYFUNCTION("""COMPUTED_VALUE"""),"Linguagens")</f>
        <v>Linguagens</v>
      </c>
      <c r="E129" s="4" t="str">
        <f ca="1">IFERROR(__xludf.DUMMYFUNCTION("""COMPUTED_VALUE"""),"Língua Estrangeira")</f>
        <v>Língua Estrangeira</v>
      </c>
      <c r="F129" s="4" t="str">
        <f ca="1">IFERROR(__xludf.DUMMYFUNCTION("""COMPUTED_VALUE"""),"Inglês")</f>
        <v>Inglês</v>
      </c>
      <c r="G129" s="4"/>
      <c r="H129" s="4"/>
      <c r="I129" s="4" t="str">
        <f ca="1">IFERROR(__xludf.DUMMYFUNCTION("""COMPUTED_VALUE"""),"Azul")</f>
        <v>Azul</v>
      </c>
      <c r="J129" s="4">
        <f ca="1">IFERROR(__xludf.DUMMYFUNCTION("""COMPUTED_VALUE"""),3)</f>
        <v>3</v>
      </c>
      <c r="K129" s="4" t="str">
        <f ca="1">IFERROR(__xludf.DUMMYFUNCTION("""COMPUTED_VALUE"""),"D")</f>
        <v>D</v>
      </c>
      <c r="L129" s="4" t="str">
        <f ca="1">IFERROR(__xludf.DUMMYFUNCTION("""COMPUTED_VALUE"""),"Don't write in English, they said,
English is not your mother tongue...
... The language I speak
Becomes mine, its distortions, its queerness
All mine, mine alone, it is half English, half
Indian, funny perhaps, but it is honest,
It is as human as I am hu"&amp;"man...
...It voices my joys, my longings my
Hopes...
(Kamala Das, 1965:10)
A poetisa Kamala Das, como muitos escritores indianos,
escreve suas obras em inglês, apesar de essa não ser
sua primeira língua. Nesses versos, ela")</f>
        <v>Don't write in English, they said,
English is not your mother tongue...
... The language I speak
Becomes mine, its distortions, its queerness
All mine, mine alone, it is half English, half
Indian, funny perhaps, but it is honest,
It is as human as I am human...
...It voices my joys, my longings my
Hopes...
(Kamala Das, 1965:10)
A poetisa Kamala Das, como muitos escritores indianos,
escreve suas obras em inglês, apesar de essa não ser
sua primeira língua. Nesses versos, ela</v>
      </c>
      <c r="M129" s="4" t="str">
        <f ca="1">IFERROR(__xludf.DUMMYFUNCTION("""COMPUTED_VALUE"""),"usa a língua inglesa com efeito humorístico.")</f>
        <v>usa a língua inglesa com efeito humorístico.</v>
      </c>
      <c r="N129" s="4" t="str">
        <f ca="1">IFERROR(__xludf.DUMMYFUNCTION("""COMPUTED_VALUE"""),"recorre a vozes de vários escritores ingleses.")</f>
        <v>recorre a vozes de vários escritores ingleses.</v>
      </c>
      <c r="O129" s="4" t="str">
        <f ca="1">IFERROR(__xludf.DUMMYFUNCTION("""COMPUTED_VALUE"""),"adverte sobre o uso distorcido da língua inglesa.")</f>
        <v>adverte sobre o uso distorcido da língua inglesa.</v>
      </c>
      <c r="P129" s="4" t="str">
        <f ca="1">IFERROR(__xludf.DUMMYFUNCTION("""COMPUTED_VALUE"""),"demonstra consciência de sua identidade linguística.")</f>
        <v>demonstra consciência de sua identidade linguística.</v>
      </c>
      <c r="Q129" s="4" t="str">
        <f ca="1">IFERROR(__xludf.DUMMYFUNCTION("""COMPUTED_VALUE"""),"reconhece a incompreensão na sua maneira de falar inglês.")</f>
        <v>reconhece a incompreensão na sua maneira de falar inglês.</v>
      </c>
      <c r="R129" s="4"/>
      <c r="S129" s="4"/>
      <c r="T129" s="4"/>
      <c r="U129" s="4"/>
      <c r="V129" s="4"/>
      <c r="W129" s="4"/>
      <c r="X129" s="4"/>
      <c r="Y129" s="4"/>
      <c r="Z129" s="4"/>
    </row>
    <row r="130" spans="1:26" x14ac:dyDescent="0.25">
      <c r="A130" s="3" t="str">
        <f ca="1">IFERROR(__xludf.DUMMYFUNCTION("""COMPUTED_VALUE"""),"https://drive.google.com/open?id=1YnDWl0sxoCRvNIzWLzK5myGTsJ8uswhn")</f>
        <v>https://drive.google.com/open?id=1YnDWl0sxoCRvNIzWLzK5myGTsJ8uswhn</v>
      </c>
      <c r="B130" s="4" t="str">
        <f ca="1">IFERROR(__xludf.DUMMYFUNCTION("""COMPUTED_VALUE"""),"Enem")</f>
        <v>Enem</v>
      </c>
      <c r="C130" s="4">
        <f ca="1">IFERROR(__xludf.DUMMYFUNCTION("""COMPUTED_VALUE"""),2018)</f>
        <v>2018</v>
      </c>
      <c r="D130" s="4" t="str">
        <f ca="1">IFERROR(__xludf.DUMMYFUNCTION("""COMPUTED_VALUE"""),"Linguagens")</f>
        <v>Linguagens</v>
      </c>
      <c r="E130" s="4" t="str">
        <f ca="1">IFERROR(__xludf.DUMMYFUNCTION("""COMPUTED_VALUE"""),"Língua Estrangeira")</f>
        <v>Língua Estrangeira</v>
      </c>
      <c r="F130" s="4" t="str">
        <f ca="1">IFERROR(__xludf.DUMMYFUNCTION("""COMPUTED_VALUE"""),"Inglês")</f>
        <v>Inglês</v>
      </c>
      <c r="G130" s="4"/>
      <c r="H130" s="4"/>
      <c r="I130" s="4" t="str">
        <f ca="1">IFERROR(__xludf.DUMMYFUNCTION("""COMPUTED_VALUE"""),"Azul")</f>
        <v>Azul</v>
      </c>
      <c r="J130" s="4">
        <f ca="1">IFERROR(__xludf.DUMMYFUNCTION("""COMPUTED_VALUE"""),4)</f>
        <v>4</v>
      </c>
      <c r="K130" s="4" t="str">
        <f ca="1">IFERROR(__xludf.DUMMYFUNCTION("""COMPUTED_VALUE"""),"E")</f>
        <v>E</v>
      </c>
      <c r="L130" s="4" t="str">
        <f ca="1">IFERROR(__xludf.DUMMYFUNCTION("""COMPUTED_VALUE"""),"TEXTO I
A Free World-class Education for Anyone Anywhere
The Khan Academy is an organization on a mission. We're a not-for-profit with the goal of changing education for the better by providing a free world-class education to anyone anywhere. All of the "&amp;"site's resources are available to anyone. The Khan Academy's materials and resources are available to you completely free of charge.
TEXTO II
I didn't have a problem with Khan Academy site until very recently. For me, the problem is the way Khan Academy "&amp;"is being promoted. The way the media sees it as “revolutionizing education”. The way people with power and money view education as simply ""sit-and-get"". If your philosophy of education is ""sit-and-get"", i.e, teaching telling and learning is listening,"&amp;" then Khan Academy is way more efficient than classroom lecturing. Khan Academy  does it better. But TRUE progressive educators, TRUE education visionaries and revolutionaries don't want to do these things better. We want to DO BETTER THINGS.
Com o impac"&amp;"to das tecnologias e a ampliação das redes sociais, consumidores encontram na internet possibilidades de opinar sobre serviços oferecidos. Nesse sentido, o segundo texto, que é um comentário sobre o site divulgado no primeiro, apresenta a intenção do auto"&amp;"r de")</f>
        <v>TEXTO I
A Free World-class Education for Anyone Anywhere
The Khan Academy is an organization on a mission. We're a not-for-profit with the goal of changing education for the better by providing a free world-class education to anyone anywhere. All of the site's resources are available to anyone. The Khan Academy's materials and resources are available to you completely free of charge.
TEXTO II
I didn't have a problem with Khan Academy site until very recently. For me, the problem is the way Khan Academy is being promoted. The way the media sees it as “revolutionizing education”. The way people with power and money view education as simply "sit-and-get". If your philosophy of education is "sit-and-get", i.e, teaching telling and learning is listening, then Khan Academy is way more efficient than classroom lecturing. Khan Academy  does it better. But TRUE progressive educators, TRUE education visionaries and revolutionaries don't want to do these things better. We want to DO BETTER THINGS.
Com o impacto das tecnologias e a ampliação das redes sociais, consumidores encontram na internet possibilidades de opinar sobre serviços oferecidos. Nesse sentido, o segundo texto, que é um comentário sobre o site divulgado no primeiro, apresenta a intenção do autor de</v>
      </c>
      <c r="M130" s="4" t="str">
        <f ca="1">IFERROR(__xludf.DUMMYFUNCTION("""COMPUTED_VALUE"""),"elogiar o trabalho proposto para a educação nessa era tecnológica.")</f>
        <v>elogiar o trabalho proposto para a educação nessa era tecnológica.</v>
      </c>
      <c r="N130" s="4" t="str">
        <f ca="1">IFERROR(__xludf.DUMMYFUNCTION("""COMPUTED_VALUE"""),"reforçar como a mídia pode contribuir para revolucionar a educação.")</f>
        <v>reforçar como a mídia pode contribuir para revolucionar a educação.</v>
      </c>
      <c r="O130" s="4" t="str">
        <f ca="1">IFERROR(__xludf.DUMMYFUNCTION("""COMPUTED_VALUE"""),"chamar a atenção das pessoas influentes para o significado da educação. ")</f>
        <v xml:space="preserve">chamar a atenção das pessoas influentes para o significado da educação. </v>
      </c>
      <c r="P130" s="4" t="str">
        <f ca="1">IFERROR(__xludf.DUMMYFUNCTION("""COMPUTED_VALUE"""),"destacar que o site tem melhores resultados do que a educação tradicional.")</f>
        <v>destacar que o site tem melhores resultados do que a educação tradicional.</v>
      </c>
      <c r="Q130" s="4" t="str">
        <f ca="1">IFERROR(__xludf.DUMMYFUNCTION("""COMPUTED_VALUE"""),"criticar a concepção de educação em que se baseia a organização.")</f>
        <v>criticar a concepção de educação em que se baseia a organização.</v>
      </c>
      <c r="R130" s="4"/>
      <c r="S130" s="4"/>
      <c r="T130" s="4"/>
      <c r="U130" s="4"/>
      <c r="V130" s="4"/>
      <c r="W130" s="4"/>
      <c r="X130" s="4"/>
      <c r="Y130" s="4"/>
      <c r="Z130" s="4"/>
    </row>
    <row r="131" spans="1:26" x14ac:dyDescent="0.25">
      <c r="A131" s="3" t="str">
        <f ca="1">IFERROR(__xludf.DUMMYFUNCTION("""COMPUTED_VALUE"""),"https://drive.google.com/open?id=1abH39npmAMxfu5iA8IuamqlTXnRE8eX8")</f>
        <v>https://drive.google.com/open?id=1abH39npmAMxfu5iA8IuamqlTXnRE8eX8</v>
      </c>
      <c r="B131" s="4" t="str">
        <f ca="1">IFERROR(__xludf.DUMMYFUNCTION("""COMPUTED_VALUE"""),"Enem")</f>
        <v>Enem</v>
      </c>
      <c r="C131" s="4">
        <f ca="1">IFERROR(__xludf.DUMMYFUNCTION("""COMPUTED_VALUE"""),2018)</f>
        <v>2018</v>
      </c>
      <c r="D131" s="4" t="str">
        <f ca="1">IFERROR(__xludf.DUMMYFUNCTION("""COMPUTED_VALUE"""),"Linguagens")</f>
        <v>Linguagens</v>
      </c>
      <c r="E131" s="4" t="str">
        <f ca="1">IFERROR(__xludf.DUMMYFUNCTION("""COMPUTED_VALUE"""),"Língua Estrangeira")</f>
        <v>Língua Estrangeira</v>
      </c>
      <c r="F131" s="4" t="str">
        <f ca="1">IFERROR(__xludf.DUMMYFUNCTION("""COMPUTED_VALUE"""),"Inglês")</f>
        <v>Inglês</v>
      </c>
      <c r="G131" s="4"/>
      <c r="H131" s="4"/>
      <c r="I131" s="4" t="str">
        <f ca="1">IFERROR(__xludf.DUMMYFUNCTION("""COMPUTED_VALUE"""),"Azul")</f>
        <v>Azul</v>
      </c>
      <c r="J131" s="4">
        <f ca="1">IFERROR(__xludf.DUMMYFUNCTION("""COMPUTED_VALUE"""),5)</f>
        <v>5</v>
      </c>
      <c r="K131" s="4" t="str">
        <f ca="1">IFERROR(__xludf.DUMMYFUNCTION("""COMPUTED_VALUE"""),"C")</f>
        <v>C</v>
      </c>
      <c r="L131" s="4" t="str">
        <f ca="1">IFERROR(__xludf.DUMMYFUNCTION("""COMPUTED_VALUE"""),"1984 (excerpt)
‘Is it your opinion, Winston, that the past has real
existence?’ [...] O'Brien smiled faintly. ‘I will put it more
precisely. Does the past exist concretely, in space? Is
there somewhere or other a place, a world of solid objects,
where the"&amp;" past is still happening?’
 ‘No.’
 ‘Then where does the past exist, if at all?’
 ‘In records. It is written down.’
 ‘In records. And — —?’
 ‘In the mind. In human memories.’
 ‘In memory. Very well, then. We, the Party, control all
records, and we control "&amp;"all memories. Then we control the
past, do we not?’
O romance 1984 descreve os perigos de um Estado
totalitário. A ideia evidenciada nessa passagem é que o
controle do Estado se dá por meio do(a)")</f>
        <v>1984 (excerpt)
‘Is it your opinion, Winston, that the past has real
existence?’ [...] O'Brien smiled faintly. ‘I will put it more
precisely. Does the past exist concretely, in space? Is
there somewhere or other a place, a world of solid objects,
where the past is still happening?’
 ‘No.’
 ‘Then where does the past exist, if at all?’
 ‘In records. It is written down.’
 ‘In records. And — —?’
 ‘In the mind. In human memories.’
 ‘In memory. Very well, then. We, the Party, control all
records, and we control all memories. Then we control the
past, do we not?’
O romance 1984 descreve os perigos de um Estado
totalitário. A ideia evidenciada nessa passagem é que o
controle do Estado se dá por meio do(a)</v>
      </c>
      <c r="M131" s="4" t="str">
        <f ca="1">IFERROR(__xludf.DUMMYFUNCTION("""COMPUTED_VALUE"""),"boicote a ideais libertários.")</f>
        <v>boicote a ideais libertários.</v>
      </c>
      <c r="N131" s="4" t="str">
        <f ca="1">IFERROR(__xludf.DUMMYFUNCTION("""COMPUTED_VALUE"""),"veto ao culto das tradições.")</f>
        <v>veto ao culto das tradições.</v>
      </c>
      <c r="O131" s="4" t="str">
        <f ca="1">IFERROR(__xludf.DUMMYFUNCTION("""COMPUTED_VALUE"""),"poder sobre memórias e registros.")</f>
        <v>poder sobre memórias e registros.</v>
      </c>
      <c r="P131" s="4" t="str">
        <f ca="1">IFERROR(__xludf.DUMMYFUNCTION("""COMPUTED_VALUE"""),"censura a produções orais e escritas.")</f>
        <v>censura a produções orais e escritas.</v>
      </c>
      <c r="Q131" s="4" t="str">
        <f ca="1">IFERROR(__xludf.DUMMYFUNCTION("""COMPUTED_VALUE"""),"manipulação de pensamentos individuais.")</f>
        <v>manipulação de pensamentos individuais.</v>
      </c>
      <c r="R131" s="4"/>
      <c r="S131" s="4"/>
      <c r="T131" s="4"/>
      <c r="U131" s="4"/>
      <c r="V131" s="4"/>
      <c r="W131" s="4"/>
      <c r="X131" s="4"/>
      <c r="Y131" s="4"/>
      <c r="Z131" s="4"/>
    </row>
    <row r="132" spans="1:26" x14ac:dyDescent="0.25">
      <c r="A132" s="3" t="str">
        <f ca="1">IFERROR(__xludf.DUMMYFUNCTION("""COMPUTED_VALUE"""),"https://drive.google.com/open?id=1TVojd2X2BGJZeORsXuU0FSY4IBEiPunq")</f>
        <v>https://drive.google.com/open?id=1TVojd2X2BGJZeORsXuU0FSY4IBEiPunq</v>
      </c>
      <c r="B132" s="4" t="str">
        <f ca="1">IFERROR(__xludf.DUMMYFUNCTION("""COMPUTED_VALUE"""),"Enem")</f>
        <v>Enem</v>
      </c>
      <c r="C132" s="4">
        <f ca="1">IFERROR(__xludf.DUMMYFUNCTION("""COMPUTED_VALUE"""),2019)</f>
        <v>2019</v>
      </c>
      <c r="D132" s="4" t="str">
        <f ca="1">IFERROR(__xludf.DUMMYFUNCTION("""COMPUTED_VALUE"""),"Linguagens")</f>
        <v>Linguagens</v>
      </c>
      <c r="E132" s="4" t="str">
        <f ca="1">IFERROR(__xludf.DUMMYFUNCTION("""COMPUTED_VALUE"""),"Língua Estrangeira")</f>
        <v>Língua Estrangeira</v>
      </c>
      <c r="F132" s="4" t="str">
        <f ca="1">IFERROR(__xludf.DUMMYFUNCTION("""COMPUTED_VALUE"""),"Inglês")</f>
        <v>Inglês</v>
      </c>
      <c r="G132" s="4"/>
      <c r="H132" s="4"/>
      <c r="I132" s="4" t="str">
        <f ca="1">IFERROR(__xludf.DUMMYFUNCTION("""COMPUTED_VALUE"""),"Azul")</f>
        <v>Azul</v>
      </c>
      <c r="J132" s="4">
        <f ca="1">IFERROR(__xludf.DUMMYFUNCTION("""COMPUTED_VALUE"""),1)</f>
        <v>1</v>
      </c>
      <c r="K132" s="4" t="str">
        <f ca="1">IFERROR(__xludf.DUMMYFUNCTION("""COMPUTED_VALUE"""),"B")</f>
        <v>B</v>
      </c>
      <c r="L132" s="4" t="str">
        <f ca="1">IFERROR(__xludf.DUMMYFUNCTION("""COMPUTED_VALUE"""),"5 Ways Pets Can Improve Your Health
A pet is certainly a great friend. After a difficult day,
pet owners quite literally feel the love.
In fact, for nearly 25 years, research has shown that
living with pets provides certain health benefits. Pets help
low"&amp;"er blood pressure and lessen anxiety. They boost our
immunity. They can even help you get dates.
Allergy Fighters: A growing number of studies have
suggested that kids growing up in a home with “furred
animals” will have less risk of allergies and asthma."&amp;"
Date Magnets: Dogs are great for making love
connections. Forget Internet matchmaking — a dog is a
natural conversation starter.
Dogs for the Aged: Walking a dog or just caring for
a pet — for elderly people who are able — can provide
exercise and compan"&amp;"ionship.
Good for Mind and Soul: Like any enjoyable activity,
playing with a dog can elevate levels of serotonin and
dopamine — nerve transmitters that are known to have
pleasurable and calming properties.
Good for the Heart: Heart attack patients who hav"&amp;"e
pets survive longer than those without, according to
several studies.
Ao discutir sobre a influência de animais de estimação no
bem-estar do ser humano, a autora, a fim de fortalecer
seus argumentos, utiliza palavras e expressões como
research, a growi"&amp;"ng number of research e several
studies com o objetivo de")</f>
        <v>5 Ways Pets Can Improve Your Health
A pet is certainly a great friend. After a difficult day,
pet owners quite literally feel the love.
In fact, for nearly 25 years, research has shown that
living with pets provides certain health benefits. Pets help
lower blood pressure and lessen anxiety. They boost our
immunity. They can even help you get dates.
Allergy Fighters: A growing number of studies have
suggested that kids growing up in a home with “furred
animals” will have less risk of allergies and asthma.
Date Magnets: Dogs are great for making love
connections. Forget Internet matchmaking — a dog is a
natural conversation starter.
Dogs for the Aged: Walking a dog or just caring for
a pet — for elderly people who are able — can provide
exercise and companionship.
Good for Mind and Soul: Like any enjoyable activity,
playing with a dog can elevate levels of serotonin and
dopamine — nerve transmitters that are known to have
pleasurable and calming properties.
Good for the Heart: Heart attack patients who have
pets survive longer than those without, according to
several studies.
Ao discutir sobre a influência de animais de estimação no
bem-estar do ser humano, a autora, a fim de fortalecer
seus argumentos, utiliza palavras e expressões como
research, a growing number of research e several
studies com o objetivo de</v>
      </c>
      <c r="M132" s="4" t="str">
        <f ca="1">IFERROR(__xludf.DUMMYFUNCTION("""COMPUTED_VALUE"""),"mostrar que animais de estimação ajudam na cura
de doenças como alergias e asma.
")</f>
        <v xml:space="preserve">mostrar que animais de estimação ajudam na cura
de doenças como alergias e asma.
</v>
      </c>
      <c r="N132" s="4" t="str">
        <f ca="1">IFERROR(__xludf.DUMMYFUNCTION("""COMPUTED_VALUE"""),"convencer sobre os benefícios da adoção de animais de estimação para a saúde.")</f>
        <v>convencer sobre os benefícios da adoção de animais de estimação para a saúde.</v>
      </c>
      <c r="O132" s="4" t="str">
        <f ca="1">IFERROR(__xludf.DUMMYFUNCTION("""COMPUTED_VALUE"""),"fornecer dados sobre os impactos de animais de estimação nas relações amorosas.")</f>
        <v>fornecer dados sobre os impactos de animais de estimação nas relações amorosas.</v>
      </c>
      <c r="P132" s="4" t="str">
        <f ca="1">IFERROR(__xludf.DUMMYFUNCTION("""COMPUTED_VALUE"""),"explicar como o contato com animais de estimação pode prevenir ataques cardíacos.
")</f>
        <v xml:space="preserve">explicar como o contato com animais de estimação pode prevenir ataques cardíacos.
</v>
      </c>
      <c r="Q132" s="4" t="str">
        <f ca="1">IFERROR(__xludf.DUMMYFUNCTION("""COMPUTED_VALUE"""),"esclarecer sobre o modo como idosos devem se relacionar com animais de estimação.")</f>
        <v>esclarecer sobre o modo como idosos devem se relacionar com animais de estimação.</v>
      </c>
      <c r="R132" s="4"/>
      <c r="S132" s="4"/>
      <c r="T132" s="4"/>
      <c r="U132" s="4"/>
      <c r="V132" s="4"/>
      <c r="W132" s="4"/>
      <c r="X132" s="4"/>
      <c r="Y132" s="4"/>
      <c r="Z132" s="4"/>
    </row>
    <row r="133" spans="1:26" x14ac:dyDescent="0.25">
      <c r="A133" s="3" t="str">
        <f ca="1">IFERROR(__xludf.DUMMYFUNCTION("""COMPUTED_VALUE"""),"https://drive.google.com/open?id=1mRKBFVq0cODVyagwTS3lre3wTyYjUlDP")</f>
        <v>https://drive.google.com/open?id=1mRKBFVq0cODVyagwTS3lre3wTyYjUlDP</v>
      </c>
      <c r="B133" s="4" t="str">
        <f ca="1">IFERROR(__xludf.DUMMYFUNCTION("""COMPUTED_VALUE"""),"Enem")</f>
        <v>Enem</v>
      </c>
      <c r="C133" s="4">
        <f ca="1">IFERROR(__xludf.DUMMYFUNCTION("""COMPUTED_VALUE"""),2019)</f>
        <v>2019</v>
      </c>
      <c r="D133" s="4" t="str">
        <f ca="1">IFERROR(__xludf.DUMMYFUNCTION("""COMPUTED_VALUE"""),"Linguagens")</f>
        <v>Linguagens</v>
      </c>
      <c r="E133" s="4" t="str">
        <f ca="1">IFERROR(__xludf.DUMMYFUNCTION("""COMPUTED_VALUE"""),"Língua Estrangeira")</f>
        <v>Língua Estrangeira</v>
      </c>
      <c r="F133" s="4" t="str">
        <f ca="1">IFERROR(__xludf.DUMMYFUNCTION("""COMPUTED_VALUE"""),"Inglês")</f>
        <v>Inglês</v>
      </c>
      <c r="G133" s="4"/>
      <c r="H133" s="4"/>
      <c r="I133" s="4" t="str">
        <f ca="1">IFERROR(__xludf.DUMMYFUNCTION("""COMPUTED_VALUE"""),"Azul")</f>
        <v>Azul</v>
      </c>
      <c r="J133" s="4">
        <f ca="1">IFERROR(__xludf.DUMMYFUNCTION("""COMPUTED_VALUE"""),2)</f>
        <v>2</v>
      </c>
      <c r="K133" s="4" t="str">
        <f ca="1">IFERROR(__xludf.DUMMYFUNCTION("""COMPUTED_VALUE"""),"D")</f>
        <v>D</v>
      </c>
      <c r="L133" s="4" t="str">
        <f ca="1">IFERROR(__xludf.DUMMYFUNCTION("""COMPUTED_VALUE"""),"LETTER TO THE EDITOR: Sugar fear-mongering unhelpful
By The Washington Times Tuesday, June 25, 2013
In his recent piece “Is obesity a disease?”
(Web, June 19), Dr. Peter Lind refers to high-fructose
corn syrup and other “manufactured sugars” as “poison”
"&amp;"that will “guarantee storage of fat in the body.”
Current scientific research strongly indicates that obesity
results from excessive calorie intake combined with a
sedentary lifestyle. The fact is Americans are consuming
more total calories now than ever "&amp;"before. According to
the U.S. Department of Agriculture, our total per-capita
daily caloric intake increased by 22 percent from
2,076 calories per day in 1970 to 2,534 calories per day
in 2010 — an additional 458 calories, only 34 of which
come from incre"&amp;"ased added sugar intake. A vast majority
of these calories come from increased fats and flour/
cereals. Surprisingly, the amount of caloric sweeteners
(i.e. sugar, high-fructose, corn syrup, honey, etc.).
Americans consume has actually decreased over the
"&amp;"past decade. We need to continue to study the obesity
epidemic to see what more can be done, but demonizing
one specific ingredient accomplishes nothing and raises
unnecessary fears that get in the way of real solutions.
Ao abordar o assunto “obesidade”,"&amp;" em uma seção de
jornal, o autor
")</f>
        <v xml:space="preserve">LETTER TO THE EDITOR: Sugar fear-mongering unhelpful
By The Washington Times Tuesday, June 25, 2013
In his recent piece “Is obesity a disease?”
(Web, June 19), Dr. Peter Lind refers to high-fructose
corn syrup and other “manufactured sugars” as “poison”
that will “guarantee storage of fat in the body.”
Current scientific research strongly indicates that obesity
results from excessive calorie intake combined with a
sedentary lifestyle. The fact is Americans are consuming
more total calories now than ever before. According to
the U.S. Department of Agriculture, our total per-capita
daily caloric intake increased by 22 percent from
2,076 calories per day in 1970 to 2,534 calories per day
in 2010 — an additional 458 calories, only 34 of which
come from increased added sugar intake. A vast majority
of these calories come from increased fats and flour/
cereals. Surprisingly, the amount of caloric sweeteners
(i.e. sugar, high-fructose, corn syrup, honey, etc.).
Americans consume has actually decreased over the
past decade. We need to continue to study the obesity
epidemic to see what more can be done, but demonizing
one specific ingredient accomplishes nothing and raises
unnecessary fears that get in the way of real solutions.
Ao abordar o assunto “obesidade”, em uma seção de
jornal, o autor
</v>
      </c>
      <c r="M133" s="4" t="str">
        <f ca="1">IFERROR(__xludf.DUMMYFUNCTION("""COMPUTED_VALUE"""),"defende o consumo liberado de açúcar.")</f>
        <v>defende o consumo liberado de açúcar.</v>
      </c>
      <c r="N133" s="4" t="str">
        <f ca="1">IFERROR(__xludf.DUMMYFUNCTION("""COMPUTED_VALUE"""),"aponta a gordura como o grande vilão da saúde.")</f>
        <v>aponta a gordura como o grande vilão da saúde.</v>
      </c>
      <c r="O133" s="4" t="str">
        <f ca="1">IFERROR(__xludf.DUMMYFUNCTION("""COMPUTED_VALUE"""),"demonstra acreditar que a obesidade não é preocupante.")</f>
        <v>demonstra acreditar que a obesidade não é preocupante.</v>
      </c>
      <c r="P133" s="4" t="str">
        <f ca="1">IFERROR(__xludf.DUMMYFUNCTION("""COMPUTED_VALUE"""),"indica a necessidade de mais pesquisas sobre o assunto.")</f>
        <v>indica a necessidade de mais pesquisas sobre o assunto.</v>
      </c>
      <c r="Q133" s="4" t="str">
        <f ca="1">IFERROR(__xludf.DUMMYFUNCTION("""COMPUTED_VALUE"""),"enfatiza a redução de ingestão de calorias pelos americanos.
")</f>
        <v xml:space="preserve">enfatiza a redução de ingestão de calorias pelos americanos.
</v>
      </c>
      <c r="R133" s="4"/>
      <c r="S133" s="4"/>
      <c r="T133" s="4"/>
      <c r="U133" s="4"/>
      <c r="V133" s="4"/>
      <c r="W133" s="4"/>
      <c r="X133" s="4"/>
      <c r="Y133" s="4"/>
      <c r="Z133" s="4"/>
    </row>
    <row r="134" spans="1:26" x14ac:dyDescent="0.25">
      <c r="A134" s="3" t="str">
        <f ca="1">IFERROR(__xludf.DUMMYFUNCTION("""COMPUTED_VALUE"""),"https://drive.google.com/open?id=14twLiKWPk-Adh0eSkffy78XVoBqQmRwF")</f>
        <v>https://drive.google.com/open?id=14twLiKWPk-Adh0eSkffy78XVoBqQmRwF</v>
      </c>
      <c r="B134" s="4" t="str">
        <f ca="1">IFERROR(__xludf.DUMMYFUNCTION("""COMPUTED_VALUE"""),"Enem")</f>
        <v>Enem</v>
      </c>
      <c r="C134" s="4">
        <f ca="1">IFERROR(__xludf.DUMMYFUNCTION("""COMPUTED_VALUE"""),2019)</f>
        <v>2019</v>
      </c>
      <c r="D134" s="4" t="str">
        <f ca="1">IFERROR(__xludf.DUMMYFUNCTION("""COMPUTED_VALUE"""),"Linguagens")</f>
        <v>Linguagens</v>
      </c>
      <c r="E134" s="4" t="str">
        <f ca="1">IFERROR(__xludf.DUMMYFUNCTION("""COMPUTED_VALUE"""),"Língua Estrangeira")</f>
        <v>Língua Estrangeira</v>
      </c>
      <c r="F134" s="4" t="str">
        <f ca="1">IFERROR(__xludf.DUMMYFUNCTION("""COMPUTED_VALUE"""),"Inglês")</f>
        <v>Inglês</v>
      </c>
      <c r="G134" s="4"/>
      <c r="H134" s="4"/>
      <c r="I134" s="4" t="str">
        <f ca="1">IFERROR(__xludf.DUMMYFUNCTION("""COMPUTED_VALUE"""),"Azul")</f>
        <v>Azul</v>
      </c>
      <c r="J134" s="4">
        <f ca="1">IFERROR(__xludf.DUMMYFUNCTION("""COMPUTED_VALUE"""),3)</f>
        <v>3</v>
      </c>
      <c r="K134" s="4" t="str">
        <f ca="1">IFERROR(__xludf.DUMMYFUNCTION("""COMPUTED_VALUE"""),"A")</f>
        <v>A</v>
      </c>
      <c r="L134" s="4" t="str">
        <f ca="1">IFERROR(__xludf.DUMMYFUNCTION("""COMPUTED_VALUE"""),"In this life
Sitting on a park bench
Thinking about a friend of mine
He was only twenty-three
Gone before he had his time.
It came without a warning
Didnꞌt want his friends to see him cry
He knew the day was dawning
And I didnꞌt have a chance to say goodb"&amp;"ye.
MADONNA. Erotica. Estados Unidos: Maverick, 1992.
A canção, muitas vezes, é uma forma de manifestar
sentimentos e emoções da vida cotidiana. Por exemplo,
o sofrimento retratado nessa canção foi causado")</f>
        <v>In this life
Sitting on a park bench
Thinking about a friend of mine
He was only twenty-three
Gone before he had his time.
It came without a warning
Didnꞌt want his friends to see him cry
He knew the day was dawning
And I didnꞌt have a chance to say goodbye.
MADONNA. Erotica. Estados Unidos: Maverick, 1992.
A canção, muitas vezes, é uma forma de manifestar
sentimentos e emoções da vida cotidiana. Por exemplo,
o sofrimento retratado nessa canção foi causado</v>
      </c>
      <c r="M134" s="4" t="str">
        <f ca="1">IFERROR(__xludf.DUMMYFUNCTION("""COMPUTED_VALUE"""),"pela morte precoce de um amigo jovem.")</f>
        <v>pela morte precoce de um amigo jovem.</v>
      </c>
      <c r="N134" s="4" t="str">
        <f ca="1">IFERROR(__xludf.DUMMYFUNCTION("""COMPUTED_VALUE"""),"pelo término de um relacionamento amoroso.")</f>
        <v>pelo término de um relacionamento amoroso.</v>
      </c>
      <c r="O134" s="4" t="str">
        <f ca="1">IFERROR(__xludf.DUMMYFUNCTION("""COMPUTED_VALUE"""),"pela mudança de um amigo para outro país.")</f>
        <v>pela mudança de um amigo para outro país.</v>
      </c>
      <c r="P134" s="4" t="str">
        <f ca="1">IFERROR(__xludf.DUMMYFUNCTION("""COMPUTED_VALUE"""),"pelo fim de uma amizade de mais de vinte anos.")</f>
        <v>pelo fim de uma amizade de mais de vinte anos.</v>
      </c>
      <c r="Q134" s="4" t="str">
        <f ca="1">IFERROR(__xludf.DUMMYFUNCTION("""COMPUTED_VALUE"""),"pela traição por parte de pessoa próxima.")</f>
        <v>pela traição por parte de pessoa próxima.</v>
      </c>
      <c r="R134" s="4"/>
      <c r="S134" s="4"/>
      <c r="T134" s="4"/>
      <c r="U134" s="4"/>
      <c r="V134" s="4"/>
      <c r="W134" s="4"/>
      <c r="X134" s="4"/>
      <c r="Y134" s="4"/>
      <c r="Z134" s="4"/>
    </row>
    <row r="135" spans="1:26" x14ac:dyDescent="0.25">
      <c r="A135" s="3" t="str">
        <f ca="1">IFERROR(__xludf.DUMMYFUNCTION("""COMPUTED_VALUE"""),"https://drive.google.com/open?id=1_aCUYxQvIv1SDm6h9qUv2SkpjPmSy5fA")</f>
        <v>https://drive.google.com/open?id=1_aCUYxQvIv1SDm6h9qUv2SkpjPmSy5fA</v>
      </c>
      <c r="B135" s="4" t="str">
        <f ca="1">IFERROR(__xludf.DUMMYFUNCTION("""COMPUTED_VALUE"""),"Enem")</f>
        <v>Enem</v>
      </c>
      <c r="C135" s="4">
        <f ca="1">IFERROR(__xludf.DUMMYFUNCTION("""COMPUTED_VALUE"""),2019)</f>
        <v>2019</v>
      </c>
      <c r="D135" s="4" t="str">
        <f ca="1">IFERROR(__xludf.DUMMYFUNCTION("""COMPUTED_VALUE"""),"Linguagens")</f>
        <v>Linguagens</v>
      </c>
      <c r="E135" s="4" t="str">
        <f ca="1">IFERROR(__xludf.DUMMYFUNCTION("""COMPUTED_VALUE"""),"Língua Estrangeira")</f>
        <v>Língua Estrangeira</v>
      </c>
      <c r="F135" s="4" t="str">
        <f ca="1">IFERROR(__xludf.DUMMYFUNCTION("""COMPUTED_VALUE"""),"Inglês")</f>
        <v>Inglês</v>
      </c>
      <c r="G135" s="4"/>
      <c r="H135" s="4"/>
      <c r="I135" s="4" t="str">
        <f ca="1">IFERROR(__xludf.DUMMYFUNCTION("""COMPUTED_VALUE"""),"Azul")</f>
        <v>Azul</v>
      </c>
      <c r="J135" s="4">
        <f ca="1">IFERROR(__xludf.DUMMYFUNCTION("""COMPUTED_VALUE"""),4)</f>
        <v>4</v>
      </c>
      <c r="K135" s="4" t="str">
        <f ca="1">IFERROR(__xludf.DUMMYFUNCTION("""COMPUTED_VALUE"""),"B")</f>
        <v>B</v>
      </c>
      <c r="L135" s="4" t="str">
        <f ca="1">IFERROR(__xludf.DUMMYFUNCTION("""COMPUTED_VALUE"""),"If children live with criticism, they learn to condemn.
If children live with fear, they learn to be apprehensive.
If children live with pity, they learn to feel sorry for themselves.
If children live with ridicule, they learn to feel shy.
If children liv"&amp;"e with tolerance, they learn patience.
If children live with praise, they learn appreciation.
If children live with acceptance, they learn to love.
If children live with approval, they learn to like themselves.
If children live with recognition, they lear"&amp;"n it is good to
have a goal.
If children live with sharing, they learn generosity.
If children live with fairness, they learn justice.
If children live with kindness and consideration, they
learn respect.
If children live with friendliness, they learn the"&amp;" world is a
nice place in which to live.
NOLTE, D. L. Disponível em: www.americanfamilytraditions.com.
Acesso em: 30 jul. 2012.
Valores culturais de um povo revelam sua forma de ser,
agir e pensar. Na concepção da autora, as diferentes
formas de educar "&amp;"crianças nos Estados Unidos
confirmam que as crianças")</f>
        <v>If children live with criticism, they learn to condemn.
If children live with fear, they learn to be apprehensive.
If children live with pity, they learn to feel sorry for themselves.
If children live with ridicule, they learn to feel shy.
If children live with tolerance, they learn patience.
If children live with praise, they learn appreciation.
If children live with acceptance, they learn to love.
If children live with approval, they learn to like themselves.
If children live with recognition, they learn it is good to
have a goal.
If children live with sharing, they learn generosity.
If children live with fairness, they learn justice.
If children live with kindness and consideration, they
learn respect.
If children live with friendliness, they learn the world is a
nice place in which to live.
NOLTE, D. L. Disponível em: www.americanfamilytraditions.com.
Acesso em: 30 jul. 2012.
Valores culturais de um povo revelam sua forma de ser,
agir e pensar. Na concepção da autora, as diferentes
formas de educar crianças nos Estados Unidos
confirmam que as crianças</v>
      </c>
      <c r="M135" s="4" t="str">
        <f ca="1">IFERROR(__xludf.DUMMYFUNCTION("""COMPUTED_VALUE"""),"temem quem as amedronta.")</f>
        <v>temem quem as amedronta.</v>
      </c>
      <c r="N135" s="4" t="str">
        <f ca="1">IFERROR(__xludf.DUMMYFUNCTION("""COMPUTED_VALUE"""),"aprendem com o que vivem.
")</f>
        <v xml:space="preserve">aprendem com o que vivem.
</v>
      </c>
      <c r="O135" s="4" t="str">
        <f ca="1">IFERROR(__xludf.DUMMYFUNCTION("""COMPUTED_VALUE"""),"amam aqueles que as aceitam")</f>
        <v>amam aqueles que as aceitam</v>
      </c>
      <c r="P135" s="4" t="str">
        <f ca="1">IFERROR(__xludf.DUMMYFUNCTION("""COMPUTED_VALUE"""),"são gentis quando respeitadas.")</f>
        <v>são gentis quando respeitadas.</v>
      </c>
      <c r="Q135" s="4" t="str">
        <f ca="1">IFERROR(__xludf.DUMMYFUNCTION("""COMPUTED_VALUE"""),"ridicularizam quem as intimida.")</f>
        <v>ridicularizam quem as intimida.</v>
      </c>
      <c r="R135" s="4"/>
      <c r="S135" s="4"/>
      <c r="T135" s="4"/>
      <c r="U135" s="4"/>
      <c r="V135" s="4"/>
      <c r="W135" s="4"/>
      <c r="X135" s="4"/>
      <c r="Y135" s="4"/>
      <c r="Z135" s="4"/>
    </row>
    <row r="136" spans="1:26" x14ac:dyDescent="0.25">
      <c r="A136" s="3" t="str">
        <f ca="1">IFERROR(__xludf.DUMMYFUNCTION("""COMPUTED_VALUE"""),"https://drive.google.com/open?id=1jXsd9H4eCm0nSxVNcNRJcVxY4Gvrc126")</f>
        <v>https://drive.google.com/open?id=1jXsd9H4eCm0nSxVNcNRJcVxY4Gvrc126</v>
      </c>
      <c r="B136" s="4" t="str">
        <f ca="1">IFERROR(__xludf.DUMMYFUNCTION("""COMPUTED_VALUE"""),"Enem")</f>
        <v>Enem</v>
      </c>
      <c r="C136" s="4">
        <f ca="1">IFERROR(__xludf.DUMMYFUNCTION("""COMPUTED_VALUE"""),2019)</f>
        <v>2019</v>
      </c>
      <c r="D136" s="4" t="str">
        <f ca="1">IFERROR(__xludf.DUMMYFUNCTION("""COMPUTED_VALUE"""),"Linguagens")</f>
        <v>Linguagens</v>
      </c>
      <c r="E136" s="4" t="str">
        <f ca="1">IFERROR(__xludf.DUMMYFUNCTION("""COMPUTED_VALUE"""),"Língua Estrangeira")</f>
        <v>Língua Estrangeira</v>
      </c>
      <c r="F136" s="4" t="str">
        <f ca="1">IFERROR(__xludf.DUMMYFUNCTION("""COMPUTED_VALUE"""),"Inglês")</f>
        <v>Inglês</v>
      </c>
      <c r="G136" s="4"/>
      <c r="H136" s="4"/>
      <c r="I136" s="4" t="str">
        <f ca="1">IFERROR(__xludf.DUMMYFUNCTION("""COMPUTED_VALUE"""),"Azul")</f>
        <v>Azul</v>
      </c>
      <c r="J136" s="4">
        <f ca="1">IFERROR(__xludf.DUMMYFUNCTION("""COMPUTED_VALUE"""),5)</f>
        <v>5</v>
      </c>
      <c r="K136" s="4" t="str">
        <f ca="1">IFERROR(__xludf.DUMMYFUNCTION("""COMPUTED_VALUE"""),"E")</f>
        <v>E</v>
      </c>
      <c r="L136" s="4" t="str">
        <f ca="1">IFERROR(__xludf.DUMMYFUNCTION("""COMPUTED_VALUE"""),"[TEXTO NA IMAGEM] No cartum, o estudante faz uma pergunta usando turn
this thing on por")</f>
        <v>[TEXTO NA IMAGEM] No cartum, o estudante faz uma pergunta usando turn
this thing on por</v>
      </c>
      <c r="M136" s="4" t="str">
        <f ca="1">IFERROR(__xludf.DUMMYFUNCTION("""COMPUTED_VALUE"""),"suspeitar que o colega está com seu material por engano.")</f>
        <v>suspeitar que o colega está com seu material por engano.</v>
      </c>
      <c r="N136" s="4" t="str">
        <f ca="1">IFERROR(__xludf.DUMMYFUNCTION("""COMPUTED_VALUE"""),"duvidar que o colega possa se tornar um bom aluno.")</f>
        <v>duvidar que o colega possa se tornar um bom aluno.</v>
      </c>
      <c r="O136" s="4" t="str">
        <f ca="1">IFERROR(__xludf.DUMMYFUNCTION("""COMPUTED_VALUE"""),"desconfiar que o livro levado é de outra matéria.")</f>
        <v>desconfiar que o livro levado é de outra matéria.</v>
      </c>
      <c r="P136" s="4" t="str">
        <f ca="1">IFERROR(__xludf.DUMMYFUNCTION("""COMPUTED_VALUE"""),"entender como desligada a postura do colega.")</f>
        <v>entender como desligada a postura do colega.</v>
      </c>
      <c r="Q136" s="4" t="str">
        <f ca="1">IFERROR(__xludf.DUMMYFUNCTION("""COMPUTED_VALUE"""),"desconhecer como usar um livro impresso.")</f>
        <v>desconhecer como usar um livro impresso.</v>
      </c>
      <c r="R136" s="4"/>
      <c r="S136" s="4"/>
      <c r="T136" s="4"/>
      <c r="U136" s="4"/>
      <c r="V136" s="4"/>
      <c r="W136" s="4"/>
      <c r="X136" s="4"/>
      <c r="Y136" s="4"/>
      <c r="Z136" s="4"/>
    </row>
    <row r="137" spans="1:26" x14ac:dyDescent="0.25">
      <c r="A137" s="3" t="str">
        <f ca="1">IFERROR(__xludf.DUMMYFUNCTION("""COMPUTED_VALUE"""),"https://drive.google.com/open?id=1Doh8TojWc3FzRincyG9XxtUES6tu2DTD")</f>
        <v>https://drive.google.com/open?id=1Doh8TojWc3FzRincyG9XxtUES6tu2DTD</v>
      </c>
      <c r="B137" s="4" t="str">
        <f ca="1">IFERROR(__xludf.DUMMYFUNCTION("""COMPUTED_VALUE"""),"Enem")</f>
        <v>Enem</v>
      </c>
      <c r="C137" s="4">
        <f ca="1">IFERROR(__xludf.DUMMYFUNCTION("""COMPUTED_VALUE"""),2015)</f>
        <v>2015</v>
      </c>
      <c r="D137" s="4" t="str">
        <f ca="1">IFERROR(__xludf.DUMMYFUNCTION("""COMPUTED_VALUE"""),"Linguagens")</f>
        <v>Linguagens</v>
      </c>
      <c r="E137" s="4" t="str">
        <f ca="1">IFERROR(__xludf.DUMMYFUNCTION("""COMPUTED_VALUE"""),"Língua Estrangeira")</f>
        <v>Língua Estrangeira</v>
      </c>
      <c r="F137" s="4" t="str">
        <f ca="1">IFERROR(__xludf.DUMMYFUNCTION("""COMPUTED_VALUE"""),"Inglês")</f>
        <v>Inglês</v>
      </c>
      <c r="G137" s="4"/>
      <c r="H137" s="4"/>
      <c r="I137" s="4" t="str">
        <f ca="1">IFERROR(__xludf.DUMMYFUNCTION("""COMPUTED_VALUE"""),"Azul")</f>
        <v>Azul</v>
      </c>
      <c r="J137" s="4">
        <f ca="1">IFERROR(__xludf.DUMMYFUNCTION("""COMPUTED_VALUE"""),91)</f>
        <v>91</v>
      </c>
      <c r="K137" s="4" t="str">
        <f ca="1">IFERROR(__xludf.DUMMYFUNCTION("""COMPUTED_VALUE"""),"D")</f>
        <v>D</v>
      </c>
      <c r="L137" s="4" t="str">
        <f ca="1">IFERROR(__xludf.DUMMYFUNCTION("""COMPUTED_VALUE"""),"My brother the star, my mother the earth
my father the sun, my sister the moon,
to my life give beauty, to my
body give strength, to my corn give
goodness, to my house give peace, to
my spirit give truth, to my elders give
wisdom.
Disponível em: www.blac"&amp;"khawkproductions.com. Acesso em: 8 ago. 2012.
Produções artístico-culturais revelam visões de mundo
próprias de um grupo social. Esse poema demonstra a
estreita relação entre a tradição oral da cultura indígena
norte-americana e a")</f>
        <v>My brother the star, my mother the earth
my father the sun, my sister the moon,
to my life give beauty, to my
body give strength, to my corn give
goodness, to my house give peace, to
my spirit give truth, to my elders give
wisdom.
Disponível em: www.blackhawkproductions.com. Acesso em: 8 ago. 2012.
Produções artístico-culturais revelam visões de mundo
próprias de um grupo social. Esse poema demonstra a
estreita relação entre a tradição oral da cultura indígena
norte-americana e a</v>
      </c>
      <c r="M137" s="4" t="str">
        <f ca="1">IFERROR(__xludf.DUMMYFUNCTION("""COMPUTED_VALUE"""),"transmissão de hábitos alimentares entre gerações.")</f>
        <v>transmissão de hábitos alimentares entre gerações.</v>
      </c>
      <c r="N137" s="4" t="str">
        <f ca="1">IFERROR(__xludf.DUMMYFUNCTION("""COMPUTED_VALUE"""),"dependência da sabedoria de seus ancestrais. ")</f>
        <v xml:space="preserve">dependência da sabedoria de seus ancestrais. </v>
      </c>
      <c r="O137" s="4" t="str">
        <f ca="1">IFERROR(__xludf.DUMMYFUNCTION("""COMPUTED_VALUE"""),"representação do corpo em seus rituais.")</f>
        <v>representação do corpo em seus rituais.</v>
      </c>
      <c r="P137" s="4" t="str">
        <f ca="1">IFERROR(__xludf.DUMMYFUNCTION("""COMPUTED_VALUE"""),"importância dos elementos da natureza.")</f>
        <v>importância dos elementos da natureza.</v>
      </c>
      <c r="Q137" s="4" t="str">
        <f ca="1">IFERROR(__xludf.DUMMYFUNCTION("""COMPUTED_VALUE"""),"preservação da estrutura familiar.")</f>
        <v>preservação da estrutura familiar.</v>
      </c>
      <c r="R137" s="4"/>
      <c r="S137" s="4"/>
      <c r="T137" s="4"/>
      <c r="U137" s="4"/>
      <c r="V137" s="4"/>
      <c r="W137" s="4"/>
      <c r="X137" s="4"/>
      <c r="Y137" s="4"/>
      <c r="Z137" s="4"/>
    </row>
    <row r="138" spans="1:26" x14ac:dyDescent="0.25">
      <c r="A138" s="3" t="str">
        <f ca="1">IFERROR(__xludf.DUMMYFUNCTION("""COMPUTED_VALUE"""),"https://drive.google.com/open?id=13eEBLrhPFeylDmP5j-leUpObx3C-en-Y")</f>
        <v>https://drive.google.com/open?id=13eEBLrhPFeylDmP5j-leUpObx3C-en-Y</v>
      </c>
      <c r="B138" s="4" t="str">
        <f ca="1">IFERROR(__xludf.DUMMYFUNCTION("""COMPUTED_VALUE"""),"Enem")</f>
        <v>Enem</v>
      </c>
      <c r="C138" s="4">
        <f ca="1">IFERROR(__xludf.DUMMYFUNCTION("""COMPUTED_VALUE"""),2015)</f>
        <v>2015</v>
      </c>
      <c r="D138" s="4" t="str">
        <f ca="1">IFERROR(__xludf.DUMMYFUNCTION("""COMPUTED_VALUE"""),"Linguagens")</f>
        <v>Linguagens</v>
      </c>
      <c r="E138" s="4" t="str">
        <f ca="1">IFERROR(__xludf.DUMMYFUNCTION("""COMPUTED_VALUE"""),"Língua Estrangeira")</f>
        <v>Língua Estrangeira</v>
      </c>
      <c r="F138" s="4" t="str">
        <f ca="1">IFERROR(__xludf.DUMMYFUNCTION("""COMPUTED_VALUE"""),"Inglês")</f>
        <v>Inglês</v>
      </c>
      <c r="G138" s="4"/>
      <c r="H138" s="4"/>
      <c r="I138" s="4" t="str">
        <f ca="1">IFERROR(__xludf.DUMMYFUNCTION("""COMPUTED_VALUE"""),"Azul")</f>
        <v>Azul</v>
      </c>
      <c r="J138" s="4">
        <f ca="1">IFERROR(__xludf.DUMMYFUNCTION("""COMPUTED_VALUE"""),92)</f>
        <v>92</v>
      </c>
      <c r="K138" s="4" t="str">
        <f ca="1">IFERROR(__xludf.DUMMYFUNCTION("""COMPUTED_VALUE"""),"E")</f>
        <v>E</v>
      </c>
      <c r="L138" s="4" t="str">
        <f ca="1">IFERROR(__xludf.DUMMYFUNCTION("""COMPUTED_VALUE"""),"[TEXTO NA IMAGEM] Na tira da série For better or for worse, a comunicação entre as personagens fica comprometida em um determinado momento porque")</f>
        <v>[TEXTO NA IMAGEM] Na tira da série For better or for worse, a comunicação entre as personagens fica comprometida em um determinado momento porque</v>
      </c>
      <c r="M138" s="4" t="str">
        <f ca="1">IFERROR(__xludf.DUMMYFUNCTION("""COMPUTED_VALUE"""),"as duas amigas divergem de opinião sobre futebol.")</f>
        <v>as duas amigas divergem de opinião sobre futebol.</v>
      </c>
      <c r="N138" s="4" t="str">
        <f ca="1">IFERROR(__xludf.DUMMYFUNCTION("""COMPUTED_VALUE"""),"uma das amigas desconsidera as preferências da outra.")</f>
        <v>uma das amigas desconsidera as preferências da outra.</v>
      </c>
      <c r="O138" s="4" t="str">
        <f ca="1">IFERROR(__xludf.DUMMYFUNCTION("""COMPUTED_VALUE"""),"uma das amigas ignora que o outono é temporada de futebol.")</f>
        <v>uma das amigas ignora que o outono é temporada de futebol.</v>
      </c>
      <c r="P138" s="4" t="str">
        <f ca="1">IFERROR(__xludf.DUMMYFUNCTION("""COMPUTED_VALUE"""),"uma das amigas desconhece a razão pela qual a outra a maltrata.")</f>
        <v>uma das amigas desconhece a razão pela qual a outra a maltrata.</v>
      </c>
      <c r="Q138" s="4" t="str">
        <f ca="1">IFERROR(__xludf.DUMMYFUNCTION("""COMPUTED_VALUE"""),"as duas amigas atribuem sentidos diferentes à palavra season.")</f>
        <v>as duas amigas atribuem sentidos diferentes à palavra season.</v>
      </c>
      <c r="R138" s="4"/>
      <c r="S138" s="4"/>
      <c r="T138" s="4"/>
      <c r="U138" s="4"/>
      <c r="V138" s="4"/>
      <c r="W138" s="4"/>
      <c r="X138" s="4"/>
      <c r="Y138" s="4"/>
      <c r="Z138" s="4"/>
    </row>
    <row r="139" spans="1:26" x14ac:dyDescent="0.25">
      <c r="A139" s="3" t="str">
        <f ca="1">IFERROR(__xludf.DUMMYFUNCTION("""COMPUTED_VALUE"""),"https://drive.google.com/open?id=11uZHyQaBU74wlS08FDIB4g0rr6WLselm")</f>
        <v>https://drive.google.com/open?id=11uZHyQaBU74wlS08FDIB4g0rr6WLselm</v>
      </c>
      <c r="B139" s="4" t="str">
        <f ca="1">IFERROR(__xludf.DUMMYFUNCTION("""COMPUTED_VALUE"""),"Enem")</f>
        <v>Enem</v>
      </c>
      <c r="C139" s="4">
        <f ca="1">IFERROR(__xludf.DUMMYFUNCTION("""COMPUTED_VALUE"""),2015)</f>
        <v>2015</v>
      </c>
      <c r="D139" s="4" t="str">
        <f ca="1">IFERROR(__xludf.DUMMYFUNCTION("""COMPUTED_VALUE"""),"Linguagens")</f>
        <v>Linguagens</v>
      </c>
      <c r="E139" s="4" t="str">
        <f ca="1">IFERROR(__xludf.DUMMYFUNCTION("""COMPUTED_VALUE"""),"Língua Estrangeira")</f>
        <v>Língua Estrangeira</v>
      </c>
      <c r="F139" s="4" t="str">
        <f ca="1">IFERROR(__xludf.DUMMYFUNCTION("""COMPUTED_VALUE"""),"Inglês")</f>
        <v>Inglês</v>
      </c>
      <c r="G139" s="4"/>
      <c r="H139" s="4"/>
      <c r="I139" s="4" t="str">
        <f ca="1">IFERROR(__xludf.DUMMYFUNCTION("""COMPUTED_VALUE"""),"Azul")</f>
        <v>Azul</v>
      </c>
      <c r="J139" s="4">
        <f ca="1">IFERROR(__xludf.DUMMYFUNCTION("""COMPUTED_VALUE"""),93)</f>
        <v>93</v>
      </c>
      <c r="K139" s="4" t="str">
        <f ca="1">IFERROR(__xludf.DUMMYFUNCTION("""COMPUTED_VALUE"""),"A")</f>
        <v>A</v>
      </c>
      <c r="L139" s="4" t="str">
        <f ca="1">IFERROR(__xludf.DUMMYFUNCTION("""COMPUTED_VALUE"""),"Why am I compelled to write? Because the writing
saves me from this complacency I fear. Because I have
no choice. Because I must keep the spirit of my revolt
and myself alive. Because the world I create in the writing
compensates for what the real world d"&amp;"oes not give me.
By writing I put order in the world, give it a handle so I can
grasp it.
ANZALDÚA, G. E. Speaking in tongues: a letter to third world women writers.
In: HERNANDEZ, J. B. (Ed.). Women writing resistance: essays on
Latin America and the Ca"&amp;"ribbean. Boston: South End, 2003.
Gloria Evangelina Anzaldúa, falecida em 2004, foi uma
escritora americana de origem mexicana que escreveu
sobre questões culturais e raciais. Na citação, o intuito da
autora é evidenciar as")</f>
        <v>Why am I compelled to write? Because the writing
saves me from this complacency I fear. Because I have
no choice. Because I must keep the spirit of my revolt
and myself alive. Because the world I create in the writing
compensates for what the real world does not give me.
By writing I put order in the world, give it a handle so I can
grasp it.
ANZALDÚA, G. E. Speaking in tongues: a letter to third world women writers.
In: HERNANDEZ, J. B. (Ed.). Women writing resistance: essays on
Latin America and the Caribbean. Boston: South End, 2003.
Gloria Evangelina Anzaldúa, falecida em 2004, foi uma
escritora americana de origem mexicana que escreveu
sobre questões culturais e raciais. Na citação, o intuito da
autora é evidenciar as</v>
      </c>
      <c r="M139" s="4" t="str">
        <f ca="1">IFERROR(__xludf.DUMMYFUNCTION("""COMPUTED_VALUE"""),"razões pelas quais ela escreve.")</f>
        <v>razões pelas quais ela escreve.</v>
      </c>
      <c r="N139" s="4" t="str">
        <f ca="1">IFERROR(__xludf.DUMMYFUNCTION("""COMPUTED_VALUE"""),"compensações advindas da escrita.")</f>
        <v>compensações advindas da escrita.</v>
      </c>
      <c r="O139" s="4" t="str">
        <f ca="1">IFERROR(__xludf.DUMMYFUNCTION("""COMPUTED_VALUE"""),"possibilidades de mudar o mundo real.")</f>
        <v>possibilidades de mudar o mundo real.</v>
      </c>
      <c r="P139" s="4" t="str">
        <f ca="1">IFERROR(__xludf.DUMMYFUNCTION("""COMPUTED_VALUE"""),"maneiras de ela lidar com seus medos.")</f>
        <v>maneiras de ela lidar com seus medos.</v>
      </c>
      <c r="Q139" s="4" t="str">
        <f ca="1">IFERROR(__xludf.DUMMYFUNCTION("""COMPUTED_VALUE"""),"escolhas que ela faz para ordenar o mundo.")</f>
        <v>escolhas que ela faz para ordenar o mundo.</v>
      </c>
      <c r="R139" s="4"/>
      <c r="S139" s="4"/>
      <c r="T139" s="4"/>
      <c r="U139" s="4"/>
      <c r="V139" s="4"/>
      <c r="W139" s="4"/>
      <c r="X139" s="4"/>
      <c r="Y139" s="4"/>
      <c r="Z139" s="4"/>
    </row>
    <row r="140" spans="1:26" x14ac:dyDescent="0.25">
      <c r="A140" s="3" t="str">
        <f ca="1">IFERROR(__xludf.DUMMYFUNCTION("""COMPUTED_VALUE"""),"https://drive.google.com/open?id=1f1fT-coijxvXGyqcO2nOpK7T5RdPbbKX")</f>
        <v>https://drive.google.com/open?id=1f1fT-coijxvXGyqcO2nOpK7T5RdPbbKX</v>
      </c>
      <c r="B140" s="4" t="str">
        <f ca="1">IFERROR(__xludf.DUMMYFUNCTION("""COMPUTED_VALUE"""),"Enem")</f>
        <v>Enem</v>
      </c>
      <c r="C140" s="4">
        <f ca="1">IFERROR(__xludf.DUMMYFUNCTION("""COMPUTED_VALUE"""),2015)</f>
        <v>2015</v>
      </c>
      <c r="D140" s="4" t="str">
        <f ca="1">IFERROR(__xludf.DUMMYFUNCTION("""COMPUTED_VALUE"""),"Linguagens")</f>
        <v>Linguagens</v>
      </c>
      <c r="E140" s="4" t="str">
        <f ca="1">IFERROR(__xludf.DUMMYFUNCTION("""COMPUTED_VALUE"""),"Língua Estrangeira")</f>
        <v>Língua Estrangeira</v>
      </c>
      <c r="F140" s="4" t="str">
        <f ca="1">IFERROR(__xludf.DUMMYFUNCTION("""COMPUTED_VALUE"""),"Inglês")</f>
        <v>Inglês</v>
      </c>
      <c r="G140" s="4"/>
      <c r="H140" s="4"/>
      <c r="I140" s="4" t="str">
        <f ca="1">IFERROR(__xludf.DUMMYFUNCTION("""COMPUTED_VALUE"""),"Azul")</f>
        <v>Azul</v>
      </c>
      <c r="J140" s="4">
        <f ca="1">IFERROR(__xludf.DUMMYFUNCTION("""COMPUTED_VALUE"""),94)</f>
        <v>94</v>
      </c>
      <c r="K140" s="4" t="str">
        <f ca="1">IFERROR(__xludf.DUMMYFUNCTION("""COMPUTED_VALUE"""),"A")</f>
        <v>A</v>
      </c>
      <c r="L140" s="4" t="str">
        <f ca="1">IFERROR(__xludf.DUMMYFUNCTION("""COMPUTED_VALUE"""),"How fake images change our memory and behaviour
For decades, researchers have been exploring
just how unreliable our own memories are. Not only is 
memory fickle when we access it, but it's also quite easily 
subverted and rewritten. Combine this suscepti"&amp;"bility with
modern image-editing software at our fingertips like
Photoshop, and it's a recipe for disaster. In a world where
we can witness news and world events as they unfold,
fake images surround us, and our minds accept these
pictures as real, and rem"&amp;"ember them later. These fake
memories don't just disort how we see our past, they
affect our current and future behaviour too – from what we
eat, to how we protest and vote. The problem is there's 
virtually nothing we can do to stop it.
Old memories seem"&amp;" to be the easiest to manipulate.
In one study, subjects were showed images from their
childhood. Along with real images, researchers snuck
in manipulated photographs of the subject taking a hotair balloon ride with his or her family. After seeing those
i"&amp;"mages, 50% of subjects recalled some part of that hot-air
balloon ride – though the event was entirely made up.
EVELETH, R. Disponível em: www.bbc.com. Acesso em: 16 jan. 2013 (adaptado).
A reportagem apresenta consequências do uso de novas
tecnologias "&amp;"para a mente humana. Nesse contexto, a
 memória das pessoas é influenciada pelo(a)")</f>
        <v>How fake images change our memory and behaviour
For decades, researchers have been exploring
just how unreliable our own memories are. Not only is 
memory fickle when we access it, but it's also quite easily 
subverted and rewritten. Combine this susceptibility with
modern image-editing software at our fingertips like
Photoshop, and it's a recipe for disaster. In a world where
we can witness news and world events as they unfold,
fake images surround us, and our minds accept these
pictures as real, and remember them later. These fake
memories don't just disort how we see our past, they
affect our current and future behaviour too – from what we
eat, to how we protest and vote. The problem is there's 
virtually nothing we can do to stop it.
Old memories seem to be the easiest to manipulate.
In one study, subjects were showed images from their
childhood. Along with real images, researchers snuck
in manipulated photographs of the subject taking a hotair balloon ride with his or her family. After seeing those
images, 50% of subjects recalled some part of that hot-air
balloon ride – though the event was entirely made up.
EVELETH, R. Disponível em: www.bbc.com. Acesso em: 16 jan. 2013 (adaptado).
A reportagem apresenta consequências do uso de novas
tecnologias para a mente humana. Nesse contexto, a
 memória das pessoas é influenciada pelo(a)</v>
      </c>
      <c r="M140" s="4" t="str">
        <f ca="1">IFERROR(__xludf.DUMMYFUNCTION("""COMPUTED_VALUE"""),"alteração de imagens.")</f>
        <v>alteração de imagens.</v>
      </c>
      <c r="N140" s="4" t="str">
        <f ca="1">IFERROR(__xludf.DUMMYFUNCTION("""COMPUTED_VALUE"""),"exposição ao mundo virtual.")</f>
        <v>exposição ao mundo virtual.</v>
      </c>
      <c r="O140" s="4" t="str">
        <f ca="1">IFERROR(__xludf.DUMMYFUNCTION("""COMPUTED_VALUE"""),"acesso a novas informações.")</f>
        <v>acesso a novas informações.</v>
      </c>
      <c r="P140" s="4" t="str">
        <f ca="1">IFERROR(__xludf.DUMMYFUNCTION("""COMPUTED_VALUE"""),"fascínio por softwares inovadores.")</f>
        <v>fascínio por softwares inovadores.</v>
      </c>
      <c r="Q140" s="4" t="str">
        <f ca="1">IFERROR(__xludf.DUMMYFUNCTION("""COMPUTED_VALUE"""),"interferência dos meios de comunicação.")</f>
        <v>interferência dos meios de comunicação.</v>
      </c>
      <c r="R140" s="4"/>
      <c r="S140" s="4"/>
      <c r="T140" s="4"/>
      <c r="U140" s="4"/>
      <c r="V140" s="4"/>
      <c r="W140" s="4"/>
      <c r="X140" s="4"/>
      <c r="Y140" s="4"/>
      <c r="Z140" s="4"/>
    </row>
    <row r="141" spans="1:26" x14ac:dyDescent="0.25">
      <c r="A141" s="3" t="str">
        <f ca="1">IFERROR(__xludf.DUMMYFUNCTION("""COMPUTED_VALUE"""),"https://drive.google.com/open?id=1RyxCL9W6Oz3h6OzioQ9PVEJdIDuQLkki")</f>
        <v>https://drive.google.com/open?id=1RyxCL9W6Oz3h6OzioQ9PVEJdIDuQLkki</v>
      </c>
      <c r="B141" s="4" t="str">
        <f ca="1">IFERROR(__xludf.DUMMYFUNCTION("""COMPUTED_VALUE"""),"Enem")</f>
        <v>Enem</v>
      </c>
      <c r="C141" s="4">
        <f ca="1">IFERROR(__xludf.DUMMYFUNCTION("""COMPUTED_VALUE"""),2015)</f>
        <v>2015</v>
      </c>
      <c r="D141" s="4" t="str">
        <f ca="1">IFERROR(__xludf.DUMMYFUNCTION("""COMPUTED_VALUE"""),"Linguagens")</f>
        <v>Linguagens</v>
      </c>
      <c r="E141" s="4" t="str">
        <f ca="1">IFERROR(__xludf.DUMMYFUNCTION("""COMPUTED_VALUE"""),"Língua Estrangeira")</f>
        <v>Língua Estrangeira</v>
      </c>
      <c r="F141" s="4" t="str">
        <f ca="1">IFERROR(__xludf.DUMMYFUNCTION("""COMPUTED_VALUE"""),"Inglês")</f>
        <v>Inglês</v>
      </c>
      <c r="G141" s="4"/>
      <c r="H141" s="4"/>
      <c r="I141" s="4" t="str">
        <f ca="1">IFERROR(__xludf.DUMMYFUNCTION("""COMPUTED_VALUE"""),"Azul")</f>
        <v>Azul</v>
      </c>
      <c r="J141" s="4">
        <f ca="1">IFERROR(__xludf.DUMMYFUNCTION("""COMPUTED_VALUE"""),95)</f>
        <v>95</v>
      </c>
      <c r="K141" s="4" t="str">
        <f ca="1">IFERROR(__xludf.DUMMYFUNCTION("""COMPUTED_VALUE"""),"C")</f>
        <v>C</v>
      </c>
      <c r="L141" s="4" t="str">
        <f ca="1">IFERROR(__xludf.DUMMYFUNCTION("""COMPUTED_VALUE"""),"[TEXTO NA IMAGEM] 
As instituições públicas fazem uso de avisos como
instrumento de comunicação com o cidadão. Esse aviso,
voltado a passageiros, tem o objetivo de")</f>
        <v>[TEXTO NA IMAGEM] 
As instituições públicas fazem uso de avisos como
instrumento de comunicação com o cidadão. Esse aviso,
voltado a passageiros, tem o objetivo de</v>
      </c>
      <c r="M141" s="4" t="str">
        <f ca="1">IFERROR(__xludf.DUMMYFUNCTION("""COMPUTED_VALUE"""),"solicitar que as malas sejam apresentadas para inspeção.")</f>
        <v>solicitar que as malas sejam apresentadas para inspeção.</v>
      </c>
      <c r="N141" s="4" t="str">
        <f ca="1">IFERROR(__xludf.DUMMYFUNCTION("""COMPUTED_VALUE"""),"notificar o passageiro pelo transporte de produtos proibidos.")</f>
        <v>notificar o passageiro pelo transporte de produtos proibidos.</v>
      </c>
      <c r="O141" s="4" t="str">
        <f ca="1">IFERROR(__xludf.DUMMYFUNCTION("""COMPUTED_VALUE"""),"informar que a mala foi revistada pelos oficiais de segurança.")</f>
        <v>informar que a mala foi revistada pelos oficiais de segurança.</v>
      </c>
      <c r="P141" s="4" t="str">
        <f ca="1">IFERROR(__xludf.DUMMYFUNCTION("""COMPUTED_VALUE"""),"dar instruções de como arrumar malas de forma a evitar inspeções.")</f>
        <v>dar instruções de como arrumar malas de forma a evitar inspeções.</v>
      </c>
      <c r="Q141" s="4" t="str">
        <f ca="1">IFERROR(__xludf.DUMMYFUNCTION("""COMPUTED_VALUE"""),"apresentar desculpas pelo dano causado à mala durante a viagem.")</f>
        <v>apresentar desculpas pelo dano causado à mala durante a viagem.</v>
      </c>
      <c r="R141" s="4"/>
      <c r="S141" s="4"/>
      <c r="T141" s="4"/>
      <c r="U141" s="4"/>
      <c r="V141" s="4"/>
      <c r="W141" s="4"/>
      <c r="X141" s="4"/>
      <c r="Y141" s="4"/>
      <c r="Z141" s="4"/>
    </row>
    <row r="142" spans="1:26" x14ac:dyDescent="0.25">
      <c r="A142" s="3" t="str">
        <f ca="1">IFERROR(__xludf.DUMMYFUNCTION("""COMPUTED_VALUE"""),"https://drive.google.com/open?id=1I8dP6jKzgC11rQkhWXFHihShLWr0Yu45")</f>
        <v>https://drive.google.com/open?id=1I8dP6jKzgC11rQkhWXFHihShLWr0Yu45</v>
      </c>
      <c r="B142" s="4" t="str">
        <f ca="1">IFERROR(__xludf.DUMMYFUNCTION("""COMPUTED_VALUE"""),"Enem")</f>
        <v>Enem</v>
      </c>
      <c r="C142" s="4">
        <f ca="1">IFERROR(__xludf.DUMMYFUNCTION("""COMPUTED_VALUE"""),2019)</f>
        <v>2019</v>
      </c>
      <c r="D142" s="4" t="str">
        <f ca="1">IFERROR(__xludf.DUMMYFUNCTION("""COMPUTED_VALUE"""),"Ciências da Natureza")</f>
        <v>Ciências da Natureza</v>
      </c>
      <c r="E142" s="4" t="str">
        <f ca="1">IFERROR(__xludf.DUMMYFUNCTION("""COMPUTED_VALUE"""),"Física")</f>
        <v>Física</v>
      </c>
      <c r="F142" s="4" t="str">
        <f ca="1">IFERROR(__xludf.DUMMYFUNCTION("""COMPUTED_VALUE"""),"Óptica e Térmica")</f>
        <v>Óptica e Térmica</v>
      </c>
      <c r="G142" s="4"/>
      <c r="H142" s="4"/>
      <c r="I142" s="4" t="str">
        <f ca="1">IFERROR(__xludf.DUMMYFUNCTION("""COMPUTED_VALUE"""),"Amarelo")</f>
        <v>Amarelo</v>
      </c>
      <c r="J142" s="4">
        <f ca="1">IFERROR(__xludf.DUMMYFUNCTION("""COMPUTED_VALUE"""),132)</f>
        <v>132</v>
      </c>
      <c r="K142" s="4" t="str">
        <f ca="1">IFERROR(__xludf.DUMMYFUNCTION("""COMPUTED_VALUE"""),"A")</f>
        <v>A</v>
      </c>
      <c r="L142" s="4" t="str">
        <f ca="1">IFERROR(__xludf.DUMMYFUNCTION("""COMPUTED_VALUE"""),"Um professor percebeu que seu apontador a laser, de luz monocromática, estava com
o brilho pouco intenso. Ele trocou as baterias do apontador e notou que a intensidade
luminosa aumentou sem que a cor do laser se alterasse. Sabe-se que a luz é uma onda
ele"&amp;"tromagnética e apresenta propriedades como amplitude, comprimento de onda, fase,
frequência e velocidade.
Dentre as propriedades de ondas citadas, aquela associada ao aumento do brilho do laser
é o(a)
")</f>
        <v xml:space="preserve">Um professor percebeu que seu apontador a laser, de luz monocromática, estava com
o brilho pouco intenso. Ele trocou as baterias do apontador e notou que a intensidade
luminosa aumentou sem que a cor do laser se alterasse. Sabe-se que a luz é uma onda
eletromagnética e apresenta propriedades como amplitude, comprimento de onda, fase,
frequência e velocidade.
Dentre as propriedades de ondas citadas, aquela associada ao aumento do brilho do laser
é o(a)
</v>
      </c>
      <c r="M142" s="4" t="str">
        <f ca="1">IFERROR(__xludf.DUMMYFUNCTION("""COMPUTED_VALUE"""),"amplitude.")</f>
        <v>amplitude.</v>
      </c>
      <c r="N142" s="4" t="str">
        <f ca="1">IFERROR(__xludf.DUMMYFUNCTION("""COMPUTED_VALUE""")," frequência.")</f>
        <v xml:space="preserve"> frequência.</v>
      </c>
      <c r="O142" s="4" t="str">
        <f ca="1">IFERROR(__xludf.DUMMYFUNCTION("""COMPUTED_VALUE"""),"fase da onda.")</f>
        <v>fase da onda.</v>
      </c>
      <c r="P142" s="4" t="str">
        <f ca="1">IFERROR(__xludf.DUMMYFUNCTION("""COMPUTED_VALUE"""),"velocidade da onda.")</f>
        <v>velocidade da onda.</v>
      </c>
      <c r="Q142" s="4" t="str">
        <f ca="1">IFERROR(__xludf.DUMMYFUNCTION("""COMPUTED_VALUE"""),"comprimento de onda.")</f>
        <v>comprimento de onda.</v>
      </c>
      <c r="R142" s="4"/>
      <c r="S142" s="4"/>
      <c r="T142" s="4"/>
      <c r="U142" s="4"/>
      <c r="V142" s="4"/>
      <c r="W142" s="4"/>
      <c r="X142" s="4"/>
      <c r="Y142" s="4"/>
      <c r="Z142" s="4"/>
    </row>
    <row r="143" spans="1:26" x14ac:dyDescent="0.25">
      <c r="A143" s="3" t="str">
        <f ca="1">IFERROR(__xludf.DUMMYFUNCTION("""COMPUTED_VALUE"""),"https://drive.google.com/open?id=1sUPyaOPRMBxHTCXnpk6QxBgn3Rnu8Bhrhttps://drive.google.com/open?id=1-KG0DeizlSpJgyeqzWBhp_AXK9UIaoIM")</f>
        <v>https://drive.google.com/open?id=1sUPyaOPRMBxHTCXnpk6QxBgn3Rnu8Bhrhttps://drive.google.com/open?id=1-KG0DeizlSpJgyeqzWBhp_AXK9UIaoIM</v>
      </c>
      <c r="B143" s="4" t="str">
        <f ca="1">IFERROR(__xludf.DUMMYFUNCTION("""COMPUTED_VALUE"""),"Enem")</f>
        <v>Enem</v>
      </c>
      <c r="C143" s="4">
        <f ca="1">IFERROR(__xludf.DUMMYFUNCTION("""COMPUTED_VALUE"""),2017)</f>
        <v>2017</v>
      </c>
      <c r="D143" s="4" t="str">
        <f ca="1">IFERROR(__xludf.DUMMYFUNCTION("""COMPUTED_VALUE"""),"Ciências Humanas")</f>
        <v>Ciências Humanas</v>
      </c>
      <c r="E143" s="4" t="str">
        <f ca="1">IFERROR(__xludf.DUMMYFUNCTION("""COMPUTED_VALUE"""),"Atualidade")</f>
        <v>Atualidade</v>
      </c>
      <c r="F143" s="4" t="str">
        <f ca="1">IFERROR(__xludf.DUMMYFUNCTION("""COMPUTED_VALUE"""),"Atualidade")</f>
        <v>Atualidade</v>
      </c>
      <c r="G143" s="4" t="str">
        <f ca="1">IFERROR(__xludf.DUMMYFUNCTION("""COMPUTED_VALUE"""),"História do Brasil")</f>
        <v>História do Brasil</v>
      </c>
      <c r="H143" s="4" t="str">
        <f ca="1">IFERROR(__xludf.DUMMYFUNCTION("""COMPUTED_VALUE"""),"Sociologia")</f>
        <v>Sociologia</v>
      </c>
      <c r="I143" s="4" t="str">
        <f ca="1">IFERROR(__xludf.DUMMYFUNCTION("""COMPUTED_VALUE"""),"Azul")</f>
        <v>Azul</v>
      </c>
      <c r="J143" s="4">
        <f ca="1">IFERROR(__xludf.DUMMYFUNCTION("""COMPUTED_VALUE"""),50)</f>
        <v>50</v>
      </c>
      <c r="K143" s="4" t="str">
        <f ca="1">IFERROR(__xludf.DUMMYFUNCTION("""COMPUTED_VALUE"""),"C")</f>
        <v>C</v>
      </c>
      <c r="L143" s="4" t="str">
        <f ca="1">IFERROR(__xludf.DUMMYFUNCTION("""COMPUTED_VALUE"""),"Art. 231. São reconhecidos aos índios sua organização social, costumes, línguas, crenças e tradições, e os direitos originários sobre as terras que tradicionalmente ocupam, competindo à União demarcá-las, proteger e fazer respeitar todos os seus bens.
BR"&amp;"ASIL. Constituição da República Federativa do Brasil de 1988. Disponível em: www.planalto.gov.br. Acesso em: 27 abr. 2017.
A persistência das reivindicações relativas à aplicação desse preceito normativo tem em vista a vinculação histórica fundamental en"&amp;"tre
")</f>
        <v xml:space="preserve">Art. 231. São reconhecidos aos índios sua organização social, costumes, línguas, crenças e tradições, e os direitos originários sobre as terras que tradicionalmente ocupam, competindo à União demarcá-las, proteger e fazer respeitar todos os seus bens.
BRASIL. Constituição da República Federativa do Brasil de 1988. Disponível em: www.planalto.gov.br. Acesso em: 27 abr. 2017.
A persistência das reivindicações relativas à aplicação desse preceito normativo tem em vista a vinculação histórica fundamental entre
</v>
      </c>
      <c r="M143" s="4" t="str">
        <f ca="1">IFERROR(__xludf.DUMMYFUNCTION("""COMPUTED_VALUE"""),"etnia e miscigenação racial.")</f>
        <v>etnia e miscigenação racial.</v>
      </c>
      <c r="N143" s="4" t="str">
        <f ca="1">IFERROR(__xludf.DUMMYFUNCTION("""COMPUTED_VALUE"""),"sociedade e igualdade jurídica.")</f>
        <v>sociedade e igualdade jurídica.</v>
      </c>
      <c r="O143" s="4" t="str">
        <f ca="1">IFERROR(__xludf.DUMMYFUNCTION("""COMPUTED_VALUE"""),"espaço e sobrevivência cultural.")</f>
        <v>espaço e sobrevivência cultural.</v>
      </c>
      <c r="P143" s="4" t="str">
        <f ca="1">IFERROR(__xludf.DUMMYFUNCTION("""COMPUTED_VALUE"""),"progresso e educação ambiental.")</f>
        <v>progresso e educação ambiental.</v>
      </c>
      <c r="Q143" s="4" t="str">
        <f ca="1">IFERROR(__xludf.DUMMYFUNCTION("""COMPUTED_VALUE"""),"bem-estar e modernização econômica.")</f>
        <v>bem-estar e modernização econômica.</v>
      </c>
      <c r="R143" s="4"/>
      <c r="S143" s="4"/>
      <c r="T143" s="4"/>
      <c r="U143" s="4"/>
      <c r="V143" s="4"/>
      <c r="W143" s="4"/>
      <c r="X143" s="4"/>
      <c r="Y143" s="4"/>
      <c r="Z143" s="4"/>
    </row>
    <row r="144" spans="1:26" x14ac:dyDescent="0.25">
      <c r="A144" s="3" t="str">
        <f ca="1">IFERROR(__xludf.DUMMYFUNCTION("""COMPUTED_VALUE"""),"https://drive.google.com/open?id=1LLb5UVZ9qjFIadDmgnqt0kFehDZAvE_rhttps://drive.google.com/open?id=1-_TDkjqJhQ2jy1XbbKb5hi_lN8rYJIW1")</f>
        <v>https://drive.google.com/open?id=1LLb5UVZ9qjFIadDmgnqt0kFehDZAvE_rhttps://drive.google.com/open?id=1-_TDkjqJhQ2jy1XbbKb5hi_lN8rYJIW1</v>
      </c>
      <c r="B144" s="4" t="str">
        <f ca="1">IFERROR(__xludf.DUMMYFUNCTION("""COMPUTED_VALUE"""),"Enem")</f>
        <v>Enem</v>
      </c>
      <c r="C144" s="4">
        <f ca="1">IFERROR(__xludf.DUMMYFUNCTION("""COMPUTED_VALUE"""),2017)</f>
        <v>2017</v>
      </c>
      <c r="D144" s="4" t="str">
        <f ca="1">IFERROR(__xludf.DUMMYFUNCTION("""COMPUTED_VALUE"""),"Ciências Humanas")</f>
        <v>Ciências Humanas</v>
      </c>
      <c r="E144" s="4" t="str">
        <f ca="1">IFERROR(__xludf.DUMMYFUNCTION("""COMPUTED_VALUE"""),"Atualidade")</f>
        <v>Atualidade</v>
      </c>
      <c r="F144" s="4" t="str">
        <f ca="1">IFERROR(__xludf.DUMMYFUNCTION("""COMPUTED_VALUE"""),"Atualidade")</f>
        <v>Atualidade</v>
      </c>
      <c r="G144" s="4" t="str">
        <f ca="1">IFERROR(__xludf.DUMMYFUNCTION("""COMPUTED_VALUE"""),"Geografia Geral")</f>
        <v>Geografia Geral</v>
      </c>
      <c r="H144" s="4"/>
      <c r="I144" s="4" t="str">
        <f ca="1">IFERROR(__xludf.DUMMYFUNCTION("""COMPUTED_VALUE"""),"Azul")</f>
        <v>Azul</v>
      </c>
      <c r="J144" s="4">
        <f ca="1">IFERROR(__xludf.DUMMYFUNCTION("""COMPUTED_VALUE"""),53)</f>
        <v>53</v>
      </c>
      <c r="K144" s="4" t="str">
        <f ca="1">IFERROR(__xludf.DUMMYFUNCTION("""COMPUTED_VALUE"""),"B")</f>
        <v>B</v>
      </c>
      <c r="L144" s="4" t="str">
        <f ca="1">IFERROR(__xludf.DUMMYFUNCTION("""COMPUTED_VALUE"""),"México, Colômbia, Peru e Chile decidiram seguir um caminho mais curto para a integração regional. Os quatro países, em meados de 2012, criaram a Aliança do Pacífico e eliminaram, em 2013, as tarifas aduaneiras de 90% do total de produtos comercializados e"&amp;"ntre suas fronteiras.
OLIVEIRA, E. Aliança do Pacífico se fortalece e Mercosul fica à sua sombra. O Globo, 24 fev. 2013 (adaptado)
O acordo descrito no texto teve como objetivo econômico para os países-membros")</f>
        <v>México, Colômbia, Peru e Chile decidiram seguir um caminho mais curto para a integração regional. Os quatro países, em meados de 2012, criaram a Aliança do Pacífico e eliminaram, em 2013, as tarifas aduaneiras de 90% do total de produtos comercializados entre suas fronteiras.
OLIVEIRA, E. Aliança do Pacífico se fortalece e Mercosul fica à sua sombra. O Globo, 24 fev. 2013 (adaptado)
O acordo descrito no texto teve como objetivo econômico para os países-membros</v>
      </c>
      <c r="M144" s="4" t="str">
        <f ca="1">IFERROR(__xludf.DUMMYFUNCTION("""COMPUTED_VALUE"""),"promover a livre circulação de trabalhadores.")</f>
        <v>promover a livre circulação de trabalhadores.</v>
      </c>
      <c r="N144" s="4" t="str">
        <f ca="1">IFERROR(__xludf.DUMMYFUNCTION("""COMPUTED_VALUE"""),"fomentar a competitividade no mercado externo.")</f>
        <v>fomentar a competitividade no mercado externo.</v>
      </c>
      <c r="O144" s="4" t="str">
        <f ca="1">IFERROR(__xludf.DUMMYFUNCTION("""COMPUTED_VALUE"""),"restringir investimentos de empresas multinacionais.")</f>
        <v>restringir investimentos de empresas multinacionais.</v>
      </c>
      <c r="P144" s="4" t="str">
        <f ca="1">IFERROR(__xludf.DUMMYFUNCTION("""COMPUTED_VALUE"""),"adotar medidas cambiais para subsidiar o setor agrícola.")</f>
        <v>adotar medidas cambiais para subsidiar o setor agrícola.</v>
      </c>
      <c r="Q144" s="4" t="str">
        <f ca="1">IFERROR(__xludf.DUMMYFUNCTION("""COMPUTED_VALUE"""),"reduzir a fiscalização alfandegária para incentivar o consumo.")</f>
        <v>reduzir a fiscalização alfandegária para incentivar o consumo.</v>
      </c>
      <c r="R144" s="4"/>
      <c r="S144" s="4"/>
      <c r="T144" s="4"/>
      <c r="U144" s="4"/>
      <c r="V144" s="4"/>
      <c r="W144" s="4"/>
      <c r="X144" s="4"/>
      <c r="Y144" s="4"/>
      <c r="Z144" s="4"/>
    </row>
    <row r="145" spans="1:26" x14ac:dyDescent="0.25">
      <c r="A145" s="3" t="str">
        <f ca="1">IFERROR(__xludf.DUMMYFUNCTION("""COMPUTED_VALUE"""),"https://drive.google.com/open?id=12zUL6jw8xYiO6z9kNhc0iqkiHVAfFCRzhttps://drive.google.com/open?id=1aH9htJrxSfKXQ3UpFwJRwfG4NNpmlt8L")</f>
        <v>https://drive.google.com/open?id=12zUL6jw8xYiO6z9kNhc0iqkiHVAfFCRzhttps://drive.google.com/open?id=1aH9htJrxSfKXQ3UpFwJRwfG4NNpmlt8L</v>
      </c>
      <c r="B145" s="4" t="str">
        <f ca="1">IFERROR(__xludf.DUMMYFUNCTION("""COMPUTED_VALUE"""),"Enem")</f>
        <v>Enem</v>
      </c>
      <c r="C145" s="4">
        <f ca="1">IFERROR(__xludf.DUMMYFUNCTION("""COMPUTED_VALUE"""),2017)</f>
        <v>2017</v>
      </c>
      <c r="D145" s="4" t="str">
        <f ca="1">IFERROR(__xludf.DUMMYFUNCTION("""COMPUTED_VALUE"""),"Ciências Humanas")</f>
        <v>Ciências Humanas</v>
      </c>
      <c r="E145" s="4" t="str">
        <f ca="1">IFERROR(__xludf.DUMMYFUNCTION("""COMPUTED_VALUE"""),"Atualidade")</f>
        <v>Atualidade</v>
      </c>
      <c r="F145" s="4" t="str">
        <f ca="1">IFERROR(__xludf.DUMMYFUNCTION("""COMPUTED_VALUE"""),"História do Brasil")</f>
        <v>História do Brasil</v>
      </c>
      <c r="G145" s="4" t="str">
        <f ca="1">IFERROR(__xludf.DUMMYFUNCTION("""COMPUTED_VALUE"""),"Sociologia")</f>
        <v>Sociologia</v>
      </c>
      <c r="H145" s="4"/>
      <c r="I145" s="4" t="str">
        <f ca="1">IFERROR(__xludf.DUMMYFUNCTION("""COMPUTED_VALUE"""),"Azul")</f>
        <v>Azul</v>
      </c>
      <c r="J145" s="4">
        <f ca="1">IFERROR(__xludf.DUMMYFUNCTION("""COMPUTED_VALUE"""),67)</f>
        <v>67</v>
      </c>
      <c r="K145" s="4" t="str">
        <f ca="1">IFERROR(__xludf.DUMMYFUNCTION("""COMPUTED_VALUE"""),"D")</f>
        <v>D</v>
      </c>
      <c r="L145" s="4" t="str">
        <f ca="1">IFERROR(__xludf.DUMMYFUNCTION("""COMPUTED_VALUE"""),"A grande maioria dos países ocidentais democráticos adotou o Tribunal Constitucional como mecanismo de controle dos demais poderes. A inclusão dos Tribunais no cenário político implicou alterações no cálculo para a implementação de políticas públicas. O g"&amp;"overno, além de negociar seu plano político com o Parlamento, teve que se preocupar em não infringir a Constituição. Essa nova arquitetura institucional propiciou o desenvolvimento de um ambiente político que viabilizou a participação do Judiciário nos pr"&amp;"ocessos decisórios.
CARVALHO, E. R. Revista de Sociologia e Política, n. 23, nov. 2004 (adaptado).
O texto faz referência a uma importante mudança na dinâmica de funcionamento dos Estados contemporâneos que, no caso brasileiro, teve como consequência a")</f>
        <v>A grande maioria dos países ocidentais democráticos adotou o Tribunal Constitucional como mecanismo de controle dos demais poderes. A inclusão dos Tribunais no cenário político implicou alterações no cálculo para a implementação de políticas públicas. O governo, além de negociar seu plano político com o Parlamento, teve que se preocupar em não infringir a Constituição. Essa nova arquitetura institucional propiciou o desenvolvimento de um ambiente político que viabilizou a participação do Judiciário nos processos decisórios.
CARVALHO, E. R. Revista de Sociologia e Política, n. 23, nov. 2004 (adaptado).
O texto faz referência a uma importante mudança na dinâmica de funcionamento dos Estados contemporâneos que, no caso brasileiro, teve como consequência a</v>
      </c>
      <c r="M145" s="4" t="str">
        <f ca="1">IFERROR(__xludf.DUMMYFUNCTION("""COMPUTED_VALUE"""),"adoção de eleições para a alta magistratura.")</f>
        <v>adoção de eleições para a alta magistratura.</v>
      </c>
      <c r="N145" s="4" t="str">
        <f ca="1">IFERROR(__xludf.DUMMYFUNCTION("""COMPUTED_VALUE"""),"diminuição das tensões entre os entes federativos.")</f>
        <v>diminuição das tensões entre os entes federativos.</v>
      </c>
      <c r="O145" s="4" t="str">
        <f ca="1">IFERROR(__xludf.DUMMYFUNCTION("""COMPUTED_VALUE"""),"suspensão do princípio geral dos freios e contrapesos.")</f>
        <v>suspensão do princípio geral dos freios e contrapesos.</v>
      </c>
      <c r="P145" s="4" t="str">
        <f ca="1">IFERROR(__xludf.DUMMYFUNCTION("""COMPUTED_VALUE"""),"judicialização de questões próprias da esfera legislativa.")</f>
        <v>judicialização de questões próprias da esfera legislativa.</v>
      </c>
      <c r="Q145" s="4" t="str">
        <f ca="1">IFERROR(__xludf.DUMMYFUNCTION("""COMPUTED_VALUE"""),"profissionalização do quadro de funcionários da Justiça.")</f>
        <v>profissionalização do quadro de funcionários da Justiça.</v>
      </c>
      <c r="R145" s="4"/>
      <c r="S145" s="4"/>
      <c r="T145" s="4"/>
      <c r="U145" s="4"/>
      <c r="V145" s="4"/>
      <c r="W145" s="4"/>
      <c r="X145" s="4"/>
      <c r="Y145" s="4"/>
      <c r="Z145" s="4"/>
    </row>
    <row r="146" spans="1:26" x14ac:dyDescent="0.25">
      <c r="A146" s="3" t="str">
        <f ca="1">IFERROR(__xludf.DUMMYFUNCTION("""COMPUTED_VALUE"""),"https://drive.google.com/open?id=1pUwzCOiwCVkrjNEt2FuMotBuYoNaTitnhttps://drive.google.com/open?id=1k973UnhUTDlM10S1UoPsJldtYcN49Nn_")</f>
        <v>https://drive.google.com/open?id=1pUwzCOiwCVkrjNEt2FuMotBuYoNaTitnhttps://drive.google.com/open?id=1k973UnhUTDlM10S1UoPsJldtYcN49Nn_</v>
      </c>
      <c r="B146" s="4" t="str">
        <f ca="1">IFERROR(__xludf.DUMMYFUNCTION("""COMPUTED_VALUE"""),"Enem")</f>
        <v>Enem</v>
      </c>
      <c r="C146" s="4">
        <f ca="1">IFERROR(__xludf.DUMMYFUNCTION("""COMPUTED_VALUE"""),2017)</f>
        <v>2017</v>
      </c>
      <c r="D146" s="4" t="str">
        <f ca="1">IFERROR(__xludf.DUMMYFUNCTION("""COMPUTED_VALUE"""),"Ciências Humanas")</f>
        <v>Ciências Humanas</v>
      </c>
      <c r="E146" s="4" t="str">
        <f ca="1">IFERROR(__xludf.DUMMYFUNCTION("""COMPUTED_VALUE"""),"Atualidade")</f>
        <v>Atualidade</v>
      </c>
      <c r="F146" s="4" t="str">
        <f ca="1">IFERROR(__xludf.DUMMYFUNCTION("""COMPUTED_VALUE"""),"Atualidade")</f>
        <v>Atualidade</v>
      </c>
      <c r="G146" s="4" t="str">
        <f ca="1">IFERROR(__xludf.DUMMYFUNCTION("""COMPUTED_VALUE"""),"Sociologia")</f>
        <v>Sociologia</v>
      </c>
      <c r="H146" s="4"/>
      <c r="I146" s="4" t="str">
        <f ca="1">IFERROR(__xludf.DUMMYFUNCTION("""COMPUTED_VALUE"""),"Azul")</f>
        <v>Azul</v>
      </c>
      <c r="J146" s="4">
        <f ca="1">IFERROR(__xludf.DUMMYFUNCTION("""COMPUTED_VALUE"""),74)</f>
        <v>74</v>
      </c>
      <c r="K146" s="4" t="str">
        <f ca="1">IFERROR(__xludf.DUMMYFUNCTION("""COMPUTED_VALUE"""),"B")</f>
        <v>B</v>
      </c>
      <c r="L146" s="4" t="str">
        <f ca="1">IFERROR(__xludf.DUMMYFUNCTION("""COMPUTED_VALUE"""),"A participação da mulher no processo de decisão política ainda é extremamente limitada em praticamente todos os países, independentemente do regime econômico e social e da estrutura institucional vigente em casa um deles. É fato público e notório, além de"&amp;" empiricamente comprovado, que as mulheres estão em geral sub-representadas nos órgãos do poder, pois a proporção não corresponde jamais ao peso relativo dessa parte da população.
TABAK, G, Mulheres públicas: participação política e poder. Rio de Janeiro"&amp;": Letra Capital, 2002.
No âmbito do Poder Legislativo brasileiro, a tentativa de reverter esse quadro de sub-representação tem envolvido a implementação, pelo Estado, de")</f>
        <v>A participação da mulher no processo de decisão política ainda é extremamente limitada em praticamente todos os países, independentemente do regime econômico e social e da estrutura institucional vigente em casa um deles. É fato público e notório, além de empiricamente comprovado, que as mulheres estão em geral sub-representadas nos órgãos do poder, pois a proporção não corresponde jamais ao peso relativo dessa parte da população.
TABAK, G, Mulheres públicas: participação política e poder. Rio de Janeiro: Letra Capital, 2002.
No âmbito do Poder Legislativo brasileiro, a tentativa de reverter esse quadro de sub-representação tem envolvido a implementação, pelo Estado, de</v>
      </c>
      <c r="M146" s="4" t="str">
        <f ca="1">IFERROR(__xludf.DUMMYFUNCTION("""COMPUTED_VALUE"""),"leis que combatem à violência doméstica.")</f>
        <v>leis que combatem à violência doméstica.</v>
      </c>
      <c r="N146" s="4" t="str">
        <f ca="1">IFERROR(__xludf.DUMMYFUNCTION("""COMPUTED_VALUE"""),"cotas de gêneros nas candidaturas partidárias.")</f>
        <v>cotas de gêneros nas candidaturas partidárias.</v>
      </c>
      <c r="O146" s="4" t="str">
        <f ca="1">IFERROR(__xludf.DUMMYFUNCTION("""COMPUTED_VALUE"""),"programas de mobilização política nas escolas.")</f>
        <v>programas de mobilização política nas escolas.</v>
      </c>
      <c r="P146" s="4" t="str">
        <f ca="1">IFERROR(__xludf.DUMMYFUNCTION("""COMPUTED_VALUE"""),"propaganda de incentivo ao voto consciente.")</f>
        <v>propaganda de incentivo ao voto consciente.</v>
      </c>
      <c r="Q146" s="4" t="str">
        <f ca="1">IFERROR(__xludf.DUMMYFUNCTION("""COMPUTED_VALUE"""),"apoio financeiro às lideranças femininas.")</f>
        <v>apoio financeiro às lideranças femininas.</v>
      </c>
      <c r="R146" s="4"/>
      <c r="S146" s="4"/>
      <c r="T146" s="4"/>
      <c r="U146" s="4"/>
      <c r="V146" s="4"/>
      <c r="W146" s="4"/>
      <c r="X146" s="4"/>
      <c r="Y146" s="4"/>
      <c r="Z146" s="4"/>
    </row>
    <row r="147" spans="1:26" x14ac:dyDescent="0.25">
      <c r="A147" s="3" t="str">
        <f ca="1">IFERROR(__xludf.DUMMYFUNCTION("""COMPUTED_VALUE"""),"https://drive.google.com/open?id=1stbxBH-HX0LcL1uraWe0p33d27xbHMU6https://drive.google.com/open?id=1vlc0BSCnymqSPSofCIgu_QVoYXXYuOfy")</f>
        <v>https://drive.google.com/open?id=1stbxBH-HX0LcL1uraWe0p33d27xbHMU6https://drive.google.com/open?id=1vlc0BSCnymqSPSofCIgu_QVoYXXYuOfy</v>
      </c>
      <c r="B147" s="4" t="str">
        <f ca="1">IFERROR(__xludf.DUMMYFUNCTION("""COMPUTED_VALUE"""),"Enem")</f>
        <v>Enem</v>
      </c>
      <c r="C147" s="4">
        <f ca="1">IFERROR(__xludf.DUMMYFUNCTION("""COMPUTED_VALUE"""),2017)</f>
        <v>2017</v>
      </c>
      <c r="D147" s="4" t="str">
        <f ca="1">IFERROR(__xludf.DUMMYFUNCTION("""COMPUTED_VALUE"""),"Ciências Humanas")</f>
        <v>Ciências Humanas</v>
      </c>
      <c r="E147" s="4" t="str">
        <f ca="1">IFERROR(__xludf.DUMMYFUNCTION("""COMPUTED_VALUE"""),"Atualidade")</f>
        <v>Atualidade</v>
      </c>
      <c r="F147" s="4" t="str">
        <f ca="1">IFERROR(__xludf.DUMMYFUNCTION("""COMPUTED_VALUE"""),"Atualidade")</f>
        <v>Atualidade</v>
      </c>
      <c r="G147" s="4" t="str">
        <f ca="1">IFERROR(__xludf.DUMMYFUNCTION("""COMPUTED_VALUE"""),"Geografia do Brasil")</f>
        <v>Geografia do Brasil</v>
      </c>
      <c r="H147" s="4"/>
      <c r="I147" s="4" t="str">
        <f ca="1">IFERROR(__xludf.DUMMYFUNCTION("""COMPUTED_VALUE"""),"Azul")</f>
        <v>Azul</v>
      </c>
      <c r="J147" s="4">
        <f ca="1">IFERROR(__xludf.DUMMYFUNCTION("""COMPUTED_VALUE"""),75)</f>
        <v>75</v>
      </c>
      <c r="K147" s="4" t="str">
        <f ca="1">IFERROR(__xludf.DUMMYFUNCTION("""COMPUTED_VALUE"""),"D")</f>
        <v>D</v>
      </c>
      <c r="L147" s="4" t="str">
        <f ca="1">IFERROR(__xludf.DUMMYFUNCTION("""COMPUTED_VALUE"""),"Palestinos se agruparam em frente a aparelhos de televisão e telas montadas ao ar livre em Ramalah, na Cisjordânia, para acompanhar o voto da resolução que pedia o reconhecimento da chamada Palestina como um Estado observador não membro da Organização das"&amp;" Nações Unidas (ONU). O objetivo era esperar pelo nascimento, ao menos formal, de um Estado palestino. Depois da aprovação da resolução, centenas de pessoas foram à praça da cidade com bandeiras palestinas, soltaram fogos de artifício, fizeram buzinaços e"&amp;" dançaram pelas ruas. Aprovada com 138 votos dos 193 da Assembleia-Geral, a resolução eleva o status do Estado palestino perante a organização.
Palestinos comemoram elevação de status na ONU com bandeiras e fogos. Disponível em: http://folha.com. Acesso "&amp;"em: 4 dez. 2012 (adaptado).
A mencionada resolução da ONU referendou o(a)")</f>
        <v>Palestinos se agruparam em frente a aparelhos de televisão e telas montadas ao ar livre em Ramalah, na Cisjordânia, para acompanhar o voto da resolução que pedia o reconhecimento da chamada Palestina como um Estado observador não membro da Organização das Nações Unidas (ONU). O objetivo era esperar pelo nascimento, ao menos formal, de um Estado palestino. Depois da aprovação da resolução, centenas de pessoas foram à praça da cidade com bandeiras palestinas, soltaram fogos de artifício, fizeram buzinaços e dançaram pelas ruas. Aprovada com 138 votos dos 193 da Assembleia-Geral, a resolução eleva o status do Estado palestino perante a organização.
Palestinos comemoram elevação de status na ONU com bandeiras e fogos. Disponível em: http://folha.com. Acesso em: 4 dez. 2012 (adaptado).
A mencionada resolução da ONU referendou o(a)</v>
      </c>
      <c r="M147" s="4" t="str">
        <f ca="1">IFERROR(__xludf.DUMMYFUNCTION("""COMPUTED_VALUE"""),"delimitação institucional das fronteiras territoriais.")</f>
        <v>delimitação institucional das fronteiras territoriais.</v>
      </c>
      <c r="N147" s="4" t="str">
        <f ca="1">IFERROR(__xludf.DUMMYFUNCTION("""COMPUTED_VALUE"""),"aumento da qualidade de vida da população local.")</f>
        <v>aumento da qualidade de vida da população local.</v>
      </c>
      <c r="O147" s="4" t="str">
        <f ca="1">IFERROR(__xludf.DUMMYFUNCTION("""COMPUTED_VALUE"""),"implementação do tratado de paz com os israelenses.")</f>
        <v>implementação do tratado de paz com os israelenses.</v>
      </c>
      <c r="P147" s="4" t="str">
        <f ca="1">IFERROR(__xludf.DUMMYFUNCTION("""COMPUTED_VALUE"""),"apoio da comunidade internacional à demanda nacional.")</f>
        <v>apoio da comunidade internacional à demanda nacional.</v>
      </c>
      <c r="Q147" s="4" t="str">
        <f ca="1">IFERROR(__xludf.DUMMYFUNCTION("""COMPUTED_VALUE"""),"equiparação da condição política com a dos demais países.")</f>
        <v>equiparação da condição política com a dos demais países.</v>
      </c>
      <c r="R147" s="4"/>
      <c r="S147" s="4"/>
      <c r="T147" s="4"/>
      <c r="U147" s="4"/>
      <c r="V147" s="4"/>
      <c r="W147" s="4"/>
      <c r="X147" s="4"/>
      <c r="Y147" s="4"/>
      <c r="Z147" s="4"/>
    </row>
    <row r="148" spans="1:26" x14ac:dyDescent="0.25">
      <c r="A148" s="3" t="str">
        <f ca="1">IFERROR(__xludf.DUMMYFUNCTION("""COMPUTED_VALUE"""),"https://drive.google.com/open?id=1vCTpIVIyMupMZzZhhXjixc1HVAk0_zI_https://drive.google.com/open?id=1lsC86tdWB3bWIJm9elaBzxzI9r6xpqWh")</f>
        <v>https://drive.google.com/open?id=1vCTpIVIyMupMZzZhhXjixc1HVAk0_zI_https://drive.google.com/open?id=1lsC86tdWB3bWIJm9elaBzxzI9r6xpqWh</v>
      </c>
      <c r="B148" s="4" t="str">
        <f ca="1">IFERROR(__xludf.DUMMYFUNCTION("""COMPUTED_VALUE"""),"Enem")</f>
        <v>Enem</v>
      </c>
      <c r="C148" s="4">
        <f ca="1">IFERROR(__xludf.DUMMYFUNCTION("""COMPUTED_VALUE"""),2018)</f>
        <v>2018</v>
      </c>
      <c r="D148" s="4" t="str">
        <f ca="1">IFERROR(__xludf.DUMMYFUNCTION("""COMPUTED_VALUE"""),"Ciências Humanas")</f>
        <v>Ciências Humanas</v>
      </c>
      <c r="E148" s="4" t="str">
        <f ca="1">IFERROR(__xludf.DUMMYFUNCTION("""COMPUTED_VALUE"""),"Atualidade")</f>
        <v>Atualidade</v>
      </c>
      <c r="F148" s="4" t="str">
        <f ca="1">IFERROR(__xludf.DUMMYFUNCTION("""COMPUTED_VALUE"""),"Atualidade")</f>
        <v>Atualidade</v>
      </c>
      <c r="G148" s="4" t="str">
        <f ca="1">IFERROR(__xludf.DUMMYFUNCTION("""COMPUTED_VALUE"""),"História do Brasil")</f>
        <v>História do Brasil</v>
      </c>
      <c r="H148" s="4"/>
      <c r="I148" s="4" t="str">
        <f ca="1">IFERROR(__xludf.DUMMYFUNCTION("""COMPUTED_VALUE"""),"Azul")</f>
        <v>Azul</v>
      </c>
      <c r="J148" s="4">
        <f ca="1">IFERROR(__xludf.DUMMYFUNCTION("""COMPUTED_VALUE"""),60)</f>
        <v>60</v>
      </c>
      <c r="K148" s="4" t="str">
        <f ca="1">IFERROR(__xludf.DUMMYFUNCTION("""COMPUTED_VALUE"""),"E")</f>
        <v>E</v>
      </c>
      <c r="L148" s="4" t="str">
        <f ca="1">IFERROR(__xludf.DUMMYFUNCTION("""COMPUTED_VALUE"""),"Em Beirute, no Líbano, quando perguntado sobre onde se encontram os refugiados sírios, a resposta do homem é imediata: “em todos os lugares e em lugar nenhum”. Andando ao acaso, não é raro ver, sob um prédio ou num canto de calçada, ao abrigo do vento, um"&amp;"a família refugiada em volta de uma refeição frugal posta sobre jornais como se fossem guardanapos. Também se vê de vez em quando uma tenda com a sigla ACNUR (Alto Comissariado das Nações Unidas para Refugiados), erguida em um dos raros terrenos vagos da "&amp;"capital.
JABER, H. Quem realmente acolhe os refugiados? Le Monde Diplomatique Brasil, out. 2015 (adaptado)
O cenário descrito aponta para uma crise humanitária que é explicada pelo processo de")</f>
        <v>Em Beirute, no Líbano, quando perguntado sobre onde se encontram os refugiados sírios, a resposta do homem é imediata: “em todos os lugares e em lugar nenhum”. Andando ao acaso, não é raro ver, sob um prédio ou num canto de calçada, ao abrigo do vento, uma família refugiada em volta de uma refeição frugal posta sobre jornais como se fossem guardanapos. Também se vê de vez em quando uma tenda com a sigla ACNUR (Alto Comissariado das Nações Unidas para Refugiados), erguida em um dos raros terrenos vagos da capital.
JABER, H. Quem realmente acolhe os refugiados? Le Monde Diplomatique Brasil, out. 2015 (adaptado)
O cenário descrito aponta para uma crise humanitária que é explicada pelo processo de</v>
      </c>
      <c r="M148" s="4" t="str">
        <f ca="1">IFERROR(__xludf.DUMMYFUNCTION("""COMPUTED_VALUE"""),"migração massiva de pessoas atingidas por catástrofe natural.")</f>
        <v>migração massiva de pessoas atingidas por catástrofe natural.</v>
      </c>
      <c r="N148" s="4" t="str">
        <f ca="1">IFERROR(__xludf.DUMMYFUNCTION("""COMPUTED_VALUE"""),"hibridização cultural de grupos caracterizados por homogeneidade social.")</f>
        <v>hibridização cultural de grupos caracterizados por homogeneidade social.</v>
      </c>
      <c r="O148" s="4" t="str">
        <f ca="1">IFERROR(__xludf.DUMMYFUNCTION("""COMPUTED_VALUE"""),"desmobilização voluntária de militantes cooptados por seitas extremistas.")</f>
        <v>desmobilização voluntária de militantes cooptados por seitas extremistas.</v>
      </c>
      <c r="P148" s="4" t="str">
        <f ca="1">IFERROR(__xludf.DUMMYFUNCTION("""COMPUTED_VALUE"""),"peregrinação religiosa de fiéis orientados por lideranças fundamentalistas.")</f>
        <v>peregrinação religiosa de fiéis orientados por lideranças fundamentalistas.</v>
      </c>
      <c r="Q148" s="4" t="str">
        <f ca="1">IFERROR(__xludf.DUMMYFUNCTION("""COMPUTED_VALUE"""),"desterritorialização forçada de populações afetadas por conflitos armados.")</f>
        <v>desterritorialização forçada de populações afetadas por conflitos armados.</v>
      </c>
      <c r="R148" s="4"/>
      <c r="S148" s="4"/>
      <c r="T148" s="4"/>
      <c r="U148" s="4"/>
      <c r="V148" s="4"/>
      <c r="W148" s="4"/>
      <c r="X148" s="4"/>
      <c r="Y148" s="4"/>
      <c r="Z148" s="4"/>
    </row>
    <row r="149" spans="1:26" x14ac:dyDescent="0.25">
      <c r="A149" s="3" t="str">
        <f ca="1">IFERROR(__xludf.DUMMYFUNCTION("""COMPUTED_VALUE"""),"https://drive.google.com/open?id=1oAzbKUPROwZn3gEcmGypAOH8IXHJX5hyhttps://drive.google.com/open?id=1XJUYKuOHKgXV-ejMfrhw9cEyDDbSPigi")</f>
        <v>https://drive.google.com/open?id=1oAzbKUPROwZn3gEcmGypAOH8IXHJX5hyhttps://drive.google.com/open?id=1XJUYKuOHKgXV-ejMfrhw9cEyDDbSPigi</v>
      </c>
      <c r="B149" s="4" t="str">
        <f ca="1">IFERROR(__xludf.DUMMYFUNCTION("""COMPUTED_VALUE"""),"Enem")</f>
        <v>Enem</v>
      </c>
      <c r="C149" s="4">
        <f ca="1">IFERROR(__xludf.DUMMYFUNCTION("""COMPUTED_VALUE"""),2018)</f>
        <v>2018</v>
      </c>
      <c r="D149" s="4" t="str">
        <f ca="1">IFERROR(__xludf.DUMMYFUNCTION("""COMPUTED_VALUE"""),"Ciências Humanas")</f>
        <v>Ciências Humanas</v>
      </c>
      <c r="E149" s="4" t="str">
        <f ca="1">IFERROR(__xludf.DUMMYFUNCTION("""COMPUTED_VALUE"""),"Atualidade")</f>
        <v>Atualidade</v>
      </c>
      <c r="F149" s="4" t="str">
        <f ca="1">IFERROR(__xludf.DUMMYFUNCTION("""COMPUTED_VALUE"""),"Sociologia")</f>
        <v>Sociologia</v>
      </c>
      <c r="G149" s="4" t="str">
        <f ca="1">IFERROR(__xludf.DUMMYFUNCTION("""COMPUTED_VALUE"""),"Atualidade")</f>
        <v>Atualidade</v>
      </c>
      <c r="H149" s="4"/>
      <c r="I149" s="4" t="str">
        <f ca="1">IFERROR(__xludf.DUMMYFUNCTION("""COMPUTED_VALUE"""),"Azul")</f>
        <v>Azul</v>
      </c>
      <c r="J149" s="4">
        <f ca="1">IFERROR(__xludf.DUMMYFUNCTION("""COMPUTED_VALUE"""),70)</f>
        <v>70</v>
      </c>
      <c r="K149" s="4" t="str">
        <f ca="1">IFERROR(__xludf.DUMMYFUNCTION("""COMPUTED_VALUE"""),"B")</f>
        <v>B</v>
      </c>
      <c r="L149" s="4" t="str">
        <f ca="1">IFERROR(__xludf.DUMMYFUNCTION("""COMPUTED_VALUE"""),"A primeira fase da dominação da economia sobre a vida social acarretou, no modo de definir toda realização humana, uma evidente degradação do ser para o ter. A fase atual, em que a vida social está totalmente tomada pelos resultados da economia, leva a um"&amp;" deslizamento generalizado do ter para o parecer, do qual todo ter efetivo deve extrair seu prestígio imediato e sua função última. Ao mesmo tempo, toda realidade individual tornou-se social, diretamente dependente da força social, moldada por ela.
DEBOR"&amp;"D, G. A sociedade do espetáculo. Rio de Janeiro: Contraponto, 2015.
Uma manifestação contemporânea do fenômeno descrito no texto é o(a)")</f>
        <v>A primeira fase da dominação da economia sobre a vida social acarretou, no modo de definir toda realização humana, uma evidente degradação do ser para o ter. A fase atual, em que a vida social está totalmente tomada pelos resultados da economia, leva a um deslizamento generalizado do ter para o parecer, do qual todo ter efetivo deve extrair seu prestígio imediato e sua função última. Ao mesmo tempo, toda realidade individual tornou-se social, diretamente dependente da força social, moldada por ela.
DEBORD, G. A sociedade do espetáculo. Rio de Janeiro: Contraponto, 2015.
Uma manifestação contemporânea do fenômeno descrito no texto é o(a)</v>
      </c>
      <c r="M149" s="4" t="str">
        <f ca="1">IFERROR(__xludf.DUMMYFUNCTION("""COMPUTED_VALUE"""),"valorização dos conhecimentos acumulados.")</f>
        <v>valorização dos conhecimentos acumulados.</v>
      </c>
      <c r="N149" s="4" t="str">
        <f ca="1">IFERROR(__xludf.DUMMYFUNCTION("""COMPUTED_VALUE"""),"exposição nos meios de comunicação.")</f>
        <v>exposição nos meios de comunicação.</v>
      </c>
      <c r="O149" s="4" t="str">
        <f ca="1">IFERROR(__xludf.DUMMYFUNCTION("""COMPUTED_VALUE"""),"aprofundamento da vivência espiritual.")</f>
        <v>aprofundamento da vivência espiritual.</v>
      </c>
      <c r="P149" s="4" t="str">
        <f ca="1">IFERROR(__xludf.DUMMYFUNCTION("""COMPUTED_VALUE"""),"fortalecimento das relações interpessoais.")</f>
        <v>fortalecimento das relações interpessoais.</v>
      </c>
      <c r="Q149" s="4" t="str">
        <f ca="1">IFERROR(__xludf.DUMMYFUNCTION("""COMPUTED_VALUE"""),"reconhecimento na esfera artística.")</f>
        <v>reconhecimento na esfera artística.</v>
      </c>
      <c r="R149" s="4"/>
      <c r="S149" s="4"/>
      <c r="T149" s="4"/>
      <c r="U149" s="4"/>
      <c r="V149" s="4"/>
      <c r="W149" s="4"/>
      <c r="X149" s="4"/>
      <c r="Y149" s="4"/>
      <c r="Z149" s="4"/>
    </row>
    <row r="150" spans="1:26" x14ac:dyDescent="0.25">
      <c r="A150" s="3" t="str">
        <f ca="1">IFERROR(__xludf.DUMMYFUNCTION("""COMPUTED_VALUE"""),"https://drive.google.com/open?id=1iBMsXpWH7DgNbiRPDDRlf3tR5c00kVNphttps://drive.google.com/open?id=1v_z3KgcwMpj7p8rdGy_LlnmIk5xke9_m")</f>
        <v>https://drive.google.com/open?id=1iBMsXpWH7DgNbiRPDDRlf3tR5c00kVNphttps://drive.google.com/open?id=1v_z3KgcwMpj7p8rdGy_LlnmIk5xke9_m</v>
      </c>
      <c r="B150" s="4" t="str">
        <f ca="1">IFERROR(__xludf.DUMMYFUNCTION("""COMPUTED_VALUE"""),"Enem")</f>
        <v>Enem</v>
      </c>
      <c r="C150" s="4">
        <f ca="1">IFERROR(__xludf.DUMMYFUNCTION("""COMPUTED_VALUE"""),2019)</f>
        <v>2019</v>
      </c>
      <c r="D150" s="4" t="str">
        <f ca="1">IFERROR(__xludf.DUMMYFUNCTION("""COMPUTED_VALUE"""),"Ciências Humanas")</f>
        <v>Ciências Humanas</v>
      </c>
      <c r="E150" s="4" t="str">
        <f ca="1">IFERROR(__xludf.DUMMYFUNCTION("""COMPUTED_VALUE"""),"Atualidade")</f>
        <v>Atualidade</v>
      </c>
      <c r="F150" s="4" t="str">
        <f ca="1">IFERROR(__xludf.DUMMYFUNCTION("""COMPUTED_VALUE"""),"Sociologia")</f>
        <v>Sociologia</v>
      </c>
      <c r="G150" s="4" t="str">
        <f ca="1">IFERROR(__xludf.DUMMYFUNCTION("""COMPUTED_VALUE"""),"Atualidade")</f>
        <v>Atualidade</v>
      </c>
      <c r="H150" s="4"/>
      <c r="I150" s="4" t="str">
        <f ca="1">IFERROR(__xludf.DUMMYFUNCTION("""COMPUTED_VALUE"""),"Amarelo")</f>
        <v>Amarelo</v>
      </c>
      <c r="J150" s="4">
        <f ca="1">IFERROR(__xludf.DUMMYFUNCTION("""COMPUTED_VALUE"""),46)</f>
        <v>46</v>
      </c>
      <c r="K150" s="4" t="str">
        <f ca="1">IFERROR(__xludf.DUMMYFUNCTION("""COMPUTED_VALUE"""),"C")</f>
        <v>C</v>
      </c>
      <c r="L150" s="4" t="str">
        <f ca="1">IFERROR(__xludf.DUMMYFUNCTION("""COMPUTED_VALUE"""),"A hospitalidade pura consiste em acolher aquele que chega antes de lhe impor condições, antes de saber e indagar o que quer que seja, ainda que seja um nome ou um “documento” de identidade. Mas ela também supõe que se dirija a ele, de maneira singular, ch"&amp;"amando-o portanto e reconhecendo-lhe um nome próprio: “Como você se chama?” A hospitalidade consiste em fazer tudo para se dirigir ao outro, em lhe conceder, até mesmo perguntar seu nome, evitando que essa pergunta se torne uma “condição”, um inquérito po"&amp;"licial, um fichamento ou um simples controle das fronteiras. Uma arte e uma poética, mas também toda uma política dependem disso, toda uma ética se decide aí.
DERRIDA, J. Papel-máquina. São Paulo: Estação Liberdade, 2004 (adaptado).
Associado ao cont"&amp;"exto migratório contemporâneo, o conceito de hospitalidade proposto pelo autor impõe a necessidade de")</f>
        <v>A hospitalidade pura consiste em acolher aquele que chega antes de lhe impor condições, antes de saber e indagar o que quer que seja, ainda que seja um nome ou um “documento” de identidade. Mas ela também supõe que se dirija a ele, de maneira singular, chamando-o portanto e reconhecendo-lhe um nome próprio: “Como você se chama?” A hospitalidade consiste em fazer tudo para se dirigir ao outro, em lhe conceder, até mesmo perguntar seu nome, evitando que essa pergunta se torne uma “condição”, um inquérito policial, um fichamento ou um simples controle das fronteiras. Uma arte e uma poética, mas também toda uma política dependem disso, toda uma ética se decide aí.
DERRIDA, J. Papel-máquina. São Paulo: Estação Liberdade, 2004 (adaptado).
Associado ao contexto migratório contemporâneo, o conceito de hospitalidade proposto pelo autor impõe a necessidade de</v>
      </c>
      <c r="M150" s="4" t="str">
        <f ca="1">IFERROR(__xludf.DUMMYFUNCTION("""COMPUTED_VALUE"""),"anulação da diferença.")</f>
        <v>anulação da diferença.</v>
      </c>
      <c r="N150" s="4" t="str">
        <f ca="1">IFERROR(__xludf.DUMMYFUNCTION("""COMPUTED_VALUE"""),"cristalização da biografia.")</f>
        <v>cristalização da biografia.</v>
      </c>
      <c r="O150" s="4" t="str">
        <f ca="1">IFERROR(__xludf.DUMMYFUNCTION("""COMPUTED_VALUE"""),"incorporação da alteridade.")</f>
        <v>incorporação da alteridade.</v>
      </c>
      <c r="P150" s="4" t="str">
        <f ca="1">IFERROR(__xludf.DUMMYFUNCTION("""COMPUTED_VALUE"""),"supressão da comunicação.")</f>
        <v>supressão da comunicação.</v>
      </c>
      <c r="Q150" s="4" t="str">
        <f ca="1">IFERROR(__xludf.DUMMYFUNCTION("""COMPUTED_VALUE"""),"verificação da proveniência.")</f>
        <v>verificação da proveniência.</v>
      </c>
      <c r="R150" s="4"/>
      <c r="S150" s="4"/>
      <c r="T150" s="4"/>
      <c r="U150" s="4"/>
      <c r="V150" s="4"/>
      <c r="W150" s="4"/>
      <c r="X150" s="4"/>
      <c r="Y150" s="4"/>
      <c r="Z150" s="4"/>
    </row>
    <row r="151" spans="1:26" x14ac:dyDescent="0.25">
      <c r="A151" s="3" t="str">
        <f ca="1">IFERROR(__xludf.DUMMYFUNCTION("""COMPUTED_VALUE"""),"https://drive.google.com/open?id=16ufMy_vgel02YE_LwrSnsm6G5f-HFMiShttps://drive.google.com/open?id=1c71SD3cUiHzU_umC6pq6YmIuRv_MKPm7")</f>
        <v>https://drive.google.com/open?id=16ufMy_vgel02YE_LwrSnsm6G5f-HFMiShttps://drive.google.com/open?id=1c71SD3cUiHzU_umC6pq6YmIuRv_MKPm7</v>
      </c>
      <c r="B151" s="4" t="str">
        <f ca="1">IFERROR(__xludf.DUMMYFUNCTION("""COMPUTED_VALUE"""),"Enem")</f>
        <v>Enem</v>
      </c>
      <c r="C151" s="4">
        <f ca="1">IFERROR(__xludf.DUMMYFUNCTION("""COMPUTED_VALUE"""),2019)</f>
        <v>2019</v>
      </c>
      <c r="D151" s="4" t="str">
        <f ca="1">IFERROR(__xludf.DUMMYFUNCTION("""COMPUTED_VALUE"""),"Ciências Humanas")</f>
        <v>Ciências Humanas</v>
      </c>
      <c r="E151" s="4" t="str">
        <f ca="1">IFERROR(__xludf.DUMMYFUNCTION("""COMPUTED_VALUE"""),"Atualidade")</f>
        <v>Atualidade</v>
      </c>
      <c r="F151" s="4" t="str">
        <f ca="1">IFERROR(__xludf.DUMMYFUNCTION("""COMPUTED_VALUE"""),"Atualidade")</f>
        <v>Atualidade</v>
      </c>
      <c r="G151" s="4" t="str">
        <f ca="1">IFERROR(__xludf.DUMMYFUNCTION("""COMPUTED_VALUE"""),"Geografia do Brasil")</f>
        <v>Geografia do Brasil</v>
      </c>
      <c r="H151" s="4"/>
      <c r="I151" s="4" t="str">
        <f ca="1">IFERROR(__xludf.DUMMYFUNCTION("""COMPUTED_VALUE"""),"Amarelo")</f>
        <v>Amarelo</v>
      </c>
      <c r="J151" s="4">
        <f ca="1">IFERROR(__xludf.DUMMYFUNCTION("""COMPUTED_VALUE"""),49)</f>
        <v>49</v>
      </c>
      <c r="K151" s="4" t="str">
        <f ca="1">IFERROR(__xludf.DUMMYFUNCTION("""COMPUTED_VALUE"""),"B")</f>
        <v>B</v>
      </c>
      <c r="L151" s="4" t="str">
        <f ca="1">IFERROR(__xludf.DUMMYFUNCTION("""COMPUTED_VALUE"""),"Brasil, Alemanha, Japão e Índia pedem reforma do Conselho de Segurança
     Os representantes do G4 (Brasil, Alemanha, Índia e Japão) reiteraram, em setembro de 2018, a defesa pela ampliação do Conselho de Segurança da Organização das Nações Unidas (ONU)"&amp;" durante reunião em Nova York (Estados Unidos). Em declaração conjunta, de dez itens, os chanceleres destacaram que o órgão, no formato em que está, com apenas cinco membros permanentes e dez rotativos, não reflete o século 21. “A reforma do Conselho de S"&amp;"egurança é essencial para enfrentar os desafios complexos de hoje. Como aspirantes a novos membros permanentes de um conselho reformado, os ministros reiteraram seu compromisso de trabalhar para fortalecer o funcionamento da ONU e da ordem multilateral gl"&amp;"obal, bem como seu apoio às respectivas candidaturas”, afirma a declaração conjunta.
Disponível em: http://agenciabrasil.ebc.com.br. Acesso em: 7 dez. 2018 (adaptado).
Os países mencionados no texto justificam sua pretensão com base na seguinte carac"&amp;"terística comum:")</f>
        <v>Brasil, Alemanha, Japão e Índia pedem reforma do Conselho de Segurança
     Os representantes do G4 (Brasil, Alemanha, Índia e Japão) reiteraram, em setembro de 2018, a defesa pela ampliação do Conselho de Segurança da Organização das Nações Unidas (ONU) durante reunião em Nova York (Estados Unidos). Em declaração conjunta, de dez itens, os chanceleres destacaram que o órgão, no formato em que está, com apenas cinco membros permanentes e dez rotativos, não reflete o século 21. “A reforma do Conselho de Segurança é essencial para enfrentar os desafios complexos de hoje. Como aspirantes a novos membros permanentes de um conselho reformado, os ministros reiteraram seu compromisso de trabalhar para fortalecer o funcionamento da ONU e da ordem multilateral global, bem como seu apoio às respectivas candidaturas”, afirma a declaração conjunta.
Disponível em: http://agenciabrasil.ebc.com.br. Acesso em: 7 dez. 2018 (adaptado).
Os países mencionados no texto justificam sua pretensão com base na seguinte característica comum:</v>
      </c>
      <c r="M151" s="4" t="str">
        <f ca="1">IFERROR(__xludf.DUMMYFUNCTION("""COMPUTED_VALUE"""),"Extensividade de área territorial.")</f>
        <v>Extensividade de área territorial.</v>
      </c>
      <c r="N151" s="4" t="str">
        <f ca="1">IFERROR(__xludf.DUMMYFUNCTION("""COMPUTED_VALUE"""),"Protagonismo em escala regional.")</f>
        <v>Protagonismo em escala regional.</v>
      </c>
      <c r="O151" s="4" t="str">
        <f ca="1">IFERROR(__xludf.DUMMYFUNCTION("""COMPUTED_VALUE"""),"Investimento em tecnologia militar.")</f>
        <v>Investimento em tecnologia militar.</v>
      </c>
      <c r="P151" s="4" t="str">
        <f ca="1">IFERROR(__xludf.DUMMYFUNCTION("""COMPUTED_VALUE"""),"Desenvolvimento de energia nuclear.")</f>
        <v>Desenvolvimento de energia nuclear.</v>
      </c>
      <c r="Q151" s="4" t="str">
        <f ca="1">IFERROR(__xludf.DUMMYFUNCTION("""COMPUTED_VALUE"""),"Disponibilidade de recursos minerais.")</f>
        <v>Disponibilidade de recursos minerais.</v>
      </c>
      <c r="R151" s="4"/>
      <c r="S151" s="4"/>
      <c r="T151" s="4"/>
      <c r="U151" s="4"/>
      <c r="V151" s="4"/>
      <c r="W151" s="4"/>
      <c r="X151" s="4"/>
      <c r="Y151" s="4"/>
      <c r="Z151" s="4"/>
    </row>
    <row r="152" spans="1:26" x14ac:dyDescent="0.25">
      <c r="A152" s="3" t="str">
        <f ca="1">IFERROR(__xludf.DUMMYFUNCTION("""COMPUTED_VALUE"""),"https://drive.google.com/open?id=1mQp1rs4JgNtFhpVj4mfqcWKAb8EUOQ-Chttps://drive.google.com/open?id=11vl4LNQiJ1TDkfOxmHAk3GoIHrfy8Vao")</f>
        <v>https://drive.google.com/open?id=1mQp1rs4JgNtFhpVj4mfqcWKAb8EUOQ-Chttps://drive.google.com/open?id=11vl4LNQiJ1TDkfOxmHAk3GoIHrfy8Vao</v>
      </c>
      <c r="B152" s="4" t="str">
        <f ca="1">IFERROR(__xludf.DUMMYFUNCTION("""COMPUTED_VALUE"""),"Enem")</f>
        <v>Enem</v>
      </c>
      <c r="C152" s="4">
        <f ca="1">IFERROR(__xludf.DUMMYFUNCTION("""COMPUTED_VALUE"""),2019)</f>
        <v>2019</v>
      </c>
      <c r="D152" s="4" t="str">
        <f ca="1">IFERROR(__xludf.DUMMYFUNCTION("""COMPUTED_VALUE"""),"Ciências Humanas")</f>
        <v>Ciências Humanas</v>
      </c>
      <c r="E152" s="4" t="str">
        <f ca="1">IFERROR(__xludf.DUMMYFUNCTION("""COMPUTED_VALUE"""),"Atualidade")</f>
        <v>Atualidade</v>
      </c>
      <c r="F152" s="4" t="str">
        <f ca="1">IFERROR(__xludf.DUMMYFUNCTION("""COMPUTED_VALUE"""),"Atualidade")</f>
        <v>Atualidade</v>
      </c>
      <c r="G152" s="4" t="str">
        <f ca="1">IFERROR(__xludf.DUMMYFUNCTION("""COMPUTED_VALUE"""),"Sociologia")</f>
        <v>Sociologia</v>
      </c>
      <c r="H152" s="4"/>
      <c r="I152" s="4" t="str">
        <f ca="1">IFERROR(__xludf.DUMMYFUNCTION("""COMPUTED_VALUE"""),"Amarelo")</f>
        <v>Amarelo</v>
      </c>
      <c r="J152" s="4">
        <f ca="1">IFERROR(__xludf.DUMMYFUNCTION("""COMPUTED_VALUE"""),69)</f>
        <v>69</v>
      </c>
      <c r="K152" s="4" t="str">
        <f ca="1">IFERROR(__xludf.DUMMYFUNCTION("""COMPUTED_VALUE"""),"B")</f>
        <v>B</v>
      </c>
      <c r="L152" s="4" t="str">
        <f ca="1">IFERROR(__xludf.DUMMYFUNCTION("""COMPUTED_VALUE"""),"Fala-se aqui de uma arte criada nas ruas e para as ruas, marcadas antes de tudo pela vida cotidiana, seus conflitos e suas possibilidades, que poderiam envolver técnicas, agentes e temas que não fossem encontrados nas instituições mais tradicionais e form"&amp;"ais.
VALVERDE, R. R. H. F. Os limites da inversão: a heterotopia do Beco do Batman. Boletim Goiano de Geografia (Online). Goiânia, v. 37, n. 2, maio/ago. 2017 (adaptado).
A manifestação artística expressa na imagem e apresentada no texto integra um mov"&amp;"imento contemporâneo de:")</f>
        <v>Fala-se aqui de uma arte criada nas ruas e para as ruas, marcadas antes de tudo pela vida cotidiana, seus conflitos e suas possibilidades, que poderiam envolver técnicas, agentes e temas que não fossem encontrados nas instituições mais tradicionais e formais.
VALVERDE, R. R. H. F. Os limites da inversão: a heterotopia do Beco do Batman. Boletim Goiano de Geografia (Online). Goiânia, v. 37, n. 2, maio/ago. 2017 (adaptado).
A manifestação artística expressa na imagem e apresentada no texto integra um movimento contemporâneo de:</v>
      </c>
      <c r="M152" s="4" t="str">
        <f ca="1">IFERROR(__xludf.DUMMYFUNCTION("""COMPUTED_VALUE"""),"regulação das relações sociais.")</f>
        <v>regulação das relações sociais.</v>
      </c>
      <c r="N152" s="4" t="str">
        <f ca="1">IFERROR(__xludf.DUMMYFUNCTION("""COMPUTED_VALUE"""),"apropriação dos espaços públicos.")</f>
        <v>apropriação dos espaços públicos.</v>
      </c>
      <c r="O152" s="4" t="str">
        <f ca="1">IFERROR(__xludf.DUMMYFUNCTION("""COMPUTED_VALUE"""),"padronização das culturas urbanas.")</f>
        <v>padronização das culturas urbanas.</v>
      </c>
      <c r="P152" s="4" t="str">
        <f ca="1">IFERROR(__xludf.DUMMYFUNCTION("""COMPUTED_VALUE"""),"valorização dos formalismos estéticos.")</f>
        <v>valorização dos formalismos estéticos.</v>
      </c>
      <c r="Q152" s="4" t="str">
        <f ca="1">IFERROR(__xludf.DUMMYFUNCTION("""COMPUTED_VALUE"""),"revitalização dos patrimônios históricos.")</f>
        <v>revitalização dos patrimônios históricos.</v>
      </c>
      <c r="R152" s="4"/>
      <c r="S152" s="4"/>
      <c r="T152" s="4"/>
      <c r="U152" s="4"/>
      <c r="V152" s="4"/>
      <c r="W152" s="4"/>
      <c r="X152" s="4"/>
      <c r="Y152" s="4"/>
      <c r="Z152" s="4"/>
    </row>
    <row r="153" spans="1:26" x14ac:dyDescent="0.25">
      <c r="A153" s="3" t="str">
        <f ca="1">IFERROR(__xludf.DUMMYFUNCTION("""COMPUTED_VALUE"""),"https://drive.google.com/open?id=1UJ3iFF_7L33FJUfNesMnbdIDqfJTb5_uhttps://drive.google.com/open?id=1kmFDmTqJF5DN13Zoc0Uxe0Rk9765GDl7")</f>
        <v>https://drive.google.com/open?id=1UJ3iFF_7L33FJUfNesMnbdIDqfJTb5_uhttps://drive.google.com/open?id=1kmFDmTqJF5DN13Zoc0Uxe0Rk9765GDl7</v>
      </c>
      <c r="B153" s="4" t="str">
        <f ca="1">IFERROR(__xludf.DUMMYFUNCTION("""COMPUTED_VALUE"""),"Enem")</f>
        <v>Enem</v>
      </c>
      <c r="C153" s="4">
        <f ca="1">IFERROR(__xludf.DUMMYFUNCTION("""COMPUTED_VALUE"""),2019)</f>
        <v>2019</v>
      </c>
      <c r="D153" s="4" t="str">
        <f ca="1">IFERROR(__xludf.DUMMYFUNCTION("""COMPUTED_VALUE"""),"Matemática")</f>
        <v>Matemática</v>
      </c>
      <c r="E153" s="4" t="str">
        <f ca="1">IFERROR(__xludf.DUMMYFUNCTION("""COMPUTED_VALUE"""),"Matemática")</f>
        <v>Matemática</v>
      </c>
      <c r="F153" s="4" t="str">
        <f ca="1">IFERROR(__xludf.DUMMYFUNCTION("""COMPUTED_VALUE"""),"Aritmética e Algebra")</f>
        <v>Aritmética e Algebra</v>
      </c>
      <c r="G153" s="4"/>
      <c r="H153" s="4"/>
      <c r="I153" s="4" t="str">
        <f ca="1">IFERROR(__xludf.DUMMYFUNCTION("""COMPUTED_VALUE"""),"Amarelo")</f>
        <v>Amarelo</v>
      </c>
      <c r="J153" s="4">
        <f ca="1">IFERROR(__xludf.DUMMYFUNCTION("""COMPUTED_VALUE"""),136)</f>
        <v>136</v>
      </c>
      <c r="K153" s="4" t="str">
        <f ca="1">IFERROR(__xludf.DUMMYFUNCTION("""COMPUTED_VALUE"""),"E")</f>
        <v>E</v>
      </c>
      <c r="L153" s="4" t="str">
        <f ca="1">IFERROR(__xludf.DUMMYFUNCTION("""COMPUTED_VALUE"""),"O boliche é um esporte cujo objetivo é derrubar, com uma bola, uma série de pinos
alinhados em uma pista. A professora de matemática organizou um jogo de boliche em que
os pinos são garrafas que possuem rótulos com números, conforme mostra o esquema.
[Fig"&amp;"ura contida no arquivo]
O aluno marca pontos de acordo com a soma das quantidades expressas nos
rótulos das garrafas que são derrubadas. Se dois ou mais rótulos representam a
mesma quantidade, apenas um deles entra na contagem dos pontos. Um aluno marcou
"&amp;"7,55 pontos em uma jogada. Uma das garrafas que ele derrubou tinha o rótulo 6,8.
A quantidade máxima de garrafas que ele derrubou para obter essa pontuação é igual a:")</f>
        <v>O boliche é um esporte cujo objetivo é derrubar, com uma bola, uma série de pinos
alinhados em uma pista. A professora de matemática organizou um jogo de boliche em que
os pinos são garrafas que possuem rótulos com números, conforme mostra o esquema.
[Figura contida no arquivo]
O aluno marca pontos de acordo com a soma das quantidades expressas nos
rótulos das garrafas que são derrubadas. Se dois ou mais rótulos representam a
mesma quantidade, apenas um deles entra na contagem dos pontos. Um aluno marcou
7,55 pontos em uma jogada. Uma das garrafas que ele derrubou tinha o rótulo 6,8.
A quantidade máxima de garrafas que ele derrubou para obter essa pontuação é igual a:</v>
      </c>
      <c r="M153" s="4" t="str">
        <f ca="1">IFERROR(__xludf.DUMMYFUNCTION("""COMPUTED_VALUE"""),"2")</f>
        <v>2</v>
      </c>
      <c r="N153" s="4" t="str">
        <f ca="1">IFERROR(__xludf.DUMMYFUNCTION("""COMPUTED_VALUE"""),"3")</f>
        <v>3</v>
      </c>
      <c r="O153" s="4" t="str">
        <f ca="1">IFERROR(__xludf.DUMMYFUNCTION("""COMPUTED_VALUE"""),"4")</f>
        <v>4</v>
      </c>
      <c r="P153" s="4" t="str">
        <f ca="1">IFERROR(__xludf.DUMMYFUNCTION("""COMPUTED_VALUE"""),"5")</f>
        <v>5</v>
      </c>
      <c r="Q153" s="4" t="str">
        <f ca="1">IFERROR(__xludf.DUMMYFUNCTION("""COMPUTED_VALUE"""),"6")</f>
        <v>6</v>
      </c>
      <c r="R153" s="4"/>
      <c r="S153" s="4"/>
      <c r="T153" s="4"/>
      <c r="U153" s="4"/>
      <c r="V153" s="4"/>
      <c r="W153" s="4"/>
      <c r="X153" s="4"/>
      <c r="Y153" s="4"/>
      <c r="Z153" s="4"/>
    </row>
    <row r="154" spans="1:26" x14ac:dyDescent="0.25">
      <c r="A154" s="3" t="str">
        <f ca="1">IFERROR(__xludf.DUMMYFUNCTION("""COMPUTED_VALUE"""),"https://drive.google.com/open?id=1bONn3hw8ScikEiYZ7dXoPVWfKu8MOc8Chttps://drive.google.com/open?id=1iKGZkLh-iSjjrxLuPqGLeKmmpMECDNHD")</f>
        <v>https://drive.google.com/open?id=1bONn3hw8ScikEiYZ7dXoPVWfKu8MOc8Chttps://drive.google.com/open?id=1iKGZkLh-iSjjrxLuPqGLeKmmpMECDNHD</v>
      </c>
      <c r="B154" s="4" t="str">
        <f ca="1">IFERROR(__xludf.DUMMYFUNCTION("""COMPUTED_VALUE"""),"Enem")</f>
        <v>Enem</v>
      </c>
      <c r="C154" s="4">
        <f ca="1">IFERROR(__xludf.DUMMYFUNCTION("""COMPUTED_VALUE"""),2019)</f>
        <v>2019</v>
      </c>
      <c r="D154" s="4" t="str">
        <f ca="1">IFERROR(__xludf.DUMMYFUNCTION("""COMPUTED_VALUE"""),"Matemática")</f>
        <v>Matemática</v>
      </c>
      <c r="E154" s="4" t="str">
        <f ca="1">IFERROR(__xludf.DUMMYFUNCTION("""COMPUTED_VALUE"""),"Matemática")</f>
        <v>Matemática</v>
      </c>
      <c r="F154" s="4" t="str">
        <f ca="1">IFERROR(__xludf.DUMMYFUNCTION("""COMPUTED_VALUE"""),"Geometria")</f>
        <v>Geometria</v>
      </c>
      <c r="G154" s="4"/>
      <c r="H154" s="4"/>
      <c r="I154" s="4" t="str">
        <f ca="1">IFERROR(__xludf.DUMMYFUNCTION("""COMPUTED_VALUE"""),"Amarelo")</f>
        <v>Amarelo</v>
      </c>
      <c r="J154" s="4">
        <f ca="1">IFERROR(__xludf.DUMMYFUNCTION("""COMPUTED_VALUE"""),137)</f>
        <v>137</v>
      </c>
      <c r="K154" s="4" t="str">
        <f ca="1">IFERROR(__xludf.DUMMYFUNCTION("""COMPUTED_VALUE"""),"B")</f>
        <v>B</v>
      </c>
      <c r="L154" s="4" t="str">
        <f ca="1">IFERROR(__xludf.DUMMYFUNCTION("""COMPUTED_VALUE"""),"As coordenadas usualmente utilizadas na localização de um ponto sobre a superfície
terrestre são a latitude e a longitude. Para tal, considera-se que a Terra tem a forma de
uma esfera.
Um meridiano é uma circunferência sobre a superfície da Terra que pass"&amp;"a pelos polos
Norte e Sul, representados na figura por PN e PS. O comprimento da semicircunferência
que une os pontos PN e PS tem comprimento igual a 20 016 km. A linha do Equador
também é uma circunferência sobre a superfície da Terra, com raio igual ao "&amp;"da Terra,
sendo que o plano que a contém é perpendicular ao que contém qualquer meridiano.
Seja P um ponto na superfície da Terra, C o centro da Terra e o segmento PC um
raio, conforme mostra a figura. Seja ϕ o ângulo que o segmento PC faz com o plano que"&amp;"
contém a linha do Equador. A medida em graus de ϕ é a medida da latitude de P.
[Imagem contida no arquivo]
Suponha que a partir da linha do Equador um navio viaja subindo em direção ao
Polo Norte, percorrendo um meridiano, até um ponto P com 30 graus de "&amp;"latitude.
Quantos quilômetros são percorridos pelo navio?")</f>
        <v>As coordenadas usualmente utilizadas na localização de um ponto sobre a superfície
terrestre são a latitude e a longitude. Para tal, considera-se que a Terra tem a forma de
uma esfera.
Um meridiano é uma circunferência sobre a superfície da Terra que passa pelos polos
Norte e Sul, representados na figura por PN e PS. O comprimento da semicircunferência
que une os pontos PN e PS tem comprimento igual a 20 016 km. A linha do Equador
também é uma circunferência sobre a superfície da Terra, com raio igual ao da Terra,
sendo que o plano que a contém é perpendicular ao que contém qualquer meridiano.
Seja P um ponto na superfície da Terra, C o centro da Terra e o segmento PC um
raio, conforme mostra a figura. Seja ϕ o ângulo que o segmento PC faz com o plano que
contém a linha do Equador. A medida em graus de ϕ é a medida da latitude de P.
[Imagem contida no arquivo]
Suponha que a partir da linha do Equador um navio viaja subindo em direção ao
Polo Norte, percorrendo um meridiano, até um ponto P com 30 graus de latitude.
Quantos quilômetros são percorridos pelo navio?</v>
      </c>
      <c r="M154" s="4" t="str">
        <f ca="1">IFERROR(__xludf.DUMMYFUNCTION("""COMPUTED_VALUE"""),"1668")</f>
        <v>1668</v>
      </c>
      <c r="N154" s="4" t="str">
        <f ca="1">IFERROR(__xludf.DUMMYFUNCTION("""COMPUTED_VALUE"""),"3336")</f>
        <v>3336</v>
      </c>
      <c r="O154" s="4" t="str">
        <f ca="1">IFERROR(__xludf.DUMMYFUNCTION("""COMPUTED_VALUE"""),"5004")</f>
        <v>5004</v>
      </c>
      <c r="P154" s="4" t="str">
        <f ca="1">IFERROR(__xludf.DUMMYFUNCTION("""COMPUTED_VALUE"""),"6672")</f>
        <v>6672</v>
      </c>
      <c r="Q154" s="4" t="str">
        <f ca="1">IFERROR(__xludf.DUMMYFUNCTION("""COMPUTED_VALUE"""),"10008")</f>
        <v>10008</v>
      </c>
      <c r="R154" s="4"/>
      <c r="S154" s="4"/>
      <c r="T154" s="4"/>
      <c r="U154" s="4"/>
      <c r="V154" s="4"/>
      <c r="W154" s="4"/>
      <c r="X154" s="4"/>
      <c r="Y154" s="4"/>
      <c r="Z154" s="4"/>
    </row>
    <row r="155" spans="1:26" x14ac:dyDescent="0.25">
      <c r="A155" s="3" t="str">
        <f ca="1">IFERROR(__xludf.DUMMYFUNCTION("""COMPUTED_VALUE"""),"https://drive.google.com/open?id=1AQLL-zzuGtkE9IGct9Py-2ApP-td_Ourhttps://drive.google.com/open?id=1rM0Dg-f2-X1v3E3yuPbAIB_aKMeRRqre")</f>
        <v>https://drive.google.com/open?id=1AQLL-zzuGtkE9IGct9Py-2ApP-td_Ourhttps://drive.google.com/open?id=1rM0Dg-f2-X1v3E3yuPbAIB_aKMeRRqre</v>
      </c>
      <c r="B155" s="4" t="str">
        <f ca="1">IFERROR(__xludf.DUMMYFUNCTION("""COMPUTED_VALUE"""),"Enem")</f>
        <v>Enem</v>
      </c>
      <c r="C155" s="4">
        <f ca="1">IFERROR(__xludf.DUMMYFUNCTION("""COMPUTED_VALUE"""),2019)</f>
        <v>2019</v>
      </c>
      <c r="D155" s="4" t="str">
        <f ca="1">IFERROR(__xludf.DUMMYFUNCTION("""COMPUTED_VALUE"""),"Matemática")</f>
        <v>Matemática</v>
      </c>
      <c r="E155" s="4" t="str">
        <f ca="1">IFERROR(__xludf.DUMMYFUNCTION("""COMPUTED_VALUE"""),"Matemática")</f>
        <v>Matemática</v>
      </c>
      <c r="F155" s="4" t="str">
        <f ca="1">IFERROR(__xludf.DUMMYFUNCTION("""COMPUTED_VALUE"""),"Aritmética e Algebra")</f>
        <v>Aritmética e Algebra</v>
      </c>
      <c r="G155" s="4"/>
      <c r="H155" s="4"/>
      <c r="I155" s="4" t="str">
        <f ca="1">IFERROR(__xludf.DUMMYFUNCTION("""COMPUTED_VALUE"""),"Amarelo")</f>
        <v>Amarelo</v>
      </c>
      <c r="J155" s="4">
        <f ca="1">IFERROR(__xludf.DUMMYFUNCTION("""COMPUTED_VALUE"""),138)</f>
        <v>138</v>
      </c>
      <c r="K155" s="4" t="str">
        <f ca="1">IFERROR(__xludf.DUMMYFUNCTION("""COMPUTED_VALUE"""),"D")</f>
        <v>D</v>
      </c>
      <c r="L155" s="4" t="str">
        <f ca="1">IFERROR(__xludf.DUMMYFUNCTION("""COMPUTED_VALUE"""),"Um asteroide batizado de 2013-TV135 passou a aproximadamente 6,7 × 106
quilômetros da Terra. A presença do objeto espacial nas proximidades da Terra foi
detectada por astrônomos ucranianos, que alertaram para uma possível volta do
asteroide em 2032.
O val"&amp;"or posicional do algarismo 7, presente na notação científica da distância,
em quilômetro, entre o asteroide e a Terra, corresponde a:")</f>
        <v>Um asteroide batizado de 2013-TV135 passou a aproximadamente 6,7 × 106
quilômetros da Terra. A presença do objeto espacial nas proximidades da Terra foi
detectada por astrônomos ucranianos, que alertaram para uma possível volta do
asteroide em 2032.
O valor posicional do algarismo 7, presente na notação científica da distância,
em quilômetro, entre o asteroide e a Terra, corresponde a:</v>
      </c>
      <c r="M155" s="4" t="str">
        <f ca="1">IFERROR(__xludf.DUMMYFUNCTION("""COMPUTED_VALUE""")," 7 décimos de quilômetro.")</f>
        <v xml:space="preserve"> 7 décimos de quilômetro.</v>
      </c>
      <c r="N155" s="4" t="str">
        <f ca="1">IFERROR(__xludf.DUMMYFUNCTION("""COMPUTED_VALUE"""),"7 centenas de quilômetros.")</f>
        <v>7 centenas de quilômetros.</v>
      </c>
      <c r="O155" s="4" t="str">
        <f ca="1">IFERROR(__xludf.DUMMYFUNCTION("""COMPUTED_VALUE"""),"7 dezenas de milhar de quilômetros.")</f>
        <v>7 dezenas de milhar de quilômetros.</v>
      </c>
      <c r="P155" s="4" t="str">
        <f ca="1">IFERROR(__xludf.DUMMYFUNCTION("""COMPUTED_VALUE"""),"7 centenas de milhar de quilômetros.")</f>
        <v>7 centenas de milhar de quilômetros.</v>
      </c>
      <c r="Q155" s="4" t="str">
        <f ca="1">IFERROR(__xludf.DUMMYFUNCTION("""COMPUTED_VALUE"""),"7 unidades de milhão de quilômetros.")</f>
        <v>7 unidades de milhão de quilômetros.</v>
      </c>
      <c r="R155" s="4"/>
      <c r="S155" s="4"/>
      <c r="T155" s="4"/>
      <c r="U155" s="4"/>
      <c r="V155" s="4"/>
      <c r="W155" s="4"/>
      <c r="X155" s="4"/>
      <c r="Y155" s="4"/>
      <c r="Z155" s="4"/>
    </row>
    <row r="156" spans="1:26" x14ac:dyDescent="0.25">
      <c r="A156" s="3" t="str">
        <f ca="1">IFERROR(__xludf.DUMMYFUNCTION("""COMPUTED_VALUE"""),"https://drive.google.com/open?id=1yDlChVeed_586p7Q1KCCcNL6WI5HzyEehttps://drive.google.com/open?id=15NzyqVmVQ81RNDdqbZimtz1L9meu3VXB")</f>
        <v>https://drive.google.com/open?id=1yDlChVeed_586p7Q1KCCcNL6WI5HzyEehttps://drive.google.com/open?id=15NzyqVmVQ81RNDdqbZimtz1L9meu3VXB</v>
      </c>
      <c r="B156" s="4" t="str">
        <f ca="1">IFERROR(__xludf.DUMMYFUNCTION("""COMPUTED_VALUE"""),"Enem")</f>
        <v>Enem</v>
      </c>
      <c r="C156" s="4">
        <f ca="1">IFERROR(__xludf.DUMMYFUNCTION("""COMPUTED_VALUE"""),2019)</f>
        <v>2019</v>
      </c>
      <c r="D156" s="4" t="str">
        <f ca="1">IFERROR(__xludf.DUMMYFUNCTION("""COMPUTED_VALUE"""),"Matemática")</f>
        <v>Matemática</v>
      </c>
      <c r="E156" s="4" t="str">
        <f ca="1">IFERROR(__xludf.DUMMYFUNCTION("""COMPUTED_VALUE"""),"Matemática")</f>
        <v>Matemática</v>
      </c>
      <c r="F156" s="4" t="str">
        <f ca="1">IFERROR(__xludf.DUMMYFUNCTION("""COMPUTED_VALUE"""),"Aritmética e Algebra")</f>
        <v>Aritmética e Algebra</v>
      </c>
      <c r="G156" s="4"/>
      <c r="H156" s="4"/>
      <c r="I156" s="4" t="str">
        <f ca="1">IFERROR(__xludf.DUMMYFUNCTION("""COMPUTED_VALUE"""),"Amarelo")</f>
        <v>Amarelo</v>
      </c>
      <c r="J156" s="4">
        <f ca="1">IFERROR(__xludf.DUMMYFUNCTION("""COMPUTED_VALUE"""),139)</f>
        <v>139</v>
      </c>
      <c r="K156" s="4" t="str">
        <f ca="1">IFERROR(__xludf.DUMMYFUNCTION("""COMPUTED_VALUE"""),"A")</f>
        <v>A</v>
      </c>
      <c r="L156" s="4" t="str">
        <f ca="1">IFERROR(__xludf.DUMMYFUNCTION("""COMPUTED_VALUE"""),"A ingestão de sódio no Brasil, que já é normalmente alta, tende a atingir os mais
elevados índices no inverno, quando cresce o consumo de alimentos calóricos e
condimentados. Mas, o sal não é um vilão, ele pode e deve ser consumido diariamente,
salvo algu"&amp;"mas restrições. Para uma pessoa saudável, o consumo máximo de sal
de cozinha (cloreto de sódio) não deve ultrapassar 6 g diárias ou 2,4 g de sódio,
considerando que o sal de cozinha é composto por 40% de sódio e 60% de cloro.
Considere uma pessoa saudável"&amp;" que, no decorrer de 30 dias, consuma 450 g de sal
de cozinha. O seu consumo médio diário excede ao consumo máximo recomendado
diariamente em:")</f>
        <v>A ingestão de sódio no Brasil, que já é normalmente alta, tende a atingir os mais
elevados índices no inverno, quando cresce o consumo de alimentos calóricos e
condimentados. Mas, o sal não é um vilão, ele pode e deve ser consumido diariamente,
salvo algumas restrições. Para uma pessoa saudável, o consumo máximo de sal
de cozinha (cloreto de sódio) não deve ultrapassar 6 g diárias ou 2,4 g de sódio,
considerando que o sal de cozinha é composto por 40% de sódio e 60% de cloro.
Considere uma pessoa saudável que, no decorrer de 30 dias, consuma 450 g de sal
de cozinha. O seu consumo médio diário excede ao consumo máximo recomendado
diariamente em:</v>
      </c>
      <c r="M156" s="4" t="str">
        <f ca="1">IFERROR(__xludf.DUMMYFUNCTION("""COMPUTED_VALUE"""),"150%")</f>
        <v>150%</v>
      </c>
      <c r="N156" s="4" t="str">
        <f ca="1">IFERROR(__xludf.DUMMYFUNCTION("""COMPUTED_VALUE"""),"250%")</f>
        <v>250%</v>
      </c>
      <c r="O156" s="4" t="str">
        <f ca="1">IFERROR(__xludf.DUMMYFUNCTION("""COMPUTED_VALUE"""),"275%")</f>
        <v>275%</v>
      </c>
      <c r="P156" s="4" t="str">
        <f ca="1">IFERROR(__xludf.DUMMYFUNCTION("""COMPUTED_VALUE"""),"525%")</f>
        <v>525%</v>
      </c>
      <c r="Q156" s="4" t="str">
        <f ca="1">IFERROR(__xludf.DUMMYFUNCTION("""COMPUTED_VALUE"""),"625%")</f>
        <v>625%</v>
      </c>
      <c r="R156" s="4"/>
      <c r="S156" s="4"/>
      <c r="T156" s="4"/>
      <c r="U156" s="4"/>
      <c r="V156" s="4"/>
      <c r="W156" s="4"/>
      <c r="X156" s="4"/>
      <c r="Y156" s="4"/>
      <c r="Z156" s="4"/>
    </row>
    <row r="157" spans="1:26" x14ac:dyDescent="0.25">
      <c r="A157" s="3" t="str">
        <f ca="1">IFERROR(__xludf.DUMMYFUNCTION("""COMPUTED_VALUE"""),"https://drive.google.com/open?id=1zVWOfvIA5TWMRCbuWcxoOvVdkO0DlOLHhttps://drive.google.com/open?id=1FETaYmJN2yYSQSh1aYekzHIG0AjpNyWF")</f>
        <v>https://drive.google.com/open?id=1zVWOfvIA5TWMRCbuWcxoOvVdkO0DlOLHhttps://drive.google.com/open?id=1FETaYmJN2yYSQSh1aYekzHIG0AjpNyWF</v>
      </c>
      <c r="B157" s="4" t="str">
        <f ca="1">IFERROR(__xludf.DUMMYFUNCTION("""COMPUTED_VALUE"""),"Enem")</f>
        <v>Enem</v>
      </c>
      <c r="C157" s="4">
        <f ca="1">IFERROR(__xludf.DUMMYFUNCTION("""COMPUTED_VALUE"""),2019)</f>
        <v>2019</v>
      </c>
      <c r="D157" s="4" t="str">
        <f ca="1">IFERROR(__xludf.DUMMYFUNCTION("""COMPUTED_VALUE"""),"Matemática")</f>
        <v>Matemática</v>
      </c>
      <c r="E157" s="4" t="str">
        <f ca="1">IFERROR(__xludf.DUMMYFUNCTION("""COMPUTED_VALUE"""),"Matemática")</f>
        <v>Matemática</v>
      </c>
      <c r="F157" s="4" t="str">
        <f ca="1">IFERROR(__xludf.DUMMYFUNCTION("""COMPUTED_VALUE"""),"Aritmética e Algebra")</f>
        <v>Aritmética e Algebra</v>
      </c>
      <c r="G157" s="4"/>
      <c r="H157" s="4"/>
      <c r="I157" s="4" t="str">
        <f ca="1">IFERROR(__xludf.DUMMYFUNCTION("""COMPUTED_VALUE"""),"Amarelo")</f>
        <v>Amarelo</v>
      </c>
      <c r="J157" s="4">
        <f ca="1">IFERROR(__xludf.DUMMYFUNCTION("""COMPUTED_VALUE"""),140)</f>
        <v>140</v>
      </c>
      <c r="K157" s="4" t="str">
        <f ca="1">IFERROR(__xludf.DUMMYFUNCTION("""COMPUTED_VALUE"""),"D")</f>
        <v>D</v>
      </c>
      <c r="L157" s="4" t="str">
        <f ca="1">IFERROR(__xludf.DUMMYFUNCTION("""COMPUTED_VALUE"""),"Uma pessoa comprou um aparelho sem fio para transmitir músicas a partir do seu
computador para o rádio de seu quarto. Esse aparelho possui quatro chaves seletoras
e cada uma pode estar na posição 0 ou 1. Cada escolha das posições dessas chaves
corresponde"&amp;" a uma frequência diferente de transmissão.
A quantidade de frequências diferentes que esse aparelho pode transmitir é determinada por:")</f>
        <v>Uma pessoa comprou um aparelho sem fio para transmitir músicas a partir do seu
computador para o rádio de seu quarto. Esse aparelho possui quatro chaves seletoras
e cada uma pode estar na posição 0 ou 1. Cada escolha das posições dessas chaves
corresponde a uma frequência diferente de transmissão.
A quantidade de frequências diferentes que esse aparelho pode transmitir é determinada por:</v>
      </c>
      <c r="M157" s="4" t="str">
        <f ca="1">IFERROR(__xludf.DUMMYFUNCTION("""COMPUTED_VALUE"""),"6")</f>
        <v>6</v>
      </c>
      <c r="N157" s="4" t="str">
        <f ca="1">IFERROR(__xludf.DUMMYFUNCTION("""COMPUTED_VALUE"""),"8")</f>
        <v>8</v>
      </c>
      <c r="O157" s="4" t="str">
        <f ca="1">IFERROR(__xludf.DUMMYFUNCTION("""COMPUTED_VALUE"""),"12")</f>
        <v>12</v>
      </c>
      <c r="P157" s="4" t="str">
        <f ca="1">IFERROR(__xludf.DUMMYFUNCTION("""COMPUTED_VALUE"""),"16")</f>
        <v>16</v>
      </c>
      <c r="Q157" s="4" t="str">
        <f ca="1">IFERROR(__xludf.DUMMYFUNCTION("""COMPUTED_VALUE"""),"24")</f>
        <v>24</v>
      </c>
      <c r="R157" s="4"/>
      <c r="S157" s="4"/>
      <c r="T157" s="4"/>
      <c r="U157" s="4"/>
      <c r="V157" s="4"/>
      <c r="W157" s="4"/>
      <c r="X157" s="4"/>
      <c r="Y157" s="4"/>
      <c r="Z157" s="4"/>
    </row>
    <row r="158" spans="1:26" x14ac:dyDescent="0.25">
      <c r="A158" s="3" t="str">
        <f ca="1">IFERROR(__xludf.DUMMYFUNCTION("""COMPUTED_VALUE"""),"https://drive.google.com/open?id=15Czp3uw0VRNcYgCrBq68D98bVit7O-4zhttps://drive.google.com/open?id=1g100bGvfc9l8thp3hbu7SpMakF2xhryE")</f>
        <v>https://drive.google.com/open?id=15Czp3uw0VRNcYgCrBq68D98bVit7O-4zhttps://drive.google.com/open?id=1g100bGvfc9l8thp3hbu7SpMakF2xhryE</v>
      </c>
      <c r="B158" s="4" t="str">
        <f ca="1">IFERROR(__xludf.DUMMYFUNCTION("""COMPUTED_VALUE"""),"Enem")</f>
        <v>Enem</v>
      </c>
      <c r="C158" s="4">
        <f ca="1">IFERROR(__xludf.DUMMYFUNCTION("""COMPUTED_VALUE"""),2019)</f>
        <v>2019</v>
      </c>
      <c r="D158" s="4" t="str">
        <f ca="1">IFERROR(__xludf.DUMMYFUNCTION("""COMPUTED_VALUE"""),"Matemática")</f>
        <v>Matemática</v>
      </c>
      <c r="E158" s="4" t="str">
        <f ca="1">IFERROR(__xludf.DUMMYFUNCTION("""COMPUTED_VALUE"""),"Matemática")</f>
        <v>Matemática</v>
      </c>
      <c r="F158" s="4" t="str">
        <f ca="1">IFERROR(__xludf.DUMMYFUNCTION("""COMPUTED_VALUE"""),"Aritmética e Algebra")</f>
        <v>Aritmética e Algebra</v>
      </c>
      <c r="G158" s="4"/>
      <c r="H158" s="4"/>
      <c r="I158" s="4" t="str">
        <f ca="1">IFERROR(__xludf.DUMMYFUNCTION("""COMPUTED_VALUE"""),"Amarelo")</f>
        <v>Amarelo</v>
      </c>
      <c r="J158" s="4">
        <f ca="1">IFERROR(__xludf.DUMMYFUNCTION("""COMPUTED_VALUE"""),141)</f>
        <v>141</v>
      </c>
      <c r="K158" s="4" t="str">
        <f ca="1">IFERROR(__xludf.DUMMYFUNCTION("""COMPUTED_VALUE"""),"C")</f>
        <v>C</v>
      </c>
      <c r="L158" s="4" t="str">
        <f ca="1">IFERROR(__xludf.DUMMYFUNCTION("""COMPUTED_VALUE"""),"Um gerente decidiu fazer um estudo financeiro da empresa onde trabalha analisando
as receitas anuais dos três últimos anos. Tais receitas são apresentadas no quadro.
[Imagem contida no arquivo]
Estes dados serão utilizados para projetar a receita mínima e"&amp;"sperada para o ano atual
(ano IV), pois a receita esperada para o ano IV é obtida em função das variações das
receitas anuais anteriores, utilizando a seguinte regra: a variação do ano IV para o ano III
será igual à variação do ano III para o II adicionad"&amp;"a à média aritmética entre essa variação
e a variação do ano II para o I.
O valor da receita mínima esperada, em bilhão de reais, será de:")</f>
        <v>Um gerente decidiu fazer um estudo financeiro da empresa onde trabalha analisando
as receitas anuais dos três últimos anos. Tais receitas são apresentadas no quadro.
[Imagem contida no arquivo]
Estes dados serão utilizados para projetar a receita mínima esperada para o ano atual
(ano IV), pois a receita esperada para o ano IV é obtida em função das variações das
receitas anuais anteriores, utilizando a seguinte regra: a variação do ano IV para o ano III
será igual à variação do ano III para o II adicionada à média aritmética entre essa variação
e a variação do ano II para o I.
O valor da receita mínima esperada, em bilhão de reais, será de:</v>
      </c>
      <c r="M158" s="4" t="str">
        <f ca="1">IFERROR(__xludf.DUMMYFUNCTION("""COMPUTED_VALUE"""),"10")</f>
        <v>10</v>
      </c>
      <c r="N158" s="4" t="str">
        <f ca="1">IFERROR(__xludf.DUMMYFUNCTION("""COMPUTED_VALUE"""),"12")</f>
        <v>12</v>
      </c>
      <c r="O158" s="4" t="str">
        <f ca="1">IFERROR(__xludf.DUMMYFUNCTION("""COMPUTED_VALUE"""),"13,2")</f>
        <v>13,2</v>
      </c>
      <c r="P158" s="4" t="str">
        <f ca="1">IFERROR(__xludf.DUMMYFUNCTION("""COMPUTED_VALUE"""),"16,8")</f>
        <v>16,8</v>
      </c>
      <c r="Q158" s="4" t="str">
        <f ca="1">IFERROR(__xludf.DUMMYFUNCTION("""COMPUTED_VALUE"""),"20,6")</f>
        <v>20,6</v>
      </c>
      <c r="R158" s="4"/>
      <c r="S158" s="4"/>
      <c r="T158" s="4"/>
      <c r="U158" s="4"/>
      <c r="V158" s="4"/>
      <c r="W158" s="4"/>
      <c r="X158" s="4"/>
      <c r="Y158" s="4"/>
      <c r="Z158" s="4"/>
    </row>
    <row r="159" spans="1:26" x14ac:dyDescent="0.25">
      <c r="A159" s="3" t="str">
        <f ca="1">IFERROR(__xludf.DUMMYFUNCTION("""COMPUTED_VALUE"""),"https://drive.google.com/open?id=1IZYyBDTCFBl-IIi92gwM3i5ZmhPRazUKhttps://drive.google.com/open?id=14AcbRHzuxmSWnwLUY8F3EiuDWEkqKkNj")</f>
        <v>https://drive.google.com/open?id=1IZYyBDTCFBl-IIi92gwM3i5ZmhPRazUKhttps://drive.google.com/open?id=14AcbRHzuxmSWnwLUY8F3EiuDWEkqKkNj</v>
      </c>
      <c r="B159" s="4" t="str">
        <f ca="1">IFERROR(__xludf.DUMMYFUNCTION("""COMPUTED_VALUE"""),"Enem")</f>
        <v>Enem</v>
      </c>
      <c r="C159" s="4">
        <f ca="1">IFERROR(__xludf.DUMMYFUNCTION("""COMPUTED_VALUE"""),2019)</f>
        <v>2019</v>
      </c>
      <c r="D159" s="4" t="str">
        <f ca="1">IFERROR(__xludf.DUMMYFUNCTION("""COMPUTED_VALUE"""),"Matemática")</f>
        <v>Matemática</v>
      </c>
      <c r="E159" s="4" t="str">
        <f ca="1">IFERROR(__xludf.DUMMYFUNCTION("""COMPUTED_VALUE"""),"Matemática")</f>
        <v>Matemática</v>
      </c>
      <c r="F159" s="4" t="str">
        <f ca="1">IFERROR(__xludf.DUMMYFUNCTION("""COMPUTED_VALUE"""),"Aritmética e Algebra")</f>
        <v>Aritmética e Algebra</v>
      </c>
      <c r="G159" s="4"/>
      <c r="H159" s="4"/>
      <c r="I159" s="4" t="str">
        <f ca="1">IFERROR(__xludf.DUMMYFUNCTION("""COMPUTED_VALUE"""),"Amarelo")</f>
        <v>Amarelo</v>
      </c>
      <c r="J159" s="4">
        <f ca="1">IFERROR(__xludf.DUMMYFUNCTION("""COMPUTED_VALUE"""),142)</f>
        <v>142</v>
      </c>
      <c r="K159" s="4" t="str">
        <f ca="1">IFERROR(__xludf.DUMMYFUNCTION("""COMPUTED_VALUE"""),"C")</f>
        <v>C</v>
      </c>
      <c r="L159" s="4" t="str">
        <f ca="1">IFERROR(__xludf.DUMMYFUNCTION("""COMPUTED_VALUE"""),"Em uma corrida de regularidade, cada corredor recebe um mapa com o trajeto
a ser seguido e uma tabela indicando intervalos de tempo e distâncias entre postos
de averiguação. O objetivo dos competidores é passar por cada um dos postos de
averiguação o mais"&amp;" próximo possível do tempo estabelecido na tabela. Suponha que o
tempo previsto para percorrer a distância entre dois postos de verificação consecutivos
seja sempre de 5 min 15 s, e que um corredor obteve os seguintes tempos nos quatro
primeiros postos.
["&amp;"Imagem contida no arquivo]
Caso esse corredor consiga manter o mesmo ritmo, seu tempo total de corrida será:")</f>
        <v>Em uma corrida de regularidade, cada corredor recebe um mapa com o trajeto
a ser seguido e uma tabela indicando intervalos de tempo e distâncias entre postos
de averiguação. O objetivo dos competidores é passar por cada um dos postos de
averiguação o mais próximo possível do tempo estabelecido na tabela. Suponha que o
tempo previsto para percorrer a distância entre dois postos de verificação consecutivos
seja sempre de 5 min 15 s, e que um corredor obteve os seguintes tempos nos quatro
primeiros postos.
[Imagem contida no arquivo]
Caso esse corredor consiga manter o mesmo ritmo, seu tempo total de corrida será:</v>
      </c>
      <c r="M159" s="4" t="str">
        <f ca="1">IFERROR(__xludf.DUMMYFUNCTION("""COMPUTED_VALUE"""),"1 h 55 min 42 s")</f>
        <v>1 h 55 min 42 s</v>
      </c>
      <c r="N159" s="4" t="str">
        <f ca="1">IFERROR(__xludf.DUMMYFUNCTION("""COMPUTED_VALUE"""),"1 h 56 min 30 s.")</f>
        <v>1 h 56 min 30 s.</v>
      </c>
      <c r="O159" s="4" t="str">
        <f ca="1">IFERROR(__xludf.DUMMYFUNCTION("""COMPUTED_VALUE"""),"1 h 59 min 54 s")</f>
        <v>1 h 59 min 54 s</v>
      </c>
      <c r="P159" s="4" t="str">
        <f ca="1">IFERROR(__xludf.DUMMYFUNCTION("""COMPUTED_VALUE"""),"2 h 05 min 09 s.")</f>
        <v>2 h 05 min 09 s.</v>
      </c>
      <c r="Q159" s="4" t="str">
        <f ca="1">IFERROR(__xludf.DUMMYFUNCTION("""COMPUTED_VALUE"""),"2 h 05 min 21 s.")</f>
        <v>2 h 05 min 21 s.</v>
      </c>
      <c r="R159" s="4"/>
      <c r="S159" s="4"/>
      <c r="T159" s="4"/>
      <c r="U159" s="4"/>
      <c r="V159" s="4"/>
      <c r="W159" s="4"/>
      <c r="X159" s="4"/>
      <c r="Y159" s="4"/>
      <c r="Z159" s="4"/>
    </row>
    <row r="160" spans="1:26" x14ac:dyDescent="0.25">
      <c r="A160" s="3" t="str">
        <f ca="1">IFERROR(__xludf.DUMMYFUNCTION("""COMPUTED_VALUE"""),"https://drive.google.com/open?id=1yHMV3O4MtWJOsKOgusJSbxvrlPN3gmuVhttps://drive.google.com/open?id=1C9TDFgxe8nJTsg4aWy40E3kTEtFrLwKt")</f>
        <v>https://drive.google.com/open?id=1yHMV3O4MtWJOsKOgusJSbxvrlPN3gmuVhttps://drive.google.com/open?id=1C9TDFgxe8nJTsg4aWy40E3kTEtFrLwKt</v>
      </c>
      <c r="B160" s="4" t="str">
        <f ca="1">IFERROR(__xludf.DUMMYFUNCTION("""COMPUTED_VALUE"""),"Enem")</f>
        <v>Enem</v>
      </c>
      <c r="C160" s="4">
        <f ca="1">IFERROR(__xludf.DUMMYFUNCTION("""COMPUTED_VALUE"""),2019)</f>
        <v>2019</v>
      </c>
      <c r="D160" s="4" t="str">
        <f ca="1">IFERROR(__xludf.DUMMYFUNCTION("""COMPUTED_VALUE"""),"Matemática")</f>
        <v>Matemática</v>
      </c>
      <c r="E160" s="4" t="str">
        <f ca="1">IFERROR(__xludf.DUMMYFUNCTION("""COMPUTED_VALUE"""),"Matemática")</f>
        <v>Matemática</v>
      </c>
      <c r="F160" s="4" t="str">
        <f ca="1">IFERROR(__xludf.DUMMYFUNCTION("""COMPUTED_VALUE"""),"Aritmética e Algebra")</f>
        <v>Aritmética e Algebra</v>
      </c>
      <c r="G160" s="4"/>
      <c r="H160" s="4"/>
      <c r="I160" s="4" t="str">
        <f ca="1">IFERROR(__xludf.DUMMYFUNCTION("""COMPUTED_VALUE"""),"Amarelo")</f>
        <v>Amarelo</v>
      </c>
      <c r="J160" s="4">
        <f ca="1">IFERROR(__xludf.DUMMYFUNCTION("""COMPUTED_VALUE"""),143)</f>
        <v>143</v>
      </c>
      <c r="K160" s="4" t="str">
        <f ca="1">IFERROR(__xludf.DUMMYFUNCTION("""COMPUTED_VALUE"""),"B")</f>
        <v>B</v>
      </c>
      <c r="L160" s="4" t="str">
        <f ca="1">IFERROR(__xludf.DUMMYFUNCTION("""COMPUTED_VALUE"""),"Um pintor cobra R$ 240,00 por dia de trabalho, que equivale a 8 horas de trabalho
num dia. Quando é chamado para um serviço, esse pintor trabalha 8 horas por dia com
exceção, talvez, do seu último dia nesse serviço. Nesse último dia, caso trabalhe até
4 h"&amp;"oras, ele cobra metade do valor de um dia de trabalho. Caso trabalhe mais de
4 horas, cobra o valor correspondente a um dia de trabalho. Esse pintor gasta 8 horas
para pintar uma vez uma área de 40 m2. Um cliente deseja pintar as paredes de sua
casa, com "&amp;"uma área total de 260 m2. Ele quer que essa área seja pintada o maior
número possível de vezes para que a qualidade da pintura seja a melhor possível.
O orçamento desse cliente para a pintura é de R$ 4 600,00.
Quantas vezes, no máximo, as paredes da casa "&amp;"poderão ser pintadas com o orçamento
do cliente?")</f>
        <v>Um pintor cobra R$ 240,00 por dia de trabalho, que equivale a 8 horas de trabalho
num dia. Quando é chamado para um serviço, esse pintor trabalha 8 horas por dia com
exceção, talvez, do seu último dia nesse serviço. Nesse último dia, caso trabalhe até
4 horas, ele cobra metade do valor de um dia de trabalho. Caso trabalhe mais de
4 horas, cobra o valor correspondente a um dia de trabalho. Esse pintor gasta 8 horas
para pintar uma vez uma área de 40 m2. Um cliente deseja pintar as paredes de sua
casa, com uma área total de 260 m2. Ele quer que essa área seja pintada o maior
número possível de vezes para que a qualidade da pintura seja a melhor possível.
O orçamento desse cliente para a pintura é de R$ 4 600,00.
Quantas vezes, no máximo, as paredes da casa poderão ser pintadas com o orçamento
do cliente?</v>
      </c>
      <c r="M160" s="4" t="str">
        <f ca="1">IFERROR(__xludf.DUMMYFUNCTION("""COMPUTED_VALUE"""),"1")</f>
        <v>1</v>
      </c>
      <c r="N160" s="4" t="str">
        <f ca="1">IFERROR(__xludf.DUMMYFUNCTION("""COMPUTED_VALUE"""),"2")</f>
        <v>2</v>
      </c>
      <c r="O160" s="4" t="str">
        <f ca="1">IFERROR(__xludf.DUMMYFUNCTION("""COMPUTED_VALUE"""),"3")</f>
        <v>3</v>
      </c>
      <c r="P160" s="4" t="str">
        <f ca="1">IFERROR(__xludf.DUMMYFUNCTION("""COMPUTED_VALUE"""),"5")</f>
        <v>5</v>
      </c>
      <c r="Q160" s="4" t="str">
        <f ca="1">IFERROR(__xludf.DUMMYFUNCTION("""COMPUTED_VALUE"""),"6")</f>
        <v>6</v>
      </c>
      <c r="R160" s="4"/>
      <c r="S160" s="4"/>
      <c r="T160" s="4"/>
      <c r="U160" s="4"/>
      <c r="V160" s="4"/>
      <c r="W160" s="4"/>
      <c r="X160" s="4"/>
      <c r="Y160" s="4"/>
      <c r="Z160" s="4"/>
    </row>
    <row r="161" spans="1:26" x14ac:dyDescent="0.25">
      <c r="A161" s="3" t="str">
        <f ca="1">IFERROR(__xludf.DUMMYFUNCTION("""COMPUTED_VALUE"""),"https://drive.google.com/open?id=16MFDCTcUo3sybB3gDqAoOXJx-tD_L08whttps://drive.google.com/open?id=1pE0mlfAFSrhnxpSHuDpIcj1TrHNJWxn0")</f>
        <v>https://drive.google.com/open?id=16MFDCTcUo3sybB3gDqAoOXJx-tD_L08whttps://drive.google.com/open?id=1pE0mlfAFSrhnxpSHuDpIcj1TrHNJWxn0</v>
      </c>
      <c r="B161" s="4" t="str">
        <f ca="1">IFERROR(__xludf.DUMMYFUNCTION("""COMPUTED_VALUE"""),"Enem")</f>
        <v>Enem</v>
      </c>
      <c r="C161" s="4">
        <f ca="1">IFERROR(__xludf.DUMMYFUNCTION("""COMPUTED_VALUE"""),2019)</f>
        <v>2019</v>
      </c>
      <c r="D161" s="4" t="str">
        <f ca="1">IFERROR(__xludf.DUMMYFUNCTION("""COMPUTED_VALUE"""),"Matemática")</f>
        <v>Matemática</v>
      </c>
      <c r="E161" s="4" t="str">
        <f ca="1">IFERROR(__xludf.DUMMYFUNCTION("""COMPUTED_VALUE"""),"Matemática")</f>
        <v>Matemática</v>
      </c>
      <c r="F161" s="4" t="str">
        <f ca="1">IFERROR(__xludf.DUMMYFUNCTION("""COMPUTED_VALUE"""),"Aritmética e Algebra")</f>
        <v>Aritmética e Algebra</v>
      </c>
      <c r="G161" s="4"/>
      <c r="H161" s="4"/>
      <c r="I161" s="4" t="str">
        <f ca="1">IFERROR(__xludf.DUMMYFUNCTION("""COMPUTED_VALUE"""),"Amarelo")</f>
        <v>Amarelo</v>
      </c>
      <c r="J161" s="4">
        <f ca="1">IFERROR(__xludf.DUMMYFUNCTION("""COMPUTED_VALUE"""),144)</f>
        <v>144</v>
      </c>
      <c r="K161" s="4" t="str">
        <f ca="1">IFERROR(__xludf.DUMMYFUNCTION("""COMPUTED_VALUE"""),"C")</f>
        <v>C</v>
      </c>
      <c r="L161" s="4" t="str">
        <f ca="1">IFERROR(__xludf.DUMMYFUNCTION("""COMPUTED_VALUE"""),"Alguns modelos de rádios automotivos estão protegidos por um código de segurança.
Para ativar o sistema de áudio, deve-se digitar o código secreto composto por quatro
algarismos. No primeiro caso de erro na digitação, a pessoa deve esperar 60 segundos
par"&amp;"a digitar o código novamente. O tempo de espera duplica, em relação ao tempo de
espera anterior, a cada digitação errada. Uma pessoa conseguiu ativar o rádio somente na
quarta tentativa, sendo de 30 segundos o tempo gasto para digitação do código secreto "&amp;"a
cada tentativa. Nos casos da digitação incorreta, ela iniciou a nova tentativa imediatamente
após a liberação do sistema de espera.
O tempo total, em segundo, gasto por essa pessoa para ativar o rádio foi igual a")</f>
        <v>Alguns modelos de rádios automotivos estão protegidos por um código de segurança.
Para ativar o sistema de áudio, deve-se digitar o código secreto composto por quatro
algarismos. No primeiro caso de erro na digitação, a pessoa deve esperar 60 segundos
para digitar o código novamente. O tempo de espera duplica, em relação ao tempo de
espera anterior, a cada digitação errada. Uma pessoa conseguiu ativar o rádio somente na
quarta tentativa, sendo de 30 segundos o tempo gasto para digitação do código secreto a
cada tentativa. Nos casos da digitação incorreta, ela iniciou a nova tentativa imediatamente
após a liberação do sistema de espera.
O tempo total, em segundo, gasto por essa pessoa para ativar o rádio foi igual a</v>
      </c>
      <c r="M161" s="4" t="str">
        <f ca="1">IFERROR(__xludf.DUMMYFUNCTION("""COMPUTED_VALUE"""),"300.")</f>
        <v>300.</v>
      </c>
      <c r="N161" s="4" t="str">
        <f ca="1">IFERROR(__xludf.DUMMYFUNCTION("""COMPUTED_VALUE"""),"420.")</f>
        <v>420.</v>
      </c>
      <c r="O161" s="4" t="str">
        <f ca="1">IFERROR(__xludf.DUMMYFUNCTION("""COMPUTED_VALUE"""),"540.")</f>
        <v>540.</v>
      </c>
      <c r="P161" s="4" t="str">
        <f ca="1">IFERROR(__xludf.DUMMYFUNCTION("""COMPUTED_VALUE"""),"660.")</f>
        <v>660.</v>
      </c>
      <c r="Q161" s="4" t="str">
        <f ca="1">IFERROR(__xludf.DUMMYFUNCTION("""COMPUTED_VALUE"""),"1020.")</f>
        <v>1020.</v>
      </c>
      <c r="R161" s="4"/>
      <c r="S161" s="4"/>
      <c r="T161" s="4"/>
      <c r="U161" s="4"/>
      <c r="V161" s="4"/>
      <c r="W161" s="4"/>
      <c r="X161" s="4"/>
      <c r="Y161" s="4"/>
      <c r="Z161" s="4"/>
    </row>
    <row r="162" spans="1:26" x14ac:dyDescent="0.25">
      <c r="A162" s="3" t="str">
        <f ca="1">IFERROR(__xludf.DUMMYFUNCTION("""COMPUTED_VALUE"""),"https://drive.google.com/open?id=12_IaxRvoIVsvtkC29BvvXZmasWOmqx93https://drive.google.com/open?id=1SfmkgPudUmbc_7P18wvghsurzfAh2wIg")</f>
        <v>https://drive.google.com/open?id=12_IaxRvoIVsvtkC29BvvXZmasWOmqx93https://drive.google.com/open?id=1SfmkgPudUmbc_7P18wvghsurzfAh2wIg</v>
      </c>
      <c r="B162" s="4" t="str">
        <f ca="1">IFERROR(__xludf.DUMMYFUNCTION("""COMPUTED_VALUE"""),"Enem")</f>
        <v>Enem</v>
      </c>
      <c r="C162" s="4">
        <f ca="1">IFERROR(__xludf.DUMMYFUNCTION("""COMPUTED_VALUE"""),2019)</f>
        <v>2019</v>
      </c>
      <c r="D162" s="4" t="str">
        <f ca="1">IFERROR(__xludf.DUMMYFUNCTION("""COMPUTED_VALUE"""),"Matemática")</f>
        <v>Matemática</v>
      </c>
      <c r="E162" s="4" t="str">
        <f ca="1">IFERROR(__xludf.DUMMYFUNCTION("""COMPUTED_VALUE"""),"Matemática")</f>
        <v>Matemática</v>
      </c>
      <c r="F162" s="4" t="str">
        <f ca="1">IFERROR(__xludf.DUMMYFUNCTION("""COMPUTED_VALUE"""),"Aritmética e Algebra")</f>
        <v>Aritmética e Algebra</v>
      </c>
      <c r="G162" s="4" t="str">
        <f ca="1">IFERROR(__xludf.DUMMYFUNCTION("""COMPUTED_VALUE"""),"Óptica e Térmica")</f>
        <v>Óptica e Térmica</v>
      </c>
      <c r="H162" s="4"/>
      <c r="I162" s="4" t="str">
        <f ca="1">IFERROR(__xludf.DUMMYFUNCTION("""COMPUTED_VALUE"""),"Amarelo")</f>
        <v>Amarelo</v>
      </c>
      <c r="J162" s="4">
        <f ca="1">IFERROR(__xludf.DUMMYFUNCTION("""COMPUTED_VALUE"""),145)</f>
        <v>145</v>
      </c>
      <c r="K162" s="4" t="str">
        <f ca="1">IFERROR(__xludf.DUMMYFUNCTION("""COMPUTED_VALUE"""),"A")</f>
        <v>A</v>
      </c>
      <c r="L162" s="4" t="str">
        <f ca="1">IFERROR(__xludf.DUMMYFUNCTION("""COMPUTED_VALUE"""),"Os movimentos ondulatórios (periódicos) são representados por equações do tipo
  Asen  wt  , que apresentam parâmetros com significados físicos importantes, tais
como a frequência w
T  2
, em que T é o período; A é a amplitude ou deslocamento
máximo; θ é "&amp;"o ângulo de fase 0 2
w
, que mede o deslocamento no eixo horizontal
em relação à origem no instante inicial do movimento.
O gráfico representa um movimento periódico, P = P(t), em centímetro, em que
P é a posição da cabeça do pistão do motor de um car"&amp;"ro em um instante t, conforme
ilustra a figura.
[Figura contida no arquivo]
A expressão algébrica que representa a posição P(t), da cabeça do pistão, em função do
tempo t é:")</f>
        <v>Os movimentos ondulatórios (periódicos) são representados por equações do tipo
  Asen  wt  , que apresentam parâmetros com significados físicos importantes, tais
como a frequência w
T  2
, em que T é o período; A é a amplitude ou deslocamento
máximo; θ é o ângulo de fase 0 2
w
, que mede o deslocamento no eixo horizontal
em relação à origem no instante inicial do movimento.
O gráfico representa um movimento periódico, P = P(t), em centímetro, em que
P é a posição da cabeça do pistão do motor de um carro em um instante t, conforme
ilustra a figura.
[Figura contida no arquivo]
A expressão algébrica que representa a posição P(t), da cabeça do pistão, em função do
tempo t é:</v>
      </c>
      <c r="M162" s="4" t="str">
        <f ca="1">IFERROR(__xludf.DUMMYFUNCTION("""COMPUTED_VALUE"""),"P (t)= 4 sen (2t ) ")</f>
        <v xml:space="preserve">P (t)= 4 sen (2t ) </v>
      </c>
      <c r="N162" s="4" t="str">
        <f ca="1">IFERROR(__xludf.DUMMYFUNCTION("""COMPUTED_VALUE"""),"P (t)= - 4 sen (2t ) ")</f>
        <v xml:space="preserve">P (t)= - 4 sen (2t ) </v>
      </c>
      <c r="O162" s="4" t="str">
        <f ca="1">IFERROR(__xludf.DUMMYFUNCTION("""COMPUTED_VALUE"""),"P (t)= - 4 sen (4t )")</f>
        <v>P (t)= - 4 sen (4t )</v>
      </c>
      <c r="P162" s="4" t="str">
        <f ca="1">IFERROR(__xludf.DUMMYFUNCTION("""COMPUTED_VALUE"""),"P (t)= 4 sen (2t + π/4) 
")</f>
        <v xml:space="preserve">P (t)= 4 sen (2t + π/4) 
</v>
      </c>
      <c r="Q162" s="4" t="str">
        <f ca="1">IFERROR(__xludf.DUMMYFUNCTION("""COMPUTED_VALUE"""),"P (t)= 4 sen (4t + π/4) ")</f>
        <v xml:space="preserve">P (t)= 4 sen (4t + π/4) </v>
      </c>
      <c r="R162" s="4"/>
      <c r="S162" s="4"/>
      <c r="T162" s="4"/>
      <c r="U162" s="4"/>
      <c r="V162" s="4"/>
      <c r="W162" s="4"/>
      <c r="X162" s="4"/>
      <c r="Y162" s="4"/>
      <c r="Z162" s="4"/>
    </row>
    <row r="163" spans="1:26" x14ac:dyDescent="0.25">
      <c r="A163" s="3" t="str">
        <f ca="1">IFERROR(__xludf.DUMMYFUNCTION("""COMPUTED_VALUE"""),"https://drive.google.com/open?id=1p2DGJBGfisg5kTM9sxfSdG0fB9H4l44Nhttps://drive.google.com/open?id=1Rmot-LA8wJMP80PDIix9iuEhYVx-Vxw_")</f>
        <v>https://drive.google.com/open?id=1p2DGJBGfisg5kTM9sxfSdG0fB9H4l44Nhttps://drive.google.com/open?id=1Rmot-LA8wJMP80PDIix9iuEhYVx-Vxw_</v>
      </c>
      <c r="B163" s="4" t="str">
        <f ca="1">IFERROR(__xludf.DUMMYFUNCTION("""COMPUTED_VALUE"""),"Enem")</f>
        <v>Enem</v>
      </c>
      <c r="C163" s="4">
        <f ca="1">IFERROR(__xludf.DUMMYFUNCTION("""COMPUTED_VALUE"""),2019)</f>
        <v>2019</v>
      </c>
      <c r="D163" s="4" t="str">
        <f ca="1">IFERROR(__xludf.DUMMYFUNCTION("""COMPUTED_VALUE"""),"Matemática")</f>
        <v>Matemática</v>
      </c>
      <c r="E163" s="4" t="str">
        <f ca="1">IFERROR(__xludf.DUMMYFUNCTION("""COMPUTED_VALUE"""),"Matemática")</f>
        <v>Matemática</v>
      </c>
      <c r="F163" s="4" t="str">
        <f ca="1">IFERROR(__xludf.DUMMYFUNCTION("""COMPUTED_VALUE"""),"Aritmética e Algebra")</f>
        <v>Aritmética e Algebra</v>
      </c>
      <c r="G163" s="4"/>
      <c r="H163" s="4"/>
      <c r="I163" s="4" t="str">
        <f ca="1">IFERROR(__xludf.DUMMYFUNCTION("""COMPUTED_VALUE"""),"Amarelo")</f>
        <v>Amarelo</v>
      </c>
      <c r="J163" s="4">
        <f ca="1">IFERROR(__xludf.DUMMYFUNCTION("""COMPUTED_VALUE"""),146)</f>
        <v>146</v>
      </c>
      <c r="K163" s="4" t="str">
        <f ca="1">IFERROR(__xludf.DUMMYFUNCTION("""COMPUTED_VALUE"""),"E")</f>
        <v>E</v>
      </c>
      <c r="L163" s="4" t="str">
        <f ca="1">IFERROR(__xludf.DUMMYFUNCTION("""COMPUTED_VALUE"""),"A conta de telefone de uma loja foi, nesse mês, de R$ 200,00. O valor da assinatura
mensal, já incluso na conta, é de R$ 40,00, o qual dá direito a realizar uma quantidade
ilimitada de ligações locais para telefones fixos. As ligações para celulares são t"&amp;"arifadas
separadamente. Nessa loja, são feitas somente ligações locais, tanto para telefones fixos
quanto para celulares. Para reduzir os custos, o gerente planeja, para o próximo mês, uma
conta de telefone com valor de R$ 80,00.
Para que esse planejament"&amp;"o se cumpra, a redução percentual com gastos em ligações
para celulares nessa loja deverá ser de:")</f>
        <v>A conta de telefone de uma loja foi, nesse mês, de R$ 200,00. O valor da assinatura
mensal, já incluso na conta, é de R$ 40,00, o qual dá direito a realizar uma quantidade
ilimitada de ligações locais para telefones fixos. As ligações para celulares são tarifadas
separadamente. Nessa loja, são feitas somente ligações locais, tanto para telefones fixos
quanto para celulares. Para reduzir os custos, o gerente planeja, para o próximo mês, uma
conta de telefone com valor de R$ 80,00.
Para que esse planejamento se cumpra, a redução percentual com gastos em ligações
para celulares nessa loja deverá ser de:</v>
      </c>
      <c r="M163" s="4" t="str">
        <f ca="1">IFERROR(__xludf.DUMMYFUNCTION("""COMPUTED_VALUE"""),"25%")</f>
        <v>25%</v>
      </c>
      <c r="N163" s="4" t="str">
        <f ca="1">IFERROR(__xludf.DUMMYFUNCTION("""COMPUTED_VALUE"""),"40%")</f>
        <v>40%</v>
      </c>
      <c r="O163" s="4" t="str">
        <f ca="1">IFERROR(__xludf.DUMMYFUNCTION("""COMPUTED_VALUE"""),"50%")</f>
        <v>50%</v>
      </c>
      <c r="P163" s="4" t="str">
        <f ca="1">IFERROR(__xludf.DUMMYFUNCTION("""COMPUTED_VALUE"""),"60%")</f>
        <v>60%</v>
      </c>
      <c r="Q163" s="4" t="str">
        <f ca="1">IFERROR(__xludf.DUMMYFUNCTION("""COMPUTED_VALUE"""),"75%")</f>
        <v>75%</v>
      </c>
      <c r="R163" s="4"/>
      <c r="S163" s="4"/>
      <c r="T163" s="4"/>
      <c r="U163" s="4"/>
      <c r="V163" s="4"/>
      <c r="W163" s="4"/>
      <c r="X163" s="4"/>
      <c r="Y163" s="4"/>
      <c r="Z163" s="4"/>
    </row>
    <row r="164" spans="1:26" x14ac:dyDescent="0.25">
      <c r="A164" s="3" t="str">
        <f ca="1">IFERROR(__xludf.DUMMYFUNCTION("""COMPUTED_VALUE"""),"https://drive.google.com/open?id=1I8UYaXpgmXnTiCT4oeGwV0eIFQx9aViDhttps://drive.google.com/open?id=1HF9RkamLFO89vHB-VEIYTGb9AKfr2rES")</f>
        <v>https://drive.google.com/open?id=1I8UYaXpgmXnTiCT4oeGwV0eIFQx9aViDhttps://drive.google.com/open?id=1HF9RkamLFO89vHB-VEIYTGb9AKfr2rES</v>
      </c>
      <c r="B164" s="4" t="str">
        <f ca="1">IFERROR(__xludf.DUMMYFUNCTION("""COMPUTED_VALUE"""),"Enem")</f>
        <v>Enem</v>
      </c>
      <c r="C164" s="4">
        <f ca="1">IFERROR(__xludf.DUMMYFUNCTION("""COMPUTED_VALUE"""),2019)</f>
        <v>2019</v>
      </c>
      <c r="D164" s="4" t="str">
        <f ca="1">IFERROR(__xludf.DUMMYFUNCTION("""COMPUTED_VALUE"""),"Matemática")</f>
        <v>Matemática</v>
      </c>
      <c r="E164" s="4" t="str">
        <f ca="1">IFERROR(__xludf.DUMMYFUNCTION("""COMPUTED_VALUE"""),"Matemática")</f>
        <v>Matemática</v>
      </c>
      <c r="F164" s="4" t="str">
        <f ca="1">IFERROR(__xludf.DUMMYFUNCTION("""COMPUTED_VALUE"""),"Aritmética e Algebra")</f>
        <v>Aritmética e Algebra</v>
      </c>
      <c r="G164" s="4"/>
      <c r="H164" s="4"/>
      <c r="I164" s="4" t="str">
        <f ca="1">IFERROR(__xludf.DUMMYFUNCTION("""COMPUTED_VALUE"""),"Amarelo")</f>
        <v>Amarelo</v>
      </c>
      <c r="J164" s="4">
        <f ca="1">IFERROR(__xludf.DUMMYFUNCTION("""COMPUTED_VALUE"""),147)</f>
        <v>147</v>
      </c>
      <c r="K164" s="4" t="str">
        <f ca="1">IFERROR(__xludf.DUMMYFUNCTION("""COMPUTED_VALUE"""),"B")</f>
        <v>B</v>
      </c>
      <c r="L164" s="4" t="str">
        <f ca="1">IFERROR(__xludf.DUMMYFUNCTION("""COMPUTED_VALUE"""),"Uma equipe de cientistas decidiu iniciar uma cultura com exemplares de uma bactéria,
em uma lâmina, a fim de determinar o comportamento dessa população. Após alguns dias,
os cientistas verificaram os seguintes fatos:
• a cultura cresceu e ocupou uma área "&amp;"com o formato de um círculo;
• o raio do círculo formado pela cultura de bactérias aumentou 10% a cada dia;
• a concentração na cultura era de 1 000 bactérias por milímetro quadrado e não mudou
significativamente com o tempo.
Considere que r representa o "&amp;"raio do círculo no primeiro dia, Q a quantidade de
bactérias nessa cultura no decorrer do tempo e d o número de dias transcorridos.
Qual é a expressão que representa Q em função de r e d ?")</f>
        <v>Uma equipe de cientistas decidiu iniciar uma cultura com exemplares de uma bactéria,
em uma lâmina, a fim de determinar o comportamento dessa população. Após alguns dias,
os cientistas verificaram os seguintes fatos:
• a cultura cresceu e ocupou uma área com o formato de um círculo;
• o raio do círculo formado pela cultura de bactérias aumentou 10% a cada dia;
• a concentração na cultura era de 1 000 bactérias por milímetro quadrado e não mudou
significativamente com o tempo.
Considere que r representa o raio do círculo no primeiro dia, Q a quantidade de
bactérias nessa cultura no decorrer do tempo e d o número de dias transcorridos.
Qual é a expressão que representa Q em função de r e d ?</v>
      </c>
      <c r="M164" s="4" t="str">
        <f ca="1">IFERROR(__xludf.DUMMYFUNCTION("""COMPUTED_VALUE"""),"Q= {10³ (1,1)^d-1 r]²  π")</f>
        <v>Q= {10³ (1,1)^d-1 r]²  π</v>
      </c>
      <c r="N164" s="4" t="str">
        <f ca="1">IFERROR(__xludf.DUMMYFUNCTION("""COMPUTED_VALUE"""),"Q= 10³ {(1,1)^d-1 r]²  π")</f>
        <v>Q= 10³ {(1,1)^d-1 r]²  π</v>
      </c>
      <c r="O164" s="4" t="str">
        <f ca="1">IFERROR(__xludf.DUMMYFUNCTION("""COMPUTED_VALUE"""),"Q= 10³ (1,1(d-1) r]²  π")</f>
        <v>Q= 10³ (1,1(d-1) r]²  π</v>
      </c>
      <c r="P164" s="4" t="str">
        <f ca="1">IFERROR(__xludf.DUMMYFUNCTION("""COMPUTED_VALUE"""),"Q= 2x10³ (1,1) ˆ(d-1) r  π")</f>
        <v>Q= 2x10³ (1,1) ˆ(d-1) r  π</v>
      </c>
      <c r="Q164" s="4" t="str">
        <f ca="1">IFERROR(__xludf.DUMMYFUNCTION("""COMPUTED_VALUE"""),"Q= 2x10³ (1,1(d 1) r ) π")</f>
        <v>Q= 2x10³ (1,1(d 1) r ) π</v>
      </c>
      <c r="R164" s="4"/>
      <c r="S164" s="4"/>
      <c r="T164" s="4"/>
      <c r="U164" s="4"/>
      <c r="V164" s="4"/>
      <c r="W164" s="4"/>
      <c r="X164" s="4"/>
      <c r="Y164" s="4"/>
      <c r="Z164" s="4"/>
    </row>
    <row r="165" spans="1:26" x14ac:dyDescent="0.25">
      <c r="A165" s="3" t="str">
        <f ca="1">IFERROR(__xludf.DUMMYFUNCTION("""COMPUTED_VALUE"""),"https://drive.google.com/open?id=1eP831VaOQMjFuUB9SPx3JrEOKysTiRT9https://drive.google.com/open?id=1Dv5EEq0NvOurEK7O9T59VaEFhWWIhhSZ")</f>
        <v>https://drive.google.com/open?id=1eP831VaOQMjFuUB9SPx3JrEOKysTiRT9https://drive.google.com/open?id=1Dv5EEq0NvOurEK7O9T59VaEFhWWIhhSZ</v>
      </c>
      <c r="B165" s="4" t="str">
        <f ca="1">IFERROR(__xludf.DUMMYFUNCTION("""COMPUTED_VALUE"""),"Enem")</f>
        <v>Enem</v>
      </c>
      <c r="C165" s="4">
        <f ca="1">IFERROR(__xludf.DUMMYFUNCTION("""COMPUTED_VALUE"""),2019)</f>
        <v>2019</v>
      </c>
      <c r="D165" s="4" t="str">
        <f ca="1">IFERROR(__xludf.DUMMYFUNCTION("""COMPUTED_VALUE"""),"Matemática")</f>
        <v>Matemática</v>
      </c>
      <c r="E165" s="4" t="str">
        <f ca="1">IFERROR(__xludf.DUMMYFUNCTION("""COMPUTED_VALUE"""),"Matemática")</f>
        <v>Matemática</v>
      </c>
      <c r="F165" s="4" t="str">
        <f ca="1">IFERROR(__xludf.DUMMYFUNCTION("""COMPUTED_VALUE"""),"Financeira e Trigonometria")</f>
        <v>Financeira e Trigonometria</v>
      </c>
      <c r="G165" s="4"/>
      <c r="H165" s="4"/>
      <c r="I165" s="4" t="str">
        <f ca="1">IFERROR(__xludf.DUMMYFUNCTION("""COMPUTED_VALUE"""),"Amarelo")</f>
        <v>Amarelo</v>
      </c>
      <c r="J165" s="4">
        <f ca="1">IFERROR(__xludf.DUMMYFUNCTION("""COMPUTED_VALUE"""),148)</f>
        <v>148</v>
      </c>
      <c r="K165" s="4" t="str">
        <f ca="1">IFERROR(__xludf.DUMMYFUNCTION("""COMPUTED_VALUE"""),"A")</f>
        <v>A</v>
      </c>
      <c r="L165" s="4" t="str">
        <f ca="1">IFERROR(__xludf.DUMMYFUNCTION("""COMPUTED_VALUE"""),"Deseja-se comprar determinado produto e, após uma pesquisa de preços, o produto foi
encontrado em 5 lojas diferentes, a preços variados.
• Loja 1: 20% de desconto, que equivale a R$ 720,00, mais R$ 70,00 de frete;
• Loja 2: 20% de desconto, que equivale a"&amp;" R$ 740,00, mais R$ 50,00 de frete;
• Loja 3: 20% de desconto, que equivale a R$ 760,00, mais R$ 80,00 de frete;
• Loja 4: 15% de desconto, que equivale a R$ 710,00, mais R$ 10,00 de frete;
• Loja 5: 15% de desconto, que equivale a R$ 690,00, sem custo de"&amp;" frete.
O produto foi comprado na loja que apresentou o menor preço total.
O produto foi adquirido na loja:")</f>
        <v>Deseja-se comprar determinado produto e, após uma pesquisa de preços, o produto foi
encontrado em 5 lojas diferentes, a preços variados.
• Loja 1: 20% de desconto, que equivale a R$ 720,00, mais R$ 70,00 de frete;
• Loja 2: 20% de desconto, que equivale a R$ 740,00, mais R$ 50,00 de frete;
• Loja 3: 20% de desconto, que equivale a R$ 760,00, mais R$ 80,00 de frete;
• Loja 4: 15% de desconto, que equivale a R$ 710,00, mais R$ 10,00 de frete;
• Loja 5: 15% de desconto, que equivale a R$ 690,00, sem custo de frete.
O produto foi comprado na loja que apresentou o menor preço total.
O produto foi adquirido na loja:</v>
      </c>
      <c r="M165" s="4" t="str">
        <f ca="1">IFERROR(__xludf.DUMMYFUNCTION("""COMPUTED_VALUE"""),"1.")</f>
        <v>1.</v>
      </c>
      <c r="N165" s="4" t="str">
        <f ca="1">IFERROR(__xludf.DUMMYFUNCTION("""COMPUTED_VALUE"""),"2.")</f>
        <v>2.</v>
      </c>
      <c r="O165" s="4" t="str">
        <f ca="1">IFERROR(__xludf.DUMMYFUNCTION("""COMPUTED_VALUE"""),"3.")</f>
        <v>3.</v>
      </c>
      <c r="P165" s="4" t="str">
        <f ca="1">IFERROR(__xludf.DUMMYFUNCTION("""COMPUTED_VALUE"""),"4.")</f>
        <v>4.</v>
      </c>
      <c r="Q165" s="4" t="str">
        <f ca="1">IFERROR(__xludf.DUMMYFUNCTION("""COMPUTED_VALUE"""),"5.")</f>
        <v>5.</v>
      </c>
      <c r="R165" s="4"/>
      <c r="S165" s="4"/>
      <c r="T165" s="4"/>
      <c r="U165" s="4"/>
      <c r="V165" s="4"/>
      <c r="W165" s="4"/>
      <c r="X165" s="4"/>
      <c r="Y165" s="4"/>
      <c r="Z165" s="4"/>
    </row>
    <row r="166" spans="1:26" x14ac:dyDescent="0.25">
      <c r="A166" s="3" t="str">
        <f ca="1">IFERROR(__xludf.DUMMYFUNCTION("""COMPUTED_VALUE"""),"https://drive.google.com/open?id=1JLTuc_d2q3se3TrAGn32pJdN7v82kqPGhttps://drive.google.com/open?id=1EPYnPKn-fVQASBt6zitC5mfoDscFrAJ2")</f>
        <v>https://drive.google.com/open?id=1JLTuc_d2q3se3TrAGn32pJdN7v82kqPGhttps://drive.google.com/open?id=1EPYnPKn-fVQASBt6zitC5mfoDscFrAJ2</v>
      </c>
      <c r="B166" s="4" t="str">
        <f ca="1">IFERROR(__xludf.DUMMYFUNCTION("""COMPUTED_VALUE"""),"Enem")</f>
        <v>Enem</v>
      </c>
      <c r="C166" s="4">
        <f ca="1">IFERROR(__xludf.DUMMYFUNCTION("""COMPUTED_VALUE"""),2019)</f>
        <v>2019</v>
      </c>
      <c r="D166" s="4" t="str">
        <f ca="1">IFERROR(__xludf.DUMMYFUNCTION("""COMPUTED_VALUE"""),"Matemática")</f>
        <v>Matemática</v>
      </c>
      <c r="E166" s="4" t="str">
        <f ca="1">IFERROR(__xludf.DUMMYFUNCTION("""COMPUTED_VALUE"""),"Matemática")</f>
        <v>Matemática</v>
      </c>
      <c r="F166" s="4" t="str">
        <f ca="1">IFERROR(__xludf.DUMMYFUNCTION("""COMPUTED_VALUE"""),"Aritmética e Algebra")</f>
        <v>Aritmética e Algebra</v>
      </c>
      <c r="G166" s="4"/>
      <c r="H166" s="4"/>
      <c r="I166" s="4" t="str">
        <f ca="1">IFERROR(__xludf.DUMMYFUNCTION("""COMPUTED_VALUE"""),"Amarelo")</f>
        <v>Amarelo</v>
      </c>
      <c r="J166" s="4">
        <f ca="1">IFERROR(__xludf.DUMMYFUNCTION("""COMPUTED_VALUE"""),149)</f>
        <v>149</v>
      </c>
      <c r="K166" s="4" t="str">
        <f ca="1">IFERROR(__xludf.DUMMYFUNCTION("""COMPUTED_VALUE"""),"C")</f>
        <v>C</v>
      </c>
      <c r="L166" s="4" t="str">
        <f ca="1">IFERROR(__xludf.DUMMYFUNCTION("""COMPUTED_VALUE"""),"Para a compra de um repelente eletrônico, uma pessoa fez uma pesquisa nos mercados
de seu bairro. Cada tipo de repelente pesquisado traz escrito no rótulo da embalagem as
informações quanto à duração, em dia, associada à quantidade de horas de utilização "&amp;"por
dia. Essas informações e o preço por unidade foram representados no quadro.
[Imagem contida no arquivo]
A pessoa comprará aquele que apresentar o menor custo diário, quando ligado durante
8 horas por dia.
Nessas condições, o repelente eletrônico que e"&amp;"ssa pessoa comprará é do tipo:")</f>
        <v>Para a compra de um repelente eletrônico, uma pessoa fez uma pesquisa nos mercados
de seu bairro. Cada tipo de repelente pesquisado traz escrito no rótulo da embalagem as
informações quanto à duração, em dia, associada à quantidade de horas de utilização por
dia. Essas informações e o preço por unidade foram representados no quadro.
[Imagem contida no arquivo]
A pessoa comprará aquele que apresentar o menor custo diário, quando ligado durante
8 horas por dia.
Nessas condições, o repelente eletrônico que essa pessoa comprará é do tipo:</v>
      </c>
      <c r="M166" s="4" t="str">
        <f ca="1">IFERROR(__xludf.DUMMYFUNCTION("""COMPUTED_VALUE"""),"I.")</f>
        <v>I.</v>
      </c>
      <c r="N166" s="4" t="str">
        <f ca="1">IFERROR(__xludf.DUMMYFUNCTION("""COMPUTED_VALUE"""),"II.")</f>
        <v>II.</v>
      </c>
      <c r="O166" s="4" t="str">
        <f ca="1">IFERROR(__xludf.DUMMYFUNCTION("""COMPUTED_VALUE"""),"III.")</f>
        <v>III.</v>
      </c>
      <c r="P166" s="4" t="str">
        <f ca="1">IFERROR(__xludf.DUMMYFUNCTION("""COMPUTED_VALUE"""),"IV.")</f>
        <v>IV.</v>
      </c>
      <c r="Q166" s="4" t="str">
        <f ca="1">IFERROR(__xludf.DUMMYFUNCTION("""COMPUTED_VALUE"""),"V.")</f>
        <v>V.</v>
      </c>
      <c r="R166" s="4"/>
      <c r="S166" s="4"/>
      <c r="T166" s="4"/>
      <c r="U166" s="4"/>
      <c r="V166" s="4"/>
      <c r="W166" s="4"/>
      <c r="X166" s="4"/>
      <c r="Y166" s="4"/>
      <c r="Z166" s="4"/>
    </row>
    <row r="167" spans="1:26" x14ac:dyDescent="0.25">
      <c r="A167" s="3" t="str">
        <f ca="1">IFERROR(__xludf.DUMMYFUNCTION("""COMPUTED_VALUE"""),"https://drive.google.com/open?id=1BbeBtFdSvpDfZLZS3JIbNIhqoCKZkaJNhttps://drive.google.com/open?id=1QygkOL8VEPFn4FRKwn_D5cOhWikHTILP")</f>
        <v>https://drive.google.com/open?id=1BbeBtFdSvpDfZLZS3JIbNIhqoCKZkaJNhttps://drive.google.com/open?id=1QygkOL8VEPFn4FRKwn_D5cOhWikHTILP</v>
      </c>
      <c r="B167" s="4" t="str">
        <f ca="1">IFERROR(__xludf.DUMMYFUNCTION("""COMPUTED_VALUE"""),"Enem")</f>
        <v>Enem</v>
      </c>
      <c r="C167" s="4">
        <f ca="1">IFERROR(__xludf.DUMMYFUNCTION("""COMPUTED_VALUE"""),2019)</f>
        <v>2019</v>
      </c>
      <c r="D167" s="4" t="str">
        <f ca="1">IFERROR(__xludf.DUMMYFUNCTION("""COMPUTED_VALUE"""),"Matemática")</f>
        <v>Matemática</v>
      </c>
      <c r="E167" s="4" t="str">
        <f ca="1">IFERROR(__xludf.DUMMYFUNCTION("""COMPUTED_VALUE"""),"Matemática")</f>
        <v>Matemática</v>
      </c>
      <c r="F167" s="4" t="str">
        <f ca="1">IFERROR(__xludf.DUMMYFUNCTION("""COMPUTED_VALUE"""),"Aritmética e Algebra")</f>
        <v>Aritmética e Algebra</v>
      </c>
      <c r="G167" s="4"/>
      <c r="H167" s="4"/>
      <c r="I167" s="4" t="str">
        <f ca="1">IFERROR(__xludf.DUMMYFUNCTION("""COMPUTED_VALUE"""),"Amarelo")</f>
        <v>Amarelo</v>
      </c>
      <c r="J167" s="4">
        <f ca="1">IFERROR(__xludf.DUMMYFUNCTION("""COMPUTED_VALUE"""),150)</f>
        <v>150</v>
      </c>
      <c r="K167" s="4" t="str">
        <f ca="1">IFERROR(__xludf.DUMMYFUNCTION("""COMPUTED_VALUE"""),"E")</f>
        <v>E</v>
      </c>
      <c r="L167" s="4" t="str">
        <f ca="1">IFERROR(__xludf.DUMMYFUNCTION("""COMPUTED_VALUE"""),"O modelo predador-presa consiste em descrever a interação entre duas espécies,
sendo que uma delas (presa) serve de alimento para a outra (predador). A resposta
funcional é a relação entre a taxa de consumo de um predador e a densidade populacional
de sua"&amp;" presa. A figura mostra três respostas funcionais (f, g, h), em que a variável
independente representa a densidade populacional da presa.
{Imagem contida no arquivo}
Qual o maior intervalo em que a resposta funcional f(x) é menor que as respostas funciona"&amp;"is
g(x) e h(x), simultaneamente?")</f>
        <v>O modelo predador-presa consiste em descrever a interação entre duas espécies,
sendo que uma delas (presa) serve de alimento para a outra (predador). A resposta
funcional é a relação entre a taxa de consumo de um predador e a densidade populacional
de sua presa. A figura mostra três respostas funcionais (f, g, h), em que a variável
independente representa a densidade populacional da presa.
{Imagem contida no arquivo}
Qual o maior intervalo em que a resposta funcional f(x) é menor que as respostas funcionais
g(x) e h(x), simultaneamente?</v>
      </c>
      <c r="M167" s="4" t="str">
        <f ca="1">IFERROR(__xludf.DUMMYFUNCTION("""COMPUTED_VALUE"""),"(0 ; B)")</f>
        <v>(0 ; B)</v>
      </c>
      <c r="N167" s="4" t="str">
        <f ca="1">IFERROR(__xludf.DUMMYFUNCTION("""COMPUTED_VALUE""")," (B ; C)")</f>
        <v xml:space="preserve"> (B ; C)</v>
      </c>
      <c r="O167" s="4" t="str">
        <f ca="1">IFERROR(__xludf.DUMMYFUNCTION("""COMPUTED_VALUE""")," (B ; E)")</f>
        <v xml:space="preserve"> (B ; E)</v>
      </c>
      <c r="P167" s="4" t="str">
        <f ca="1">IFERROR(__xludf.DUMMYFUNCTION("""COMPUTED_VALUE"""),"(C ; D)")</f>
        <v>(C ; D)</v>
      </c>
      <c r="Q167" s="4" t="str">
        <f ca="1">IFERROR(__xludf.DUMMYFUNCTION("""COMPUTED_VALUE"""),"(C ; E)")</f>
        <v>(C ; E)</v>
      </c>
      <c r="R167" s="4"/>
      <c r="S167" s="4"/>
      <c r="T167" s="4"/>
      <c r="U167" s="4"/>
      <c r="V167" s="4"/>
      <c r="W167" s="4"/>
      <c r="X167" s="4"/>
      <c r="Y167" s="4"/>
      <c r="Z167" s="4"/>
    </row>
    <row r="168" spans="1:26" x14ac:dyDescent="0.25">
      <c r="A168" s="3" t="str">
        <f ca="1">IFERROR(__xludf.DUMMYFUNCTION("""COMPUTED_VALUE"""),"https://drive.google.com/open?id=1TVPkr8fw4WcMeYzkODY4eg0kb7UKywCQhttps://drive.google.com/open?id=1Ca9VDqZD9LnoWa2iCuBVEkxRAvHZX9TJ")</f>
        <v>https://drive.google.com/open?id=1TVPkr8fw4WcMeYzkODY4eg0kb7UKywCQhttps://drive.google.com/open?id=1Ca9VDqZD9LnoWa2iCuBVEkxRAvHZX9TJ</v>
      </c>
      <c r="B168" s="4" t="str">
        <f ca="1">IFERROR(__xludf.DUMMYFUNCTION("""COMPUTED_VALUE"""),"Enem")</f>
        <v>Enem</v>
      </c>
      <c r="C168" s="4">
        <f ca="1">IFERROR(__xludf.DUMMYFUNCTION("""COMPUTED_VALUE"""),2019)</f>
        <v>2019</v>
      </c>
      <c r="D168" s="4" t="str">
        <f ca="1">IFERROR(__xludf.DUMMYFUNCTION("""COMPUTED_VALUE"""),"Matemática")</f>
        <v>Matemática</v>
      </c>
      <c r="E168" s="4" t="str">
        <f ca="1">IFERROR(__xludf.DUMMYFUNCTION("""COMPUTED_VALUE"""),"Matemática")</f>
        <v>Matemática</v>
      </c>
      <c r="F168" s="4" t="str">
        <f ca="1">IFERROR(__xludf.DUMMYFUNCTION("""COMPUTED_VALUE"""),"Aritmética e Algebra")</f>
        <v>Aritmética e Algebra</v>
      </c>
      <c r="G168" s="4" t="str">
        <f ca="1">IFERROR(__xludf.DUMMYFUNCTION("""COMPUTED_VALUE"""),"Mecânica")</f>
        <v>Mecânica</v>
      </c>
      <c r="H168" s="4"/>
      <c r="I168" s="4" t="str">
        <f ca="1">IFERROR(__xludf.DUMMYFUNCTION("""COMPUTED_VALUE"""),"Amarelo")</f>
        <v>Amarelo</v>
      </c>
      <c r="J168" s="4">
        <f ca="1">IFERROR(__xludf.DUMMYFUNCTION("""COMPUTED_VALUE"""),151)</f>
        <v>151</v>
      </c>
      <c r="K168" s="4" t="str">
        <f ca="1">IFERROR(__xludf.DUMMYFUNCTION("""COMPUTED_VALUE"""),"D")</f>
        <v>D</v>
      </c>
      <c r="L168" s="4" t="str">
        <f ca="1">IFERROR(__xludf.DUMMYFUNCTION("""COMPUTED_VALUE"""),"Na anestesia peridural, como a usada nos partos, o médico anestesista precisa
introduzir uma agulha nas costas do paciente, que atravessará várias camadas de tecido
até chegar a uma região estreita, chamada espaço epidural, que envolve a medula
espinhal. "&amp;"A agulha é usada para injetar um líquido anestésico, e a força que deve ser
aplicada à agulha para fazê-la avançar através dos tecidos é variável.
A figura é um gráfico do módulo F da força (em newton) em função do deslocamento x
da ponta da agulha (em mi"&amp;"límetro) durante uma anestesia peridural típica.
Considere que a velocidade de penetração da agulha deva ser a mesma durante a
aplicação da anestesia e que a força aplicada à agulha pelo médico anestesista em cada
ponto deve ser proporcional à resistência"&amp;" naquele ponto.
[Imagem contida no arquivo]
Com base nas informações apresentadas, a maior resistência à força aplicada observa-se
ao longo do segmento:")</f>
        <v>Na anestesia peridural, como a usada nos partos, o médico anestesista precisa
introduzir uma agulha nas costas do paciente, que atravessará várias camadas de tecido
até chegar a uma região estreita, chamada espaço epidural, que envolve a medula
espinhal. A agulha é usada para injetar um líquido anestésico, e a força que deve ser
aplicada à agulha para fazê-la avançar através dos tecidos é variável.
A figura é um gráfico do módulo F da força (em newton) em função do deslocamento x
da ponta da agulha (em milímetro) durante uma anestesia peridural típica.
Considere que a velocidade de penetração da agulha deva ser a mesma durante a
aplicação da anestesia e que a força aplicada à agulha pelo médico anestesista em cada
ponto deve ser proporcional à resistência naquele ponto.
[Imagem contida no arquivo]
Com base nas informações apresentadas, a maior resistência à força aplicada observa-se
ao longo do segmento:</v>
      </c>
      <c r="M168" s="4" t="str">
        <f ca="1">IFERROR(__xludf.DUMMYFUNCTION("""COMPUTED_VALUE"""),"AB.")</f>
        <v>AB.</v>
      </c>
      <c r="N168" s="4" t="str">
        <f ca="1">IFERROR(__xludf.DUMMYFUNCTION("""COMPUTED_VALUE"""),"FG.")</f>
        <v>FG.</v>
      </c>
      <c r="O168" s="4" t="str">
        <f ca="1">IFERROR(__xludf.DUMMYFUNCTION("""COMPUTED_VALUE"""),"EF.")</f>
        <v>EF.</v>
      </c>
      <c r="P168" s="4" t="str">
        <f ca="1">IFERROR(__xludf.DUMMYFUNCTION("""COMPUTED_VALUE"""),"GH.")</f>
        <v>GH.</v>
      </c>
      <c r="Q168" s="4" t="str">
        <f ca="1">IFERROR(__xludf.DUMMYFUNCTION("""COMPUTED_VALUE"""),"HI.")</f>
        <v>HI.</v>
      </c>
      <c r="R168" s="4"/>
      <c r="S168" s="4"/>
      <c r="T168" s="4"/>
      <c r="U168" s="4"/>
      <c r="V168" s="4"/>
      <c r="W168" s="4"/>
      <c r="X168" s="4"/>
      <c r="Y168" s="4"/>
      <c r="Z168" s="4"/>
    </row>
    <row r="169" spans="1:26" x14ac:dyDescent="0.25">
      <c r="A169" s="3" t="str">
        <f ca="1">IFERROR(__xludf.DUMMYFUNCTION("""COMPUTED_VALUE"""),"https://drive.google.com/open?id=1Ir94gybubyFGyRZNhorRgABhsXVQowHshttps://drive.google.com/open?id=13e-2P-77tYn6DT8dB8-daXsmsqJnUlIf")</f>
        <v>https://drive.google.com/open?id=1Ir94gybubyFGyRZNhorRgABhsXVQowHshttps://drive.google.com/open?id=13e-2P-77tYn6DT8dB8-daXsmsqJnUlIf</v>
      </c>
      <c r="B169" s="4" t="str">
        <f ca="1">IFERROR(__xludf.DUMMYFUNCTION("""COMPUTED_VALUE"""),"Enem")</f>
        <v>Enem</v>
      </c>
      <c r="C169" s="4">
        <f ca="1">IFERROR(__xludf.DUMMYFUNCTION("""COMPUTED_VALUE"""),2019)</f>
        <v>2019</v>
      </c>
      <c r="D169" s="4" t="str">
        <f ca="1">IFERROR(__xludf.DUMMYFUNCTION("""COMPUTED_VALUE"""),"Matemática")</f>
        <v>Matemática</v>
      </c>
      <c r="E169" s="4" t="str">
        <f ca="1">IFERROR(__xludf.DUMMYFUNCTION("""COMPUTED_VALUE"""),"Matemática")</f>
        <v>Matemática</v>
      </c>
      <c r="F169" s="4" t="str">
        <f ca="1">IFERROR(__xludf.DUMMYFUNCTION("""COMPUTED_VALUE"""),"Aritmética e Algebra")</f>
        <v>Aritmética e Algebra</v>
      </c>
      <c r="G169" s="4"/>
      <c r="H169" s="4"/>
      <c r="I169" s="4" t="str">
        <f ca="1">IFERROR(__xludf.DUMMYFUNCTION("""COMPUTED_VALUE"""),"Amarelo")</f>
        <v>Amarelo</v>
      </c>
      <c r="J169" s="4">
        <f ca="1">IFERROR(__xludf.DUMMYFUNCTION("""COMPUTED_VALUE"""),152)</f>
        <v>152</v>
      </c>
      <c r="K169" s="4" t="str">
        <f ca="1">IFERROR(__xludf.DUMMYFUNCTION("""COMPUTED_VALUE"""),"B")</f>
        <v>B</v>
      </c>
      <c r="L169" s="4" t="str">
        <f ca="1">IFERROR(__xludf.DUMMYFUNCTION("""COMPUTED_VALUE"""),"No desenvolvimento de um novo remédio, pesquisadores monitoram a quantidade
Q de uma substância circulando na corrente sanguínea de um paciente, ao longo do
tempo t. Esses pesquisadores controlam o processo, observando que Q é uma função
quadrática de t. "&amp;"Os dados coletados nas duas primeiras horas foram:
[Imagem contida no arquivo]
Para decidir se devem interromper o processo, evitando riscos ao paciente, os
pesquisadores querem saber, antecipadamente, a quantidade da substância que estará
circulando na c"&amp;"orrente sanguínea desse paciente após uma hora do último dado coletado.
Nas condições expostas, essa quantidade (em miligrama) será igual a:")</f>
        <v>No desenvolvimento de um novo remédio, pesquisadores monitoram a quantidade
Q de uma substância circulando na corrente sanguínea de um paciente, ao longo do
tempo t. Esses pesquisadores controlam o processo, observando que Q é uma função
quadrática de t. Os dados coletados nas duas primeiras horas foram:
[Imagem contida no arquivo]
Para decidir se devem interromper o processo, evitando riscos ao paciente, os
pesquisadores querem saber, antecipadamente, a quantidade da substância que estará
circulando na corrente sanguínea desse paciente após uma hora do último dado coletado.
Nas condições expostas, essa quantidade (em miligrama) será igual a:</v>
      </c>
      <c r="M169" s="4" t="str">
        <f ca="1">IFERROR(__xludf.DUMMYFUNCTION("""COMPUTED_VALUE"""),"4.")</f>
        <v>4.</v>
      </c>
      <c r="N169" s="4" t="str">
        <f ca="1">IFERROR(__xludf.DUMMYFUNCTION("""COMPUTED_VALUE"""),"7.")</f>
        <v>7.</v>
      </c>
      <c r="O169" s="4" t="str">
        <f ca="1">IFERROR(__xludf.DUMMYFUNCTION("""COMPUTED_VALUE"""),"8.")</f>
        <v>8.</v>
      </c>
      <c r="P169" s="4" t="str">
        <f ca="1">IFERROR(__xludf.DUMMYFUNCTION("""COMPUTED_VALUE"""),"9.")</f>
        <v>9.</v>
      </c>
      <c r="Q169" s="4" t="str">
        <f ca="1">IFERROR(__xludf.DUMMYFUNCTION("""COMPUTED_VALUE"""),"10.")</f>
        <v>10.</v>
      </c>
      <c r="R169" s="4"/>
      <c r="S169" s="4"/>
      <c r="T169" s="4"/>
      <c r="U169" s="4"/>
      <c r="V169" s="4"/>
      <c r="W169" s="4"/>
      <c r="X169" s="4"/>
      <c r="Y169" s="4"/>
      <c r="Z169" s="4"/>
    </row>
    <row r="170" spans="1:26" x14ac:dyDescent="0.25">
      <c r="A170" s="3" t="str">
        <f ca="1">IFERROR(__xludf.DUMMYFUNCTION("""COMPUTED_VALUE"""),"https://drive.google.com/open?id=1BXHYsu0-dFRNjf-zw7XPmYh0Cs9eWZ59https://drive.google.com/open?id=1umspcLB1UeBJmwU7Qnc56hT4E5l4G1gi")</f>
        <v>https://drive.google.com/open?id=1BXHYsu0-dFRNjf-zw7XPmYh0Cs9eWZ59https://drive.google.com/open?id=1umspcLB1UeBJmwU7Qnc56hT4E5l4G1gi</v>
      </c>
      <c r="B170" s="4" t="str">
        <f ca="1">IFERROR(__xludf.DUMMYFUNCTION("""COMPUTED_VALUE"""),"Enem")</f>
        <v>Enem</v>
      </c>
      <c r="C170" s="4">
        <f ca="1">IFERROR(__xludf.DUMMYFUNCTION("""COMPUTED_VALUE"""),2019)</f>
        <v>2019</v>
      </c>
      <c r="D170" s="4" t="str">
        <f ca="1">IFERROR(__xludf.DUMMYFUNCTION("""COMPUTED_VALUE"""),"Matemática")</f>
        <v>Matemática</v>
      </c>
      <c r="E170" s="4" t="str">
        <f ca="1">IFERROR(__xludf.DUMMYFUNCTION("""COMPUTED_VALUE"""),"Matemática")</f>
        <v>Matemática</v>
      </c>
      <c r="F170" s="4" t="str">
        <f ca="1">IFERROR(__xludf.DUMMYFUNCTION("""COMPUTED_VALUE"""),"Aritmética e Algebra")</f>
        <v>Aritmética e Algebra</v>
      </c>
      <c r="G170" s="4"/>
      <c r="H170" s="4"/>
      <c r="I170" s="4" t="str">
        <f ca="1">IFERROR(__xludf.DUMMYFUNCTION("""COMPUTED_VALUE"""),"Amarelo")</f>
        <v>Amarelo</v>
      </c>
      <c r="J170" s="4">
        <f ca="1">IFERROR(__xludf.DUMMYFUNCTION("""COMPUTED_VALUE"""),153)</f>
        <v>153</v>
      </c>
      <c r="K170" s="4" t="str">
        <f ca="1">IFERROR(__xludf.DUMMYFUNCTION("""COMPUTED_VALUE"""),"D")</f>
        <v>D</v>
      </c>
      <c r="L170" s="4" t="str">
        <f ca="1">IFERROR(__xludf.DUMMYFUNCTION("""COMPUTED_VALUE"""),"Um jardineiro cultiva plantas ornamentais e as coloca à venda quando estas atingem
30 centímetros de altura. Esse jardineiro estudou o crescimento de suas plantas, em
função do tempo, e deduziu uma fórmula que calcula a altura em função do tempo, a partir"&amp;"
do momento em que a planta brota do solo até o momento em que ela atinge sua altura
máxima de 40 centímetros. A fórmula é h = 5·log2 (t + 1), em que t é o tempo contado em
dia e h, a altura da planta em centímetro.
A partir do momento em que uma dessas p"&amp;"lantas é colocada à venda, em quanto tempo,
em dia, ela alcançará sua altura máxima?")</f>
        <v>Um jardineiro cultiva plantas ornamentais e as coloca à venda quando estas atingem
30 centímetros de altura. Esse jardineiro estudou o crescimento de suas plantas, em
função do tempo, e deduziu uma fórmula que calcula a altura em função do tempo, a partir
do momento em que a planta brota do solo até o momento em que ela atinge sua altura
máxima de 40 centímetros. A fórmula é h = 5·log2 (t + 1), em que t é o tempo contado em
dia e h, a altura da planta em centímetro.
A partir do momento em que uma dessas plantas é colocada à venda, em quanto tempo,
em dia, ela alcançará sua altura máxima?</v>
      </c>
      <c r="M170" s="4" t="str">
        <f ca="1">IFERROR(__xludf.DUMMYFUNCTION("""COMPUTED_VALUE"""),"63")</f>
        <v>63</v>
      </c>
      <c r="N170" s="4" t="str">
        <f ca="1">IFERROR(__xludf.DUMMYFUNCTION("""COMPUTED_VALUE"""),"96")</f>
        <v>96</v>
      </c>
      <c r="O170" s="4" t="str">
        <f ca="1">IFERROR(__xludf.DUMMYFUNCTION("""COMPUTED_VALUE"""),"128")</f>
        <v>128</v>
      </c>
      <c r="P170" s="4" t="str">
        <f ca="1">IFERROR(__xludf.DUMMYFUNCTION("""COMPUTED_VALUE"""),"192")</f>
        <v>192</v>
      </c>
      <c r="Q170" s="4" t="str">
        <f ca="1">IFERROR(__xludf.DUMMYFUNCTION("""COMPUTED_VALUE"""),"255")</f>
        <v>255</v>
      </c>
      <c r="R170" s="4"/>
      <c r="S170" s="4"/>
      <c r="T170" s="4"/>
      <c r="U170" s="4"/>
      <c r="V170" s="4"/>
      <c r="W170" s="4"/>
      <c r="X170" s="4"/>
      <c r="Y170" s="4"/>
      <c r="Z170" s="4"/>
    </row>
    <row r="171" spans="1:26" x14ac:dyDescent="0.25">
      <c r="A171" s="3" t="str">
        <f ca="1">IFERROR(__xludf.DUMMYFUNCTION("""COMPUTED_VALUE"""),"https://drive.google.com/open?id=14jdPtEVsSoX1M292hxgsLOBSbXb9DY0Ihttps://drive.google.com/open?id=10c0l-pCoMWvP3D0i5-AJ-daRJ0ehXuM9")</f>
        <v>https://drive.google.com/open?id=14jdPtEVsSoX1M292hxgsLOBSbXb9DY0Ihttps://drive.google.com/open?id=10c0l-pCoMWvP3D0i5-AJ-daRJ0ehXuM9</v>
      </c>
      <c r="B171" s="4" t="str">
        <f ca="1">IFERROR(__xludf.DUMMYFUNCTION("""COMPUTED_VALUE"""),"Enem")</f>
        <v>Enem</v>
      </c>
      <c r="C171" s="4">
        <f ca="1">IFERROR(__xludf.DUMMYFUNCTION("""COMPUTED_VALUE"""),2019)</f>
        <v>2019</v>
      </c>
      <c r="D171" s="4" t="str">
        <f ca="1">IFERROR(__xludf.DUMMYFUNCTION("""COMPUTED_VALUE"""),"Matemática")</f>
        <v>Matemática</v>
      </c>
      <c r="E171" s="4" t="str">
        <f ca="1">IFERROR(__xludf.DUMMYFUNCTION("""COMPUTED_VALUE"""),"Matemática")</f>
        <v>Matemática</v>
      </c>
      <c r="F171" s="4" t="str">
        <f ca="1">IFERROR(__xludf.DUMMYFUNCTION("""COMPUTED_VALUE"""),"Geometria")</f>
        <v>Geometria</v>
      </c>
      <c r="G171" s="4"/>
      <c r="H171" s="4"/>
      <c r="I171" s="4" t="str">
        <f ca="1">IFERROR(__xludf.DUMMYFUNCTION("""COMPUTED_VALUE"""),"Amarelo")</f>
        <v>Amarelo</v>
      </c>
      <c r="J171" s="4">
        <f ca="1">IFERROR(__xludf.DUMMYFUNCTION("""COMPUTED_VALUE"""),154)</f>
        <v>154</v>
      </c>
      <c r="K171" s="4" t="str">
        <f ca="1">IFERROR(__xludf.DUMMYFUNCTION("""COMPUTED_VALUE"""),"A")</f>
        <v>A</v>
      </c>
      <c r="L171" s="4" t="str">
        <f ca="1">IFERROR(__xludf.DUMMYFUNCTION("""COMPUTED_VALUE"""),"Uma formiga encontra-se no ponto X, no lado externo de um copo que tem a forma
de um cilindro reto. No lado interno, no ponto V, existe um grão de açúcar preso na
parede do copo. A formiga segue o caminho XYZWV (sempre sobre a superfície lateral do
copo),"&amp;" de tal forma que os trechos ZW e WV são realizados na superfície interna do copo.
O caminho XYZWV é mostrado na figura.
[IMAGEM CONTIDA NO ARQUIVO]
Sabe-se que: os pontos X, V, W se encontram à mesma distância da borda; o trajeto
WV é o mais curto possív"&amp;"el; os trajetos XY e ZW são perpendiculares à borda do copo; e os
pontos X e V se encontram diametralmente opostos.
Supondo que o copo é de material recortável, realiza-se um corte pelo segmento
unindo P a Q, perpendicular à borda do copo, e recorta-se ta"&amp;"mbém sua base, obtendo
então uma figura plana. Desconsidere a espessura do copo.
Considerando apenas a planificação da superfície lateral do copo, a trajetória da formiga é:")</f>
        <v>Uma formiga encontra-se no ponto X, no lado externo de um copo que tem a forma
de um cilindro reto. No lado interno, no ponto V, existe um grão de açúcar preso na
parede do copo. A formiga segue o caminho XYZWV (sempre sobre a superfície lateral do
copo), de tal forma que os trechos ZW e WV são realizados na superfície interna do copo.
O caminho XYZWV é mostrado na figura.
[IMAGEM CONTIDA NO ARQUIVO]
Sabe-se que: os pontos X, V, W se encontram à mesma distância da borda; o trajeto
WV é o mais curto possível; os trajetos XY e ZW são perpendiculares à borda do copo; e os
pontos X e V se encontram diametralmente opostos.
Supondo que o copo é de material recortável, realiza-se um corte pelo segmento
unindo P a Q, perpendicular à borda do copo, e recorta-se também sua base, obtendo
então uma figura plana. Desconsidere a espessura do copo.
Considerando apenas a planificação da superfície lateral do copo, a trajetória da formiga é:</v>
      </c>
      <c r="M171" s="4" t="str">
        <f ca="1">IFERROR(__xludf.DUMMYFUNCTION("""COMPUTED_VALUE"""),"[IMAGEM CONTIDA NO ARQUIVO]")</f>
        <v>[IMAGEM CONTIDA NO ARQUIVO]</v>
      </c>
      <c r="N171" s="4" t="str">
        <f ca="1">IFERROR(__xludf.DUMMYFUNCTION("""COMPUTED_VALUE"""),"[IMAGEM CONTIDA NO ARQUIVO]")</f>
        <v>[IMAGEM CONTIDA NO ARQUIVO]</v>
      </c>
      <c r="O171" s="4" t="str">
        <f ca="1">IFERROR(__xludf.DUMMYFUNCTION("""COMPUTED_VALUE"""),"[IMAGEM CONTIDA NO ARQUIVO]")</f>
        <v>[IMAGEM CONTIDA NO ARQUIVO]</v>
      </c>
      <c r="P171" s="4" t="str">
        <f ca="1">IFERROR(__xludf.DUMMYFUNCTION("""COMPUTED_VALUE"""),"[IMAGEM CONTIDA NO ARQUIVO]")</f>
        <v>[IMAGEM CONTIDA NO ARQUIVO]</v>
      </c>
      <c r="Q171" s="4" t="str">
        <f ca="1">IFERROR(__xludf.DUMMYFUNCTION("""COMPUTED_VALUE"""),"[IMAGEM CONTIDA NO ARQUIVO]")</f>
        <v>[IMAGEM CONTIDA NO ARQUIVO]</v>
      </c>
      <c r="R171" s="4"/>
      <c r="S171" s="4"/>
      <c r="T171" s="4"/>
      <c r="U171" s="4"/>
      <c r="V171" s="4"/>
      <c r="W171" s="4"/>
      <c r="X171" s="4"/>
      <c r="Y171" s="4"/>
      <c r="Z171" s="4"/>
    </row>
    <row r="172" spans="1:26" x14ac:dyDescent="0.25">
      <c r="A172" s="3" t="str">
        <f ca="1">IFERROR(__xludf.DUMMYFUNCTION("""COMPUTED_VALUE"""),"https://drive.google.com/open?id=1luy7J08rMLPOmweJomJPOevO_Wx_-rgZhttps://drive.google.com/open?id=1H-irdSWbWwTLCl26rletRK2manAvwkhq")</f>
        <v>https://drive.google.com/open?id=1luy7J08rMLPOmweJomJPOevO_Wx_-rgZhttps://drive.google.com/open?id=1H-irdSWbWwTLCl26rletRK2manAvwkhq</v>
      </c>
      <c r="B172" s="4" t="str">
        <f ca="1">IFERROR(__xludf.DUMMYFUNCTION("""COMPUTED_VALUE"""),"Enem")</f>
        <v>Enem</v>
      </c>
      <c r="C172" s="4">
        <f ca="1">IFERROR(__xludf.DUMMYFUNCTION("""COMPUTED_VALUE"""),2019)</f>
        <v>2019</v>
      </c>
      <c r="D172" s="4" t="str">
        <f ca="1">IFERROR(__xludf.DUMMYFUNCTION("""COMPUTED_VALUE"""),"Matemática")</f>
        <v>Matemática</v>
      </c>
      <c r="E172" s="4" t="str">
        <f ca="1">IFERROR(__xludf.DUMMYFUNCTION("""COMPUTED_VALUE"""),"Matemática")</f>
        <v>Matemática</v>
      </c>
      <c r="F172" s="4" t="str">
        <f ca="1">IFERROR(__xludf.DUMMYFUNCTION("""COMPUTED_VALUE"""),"Aritmética e Algebra")</f>
        <v>Aritmética e Algebra</v>
      </c>
      <c r="G172" s="4"/>
      <c r="H172" s="4"/>
      <c r="I172" s="4" t="str">
        <f ca="1">IFERROR(__xludf.DUMMYFUNCTION("""COMPUTED_VALUE"""),"Amarelo")</f>
        <v>Amarelo</v>
      </c>
      <c r="J172" s="4">
        <f ca="1">IFERROR(__xludf.DUMMYFUNCTION("""COMPUTED_VALUE"""),155)</f>
        <v>155</v>
      </c>
      <c r="K172" s="4" t="str">
        <f ca="1">IFERROR(__xludf.DUMMYFUNCTION("""COMPUTED_VALUE"""),"C")</f>
        <v>C</v>
      </c>
      <c r="L172" s="4" t="str">
        <f ca="1">IFERROR(__xludf.DUMMYFUNCTION("""COMPUTED_VALUE"""),"Em um laboratório, cientistas observaram o crescimento de uma população de
bactérias submetida a uma dieta magra em fósforo, com generosas porções de arsênico.
Descobriu-se que o número de bactérias dessa população, após t horas de observação,
poderia ser"&amp;" modelado pela função exponencial N(t) = Noe^kt, em que No é o número de
bactérias no instante do início da observação (t = 0) e representa uma constante real maior
que 1, e k é uma constante real positiva.
Sabe-se que, após uma hora de observação, o núme"&amp;"ro de bactérias foi triplicado.
Cinco horas após o início da observação, o número de bactérias, em relação ao número
inicial dessa cultura, foi:")</f>
        <v>Em um laboratório, cientistas observaram o crescimento de uma população de
bactérias submetida a uma dieta magra em fósforo, com generosas porções de arsênico.
Descobriu-se que o número de bactérias dessa população, após t horas de observação,
poderia ser modelado pela função exponencial N(t) = Noe^kt, em que No é o número de
bactérias no instante do início da observação (t = 0) e representa uma constante real maior
que 1, e k é uma constante real positiva.
Sabe-se que, após uma hora de observação, o número de bactérias foi triplicado.
Cinco horas após o início da observação, o número de bactérias, em relação ao número
inicial dessa cultura, foi:</v>
      </c>
      <c r="M172" s="4" t="str">
        <f ca="1">IFERROR(__xludf.DUMMYFUNCTION("""COMPUTED_VALUE"""),"3No")</f>
        <v>3No</v>
      </c>
      <c r="N172" s="4" t="str">
        <f ca="1">IFERROR(__xludf.DUMMYFUNCTION("""COMPUTED_VALUE"""),"15No")</f>
        <v>15No</v>
      </c>
      <c r="O172" s="4" t="str">
        <f ca="1">IFERROR(__xludf.DUMMYFUNCTION("""COMPUTED_VALUE"""),"243No")</f>
        <v>243No</v>
      </c>
      <c r="P172" s="4" t="str">
        <f ca="1">IFERROR(__xludf.DUMMYFUNCTION("""COMPUTED_VALUE"""),"360No")</f>
        <v>360No</v>
      </c>
      <c r="Q172" s="4" t="str">
        <f ca="1">IFERROR(__xludf.DUMMYFUNCTION("""COMPUTED_VALUE"""),"729No")</f>
        <v>729No</v>
      </c>
      <c r="R172" s="4"/>
      <c r="S172" s="4"/>
      <c r="T172" s="4"/>
      <c r="U172" s="4"/>
      <c r="V172" s="4"/>
      <c r="W172" s="4"/>
      <c r="X172" s="4"/>
      <c r="Y172" s="4"/>
      <c r="Z172" s="4"/>
    </row>
    <row r="173" spans="1:26" x14ac:dyDescent="0.25">
      <c r="A173" s="3" t="str">
        <f ca="1">IFERROR(__xludf.DUMMYFUNCTION("""COMPUTED_VALUE"""),"https://drive.google.com/open?id=1Hktw0Ndm3FSLoXnZHVkF0wwEDV0PkDR5https://drive.google.com/open?id=1uAInKvhHpVfJGwLkGnOF4-Ny8et7lDc5")</f>
        <v>https://drive.google.com/open?id=1Hktw0Ndm3FSLoXnZHVkF0wwEDV0PkDR5https://drive.google.com/open?id=1uAInKvhHpVfJGwLkGnOF4-Ny8et7lDc5</v>
      </c>
      <c r="B173" s="4" t="str">
        <f ca="1">IFERROR(__xludf.DUMMYFUNCTION("""COMPUTED_VALUE"""),"Enem")</f>
        <v>Enem</v>
      </c>
      <c r="C173" s="4">
        <f ca="1">IFERROR(__xludf.DUMMYFUNCTION("""COMPUTED_VALUE"""),2019)</f>
        <v>2019</v>
      </c>
      <c r="D173" s="4" t="str">
        <f ca="1">IFERROR(__xludf.DUMMYFUNCTION("""COMPUTED_VALUE"""),"Matemática")</f>
        <v>Matemática</v>
      </c>
      <c r="E173" s="4" t="str">
        <f ca="1">IFERROR(__xludf.DUMMYFUNCTION("""COMPUTED_VALUE"""),"Matemática")</f>
        <v>Matemática</v>
      </c>
      <c r="F173" s="4" t="str">
        <f ca="1">IFERROR(__xludf.DUMMYFUNCTION("""COMPUTED_VALUE"""),"Geometria")</f>
        <v>Geometria</v>
      </c>
      <c r="G173" s="4" t="str">
        <f ca="1">IFERROR(__xludf.DUMMYFUNCTION("""COMPUTED_VALUE"""),"Aritmética e Algebra")</f>
        <v>Aritmética e Algebra</v>
      </c>
      <c r="H173" s="4"/>
      <c r="I173" s="4" t="str">
        <f ca="1">IFERROR(__xludf.DUMMYFUNCTION("""COMPUTED_VALUE"""),"Amarelo")</f>
        <v>Amarelo</v>
      </c>
      <c r="J173" s="4">
        <f ca="1">IFERROR(__xludf.DUMMYFUNCTION("""COMPUTED_VALUE"""),156)</f>
        <v>156</v>
      </c>
      <c r="K173" s="4" t="str">
        <f ca="1">IFERROR(__xludf.DUMMYFUNCTION("""COMPUTED_VALUE"""),"E")</f>
        <v>E</v>
      </c>
      <c r="L173" s="4" t="str">
        <f ca="1">IFERROR(__xludf.DUMMYFUNCTION("""COMPUTED_VALUE"""),"No ano de 1751, o matemático Euler conseguiu demonstrar a famosa relação para
poliedros convexos que relaciona o número de suas faces (F), arestas (A) e vértices (V):
V + F = A + 2. No entanto, na busca dessa demonstração, essa relação foi sendo testada
e"&amp;"m poliedros convexos e não convexos. Observou-se que alguns poliedros não convexos
satisfaziam a relação e outros não. Um exemplo de poliedro não convexo é dado na figura.
Todas as faces que não podem ser vistas diretamente são retangulares.
[IMAGEM CONTI"&amp;"DA NO ARQUIVO]
Qual a relação entre os vértices, as faces e as arestas do poliedro apresentado na figura?")</f>
        <v>No ano de 1751, o matemático Euler conseguiu demonstrar a famosa relação para
poliedros convexos que relaciona o número de suas faces (F), arestas (A) e vértices (V):
V + F = A + 2. No entanto, na busca dessa demonstração, essa relação foi sendo testada
em poliedros convexos e não convexos. Observou-se que alguns poliedros não convexos
satisfaziam a relação e outros não. Um exemplo de poliedro não convexo é dado na figura.
Todas as faces que não podem ser vistas diretamente são retangulares.
[IMAGEM CONTIDA NO ARQUIVO]
Qual a relação entre os vértices, as faces e as arestas do poliedro apresentado na figura?</v>
      </c>
      <c r="M173" s="4" t="str">
        <f ca="1">IFERROR(__xludf.DUMMYFUNCTION("""COMPUTED_VALUE""")," V + F = A")</f>
        <v xml:space="preserve"> V + F = A</v>
      </c>
      <c r="N173" s="4" t="str">
        <f ca="1">IFERROR(__xludf.DUMMYFUNCTION("""COMPUTED_VALUE""")," V + F = A - 1")</f>
        <v xml:space="preserve"> V + F = A - 1</v>
      </c>
      <c r="O173" s="4" t="str">
        <f ca="1">IFERROR(__xludf.DUMMYFUNCTION("""COMPUTED_VALUE""")," V + F = A + 1")</f>
        <v xml:space="preserve"> V + F = A + 1</v>
      </c>
      <c r="P173" s="4" t="str">
        <f ca="1">IFERROR(__xludf.DUMMYFUNCTION("""COMPUTED_VALUE""")," V + F = A + 2")</f>
        <v xml:space="preserve"> V + F = A + 2</v>
      </c>
      <c r="Q173" s="4" t="str">
        <f ca="1">IFERROR(__xludf.DUMMYFUNCTION("""COMPUTED_VALUE"""),"V + F = A + 3")</f>
        <v>V + F = A + 3</v>
      </c>
      <c r="R173" s="4"/>
      <c r="S173" s="4"/>
      <c r="T173" s="4"/>
      <c r="U173" s="4"/>
      <c r="V173" s="4"/>
      <c r="W173" s="4"/>
      <c r="X173" s="4"/>
      <c r="Y173" s="4"/>
      <c r="Z173" s="4"/>
    </row>
    <row r="174" spans="1:26" x14ac:dyDescent="0.25">
      <c r="A174" s="3" t="str">
        <f ca="1">IFERROR(__xludf.DUMMYFUNCTION("""COMPUTED_VALUE"""),"https://drive.google.com/open?id=1Y-yApkDf1rRELI2KDwxVmaqT41gmGLW7https://drive.google.com/open?id=1-K8takIdGMTL4Inv1tgtcLjv3PAGM2cE")</f>
        <v>https://drive.google.com/open?id=1Y-yApkDf1rRELI2KDwxVmaqT41gmGLW7https://drive.google.com/open?id=1-K8takIdGMTL4Inv1tgtcLjv3PAGM2cE</v>
      </c>
      <c r="B174" s="4" t="str">
        <f ca="1">IFERROR(__xludf.DUMMYFUNCTION("""COMPUTED_VALUE"""),"Enem")</f>
        <v>Enem</v>
      </c>
      <c r="C174" s="4">
        <f ca="1">IFERROR(__xludf.DUMMYFUNCTION("""COMPUTED_VALUE"""),2018)</f>
        <v>2018</v>
      </c>
      <c r="D174" s="4" t="str">
        <f ca="1">IFERROR(__xludf.DUMMYFUNCTION("""COMPUTED_VALUE"""),"Matemática")</f>
        <v>Matemática</v>
      </c>
      <c r="E174" s="4" t="str">
        <f ca="1">IFERROR(__xludf.DUMMYFUNCTION("""COMPUTED_VALUE"""),"Matemática")</f>
        <v>Matemática</v>
      </c>
      <c r="F174" s="4" t="str">
        <f ca="1">IFERROR(__xludf.DUMMYFUNCTION("""COMPUTED_VALUE"""),"Aritmética e Algebra")</f>
        <v>Aritmética e Algebra</v>
      </c>
      <c r="G174" s="4"/>
      <c r="H174" s="4"/>
      <c r="I174" s="4" t="str">
        <f ca="1">IFERROR(__xludf.DUMMYFUNCTION("""COMPUTED_VALUE"""),"Amarelo")</f>
        <v>Amarelo</v>
      </c>
      <c r="J174" s="4">
        <f ca="1">IFERROR(__xludf.DUMMYFUNCTION("""COMPUTED_VALUE"""),136)</f>
        <v>136</v>
      </c>
      <c r="K174" s="4" t="str">
        <f ca="1">IFERROR(__xludf.DUMMYFUNCTION("""COMPUTED_VALUE"""),"A")</f>
        <v>A</v>
      </c>
      <c r="L174" s="4" t="str">
        <f ca="1">IFERROR(__xludf.DUMMYFUNCTION("""COMPUTED_VALUE"""),"Numa atividade de treinamento realizada no Exército de um determinado país, três
equipes – Alpha, Beta e Gama – foram designadas a percorrer diferentes caminhos,
todos com os mesmos pontos de partida e de chegada.
. A equipe Alpha realizou seu percurso em"&amp;" 90 minutos com uma velocidade média
de 6,0 km/h.
. A equipe Beta também percorreu sua trajetória em 90 minutos, mas sua
velocidade média foi de 5,0 km/h.
 . Com uma velocidade média de 6,5 km/h, a equipe Gama concluiu seu caminho
em 60 minutos.
Com base "&amp;"nesses dados, foram comparadas as distâncias dBeta; dAlpha e dGama
percorridas pelas três equipes.
A ordem das distâncias percorridas pelas equipes Alpha, Beta e Gama é:")</f>
        <v>Numa atividade de treinamento realizada no Exército de um determinado país, três
equipes – Alpha, Beta e Gama – foram designadas a percorrer diferentes caminhos,
todos com os mesmos pontos de partida e de chegada.
. A equipe Alpha realizou seu percurso em 90 minutos com uma velocidade média
de 6,0 km/h.
. A equipe Beta também percorreu sua trajetória em 90 minutos, mas sua
velocidade média foi de 5,0 km/h.
 . Com uma velocidade média de 6,5 km/h, a equipe Gama concluiu seu caminho
em 60 minutos.
Com base nesses dados, foram comparadas as distâncias dBeta; dAlpha e dGama
percorridas pelas três equipes.
A ordem das distâncias percorridas pelas equipes Alpha, Beta e Gama é:</v>
      </c>
      <c r="M174" s="4" t="str">
        <f ca="1">IFERROR(__xludf.DUMMYFUNCTION("""COMPUTED_VALUE"""),"dGama &lt; dBeta &lt; dAlpha")</f>
        <v>dGama &lt; dBeta &lt; dAlpha</v>
      </c>
      <c r="N174" s="4" t="str">
        <f ca="1">IFERROR(__xludf.DUMMYFUNCTION("""COMPUTED_VALUE"""),"dAlpha = dBeta &lt; dGama")</f>
        <v>dAlpha = dBeta &lt; dGama</v>
      </c>
      <c r="O174" s="4" t="str">
        <f ca="1">IFERROR(__xludf.DUMMYFUNCTION("""COMPUTED_VALUE"""),"dGama &lt; dBeta = dAlpha")</f>
        <v>dGama &lt; dBeta = dAlpha</v>
      </c>
      <c r="P174" s="4" t="str">
        <f ca="1">IFERROR(__xludf.DUMMYFUNCTION("""COMPUTED_VALUE"""),"dBeta &lt; dAlpha &lt; dGama")</f>
        <v>dBeta &lt; dAlpha &lt; dGama</v>
      </c>
      <c r="Q174" s="4" t="str">
        <f ca="1">IFERROR(__xludf.DUMMYFUNCTION("""COMPUTED_VALUE"""),"dGama &lt; dAlpha &lt; dBeta")</f>
        <v>dGama &lt; dAlpha &lt; dBeta</v>
      </c>
      <c r="R174" s="4"/>
      <c r="S174" s="4"/>
      <c r="T174" s="4"/>
      <c r="U174" s="4"/>
      <c r="V174" s="4"/>
      <c r="W174" s="4"/>
      <c r="X174" s="4"/>
      <c r="Y174" s="4"/>
      <c r="Z174" s="4"/>
    </row>
    <row r="175" spans="1:26" x14ac:dyDescent="0.25">
      <c r="A175" s="3" t="str">
        <f ca="1">IFERROR(__xludf.DUMMYFUNCTION("""COMPUTED_VALUE"""),"https://drive.google.com/open?id=1fl1c8hDgI-hDDI3d0zadvqi2puV7wsBWhttps://drive.google.com/open?id=1Mzbc0OJKC5o-nTwMh3S3Dm-NmFE7sGf8")</f>
        <v>https://drive.google.com/open?id=1fl1c8hDgI-hDDI3d0zadvqi2puV7wsBWhttps://drive.google.com/open?id=1Mzbc0OJKC5o-nTwMh3S3Dm-NmFE7sGf8</v>
      </c>
      <c r="B175" s="4" t="str">
        <f ca="1">IFERROR(__xludf.DUMMYFUNCTION("""COMPUTED_VALUE"""),"Enem")</f>
        <v>Enem</v>
      </c>
      <c r="C175" s="4">
        <f ca="1">IFERROR(__xludf.DUMMYFUNCTION("""COMPUTED_VALUE"""),2018)</f>
        <v>2018</v>
      </c>
      <c r="D175" s="4" t="str">
        <f ca="1">IFERROR(__xludf.DUMMYFUNCTION("""COMPUTED_VALUE"""),"Matemática")</f>
        <v>Matemática</v>
      </c>
      <c r="E175" s="4" t="str">
        <f ca="1">IFERROR(__xludf.DUMMYFUNCTION("""COMPUTED_VALUE"""),"Matemática")</f>
        <v>Matemática</v>
      </c>
      <c r="F175" s="4" t="str">
        <f ca="1">IFERROR(__xludf.DUMMYFUNCTION("""COMPUTED_VALUE"""),"Aritmética e Algebra")</f>
        <v>Aritmética e Algebra</v>
      </c>
      <c r="G175" s="4"/>
      <c r="H175" s="4"/>
      <c r="I175" s="4" t="str">
        <f ca="1">IFERROR(__xludf.DUMMYFUNCTION("""COMPUTED_VALUE"""),"Amarelo")</f>
        <v>Amarelo</v>
      </c>
      <c r="J175" s="4">
        <f ca="1">IFERROR(__xludf.DUMMYFUNCTION("""COMPUTED_VALUE"""),137)</f>
        <v>137</v>
      </c>
      <c r="K175" s="4" t="str">
        <f ca="1">IFERROR(__xludf.DUMMYFUNCTION("""COMPUTED_VALUE"""),"D")</f>
        <v>D</v>
      </c>
      <c r="L175" s="4" t="str">
        <f ca="1">IFERROR(__xludf.DUMMYFUNCTION("""COMPUTED_VALUE"""),"O colesterol total de uma pessoa é obtido pela soma da taxa do seu “colesterol bom”
com a taxa do seu “colesterol ruim”. Os exames periódicos, realizados em um paciente
adulto, apresentaram taxa normal de “colesterol bom”, porém, taxa do “colesterol ruim”"&amp;"
(também chamado LDL) de 280 mg/dL.
O quadro apresenta uma classificação de acordo com as taxas de LDL em adultos.
[IMAGEM CONTIDA NO ARQUIVO]
O paciente, seguindo as recomendações médicas sobre estilo de vida e alimentação,
realizou o exame logo após o p"&amp;"rimeiro mês, e a taxa de LDL reduziu 25%. No mês
seguinte, realizou novo exame e constatou uma redução de mais 20% na taxa de LDL.
De acordo com o resultado do segundo exame, a classificação da taxa de LDL do paciente é:")</f>
        <v>O colesterol total de uma pessoa é obtido pela soma da taxa do seu “colesterol bom”
com a taxa do seu “colesterol ruim”. Os exames periódicos, realizados em um paciente
adulto, apresentaram taxa normal de “colesterol bom”, porém, taxa do “colesterol ruim”
(também chamado LDL) de 280 mg/dL.
O quadro apresenta uma classificação de acordo com as taxas de LDL em adultos.
[IMAGEM CONTIDA NO ARQUIVO]
O paciente, seguindo as recomendações médicas sobre estilo de vida e alimentação,
realizou o exame logo após o primeiro mês, e a taxa de LDL reduziu 25%. No mês
seguinte, realizou novo exame e constatou uma redução de mais 20% na taxa de LDL.
De acordo com o resultado do segundo exame, a classificação da taxa de LDL do paciente é:</v>
      </c>
      <c r="M175" s="4" t="str">
        <f ca="1">IFERROR(__xludf.DUMMYFUNCTION("""COMPUTED_VALUE"""),"ótima.")</f>
        <v>ótima.</v>
      </c>
      <c r="N175" s="4" t="str">
        <f ca="1">IFERROR(__xludf.DUMMYFUNCTION("""COMPUTED_VALUE"""),"próxima de ótima.")</f>
        <v>próxima de ótima.</v>
      </c>
      <c r="O175" s="4" t="str">
        <f ca="1">IFERROR(__xludf.DUMMYFUNCTION("""COMPUTED_VALUE"""),"limite.")</f>
        <v>limite.</v>
      </c>
      <c r="P175" s="4" t="str">
        <f ca="1">IFERROR(__xludf.DUMMYFUNCTION("""COMPUTED_VALUE"""),"alta.")</f>
        <v>alta.</v>
      </c>
      <c r="Q175" s="4" t="str">
        <f ca="1">IFERROR(__xludf.DUMMYFUNCTION("""COMPUTED_VALUE"""),"muito alta.")</f>
        <v>muito alta.</v>
      </c>
      <c r="R175" s="4"/>
      <c r="S175" s="4"/>
      <c r="T175" s="4"/>
      <c r="U175" s="4"/>
      <c r="V175" s="4"/>
      <c r="W175" s="4"/>
      <c r="X175" s="4"/>
      <c r="Y175" s="4"/>
      <c r="Z175" s="4"/>
    </row>
    <row r="176" spans="1:26" x14ac:dyDescent="0.25">
      <c r="A176" s="3" t="str">
        <f ca="1">IFERROR(__xludf.DUMMYFUNCTION("""COMPUTED_VALUE"""),"https://drive.google.com/open?id=1lMXFbCnOfmkG1kfcp7pOJoKsPfKU6a08https://drive.google.com/open?id=1Jt-aUbIPxqzEIU_kLgbHOSbg28tBoQ_A")</f>
        <v>https://drive.google.com/open?id=1lMXFbCnOfmkG1kfcp7pOJoKsPfKU6a08https://drive.google.com/open?id=1Jt-aUbIPxqzEIU_kLgbHOSbg28tBoQ_A</v>
      </c>
      <c r="B176" s="4" t="str">
        <f ca="1">IFERROR(__xludf.DUMMYFUNCTION("""COMPUTED_VALUE"""),"Enem")</f>
        <v>Enem</v>
      </c>
      <c r="C176" s="4">
        <f ca="1">IFERROR(__xludf.DUMMYFUNCTION("""COMPUTED_VALUE"""),2018)</f>
        <v>2018</v>
      </c>
      <c r="D176" s="4" t="str">
        <f ca="1">IFERROR(__xludf.DUMMYFUNCTION("""COMPUTED_VALUE"""),"Matemática")</f>
        <v>Matemática</v>
      </c>
      <c r="E176" s="4" t="str">
        <f ca="1">IFERROR(__xludf.DUMMYFUNCTION("""COMPUTED_VALUE"""),"Matemática")</f>
        <v>Matemática</v>
      </c>
      <c r="F176" s="4" t="str">
        <f ca="1">IFERROR(__xludf.DUMMYFUNCTION("""COMPUTED_VALUE"""),"Aritmética e Algebra")</f>
        <v>Aritmética e Algebra</v>
      </c>
      <c r="G176" s="4"/>
      <c r="H176" s="4"/>
      <c r="I176" s="4" t="str">
        <f ca="1">IFERROR(__xludf.DUMMYFUNCTION("""COMPUTED_VALUE"""),"Amarelo")</f>
        <v>Amarelo</v>
      </c>
      <c r="J176" s="4">
        <f ca="1">IFERROR(__xludf.DUMMYFUNCTION("""COMPUTED_VALUE"""),138)</f>
        <v>138</v>
      </c>
      <c r="K176" s="4" t="str">
        <f ca="1">IFERROR(__xludf.DUMMYFUNCTION("""COMPUTED_VALUE"""),"A")</f>
        <v>A</v>
      </c>
      <c r="L176" s="4" t="str">
        <f ca="1">IFERROR(__xludf.DUMMYFUNCTION("""COMPUTED_VALUE"""),"Uma empresa deseja iniciar uma campanha publicitária divulgando uma promoção
para seus possíveis consumidores. Para esse tipo de campanha, os meios mais viáveis
são a distribuição de panfletos na rua e anúncios na rádio local. Considera-se que a população"&amp;" alcançada pela distribuição de panfletos seja igual à quantidade de panfletos distribuídos, enquanto que a alcançada por um anúncio na rádio seja igual à quantidade
de ouvintes desse anúncio. O custo de cada anúncio na rádio é de R$ 120,00, e a
estimativ"&amp;"a é de que seja ouvido por 1500 pessoas. Já a produção e a distribuição dos panfletos custam R$ 180,00 cada 1000 unidades. Considerando que cada pessoa será alcançada por um único desses meios de divulgação, a empresa pretende investir em
ambas as mídias."&amp;"
Considere X e Y os valores (em real) gastos em anúncios e com panfletos, respectivamente.
O número de pessoas alcançadas pela campanha será dado pela expressão:")</f>
        <v>Uma empresa deseja iniciar uma campanha publicitária divulgando uma promoção
para seus possíveis consumidores. Para esse tipo de campanha, os meios mais viáveis
são a distribuição de panfletos na rua e anúncios na rádio local. Considera-se que a população alcançada pela distribuição de panfletos seja igual à quantidade de panfletos distribuídos, enquanto que a alcançada por um anúncio na rádio seja igual à quantidade
de ouvintes desse anúncio. O custo de cada anúncio na rádio é de R$ 120,00, e a
estimativa é de que seja ouvido por 1500 pessoas. Já a produção e a distribuição dos panfletos custam R$ 180,00 cada 1000 unidades. Considerando que cada pessoa será alcançada por um único desses meios de divulgação, a empresa pretende investir em
ambas as mídias.
Considere X e Y os valores (em real) gastos em anúncios e com panfletos, respectivamente.
O número de pessoas alcançadas pela campanha será dado pela expressão:</v>
      </c>
      <c r="M176" s="4" t="str">
        <f ca="1">IFERROR(__xludf.DUMMYFUNCTION("""COMPUTED_VALUE"""),"50X/4 + 50Y/9")</f>
        <v>50X/4 + 50Y/9</v>
      </c>
      <c r="N176" s="4" t="str">
        <f ca="1">IFERROR(__xludf.DUMMYFUNCTION("""COMPUTED_VALUE"""),"50X/9 + 50Y/4")</f>
        <v>50X/9 + 50Y/4</v>
      </c>
      <c r="O176" s="4" t="str">
        <f ca="1">IFERROR(__xludf.DUMMYFUNCTION("""COMPUTED_VALUE"""),"4X/50 + 4Y/50")</f>
        <v>4X/50 + 4Y/50</v>
      </c>
      <c r="P176" s="4" t="str">
        <f ca="1">IFERROR(__xludf.DUMMYFUNCTION("""COMPUTED_VALUE"""),"50/4X + 50/9Y")</f>
        <v>50/4X + 50/9Y</v>
      </c>
      <c r="Q176" s="4" t="str">
        <f ca="1">IFERROR(__xludf.DUMMYFUNCTION("""COMPUTED_VALUE"""),"50/9X + 50Y/4Y")</f>
        <v>50/9X + 50Y/4Y</v>
      </c>
      <c r="R176" s="4"/>
      <c r="S176" s="4"/>
      <c r="T176" s="4"/>
      <c r="U176" s="4"/>
      <c r="V176" s="4"/>
      <c r="W176" s="4"/>
      <c r="X176" s="4"/>
      <c r="Y176" s="4"/>
      <c r="Z176" s="4"/>
    </row>
    <row r="177" spans="1:26" x14ac:dyDescent="0.25">
      <c r="A177" s="3" t="str">
        <f ca="1">IFERROR(__xludf.DUMMYFUNCTION("""COMPUTED_VALUE"""),"https://drive.google.com/open?id=1lss1Ly3sY6wX8sPqJnjEnTbetjOmulnxhttps://drive.google.com/open?id=1cc4bO-F5Kpxt5OHzTdIMnRc215SWHm9t")</f>
        <v>https://drive.google.com/open?id=1lss1Ly3sY6wX8sPqJnjEnTbetjOmulnxhttps://drive.google.com/open?id=1cc4bO-F5Kpxt5OHzTdIMnRc215SWHm9t</v>
      </c>
      <c r="B177" s="4" t="str">
        <f ca="1">IFERROR(__xludf.DUMMYFUNCTION("""COMPUTED_VALUE"""),"Enem")</f>
        <v>Enem</v>
      </c>
      <c r="C177" s="4">
        <f ca="1">IFERROR(__xludf.DUMMYFUNCTION("""COMPUTED_VALUE"""),2018)</f>
        <v>2018</v>
      </c>
      <c r="D177" s="4" t="str">
        <f ca="1">IFERROR(__xludf.DUMMYFUNCTION("""COMPUTED_VALUE"""),"Matemática")</f>
        <v>Matemática</v>
      </c>
      <c r="E177" s="4" t="str">
        <f ca="1">IFERROR(__xludf.DUMMYFUNCTION("""COMPUTED_VALUE"""),"Matemática")</f>
        <v>Matemática</v>
      </c>
      <c r="F177" s="4" t="str">
        <f ca="1">IFERROR(__xludf.DUMMYFUNCTION("""COMPUTED_VALUE"""),"Geometria")</f>
        <v>Geometria</v>
      </c>
      <c r="G177" s="4"/>
      <c r="H177" s="4"/>
      <c r="I177" s="4" t="str">
        <f ca="1">IFERROR(__xludf.DUMMYFUNCTION("""COMPUTED_VALUE"""),"Amarelo")</f>
        <v>Amarelo</v>
      </c>
      <c r="J177" s="4">
        <f ca="1">IFERROR(__xludf.DUMMYFUNCTION("""COMPUTED_VALUE"""),139)</f>
        <v>139</v>
      </c>
      <c r="K177" s="4" t="str">
        <f ca="1">IFERROR(__xludf.DUMMYFUNCTION("""COMPUTED_VALUE"""),"E")</f>
        <v>E</v>
      </c>
      <c r="L177" s="4" t="str">
        <f ca="1">IFERROR(__xludf.DUMMYFUNCTION("""COMPUTED_VALUE"""),"O remo de assento deslizante é um esporte que faz uso de um barco e dois remos do
mesmo tamanho.
A figura mostra uma das posições de uma técnica chamada afastamento.
[IMAGEM CONTIDA NO ARQUIVO]
Nessa posição, os dois remos se encontram no ponto A e suas o"&amp;"utras extremidades
estão indicadas pelos pontos B e C. Esses três pontos formam um triângulo ABC cujo
ângulo BÂC tem medida de 170°.
O tipo de triângulo com vértices nos pontos A, B e C, no momento em que o remador
está nessa posição, é:")</f>
        <v>O remo de assento deslizante é um esporte que faz uso de um barco e dois remos do
mesmo tamanho.
A figura mostra uma das posições de uma técnica chamada afastamento.
[IMAGEM CONTIDA NO ARQUIVO]
Nessa posição, os dois remos se encontram no ponto A e suas outras extremidades
estão indicadas pelos pontos B e C. Esses três pontos formam um triângulo ABC cujo
ângulo BÂC tem medida de 170°.
O tipo de triângulo com vértices nos pontos A, B e C, no momento em que o remador
está nessa posição, é:</v>
      </c>
      <c r="M177" s="4" t="str">
        <f ca="1">IFERROR(__xludf.DUMMYFUNCTION("""COMPUTED_VALUE"""),"retângulo escaleno.")</f>
        <v>retângulo escaleno.</v>
      </c>
      <c r="N177" s="4" t="str">
        <f ca="1">IFERROR(__xludf.DUMMYFUNCTION("""COMPUTED_VALUE"""),"acutângulo escaleno.")</f>
        <v>acutângulo escaleno.</v>
      </c>
      <c r="O177" s="4" t="str">
        <f ca="1">IFERROR(__xludf.DUMMYFUNCTION("""COMPUTED_VALUE"""),"acutângulo isósceles.")</f>
        <v>acutângulo isósceles.</v>
      </c>
      <c r="P177" s="4" t="str">
        <f ca="1">IFERROR(__xludf.DUMMYFUNCTION("""COMPUTED_VALUE"""),"obtusângulo escaleno.")</f>
        <v>obtusângulo escaleno.</v>
      </c>
      <c r="Q177" s="4" t="str">
        <f ca="1">IFERROR(__xludf.DUMMYFUNCTION("""COMPUTED_VALUE"""),"obtusângulo isósceles.")</f>
        <v>obtusângulo isósceles.</v>
      </c>
      <c r="R177" s="4"/>
      <c r="S177" s="4"/>
      <c r="T177" s="4"/>
      <c r="U177" s="4"/>
      <c r="V177" s="4"/>
      <c r="W177" s="4"/>
      <c r="X177" s="4"/>
      <c r="Y177" s="4"/>
      <c r="Z177" s="4"/>
    </row>
    <row r="178" spans="1:26" x14ac:dyDescent="0.25">
      <c r="A178" s="3" t="str">
        <f ca="1">IFERROR(__xludf.DUMMYFUNCTION("""COMPUTED_VALUE"""),"https://drive.google.com/open?id=1YQaqSQjp8VHg5l1hD-1TEWrne-4YlEE3https://drive.google.com/open?id=1ztPY_645gP3v0F8wSNLpCOEqN-RNbU0G")</f>
        <v>https://drive.google.com/open?id=1YQaqSQjp8VHg5l1hD-1TEWrne-4YlEE3https://drive.google.com/open?id=1ztPY_645gP3v0F8wSNLpCOEqN-RNbU0G</v>
      </c>
      <c r="B178" s="4" t="str">
        <f ca="1">IFERROR(__xludf.DUMMYFUNCTION("""COMPUTED_VALUE"""),"Enem")</f>
        <v>Enem</v>
      </c>
      <c r="C178" s="4">
        <f ca="1">IFERROR(__xludf.DUMMYFUNCTION("""COMPUTED_VALUE"""),2018)</f>
        <v>2018</v>
      </c>
      <c r="D178" s="4" t="str">
        <f ca="1">IFERROR(__xludf.DUMMYFUNCTION("""COMPUTED_VALUE"""),"Matemática")</f>
        <v>Matemática</v>
      </c>
      <c r="E178" s="4" t="str">
        <f ca="1">IFERROR(__xludf.DUMMYFUNCTION("""COMPUTED_VALUE"""),"Matemática")</f>
        <v>Matemática</v>
      </c>
      <c r="F178" s="4" t="str">
        <f ca="1">IFERROR(__xludf.DUMMYFUNCTION("""COMPUTED_VALUE"""),"Aritmética e Algebra")</f>
        <v>Aritmética e Algebra</v>
      </c>
      <c r="G178" s="4" t="str">
        <f ca="1">IFERROR(__xludf.DUMMYFUNCTION("""COMPUTED_VALUE"""),"Geometria")</f>
        <v>Geometria</v>
      </c>
      <c r="H178" s="4"/>
      <c r="I178" s="4" t="str">
        <f ca="1">IFERROR(__xludf.DUMMYFUNCTION("""COMPUTED_VALUE"""),"Amarelo")</f>
        <v>Amarelo</v>
      </c>
      <c r="J178" s="4">
        <f ca="1">IFERROR(__xludf.DUMMYFUNCTION("""COMPUTED_VALUE"""),140)</f>
        <v>140</v>
      </c>
      <c r="K178" s="4" t="str">
        <f ca="1">IFERROR(__xludf.DUMMYFUNCTION("""COMPUTED_VALUE"""),"D")</f>
        <v>D</v>
      </c>
      <c r="L178" s="4" t="str">
        <f ca="1">IFERROR(__xludf.DUMMYFUNCTION("""COMPUTED_VALUE"""),"Um rapaz estuda em uma escola que fica longe de sua casa, e por isso precisa
utilizar o transporte público. Como é muito observador, todos os dias ele anota a
hora exata (sem considerar os segundos) em que o ônibus passa pelo ponto de
espera. Também notou"&amp;" que nunca consegue chegar ao ponto de ônibus antes de
6 h 15 min da manhã. Analisando os dados coletados durante o mês de fevereiro,
o qual teve 21 dias letivos, ele concluiu que 6 h 21 min foi o que mais se repetiu, e que a mediana do conjunto de dados "&amp;"é 6 h 22 min.
A probabilidade de que, em algum dos dias letivos de fevereiro, esse rapaz tenha
apanhado o ônibus antes de 6 h 21 min da manhã é, no máximo,")</f>
        <v>Um rapaz estuda em uma escola que fica longe de sua casa, e por isso precisa
utilizar o transporte público. Como é muito observador, todos os dias ele anota a
hora exata (sem considerar os segundos) em que o ônibus passa pelo ponto de
espera. Também notou que nunca consegue chegar ao ponto de ônibus antes de
6 h 15 min da manhã. Analisando os dados coletados durante o mês de fevereiro,
o qual teve 21 dias letivos, ele concluiu que 6 h 21 min foi o que mais se repetiu, e que a mediana do conjunto de dados é 6 h 22 min.
A probabilidade de que, em algum dos dias letivos de fevereiro, esse rapaz tenha
apanhado o ônibus antes de 6 h 21 min da manhã é, no máximo,</v>
      </c>
      <c r="M178" s="4" t="str">
        <f ca="1">IFERROR(__xludf.DUMMYFUNCTION("""COMPUTED_VALUE"""),"4/21")</f>
        <v>4/21</v>
      </c>
      <c r="N178" s="4" t="str">
        <f ca="1">IFERROR(__xludf.DUMMYFUNCTION("""COMPUTED_VALUE"""),"5/21")</f>
        <v>5/21</v>
      </c>
      <c r="O178" s="4" t="str">
        <f ca="1">IFERROR(__xludf.DUMMYFUNCTION("""COMPUTED_VALUE"""),"6/21")</f>
        <v>6/21</v>
      </c>
      <c r="P178" s="4" t="str">
        <f ca="1">IFERROR(__xludf.DUMMYFUNCTION("""COMPUTED_VALUE"""),"7/21")</f>
        <v>7/21</v>
      </c>
      <c r="Q178" s="4" t="str">
        <f ca="1">IFERROR(__xludf.DUMMYFUNCTION("""COMPUTED_VALUE"""),"8/21")</f>
        <v>8/21</v>
      </c>
      <c r="R178" s="4"/>
      <c r="S178" s="4"/>
      <c r="T178" s="4"/>
      <c r="U178" s="4"/>
      <c r="V178" s="4"/>
      <c r="W178" s="4"/>
      <c r="X178" s="4"/>
      <c r="Y178" s="4"/>
      <c r="Z178" s="4"/>
    </row>
    <row r="179" spans="1:26" x14ac:dyDescent="0.25">
      <c r="A179" s="3" t="str">
        <f ca="1">IFERROR(__xludf.DUMMYFUNCTION("""COMPUTED_VALUE"""),"https://drive.google.com/open?id=1AxfBueDabj-D8xYgrZlEAFgTl4c6OJPI")</f>
        <v>https://drive.google.com/open?id=1AxfBueDabj-D8xYgrZlEAFgTl4c6OJPI</v>
      </c>
      <c r="B179" s="4" t="str">
        <f ca="1">IFERROR(__xludf.DUMMYFUNCTION("""COMPUTED_VALUE"""),"Enem")</f>
        <v>Enem</v>
      </c>
      <c r="C179" s="4">
        <f ca="1">IFERROR(__xludf.DUMMYFUNCTION("""COMPUTED_VALUE"""),2019)</f>
        <v>2019</v>
      </c>
      <c r="D179" s="4" t="str">
        <f ca="1">IFERROR(__xludf.DUMMYFUNCTION("""COMPUTED_VALUE"""),"Ciências da Natureza")</f>
        <v>Ciências da Natureza</v>
      </c>
      <c r="E179" s="4" t="str">
        <f ca="1">IFERROR(__xludf.DUMMYFUNCTION("""COMPUTED_VALUE"""),"Química")</f>
        <v>Química</v>
      </c>
      <c r="F179" s="4" t="str">
        <f ca="1">IFERROR(__xludf.DUMMYFUNCTION("""COMPUTED_VALUE"""),"Química Geral")</f>
        <v>Química Geral</v>
      </c>
      <c r="G179" s="4"/>
      <c r="H179" s="4"/>
      <c r="I179" s="4" t="str">
        <f ca="1">IFERROR(__xludf.DUMMYFUNCTION("""COMPUTED_VALUE"""),"Amarelo")</f>
        <v>Amarelo</v>
      </c>
      <c r="J179" s="4">
        <f ca="1">IFERROR(__xludf.DUMMYFUNCTION("""COMPUTED_VALUE"""),93)</f>
        <v>93</v>
      </c>
      <c r="K179" s="4" t="str">
        <f ca="1">IFERROR(__xludf.DUMMYFUNCTION("""COMPUTED_VALUE"""),"A")</f>
        <v>A</v>
      </c>
      <c r="L179" s="4" t="str">
        <f ca="1">IFERROR(__xludf.DUMMYFUNCTION("""COMPUTED_VALUE"""),"Nanopartículas de sílica recobertas com antibióticos foram desenvolvidas com sucesso como material bactericida, pois são eficazes contra bactérias sensíveis e resistentes, sem citotoxicidade significativa a células de mamíferos. As nanopartículas livres d"&amp;"e antibióticos também foram capazes de matar as bactérias E. coli sensíveis e resistentes ao antibiótico estudado. Os autores sugerem que a interação entre os grupos hidroxil da superfície das nanopartículas e os lipopolissacarídeos da parede celular da b"&amp;"actéria desestabilizaria sua estrutura. IMAGEM NO ARQUIVO. CAPELETTI, L. B. et al. Tailored Silica – Antibiotic Nanoparticles: Overcoming Bacterial Resistance with Low Cytotoxicity. Langmuir, n. 30, 2014 (adaptado).A  interação  entre  a  superfície  da  "&amp;"nanopartícula  e  o lipopolissacarídeo ocorre por uma ligação")</f>
        <v>Nanopartículas de sílica recobertas com antibióticos foram desenvolvidas com sucesso como material bactericida, pois são eficazes contra bactérias sensíveis e resistentes, sem citotoxicidade significativa a células de mamíferos. As nanopartículas livres de antibióticos também foram capazes de matar as bactérias E. coli sensíveis e resistentes ao antibiótico estudado. Os autores sugerem que a interação entre os grupos hidroxil da superfície das nanopartículas e os lipopolissacarídeos da parede celular da bactéria desestabilizaria sua estrutura. IMAGEM NO ARQUIVO. CAPELETTI, L. B. et al. Tailored Silica – Antibiotic Nanoparticles: Overcoming Bacterial Resistance with Low Cytotoxicity. Langmuir, n. 30, 2014 (adaptado).A  interação  entre  a  superfície  da  nanopartícula  e  o lipopolissacarídeo ocorre por uma ligação</v>
      </c>
      <c r="M179" s="4" t="str">
        <f ca="1">IFERROR(__xludf.DUMMYFUNCTION("""COMPUTED_VALUE"""),"de hidrogênio.")</f>
        <v>de hidrogênio.</v>
      </c>
      <c r="N179" s="4" t="str">
        <f ca="1">IFERROR(__xludf.DUMMYFUNCTION("""COMPUTED_VALUE"""),"hidrofóbica.
")</f>
        <v xml:space="preserve">hidrofóbica.
</v>
      </c>
      <c r="O179" s="4" t="str">
        <f ca="1">IFERROR(__xludf.DUMMYFUNCTION("""COMPUTED_VALUE"""),"dissulfeto.
")</f>
        <v xml:space="preserve">dissulfeto.
</v>
      </c>
      <c r="P179" s="4" t="str">
        <f ca="1">IFERROR(__xludf.DUMMYFUNCTION("""COMPUTED_VALUE"""),"metálica.
")</f>
        <v xml:space="preserve">metálica.
</v>
      </c>
      <c r="Q179" s="4" t="str">
        <f ca="1">IFERROR(__xludf.DUMMYFUNCTION("""COMPUTED_VALUE"""),"iônica.
")</f>
        <v xml:space="preserve">iônica.
</v>
      </c>
      <c r="R179" s="4"/>
      <c r="S179" s="4"/>
      <c r="T179" s="4"/>
      <c r="U179" s="4"/>
      <c r="V179" s="4"/>
      <c r="W179" s="4"/>
      <c r="X179" s="4"/>
      <c r="Y179" s="4"/>
      <c r="Z179" s="4"/>
    </row>
    <row r="180" spans="1:26" x14ac:dyDescent="0.25">
      <c r="A180" s="3" t="str">
        <f ca="1">IFERROR(__xludf.DUMMYFUNCTION("""COMPUTED_VALUE"""),"https://drive.google.com/open?id=1gcLyhc27Ct0r_fgnRpCq-RIsEbp9l8z5")</f>
        <v>https://drive.google.com/open?id=1gcLyhc27Ct0r_fgnRpCq-RIsEbp9l8z5</v>
      </c>
      <c r="B180" s="4" t="str">
        <f ca="1">IFERROR(__xludf.DUMMYFUNCTION("""COMPUTED_VALUE"""),"Enem")</f>
        <v>Enem</v>
      </c>
      <c r="C180" s="4">
        <f ca="1">IFERROR(__xludf.DUMMYFUNCTION("""COMPUTED_VALUE"""),2019)</f>
        <v>2019</v>
      </c>
      <c r="D180" s="4" t="str">
        <f ca="1">IFERROR(__xludf.DUMMYFUNCTION("""COMPUTED_VALUE"""),"Ciências da Natureza")</f>
        <v>Ciências da Natureza</v>
      </c>
      <c r="E180" s="4" t="str">
        <f ca="1">IFERROR(__xludf.DUMMYFUNCTION("""COMPUTED_VALUE"""),"Química")</f>
        <v>Química</v>
      </c>
      <c r="F180" s="4" t="str">
        <f ca="1">IFERROR(__xludf.DUMMYFUNCTION("""COMPUTED_VALUE"""),"Química Geral")</f>
        <v>Química Geral</v>
      </c>
      <c r="G180" s="4"/>
      <c r="H180" s="4"/>
      <c r="I180" s="4" t="str">
        <f ca="1">IFERROR(__xludf.DUMMYFUNCTION("""COMPUTED_VALUE"""),"Amarelo")</f>
        <v>Amarelo</v>
      </c>
      <c r="J180" s="4">
        <f ca="1">IFERROR(__xludf.DUMMYFUNCTION("""COMPUTED_VALUE"""),94)</f>
        <v>94</v>
      </c>
      <c r="K180" s="4" t="str">
        <f ca="1">IFERROR(__xludf.DUMMYFUNCTION("""COMPUTED_VALUE"""),"D")</f>
        <v>D</v>
      </c>
      <c r="L180" s="4" t="str">
        <f ca="1">IFERROR(__xludf.DUMMYFUNCTION("""COMPUTED_VALUE"""),"Antes da geração do céu, teremos que rever a natureza do fogo, do ar, da água e da terra.Primeiro, em relação àquilo a que chamamos água, quando congela, parece-nos estar a olhar para algo que se tornou pedra ou terra, mas quando derrete e se dispersa, es"&amp;"ta torna-se bafo e ar; o ar, quando é queimado, torna-se fogo; e, inversamente, o fogo, quando se contrai e se extingue, regressa à forma do ar; o ar, novamente concentrado e contraído, torna-se nuvem e nevoeiro, mas, a partir destes estados, se for ainda"&amp;" mais comprimido, torna-se água corrente, e de água torna-se novamente terra e pedras; e deste modo, como nos parece, dão geração uns aos outros de forma cíclica.PlATÃO, Timeu (c. 360 a.C.).Buscando compreender a diversidade de formas e substâncias que ve"&amp;"mos no mundo, diversas culturas da Antiguidade elaboraram a noção de “quatro elementos” fundamentais, que seriam terra, água, ar e fogo. Essa visão de mundo prevaleceu até o início da Era Moderna, quando foi suplantada diante das descobertas da química e "&amp;"da física.PlATÃO. Timeu-Crítias. Coimbra: CECh, 2011.Do ponto de vista da ciência moderna, a descrição dos “quatro elementos” feita por Platão corresponde ao conceito de
")</f>
        <v xml:space="preserve">Antes da geração do céu, teremos que rever a natureza do fogo, do ar, da água e da terra.Primeiro, em relação àquilo a que chamamos água, quando congela, parece-nos estar a olhar para algo que se tornou pedra ou terra, mas quando derrete e se dispersa, esta torna-se bafo e ar; o ar, quando é queimado, torna-se fogo; e, inversamente, o fogo, quando se contrai e se extingue, regressa à forma do ar; o ar, novamente concentrado e contraído, torna-se nuvem e nevoeiro, mas, a partir destes estados, se for ainda mais comprimido, torna-se água corrente, e de água torna-se novamente terra e pedras; e deste modo, como nos parece, dão geração uns aos outros de forma cíclica.PlATÃO, Timeu (c. 360 a.C.).Buscando compreender a diversidade de formas e substâncias que vemos no mundo, diversas culturas da Antiguidade elaboraram a noção de “quatro elementos” fundamentais, que seriam terra, água, ar e fogo. Essa visão de mundo prevaleceu até o início da Era Moderna, quando foi suplantada diante das descobertas da química e da física.PlATÃO. Timeu-Crítias. Coimbra: CECh, 2011.Do ponto de vista da ciência moderna, a descrição dos “quatro elementos” feita por Platão corresponde ao conceito de
</v>
      </c>
      <c r="M180" s="4" t="str">
        <f ca="1">IFERROR(__xludf.DUMMYFUNCTION("""COMPUTED_VALUE"""),"partícula elementar.
")</f>
        <v xml:space="preserve">partícula elementar.
</v>
      </c>
      <c r="N180" s="4" t="str">
        <f ca="1">IFERROR(__xludf.DUMMYFUNCTION("""COMPUTED_VALUE"""),"força fundamental.
")</f>
        <v xml:space="preserve">força fundamental.
</v>
      </c>
      <c r="O180" s="4" t="str">
        <f ca="1">IFERROR(__xludf.DUMMYFUNCTION("""COMPUTED_VALUE"""),"elemento químico.
")</f>
        <v xml:space="preserve">elemento químico.
</v>
      </c>
      <c r="P180" s="4" t="str">
        <f ca="1">IFERROR(__xludf.DUMMYFUNCTION("""COMPUTED_VALUE"""),"fase da matéria.
")</f>
        <v xml:space="preserve">fase da matéria.
</v>
      </c>
      <c r="Q180" s="4" t="str">
        <f ca="1">IFERROR(__xludf.DUMMYFUNCTION("""COMPUTED_VALUE"""),"lei da natureza.
")</f>
        <v xml:space="preserve">lei da natureza.
</v>
      </c>
      <c r="R180" s="4"/>
      <c r="S180" s="4"/>
      <c r="T180" s="4"/>
      <c r="U180" s="4"/>
      <c r="V180" s="4"/>
      <c r="W180" s="4"/>
      <c r="X180" s="4"/>
      <c r="Y180" s="4"/>
      <c r="Z180" s="4"/>
    </row>
    <row r="181" spans="1:26" x14ac:dyDescent="0.25">
      <c r="A181" s="3" t="str">
        <f ca="1">IFERROR(__xludf.DUMMYFUNCTION("""COMPUTED_VALUE"""),"https://drive.google.com/open?id=1W6Dq243q5fW2H1WCmbMJLEvyLOhvPAuM")</f>
        <v>https://drive.google.com/open?id=1W6Dq243q5fW2H1WCmbMJLEvyLOhvPAuM</v>
      </c>
      <c r="B181" s="4" t="str">
        <f ca="1">IFERROR(__xludf.DUMMYFUNCTION("""COMPUTED_VALUE"""),"Enem")</f>
        <v>Enem</v>
      </c>
      <c r="C181" s="4">
        <f ca="1">IFERROR(__xludf.DUMMYFUNCTION("""COMPUTED_VALUE"""),2019)</f>
        <v>2019</v>
      </c>
      <c r="D181" s="4" t="str">
        <f ca="1">IFERROR(__xludf.DUMMYFUNCTION("""COMPUTED_VALUE"""),"Ciências da Natureza")</f>
        <v>Ciências da Natureza</v>
      </c>
      <c r="E181" s="4" t="str">
        <f ca="1">IFERROR(__xludf.DUMMYFUNCTION("""COMPUTED_VALUE"""),"Química")</f>
        <v>Química</v>
      </c>
      <c r="F181" s="4" t="str">
        <f ca="1">IFERROR(__xludf.DUMMYFUNCTION("""COMPUTED_VALUE"""),"Físico-Química")</f>
        <v>Físico-Química</v>
      </c>
      <c r="G181" s="4"/>
      <c r="H181" s="4"/>
      <c r="I181" s="4" t="str">
        <f ca="1">IFERROR(__xludf.DUMMYFUNCTION("""COMPUTED_VALUE"""),"Amarelo")</f>
        <v>Amarelo</v>
      </c>
      <c r="J181" s="4">
        <f ca="1">IFERROR(__xludf.DUMMYFUNCTION("""COMPUTED_VALUE"""),95)</f>
        <v>95</v>
      </c>
      <c r="K181" s="4" t="str">
        <f ca="1">IFERROR(__xludf.DUMMYFUNCTION("""COMPUTED_VALUE"""),"A")</f>
        <v>A</v>
      </c>
      <c r="L181" s="4" t="str">
        <f ca="1">IFERROR(__xludf.DUMMYFUNCTION("""COMPUTED_VALUE"""),"O vinagre é um produto alimentício resultante da fermentação do vinho que, de acordo com a legislação nacional, deve apresentar um teor mínimo de ácido acético (Ch3COOH) de 4% (v/v). Uma empresa está desenvolvendo um kit para que a inspeção sanitária seja"&amp;" capaz de determinar se alíquotas de 1 mL de amostras de vinagre estão de acordo com a legislação. Esse kit é composto por uma ampola que contém uma solução aquosa de Ca(OH)2 0,1 molL e um indicador que faz com que a solução fique cor-de-rosa, se estiver "&amp;"básica, e incolor, se estiver neutra ou ácida. Considere a densidade do ácido acético igual a 1,10 gcm3, a massa molar do ácido acético igual a 60 gmol e a massa molar do hidróxido de cálcio igual a 74 gmol.Qual é o valor mais próximo para o volume de sol"&amp;"ução de Ca(Oh)2, em ml, que deve estar contido em cada ampola do kit para garantir a determinação da regularidade da amostra testada?
")</f>
        <v xml:space="preserve">O vinagre é um produto alimentício resultante da fermentação do vinho que, de acordo com a legislação nacional, deve apresentar um teor mínimo de ácido acético (Ch3COOH) de 4% (v/v). Uma empresa está desenvolvendo um kit para que a inspeção sanitária seja capaz de determinar se alíquotas de 1 mL de amostras de vinagre estão de acordo com a legislação. Esse kit é composto por uma ampola que contém uma solução aquosa de Ca(OH)2 0,1 molL e um indicador que faz com que a solução fique cor-de-rosa, se estiver básica, e incolor, se estiver neutra ou ácida. Considere a densidade do ácido acético igual a 1,10 gcm3, a massa molar do ácido acético igual a 60 gmol e a massa molar do hidróxido de cálcio igual a 74 gmol.Qual é o valor mais próximo para o volume de solução de Ca(Oh)2, em ml, que deve estar contido em cada ampola do kit para garantir a determinação da regularidade da amostra testada?
</v>
      </c>
      <c r="M181" s="4" t="str">
        <f ca="1">IFERROR(__xludf.DUMMYFUNCTION("""COMPUTED_VALUE"""),"3,7")</f>
        <v>3,7</v>
      </c>
      <c r="N181" s="4" t="str">
        <f ca="1">IFERROR(__xludf.DUMMYFUNCTION("""COMPUTED_VALUE"""),"6,6")</f>
        <v>6,6</v>
      </c>
      <c r="O181" s="4" t="str">
        <f ca="1">IFERROR(__xludf.DUMMYFUNCTION("""COMPUTED_VALUE"""),"7,3")</f>
        <v>7,3</v>
      </c>
      <c r="P181" s="4" t="str">
        <f ca="1">IFERROR(__xludf.DUMMYFUNCTION("""COMPUTED_VALUE"""),"25")</f>
        <v>25</v>
      </c>
      <c r="Q181" s="4" t="str">
        <f ca="1">IFERROR(__xludf.DUMMYFUNCTION("""COMPUTED_VALUE"""),"36")</f>
        <v>36</v>
      </c>
      <c r="R181" s="4"/>
      <c r="S181" s="4"/>
      <c r="T181" s="4"/>
      <c r="U181" s="4"/>
      <c r="V181" s="4"/>
      <c r="W181" s="4"/>
      <c r="X181" s="4"/>
      <c r="Y181" s="4"/>
      <c r="Z181" s="4"/>
    </row>
    <row r="182" spans="1:26" x14ac:dyDescent="0.25">
      <c r="A182" s="3" t="str">
        <f ca="1">IFERROR(__xludf.DUMMYFUNCTION("""COMPUTED_VALUE"""),"https://drive.google.com/open?id=17h-ZIQyG2SXEFQz7j9cNT7aEoV2c2Fk6")</f>
        <v>https://drive.google.com/open?id=17h-ZIQyG2SXEFQz7j9cNT7aEoV2c2Fk6</v>
      </c>
      <c r="B182" s="4" t="str">
        <f ca="1">IFERROR(__xludf.DUMMYFUNCTION("""COMPUTED_VALUE"""),"Enem")</f>
        <v>Enem</v>
      </c>
      <c r="C182" s="4">
        <f ca="1">IFERROR(__xludf.DUMMYFUNCTION("""COMPUTED_VALUE"""),2019)</f>
        <v>2019</v>
      </c>
      <c r="D182" s="4" t="str">
        <f ca="1">IFERROR(__xludf.DUMMYFUNCTION("""COMPUTED_VALUE"""),"Ciências da Natureza")</f>
        <v>Ciências da Natureza</v>
      </c>
      <c r="E182" s="4" t="str">
        <f ca="1">IFERROR(__xludf.DUMMYFUNCTION("""COMPUTED_VALUE"""),"Química")</f>
        <v>Química</v>
      </c>
      <c r="F182" s="4" t="str">
        <f ca="1">IFERROR(__xludf.DUMMYFUNCTION("""COMPUTED_VALUE"""),"Química Geral")</f>
        <v>Química Geral</v>
      </c>
      <c r="G182" s="4"/>
      <c r="H182" s="4"/>
      <c r="I182" s="4" t="str">
        <f ca="1">IFERROR(__xludf.DUMMYFUNCTION("""COMPUTED_VALUE"""),"Amarelo")</f>
        <v>Amarelo</v>
      </c>
      <c r="J182" s="4">
        <f ca="1">IFERROR(__xludf.DUMMYFUNCTION("""COMPUTED_VALUE"""),97)</f>
        <v>97</v>
      </c>
      <c r="K182" s="4" t="str">
        <f ca="1">IFERROR(__xludf.DUMMYFUNCTION("""COMPUTED_VALUE"""),"E")</f>
        <v>E</v>
      </c>
      <c r="L182" s="4" t="str">
        <f ca="1">IFERROR(__xludf.DUMMYFUNCTION("""COMPUTED_VALUE"""),"Em regiões desérticas, a obtenção de água potável não pode depender apenas da precipitação. Nesse sentido, portanto, sistemas para dessalinização da água do mar têm sido uma solução. Alguns desses sistemas consistem basicamente de duas câmaras (uma conten"&amp;"do água doce e outra contendo água salgada) separadas por uma membrana semipermeável. Aplicando-se pressão na câmara com água salgada, a água pura é forçada a passar através da membrana para a câmara contendo água doce.O processo descrito para a purificaç"&amp;"ão da águaé denominado
")</f>
        <v xml:space="preserve">Em regiões desérticas, a obtenção de água potável não pode depender apenas da precipitação. Nesse sentido, portanto, sistemas para dessalinização da água do mar têm sido uma solução. Alguns desses sistemas consistem basicamente de duas câmaras (uma contendo água doce e outra contendo água salgada) separadas por uma membrana semipermeável. Aplicando-se pressão na câmara com água salgada, a água pura é forçada a passar através da membrana para a câmara contendo água doce.O processo descrito para a purificação da águaé denominado
</v>
      </c>
      <c r="M182" s="4" t="str">
        <f ca="1">IFERROR(__xludf.DUMMYFUNCTION("""COMPUTED_VALUE"""),"filtração.
")</f>
        <v xml:space="preserve">filtração.
</v>
      </c>
      <c r="N182" s="4" t="str">
        <f ca="1">IFERROR(__xludf.DUMMYFUNCTION("""COMPUTED_VALUE"""),"adsorção.
")</f>
        <v xml:space="preserve">adsorção.
</v>
      </c>
      <c r="O182" s="4" t="str">
        <f ca="1">IFERROR(__xludf.DUMMYFUNCTION("""COMPUTED_VALUE"""),"destilação.
")</f>
        <v xml:space="preserve">destilação.
</v>
      </c>
      <c r="P182" s="4" t="str">
        <f ca="1">IFERROR(__xludf.DUMMYFUNCTION("""COMPUTED_VALUE"""),"troca iônica.
")</f>
        <v xml:space="preserve">troca iônica.
</v>
      </c>
      <c r="Q182" s="4" t="str">
        <f ca="1">IFERROR(__xludf.DUMMYFUNCTION("""COMPUTED_VALUE"""),"osmose reversa.
")</f>
        <v xml:space="preserve">osmose reversa.
</v>
      </c>
      <c r="R182" s="4"/>
      <c r="S182" s="4"/>
      <c r="T182" s="4"/>
      <c r="U182" s="4"/>
      <c r="V182" s="4"/>
      <c r="W182" s="4"/>
      <c r="X182" s="4"/>
      <c r="Y182" s="4"/>
      <c r="Z182" s="4"/>
    </row>
    <row r="183" spans="1:26" x14ac:dyDescent="0.25">
      <c r="A183" s="3" t="str">
        <f ca="1">IFERROR(__xludf.DUMMYFUNCTION("""COMPUTED_VALUE"""),"https://drive.google.com/open?id=1uH6O5Tux_hje4hyJNodAgLSqSo1sRpGj")</f>
        <v>https://drive.google.com/open?id=1uH6O5Tux_hje4hyJNodAgLSqSo1sRpGj</v>
      </c>
      <c r="B183" s="4" t="str">
        <f ca="1">IFERROR(__xludf.DUMMYFUNCTION("""COMPUTED_VALUE"""),"Enem")</f>
        <v>Enem</v>
      </c>
      <c r="C183" s="4">
        <f ca="1">IFERROR(__xludf.DUMMYFUNCTION("""COMPUTED_VALUE"""),2019)</f>
        <v>2019</v>
      </c>
      <c r="D183" s="4" t="str">
        <f ca="1">IFERROR(__xludf.DUMMYFUNCTION("""COMPUTED_VALUE"""),"Ciências da Natureza")</f>
        <v>Ciências da Natureza</v>
      </c>
      <c r="E183" s="4" t="str">
        <f ca="1">IFERROR(__xludf.DUMMYFUNCTION("""COMPUTED_VALUE"""),"Química")</f>
        <v>Química</v>
      </c>
      <c r="F183" s="4" t="str">
        <f ca="1">IFERROR(__xludf.DUMMYFUNCTION("""COMPUTED_VALUE"""),"Físico-Química")</f>
        <v>Físico-Química</v>
      </c>
      <c r="G183" s="4"/>
      <c r="H183" s="4"/>
      <c r="I183" s="4" t="str">
        <f ca="1">IFERROR(__xludf.DUMMYFUNCTION("""COMPUTED_VALUE"""),"Amarelo")</f>
        <v>Amarelo</v>
      </c>
      <c r="J183" s="4">
        <f ca="1">IFERROR(__xludf.DUMMYFUNCTION("""COMPUTED_VALUE"""),98)</f>
        <v>98</v>
      </c>
      <c r="K183" s="4" t="str">
        <f ca="1">IFERROR(__xludf.DUMMYFUNCTION("""COMPUTED_VALUE"""),"D")</f>
        <v>D</v>
      </c>
      <c r="L183" s="4" t="str">
        <f ca="1">IFERROR(__xludf.DUMMYFUNCTION("""COMPUTED_VALUE"""),"Um laudo de análise de laboratório apontou que amostras de leite de uma usina de beneficiamento estavam em desacordo com os padrões estabelecidos pela legislação. Foi observado que a concentração de sacarose era maior do que a permitida.Qual teste listado"&amp;" permite detectar a irregularidade descrita?
")</f>
        <v xml:space="preserve">Um laudo de análise de laboratório apontou que amostras de leite de uma usina de beneficiamento estavam em desacordo com os padrões estabelecidos pela legislação. Foi observado que a concentração de sacarose era maior do que a permitida.Qual teste listado permite detectar a irregularidade descrita?
</v>
      </c>
      <c r="M183" s="4" t="str">
        <f ca="1">IFERROR(__xludf.DUMMYFUNCTION("""COMPUTED_VALUE"""),"Medida da turbidez.
")</f>
        <v xml:space="preserve">Medida da turbidez.
</v>
      </c>
      <c r="N183" s="4" t="str">
        <f ca="1">IFERROR(__xludf.DUMMYFUNCTION("""COMPUTED_VALUE"""),"Determinação da cor.
")</f>
        <v xml:space="preserve">Determinação da cor.
</v>
      </c>
      <c r="O183" s="4" t="str">
        <f ca="1">IFERROR(__xludf.DUMMYFUNCTION("""COMPUTED_VALUE"""),"Determinação do pH.
")</f>
        <v xml:space="preserve">Determinação do pH.
</v>
      </c>
      <c r="P183" s="4" t="str">
        <f ca="1">IFERROR(__xludf.DUMMYFUNCTION("""COMPUTED_VALUE"""),"Medida da densidade.
")</f>
        <v xml:space="preserve">Medida da densidade.
</v>
      </c>
      <c r="Q183" s="4" t="str">
        <f ca="1">IFERROR(__xludf.DUMMYFUNCTION("""COMPUTED_VALUE"""),"Medida da condutividade
")</f>
        <v xml:space="preserve">Medida da condutividade
</v>
      </c>
      <c r="R183" s="4"/>
      <c r="S183" s="4"/>
      <c r="T183" s="4"/>
      <c r="U183" s="4"/>
      <c r="V183" s="4"/>
      <c r="W183" s="4"/>
      <c r="X183" s="4"/>
      <c r="Y183" s="4"/>
      <c r="Z183" s="4"/>
    </row>
    <row r="184" spans="1:26" x14ac:dyDescent="0.25">
      <c r="A184" s="3" t="str">
        <f ca="1">IFERROR(__xludf.DUMMYFUNCTION("""COMPUTED_VALUE"""),"https://drive.google.com/open?id=1l7QrWHwBtD7853C7VAD4Nv2MJ-LWrkXs")</f>
        <v>https://drive.google.com/open?id=1l7QrWHwBtD7853C7VAD4Nv2MJ-LWrkXs</v>
      </c>
      <c r="B184" s="4" t="str">
        <f ca="1">IFERROR(__xludf.DUMMYFUNCTION("""COMPUTED_VALUE"""),"Enem")</f>
        <v>Enem</v>
      </c>
      <c r="C184" s="4">
        <f ca="1">IFERROR(__xludf.DUMMYFUNCTION("""COMPUTED_VALUE"""),2019)</f>
        <v>2019</v>
      </c>
      <c r="D184" s="4" t="str">
        <f ca="1">IFERROR(__xludf.DUMMYFUNCTION("""COMPUTED_VALUE"""),"Ciências da Natureza")</f>
        <v>Ciências da Natureza</v>
      </c>
      <c r="E184" s="4" t="str">
        <f ca="1">IFERROR(__xludf.DUMMYFUNCTION("""COMPUTED_VALUE"""),"Química")</f>
        <v>Química</v>
      </c>
      <c r="F184" s="4" t="str">
        <f ca="1">IFERROR(__xludf.DUMMYFUNCTION("""COMPUTED_VALUE"""),"Química Geral")</f>
        <v>Química Geral</v>
      </c>
      <c r="G184" s="4"/>
      <c r="H184" s="4"/>
      <c r="I184" s="4" t="str">
        <f ca="1">IFERROR(__xludf.DUMMYFUNCTION("""COMPUTED_VALUE"""),"Amarelo")</f>
        <v>Amarelo</v>
      </c>
      <c r="J184" s="4">
        <f ca="1">IFERROR(__xludf.DUMMYFUNCTION("""COMPUTED_VALUE"""),101)</f>
        <v>101</v>
      </c>
      <c r="K184" s="4" t="str">
        <f ca="1">IFERROR(__xludf.DUMMYFUNCTION("""COMPUTED_VALUE"""),"E")</f>
        <v>E</v>
      </c>
      <c r="L184" s="4" t="str">
        <f ca="1">IFERROR(__xludf.DUMMYFUNCTION("""COMPUTED_VALUE"""),"O mármore, rocha metamórfica composta principalmente de carbonato de cálcio (CaCO3), é muito utilizada como material de construção e também na produção de esculturas. Entretanto, se peças de mármore são expostas a ambientes externos, particularmente em gr"&amp;"andes cidades e zonas industriais, elas sofrem ao longo do tempo um processo de desgaste, caracterizado pela perda de massa da peça.Esse processo de deterioração ocorre em função da
")</f>
        <v xml:space="preserve">O mármore, rocha metamórfica composta principalmente de carbonato de cálcio (CaCO3), é muito utilizada como material de construção e também na produção de esculturas. Entretanto, se peças de mármore são expostas a ambientes externos, particularmente em grandes cidades e zonas industriais, elas sofrem ao longo do tempo um processo de desgaste, caracterizado pela perda de massa da peça.Esse processo de deterioração ocorre em função da
</v>
      </c>
      <c r="M184" s="4" t="str">
        <f ca="1">IFERROR(__xludf.DUMMYFUNCTION("""COMPUTED_VALUE"""),"oxidação do mármore superficial pelo oxigênio.
")</f>
        <v xml:space="preserve">oxidação do mármore superficial pelo oxigênio.
</v>
      </c>
      <c r="N184" s="4" t="str">
        <f ca="1">IFERROR(__xludf.DUMMYFUNCTION("""COMPUTED_VALUE"""),"decomposição do mármore pela radiação solar.
")</f>
        <v xml:space="preserve">decomposição do mármore pela radiação solar.
</v>
      </c>
      <c r="O184" s="4" t="str">
        <f ca="1">IFERROR(__xludf.DUMMYFUNCTION("""COMPUTED_VALUE"""),"onda de choque provocada por ruídos externos.
")</f>
        <v xml:space="preserve">onda de choque provocada por ruídos externos.
</v>
      </c>
      <c r="P184" s="4" t="str">
        <f ca="1">IFERROR(__xludf.DUMMYFUNCTION("""COMPUTED_VALUE"""),"abrasão por material particulado presente no ar.
")</f>
        <v xml:space="preserve">abrasão por material particulado presente no ar.
</v>
      </c>
      <c r="Q184" s="4" t="str">
        <f ca="1">IFERROR(__xludf.DUMMYFUNCTION("""COMPUTED_VALUE"""),"acidez da chuva que cai sobre a superfície da peça.
")</f>
        <v xml:space="preserve">acidez da chuva que cai sobre a superfície da peça.
</v>
      </c>
      <c r="R184" s="4"/>
      <c r="S184" s="4"/>
      <c r="T184" s="4"/>
      <c r="U184" s="4"/>
      <c r="V184" s="4"/>
      <c r="W184" s="4"/>
      <c r="X184" s="4"/>
      <c r="Y184" s="4"/>
      <c r="Z184" s="4"/>
    </row>
    <row r="185" spans="1:26" x14ac:dyDescent="0.25">
      <c r="A185" s="3" t="str">
        <f ca="1">IFERROR(__xludf.DUMMYFUNCTION("""COMPUTED_VALUE"""),"https://drive.google.com/open?id=1c7nM0f-7oVoM5CE_3Wwk_6PJf-FVMhEb")</f>
        <v>https://drive.google.com/open?id=1c7nM0f-7oVoM5CE_3Wwk_6PJf-FVMhEb</v>
      </c>
      <c r="B185" s="4" t="str">
        <f ca="1">IFERROR(__xludf.DUMMYFUNCTION("""COMPUTED_VALUE"""),"Enem")</f>
        <v>Enem</v>
      </c>
      <c r="C185" s="4">
        <f ca="1">IFERROR(__xludf.DUMMYFUNCTION("""COMPUTED_VALUE"""),2019)</f>
        <v>2019</v>
      </c>
      <c r="D185" s="4" t="str">
        <f ca="1">IFERROR(__xludf.DUMMYFUNCTION("""COMPUTED_VALUE"""),"Ciências da Natureza")</f>
        <v>Ciências da Natureza</v>
      </c>
      <c r="E185" s="4" t="str">
        <f ca="1">IFERROR(__xludf.DUMMYFUNCTION("""COMPUTED_VALUE"""),"Química")</f>
        <v>Química</v>
      </c>
      <c r="F185" s="4" t="str">
        <f ca="1">IFERROR(__xludf.DUMMYFUNCTION("""COMPUTED_VALUE"""),"Química Geral")</f>
        <v>Química Geral</v>
      </c>
      <c r="G185" s="4"/>
      <c r="H185" s="4"/>
      <c r="I185" s="4" t="str">
        <f ca="1">IFERROR(__xludf.DUMMYFUNCTION("""COMPUTED_VALUE"""),"Amarelo")</f>
        <v>Amarelo</v>
      </c>
      <c r="J185" s="4">
        <f ca="1">IFERROR(__xludf.DUMMYFUNCTION("""COMPUTED_VALUE"""),106)</f>
        <v>106</v>
      </c>
      <c r="K185" s="4" t="str">
        <f ca="1">IFERROR(__xludf.DUMMYFUNCTION("""COMPUTED_VALUE"""),"C")</f>
        <v>C</v>
      </c>
      <c r="L185" s="4" t="str">
        <f ca="1">IFERROR(__xludf.DUMMYFUNCTION("""COMPUTED_VALUE"""),"Em um laboratório de química foram encontrados cinco frascos não rotulados, contendo: propanona, água, tolueno, tetracloreto de carbono e etanol. Para identificar os líquidos presentes nos frascos, foram feitos testes de solubilidade e inflamabilidade. Fo"&amp;"ram obtidos os seguintes resultados:- Frascos 1, 3 e 5 contêm líquidos miscíveis entre si;- Frascos 2 e 4 contêm líquidos miscíveis entre si;- Frascos 3 e 4 contêm líquidos não inflamáveis.Com base nesses resultados, pode-se concluir que a água está conti"&amp;"da no frasco
")</f>
        <v xml:space="preserve">Em um laboratório de química foram encontrados cinco frascos não rotulados, contendo: propanona, água, tolueno, tetracloreto de carbono e etanol. Para identificar os líquidos presentes nos frascos, foram feitos testes de solubilidade e inflamabilidade. Foram obtidos os seguintes resultados:- Frascos 1, 3 e 5 contêm líquidos miscíveis entre si;- Frascos 2 e 4 contêm líquidos miscíveis entre si;- Frascos 3 e 4 contêm líquidos não inflamáveis.Com base nesses resultados, pode-se concluir que a água está contida no frasco
</v>
      </c>
      <c r="M185" s="4" t="str">
        <f ca="1">IFERROR(__xludf.DUMMYFUNCTION("""COMPUTED_VALUE"""),"1")</f>
        <v>1</v>
      </c>
      <c r="N185" s="4" t="str">
        <f ca="1">IFERROR(__xludf.DUMMYFUNCTION("""COMPUTED_VALUE"""),"2")</f>
        <v>2</v>
      </c>
      <c r="O185" s="4" t="str">
        <f ca="1">IFERROR(__xludf.DUMMYFUNCTION("""COMPUTED_VALUE"""),"3")</f>
        <v>3</v>
      </c>
      <c r="P185" s="4" t="str">
        <f ca="1">IFERROR(__xludf.DUMMYFUNCTION("""COMPUTED_VALUE"""),"4")</f>
        <v>4</v>
      </c>
      <c r="Q185" s="4" t="str">
        <f ca="1">IFERROR(__xludf.DUMMYFUNCTION("""COMPUTED_VALUE"""),"5")</f>
        <v>5</v>
      </c>
      <c r="R185" s="4"/>
      <c r="S185" s="4"/>
      <c r="T185" s="4"/>
      <c r="U185" s="4"/>
      <c r="V185" s="4"/>
      <c r="W185" s="4"/>
      <c r="X185" s="4"/>
      <c r="Y185" s="4"/>
      <c r="Z185" s="4"/>
    </row>
    <row r="186" spans="1:26" x14ac:dyDescent="0.25">
      <c r="A186" s="3" t="str">
        <f ca="1">IFERROR(__xludf.DUMMYFUNCTION("""COMPUTED_VALUE"""),"https://drive.google.com/open?id=1oUEOIiyEfYBrAc-DZkRtuKVni0DsHsVH")</f>
        <v>https://drive.google.com/open?id=1oUEOIiyEfYBrAc-DZkRtuKVni0DsHsVH</v>
      </c>
      <c r="B186" s="4" t="str">
        <f ca="1">IFERROR(__xludf.DUMMYFUNCTION("""COMPUTED_VALUE"""),"Enem")</f>
        <v>Enem</v>
      </c>
      <c r="C186" s="4">
        <f ca="1">IFERROR(__xludf.DUMMYFUNCTION("""COMPUTED_VALUE"""),2019)</f>
        <v>2019</v>
      </c>
      <c r="D186" s="4" t="str">
        <f ca="1">IFERROR(__xludf.DUMMYFUNCTION("""COMPUTED_VALUE"""),"Ciências da Natureza")</f>
        <v>Ciências da Natureza</v>
      </c>
      <c r="E186" s="4" t="str">
        <f ca="1">IFERROR(__xludf.DUMMYFUNCTION("""COMPUTED_VALUE"""),"Química")</f>
        <v>Química</v>
      </c>
      <c r="F186" s="4" t="str">
        <f ca="1">IFERROR(__xludf.DUMMYFUNCTION("""COMPUTED_VALUE"""),"Química Geral")</f>
        <v>Química Geral</v>
      </c>
      <c r="G186" s="4"/>
      <c r="H186" s="4"/>
      <c r="I186" s="4" t="str">
        <f ca="1">IFERROR(__xludf.DUMMYFUNCTION("""COMPUTED_VALUE"""),"Amarelo")</f>
        <v>Amarelo</v>
      </c>
      <c r="J186" s="4">
        <f ca="1">IFERROR(__xludf.DUMMYFUNCTION("""COMPUTED_VALUE"""),110)</f>
        <v>110</v>
      </c>
      <c r="K186" s="4" t="str">
        <f ca="1">IFERROR(__xludf.DUMMYFUNCTION("""COMPUTED_VALUE"""),"C")</f>
        <v>C</v>
      </c>
      <c r="L186" s="4" t="str">
        <f ca="1">IFERROR(__xludf.DUMMYFUNCTION("""COMPUTED_VALUE"""),"Algumas moedas utilizam cobre metálico em sua composição. Esse metal, ao ser exposto ao ar úmido, na presença de CO2, sofre oxidação formando o zinabre, um carbonato básico de fórmula Cu2(Oh)2CO3, que é tóxico ao homem e, portanto, caracteriza-se como um "&amp;"poluente do meio ambiente. Com o objetivo de reduzir a contaminação com o zinabre, diminuir o custo de fabricação e aumentar a durabilidade das moedas, é comum utilizar ligas resultantes da associação do cobre com outro elemento metálico.A propriedade que"&amp;" o metal associado ao cobre deve apresentar para impedir a formação de zinabre nas moedas é, em relação ao cobre,
")</f>
        <v xml:space="preserve">Algumas moedas utilizam cobre metálico em sua composição. Esse metal, ao ser exposto ao ar úmido, na presença de CO2, sofre oxidação formando o zinabre, um carbonato básico de fórmula Cu2(Oh)2CO3, que é tóxico ao homem e, portanto, caracteriza-se como um poluente do meio ambiente. Com o objetivo de reduzir a contaminação com o zinabre, diminuir o custo de fabricação e aumentar a durabilidade das moedas, é comum utilizar ligas resultantes da associação do cobre com outro elemento metálico.A propriedade que o metal associado ao cobre deve apresentar para impedir a formação de zinabre nas moedas é, em relação ao cobre,
</v>
      </c>
      <c r="M186" s="4" t="str">
        <f ca="1">IFERROR(__xludf.DUMMYFUNCTION("""COMPUTED_VALUE"""),"maior caráter ácido.
")</f>
        <v xml:space="preserve">maior caráter ácido.
</v>
      </c>
      <c r="N186" s="4" t="str">
        <f ca="1">IFERROR(__xludf.DUMMYFUNCTION("""COMPUTED_VALUE"""),"maior número de oxidação.
")</f>
        <v xml:space="preserve">maior número de oxidação.
</v>
      </c>
      <c r="O186" s="4" t="str">
        <f ca="1">IFERROR(__xludf.DUMMYFUNCTION("""COMPUTED_VALUE"""),"menor potencial de redução
")</f>
        <v xml:space="preserve">menor potencial de redução
</v>
      </c>
      <c r="P186" s="4" t="str">
        <f ca="1">IFERROR(__xludf.DUMMYFUNCTION("""COMPUTED_VALUE"""),"menor capacidade de reação.
")</f>
        <v xml:space="preserve">menor capacidade de reação.
</v>
      </c>
      <c r="Q186" s="4" t="str">
        <f ca="1">IFERROR(__xludf.DUMMYFUNCTION("""COMPUTED_VALUE"""),"menor número de elétrons na camada de valência.
")</f>
        <v xml:space="preserve">menor número de elétrons na camada de valência.
</v>
      </c>
      <c r="R186" s="4"/>
      <c r="S186" s="4"/>
      <c r="T186" s="4"/>
      <c r="U186" s="4"/>
      <c r="V186" s="4"/>
      <c r="W186" s="4"/>
      <c r="X186" s="4"/>
      <c r="Y186" s="4"/>
      <c r="Z186" s="4"/>
    </row>
    <row r="187" spans="1:26" x14ac:dyDescent="0.25">
      <c r="A187" s="3" t="str">
        <f ca="1">IFERROR(__xludf.DUMMYFUNCTION("""COMPUTED_VALUE"""),"https://drive.google.com/open?id=1yu1QPWEt3BJTFuDqTmipFUyDcnn203wd")</f>
        <v>https://drive.google.com/open?id=1yu1QPWEt3BJTFuDqTmipFUyDcnn203wd</v>
      </c>
      <c r="B187" s="4" t="str">
        <f ca="1">IFERROR(__xludf.DUMMYFUNCTION("""COMPUTED_VALUE"""),"Enem")</f>
        <v>Enem</v>
      </c>
      <c r="C187" s="4">
        <f ca="1">IFERROR(__xludf.DUMMYFUNCTION("""COMPUTED_VALUE"""),2019)</f>
        <v>2019</v>
      </c>
      <c r="D187" s="4" t="str">
        <f ca="1">IFERROR(__xludf.DUMMYFUNCTION("""COMPUTED_VALUE"""),"Ciências da Natureza")</f>
        <v>Ciências da Natureza</v>
      </c>
      <c r="E187" s="4" t="str">
        <f ca="1">IFERROR(__xludf.DUMMYFUNCTION("""COMPUTED_VALUE"""),"Química")</f>
        <v>Química</v>
      </c>
      <c r="F187" s="4" t="str">
        <f ca="1">IFERROR(__xludf.DUMMYFUNCTION("""COMPUTED_VALUE"""),"Química Geral")</f>
        <v>Química Geral</v>
      </c>
      <c r="G187" s="4"/>
      <c r="H187" s="4"/>
      <c r="I187" s="4" t="str">
        <f ca="1">IFERROR(__xludf.DUMMYFUNCTION("""COMPUTED_VALUE"""),"Amarelo")</f>
        <v>Amarelo</v>
      </c>
      <c r="J187" s="4">
        <f ca="1">IFERROR(__xludf.DUMMYFUNCTION("""COMPUTED_VALUE"""),112)</f>
        <v>112</v>
      </c>
      <c r="K187" s="4" t="str">
        <f ca="1">IFERROR(__xludf.DUMMYFUNCTION("""COMPUTED_VALUE"""),"A")</f>
        <v>A</v>
      </c>
      <c r="L187" s="4" t="str">
        <f ca="1">IFERROR(__xludf.DUMMYFUNCTION("""COMPUTED_VALUE"""),"Na perfuração de uma jazida petrolífera, a pressão dos gases faz com que o petróleo jorre. Ao se reduzir a pressão, o petróleo bruto para de jorrar e tem de ser bombeado. No entanto, junto com o petróleo também se encontram componentes mais densos, tais c"&amp;"omo água salgada, areia e argila, que devem ser removidos na primeira etapa do beneficiamento do petróleo.A primeira etapa desse beneficiamento é a
")</f>
        <v xml:space="preserve">Na perfuração de uma jazida petrolífera, a pressão dos gases faz com que o petróleo jorre. Ao se reduzir a pressão, o petróleo bruto para de jorrar e tem de ser bombeado. No entanto, junto com o petróleo também se encontram componentes mais densos, tais como água salgada, areia e argila, que devem ser removidos na primeira etapa do beneficiamento do petróleo.A primeira etapa desse beneficiamento é a
</v>
      </c>
      <c r="M187" s="4" t="str">
        <f ca="1">IFERROR(__xludf.DUMMYFUNCTION("""COMPUTED_VALUE"""),"decantação
")</f>
        <v xml:space="preserve">decantação
</v>
      </c>
      <c r="N187" s="4" t="str">
        <f ca="1">IFERROR(__xludf.DUMMYFUNCTION("""COMPUTED_VALUE"""),"evaporação
")</f>
        <v xml:space="preserve">evaporação
</v>
      </c>
      <c r="O187" s="4" t="str">
        <f ca="1">IFERROR(__xludf.DUMMYFUNCTION("""COMPUTED_VALUE"""),"destilação.
")</f>
        <v xml:space="preserve">destilação.
</v>
      </c>
      <c r="P187" s="4" t="str">
        <f ca="1">IFERROR(__xludf.DUMMYFUNCTION("""COMPUTED_VALUE"""),"floculação
")</f>
        <v xml:space="preserve">floculação
</v>
      </c>
      <c r="Q187" s="4" t="str">
        <f ca="1">IFERROR(__xludf.DUMMYFUNCTION("""COMPUTED_VALUE"""),"filtração
")</f>
        <v xml:space="preserve">filtração
</v>
      </c>
      <c r="R187" s="4"/>
      <c r="S187" s="4"/>
      <c r="T187" s="4"/>
      <c r="U187" s="4"/>
      <c r="V187" s="4"/>
      <c r="W187" s="4"/>
      <c r="X187" s="4"/>
      <c r="Y187" s="4"/>
      <c r="Z187" s="4"/>
    </row>
    <row r="188" spans="1:26" x14ac:dyDescent="0.25">
      <c r="A188" s="3" t="str">
        <f ca="1">IFERROR(__xludf.DUMMYFUNCTION("""COMPUTED_VALUE"""),"https://drive.google.com/open?id=11jQiNgRAgPw1GjnCuMlsIvZp0g_FuFFA")</f>
        <v>https://drive.google.com/open?id=11jQiNgRAgPw1GjnCuMlsIvZp0g_FuFFA</v>
      </c>
      <c r="B188" s="4" t="str">
        <f ca="1">IFERROR(__xludf.DUMMYFUNCTION("""COMPUTED_VALUE"""),"Enem")</f>
        <v>Enem</v>
      </c>
      <c r="C188" s="4">
        <f ca="1">IFERROR(__xludf.DUMMYFUNCTION("""COMPUTED_VALUE"""),2019)</f>
        <v>2019</v>
      </c>
      <c r="D188" s="4" t="str">
        <f ca="1">IFERROR(__xludf.DUMMYFUNCTION("""COMPUTED_VALUE"""),"Ciências da Natureza")</f>
        <v>Ciências da Natureza</v>
      </c>
      <c r="E188" s="4" t="str">
        <f ca="1">IFERROR(__xludf.DUMMYFUNCTION("""COMPUTED_VALUE"""),"Química")</f>
        <v>Química</v>
      </c>
      <c r="F188" s="4" t="str">
        <f ca="1">IFERROR(__xludf.DUMMYFUNCTION("""COMPUTED_VALUE"""),"Química Orgânica")</f>
        <v>Química Orgânica</v>
      </c>
      <c r="G188" s="4"/>
      <c r="H188" s="4"/>
      <c r="I188" s="4" t="str">
        <f ca="1">IFERROR(__xludf.DUMMYFUNCTION("""COMPUTED_VALUE"""),"Amarelo")</f>
        <v>Amarelo</v>
      </c>
      <c r="J188" s="4">
        <f ca="1">IFERROR(__xludf.DUMMYFUNCTION("""COMPUTED_VALUE"""),113)</f>
        <v>113</v>
      </c>
      <c r="K188" s="4" t="str">
        <f ca="1">IFERROR(__xludf.DUMMYFUNCTION("""COMPUTED_VALUE"""),"D")</f>
        <v>D</v>
      </c>
      <c r="L188" s="4" t="str">
        <f ca="1">IFERROR(__xludf.DUMMYFUNCTION("""COMPUTED_VALUE"""),"O ácido ricinoleico, um ácido graxo funcionalizado, cuja nomenclatura oficial é ácido D-(−)-12-hidroxi-octadec-cis-9-enoico, é obtido da hidrólise ácida do óleo de mamona. As aplicações do ácido ricinoleico na indústria são inúmeras, podendo ser empregado"&amp;" desde a fabricação de cosméticos até a síntese de alguns polímeros.Para uma amostra de solução desse ácido, o uso de um polarímetro permite determinar o ângulo de
")</f>
        <v xml:space="preserve">O ácido ricinoleico, um ácido graxo funcionalizado, cuja nomenclatura oficial é ácido D-(−)-12-hidroxi-octadec-cis-9-enoico, é obtido da hidrólise ácida do óleo de mamona. As aplicações do ácido ricinoleico na indústria são inúmeras, podendo ser empregado desde a fabricação de cosméticos até a síntese de alguns polímeros.Para uma amostra de solução desse ácido, o uso de um polarímetro permite determinar o ângulo de
</v>
      </c>
      <c r="M188" s="4" t="str">
        <f ca="1">IFERROR(__xludf.DUMMYFUNCTION("""COMPUTED_VALUE"""),"refração
")</f>
        <v xml:space="preserve">refração
</v>
      </c>
      <c r="N188" s="4" t="str">
        <f ca="1">IFERROR(__xludf.DUMMYFUNCTION("""COMPUTED_VALUE"""),"reflexão
")</f>
        <v xml:space="preserve">reflexão
</v>
      </c>
      <c r="O188" s="4" t="str">
        <f ca="1">IFERROR(__xludf.DUMMYFUNCTION("""COMPUTED_VALUE"""),"difração
")</f>
        <v xml:space="preserve">difração
</v>
      </c>
      <c r="P188" s="4" t="str">
        <f ca="1">IFERROR(__xludf.DUMMYFUNCTION("""COMPUTED_VALUE"""),"giro levógiro
")</f>
        <v xml:space="preserve">giro levógiro
</v>
      </c>
      <c r="Q188" s="4" t="str">
        <f ca="1">IFERROR(__xludf.DUMMYFUNCTION("""COMPUTED_VALUE"""),"giro destrógiro
")</f>
        <v xml:space="preserve">giro destrógiro
</v>
      </c>
      <c r="R188" s="4"/>
      <c r="S188" s="4"/>
      <c r="T188" s="4"/>
      <c r="U188" s="4"/>
      <c r="V188" s="4"/>
      <c r="W188" s="4"/>
      <c r="X188" s="4"/>
      <c r="Y188" s="4"/>
      <c r="Z188" s="4"/>
    </row>
    <row r="189" spans="1:26" x14ac:dyDescent="0.25">
      <c r="A189" s="3" t="str">
        <f ca="1">IFERROR(__xludf.DUMMYFUNCTION("""COMPUTED_VALUE"""),"https://drive.google.com/open?id=1O2FPsHdlnmyw1a7eJnzWj4xKzJJnlirX")</f>
        <v>https://drive.google.com/open?id=1O2FPsHdlnmyw1a7eJnzWj4xKzJJnlirX</v>
      </c>
      <c r="B189" s="4" t="str">
        <f ca="1">IFERROR(__xludf.DUMMYFUNCTION("""COMPUTED_VALUE"""),"Enem")</f>
        <v>Enem</v>
      </c>
      <c r="C189" s="4">
        <f ca="1">IFERROR(__xludf.DUMMYFUNCTION("""COMPUTED_VALUE"""),2019)</f>
        <v>2019</v>
      </c>
      <c r="D189" s="4" t="str">
        <f ca="1">IFERROR(__xludf.DUMMYFUNCTION("""COMPUTED_VALUE"""),"Ciências da Natureza")</f>
        <v>Ciências da Natureza</v>
      </c>
      <c r="E189" s="4" t="str">
        <f ca="1">IFERROR(__xludf.DUMMYFUNCTION("""COMPUTED_VALUE"""),"Química")</f>
        <v>Química</v>
      </c>
      <c r="F189" s="4" t="str">
        <f ca="1">IFERROR(__xludf.DUMMYFUNCTION("""COMPUTED_VALUE"""),"Química Orgânica")</f>
        <v>Química Orgânica</v>
      </c>
      <c r="G189" s="4"/>
      <c r="H189" s="4"/>
      <c r="I189" s="4" t="str">
        <f ca="1">IFERROR(__xludf.DUMMYFUNCTION("""COMPUTED_VALUE"""),"Amarelo")</f>
        <v>Amarelo</v>
      </c>
      <c r="J189" s="4">
        <f ca="1">IFERROR(__xludf.DUMMYFUNCTION("""COMPUTED_VALUE"""),116)</f>
        <v>116</v>
      </c>
      <c r="K189" s="4" t="str">
        <f ca="1">IFERROR(__xludf.DUMMYFUNCTION("""COMPUTED_VALUE"""),"E")</f>
        <v>E</v>
      </c>
      <c r="L189" s="4" t="str">
        <f ca="1">IFERROR(__xludf.DUMMYFUNCTION("""COMPUTED_VALUE"""),"O 2-BHA é um fenol usado como antioxidante para retardar a rancificação em alimentos e cosméticos que contêm ácidos graxos insaturados. Esse composto caracteriza-se por apresentar uma cadeia carbônica aromática mononuclear, apresentando o grupo substituin"&amp;"te terc-butil na posição orto e o grupo metóxi na posição para.A fórmula estrutural do fenol descrito é
")</f>
        <v xml:space="preserve">O 2-BHA é um fenol usado como antioxidante para retardar a rancificação em alimentos e cosméticos que contêm ácidos graxos insaturados. Esse composto caracteriza-se por apresentar uma cadeia carbônica aromática mononuclear, apresentando o grupo substituinte terc-butil na posição orto e o grupo metóxi na posição para.A fórmula estrutural do fenol descrito é
</v>
      </c>
      <c r="M189" s="4" t="str">
        <f ca="1">IFERROR(__xludf.DUMMYFUNCTION("""COMPUTED_VALUE"""),"IMAGEM")</f>
        <v>IMAGEM</v>
      </c>
      <c r="N189" s="4" t="str">
        <f ca="1">IFERROR(__xludf.DUMMYFUNCTION("""COMPUTED_VALUE"""),"IMAGEM")</f>
        <v>IMAGEM</v>
      </c>
      <c r="O189" s="4" t="str">
        <f ca="1">IFERROR(__xludf.DUMMYFUNCTION("""COMPUTED_VALUE"""),"IMAGEM")</f>
        <v>IMAGEM</v>
      </c>
      <c r="P189" s="4" t="str">
        <f ca="1">IFERROR(__xludf.DUMMYFUNCTION("""COMPUTED_VALUE"""),"IMAGEM")</f>
        <v>IMAGEM</v>
      </c>
      <c r="Q189" s="4" t="str">
        <f ca="1">IFERROR(__xludf.DUMMYFUNCTION("""COMPUTED_VALUE"""),"IMAGEM")</f>
        <v>IMAGEM</v>
      </c>
      <c r="R189" s="4"/>
      <c r="S189" s="4"/>
      <c r="T189" s="4"/>
      <c r="U189" s="4"/>
      <c r="V189" s="4"/>
      <c r="W189" s="4"/>
      <c r="X189" s="4"/>
      <c r="Y189" s="4"/>
      <c r="Z189" s="4"/>
    </row>
    <row r="190" spans="1:26" x14ac:dyDescent="0.25">
      <c r="A190" s="3" t="str">
        <f ca="1">IFERROR(__xludf.DUMMYFUNCTION("""COMPUTED_VALUE"""),"https://drive.google.com/open?id=1RiZ5EQfxKB6bLv7JbjSMFFDax6vc4oAD")</f>
        <v>https://drive.google.com/open?id=1RiZ5EQfxKB6bLv7JbjSMFFDax6vc4oAD</v>
      </c>
      <c r="B190" s="4" t="str">
        <f ca="1">IFERROR(__xludf.DUMMYFUNCTION("""COMPUTED_VALUE"""),"Enem")</f>
        <v>Enem</v>
      </c>
      <c r="C190" s="4">
        <f ca="1">IFERROR(__xludf.DUMMYFUNCTION("""COMPUTED_VALUE"""),2019)</f>
        <v>2019</v>
      </c>
      <c r="D190" s="4" t="str">
        <f ca="1">IFERROR(__xludf.DUMMYFUNCTION("""COMPUTED_VALUE"""),"Ciências da Natureza")</f>
        <v>Ciências da Natureza</v>
      </c>
      <c r="E190" s="4" t="str">
        <f ca="1">IFERROR(__xludf.DUMMYFUNCTION("""COMPUTED_VALUE"""),"Química")</f>
        <v>Química</v>
      </c>
      <c r="F190" s="4" t="str">
        <f ca="1">IFERROR(__xludf.DUMMYFUNCTION("""COMPUTED_VALUE"""),"Físico-Química")</f>
        <v>Físico-Química</v>
      </c>
      <c r="G190" s="4"/>
      <c r="H190" s="4"/>
      <c r="I190" s="4" t="str">
        <f ca="1">IFERROR(__xludf.DUMMYFUNCTION("""COMPUTED_VALUE"""),"Amarelo")</f>
        <v>Amarelo</v>
      </c>
      <c r="J190" s="4">
        <f ca="1">IFERROR(__xludf.DUMMYFUNCTION("""COMPUTED_VALUE"""),119)</f>
        <v>119</v>
      </c>
      <c r="K190" s="4" t="str">
        <f ca="1">IFERROR(__xludf.DUMMYFUNCTION("""COMPUTED_VALUE"""),"C")</f>
        <v>C</v>
      </c>
      <c r="L190" s="4" t="str">
        <f ca="1">IFERROR(__xludf.DUMMYFUNCTION("""COMPUTED_VALUE"""),"Na busca por ouro, os garimpeiros se confundem facilmente entre o ouro verdadeiro e o chamado ouro de tolo, que tem em sua composição 90% de um minério chamado pirita (feS2). Apesar do engano, a pirita não é descartada, pois é utilizada na produção do áci"&amp;"do sulfúrico, que ocorre com rendimento global de 90%, conforme as equações químicas apresentadas. Considere as massas molares: feS2(120 gmol),O2(32 gmol), fe2O3(160 gmol), SO2(64 gmol), SO3(80 gmol), h2O (18 gmol), h2SO4(98 gmol).4 FeS2 + 11 O2→2 fe2O3 +"&amp;" 8 SO22 SO2 + O2→2 SO3SO3 + h2O →h2SO4Qual é o valor mais próximo da massa de ácido sulfúrico, em quilograma, que será produzida a partir de 2,0 kg de ouro de tolo?
")</f>
        <v xml:space="preserve">Na busca por ouro, os garimpeiros se confundem facilmente entre o ouro verdadeiro e o chamado ouro de tolo, que tem em sua composição 90% de um minério chamado pirita (feS2). Apesar do engano, a pirita não é descartada, pois é utilizada na produção do ácido sulfúrico, que ocorre com rendimento global de 90%, conforme as equações químicas apresentadas. Considere as massas molares: feS2(120 gmol),O2(32 gmol), fe2O3(160 gmol), SO2(64 gmol), SO3(80 gmol), h2O (18 gmol), h2SO4(98 gmol).4 FeS2 + 11 O2→2 fe2O3 + 8 SO22 SO2 + O2→2 SO3SO3 + h2O →h2SO4Qual é o valor mais próximo da massa de ácido sulfúrico, em quilograma, que será produzida a partir de 2,0 kg de ouro de tolo?
</v>
      </c>
      <c r="M190" s="4" t="str">
        <f ca="1">IFERROR(__xludf.DUMMYFUNCTION("""COMPUTED_VALUE"""),"0,33")</f>
        <v>0,33</v>
      </c>
      <c r="N190" s="4" t="str">
        <f ca="1">IFERROR(__xludf.DUMMYFUNCTION("""COMPUTED_VALUE"""),"0,41")</f>
        <v>0,41</v>
      </c>
      <c r="O190" s="4" t="str">
        <f ca="1">IFERROR(__xludf.DUMMYFUNCTION("""COMPUTED_VALUE"""),"2,6")</f>
        <v>2,6</v>
      </c>
      <c r="P190" s="4" t="str">
        <f ca="1">IFERROR(__xludf.DUMMYFUNCTION("""COMPUTED_VALUE"""),"2,9")</f>
        <v>2,9</v>
      </c>
      <c r="Q190" s="4" t="str">
        <f ca="1">IFERROR(__xludf.DUMMYFUNCTION("""COMPUTED_VALUE"""),"3,3")</f>
        <v>3,3</v>
      </c>
      <c r="R190" s="4"/>
      <c r="S190" s="4"/>
      <c r="T190" s="4"/>
      <c r="U190" s="4"/>
      <c r="V190" s="4"/>
      <c r="W190" s="4"/>
      <c r="X190" s="4"/>
      <c r="Y190" s="4"/>
      <c r="Z190" s="4"/>
    </row>
    <row r="191" spans="1:26" x14ac:dyDescent="0.25">
      <c r="A191" s="3" t="str">
        <f ca="1">IFERROR(__xludf.DUMMYFUNCTION("""COMPUTED_VALUE"""),"https://drive.google.com/open?id=1NUuyCojwMQpLia9smX1Cr5m0vUWv3Mh0")</f>
        <v>https://drive.google.com/open?id=1NUuyCojwMQpLia9smX1Cr5m0vUWv3Mh0</v>
      </c>
      <c r="B191" s="4" t="str">
        <f ca="1">IFERROR(__xludf.DUMMYFUNCTION("""COMPUTED_VALUE"""),"Enem")</f>
        <v>Enem</v>
      </c>
      <c r="C191" s="4">
        <f ca="1">IFERROR(__xludf.DUMMYFUNCTION("""COMPUTED_VALUE"""),2019)</f>
        <v>2019</v>
      </c>
      <c r="D191" s="4" t="str">
        <f ca="1">IFERROR(__xludf.DUMMYFUNCTION("""COMPUTED_VALUE"""),"Ciências da Natureza")</f>
        <v>Ciências da Natureza</v>
      </c>
      <c r="E191" s="4" t="str">
        <f ca="1">IFERROR(__xludf.DUMMYFUNCTION("""COMPUTED_VALUE"""),"Química")</f>
        <v>Química</v>
      </c>
      <c r="F191" s="4" t="str">
        <f ca="1">IFERROR(__xludf.DUMMYFUNCTION("""COMPUTED_VALUE"""),"Físico-Química")</f>
        <v>Físico-Química</v>
      </c>
      <c r="G191" s="4"/>
      <c r="H191" s="4"/>
      <c r="I191" s="4" t="str">
        <f ca="1">IFERROR(__xludf.DUMMYFUNCTION("""COMPUTED_VALUE"""),"Amarelo")</f>
        <v>Amarelo</v>
      </c>
      <c r="J191" s="4">
        <f ca="1">IFERROR(__xludf.DUMMYFUNCTION("""COMPUTED_VALUE"""),122)</f>
        <v>122</v>
      </c>
      <c r="K191" s="4" t="str">
        <f ca="1">IFERROR(__xludf.DUMMYFUNCTION("""COMPUTED_VALUE"""),"B")</f>
        <v>B</v>
      </c>
      <c r="L191" s="4" t="str">
        <f ca="1">IFERROR(__xludf.DUMMYFUNCTION("""COMPUTED_VALUE"""),"O gás hidrogênio é considerado um ótimo combustível — o único produto da combustão desse gás é o vapor de água, como mostrado naequação química.2 h2 (g) + O2 (g) → 2 h2O (g)Um cilindro contém 1 kg de hidrogênio e todo esse gás foi queimado. Nessa reação, "&amp;"são rompidas e formadas ligações químicas que envolvem as energias listadas no quadro.IMAGEM NO ARQUIVO. Massas molares (gmol): h2 = 2; O2 = 32; H2O = 18.Qual é a variação da entalpia, em quilojoule, da reação de combustão do hidrogênio contido no cilindr"&amp;"o?
")</f>
        <v xml:space="preserve">O gás hidrogênio é considerado um ótimo combustível — o único produto da combustão desse gás é o vapor de água, como mostrado naequação química.2 h2 (g) + O2 (g) → 2 h2O (g)Um cilindro contém 1 kg de hidrogênio e todo esse gás foi queimado. Nessa reação, são rompidas e formadas ligações químicas que envolvem as energias listadas no quadro.IMAGEM NO ARQUIVO. Massas molares (gmol): h2 = 2; O2 = 32; H2O = 18.Qual é a variação da entalpia, em quilojoule, da reação de combustão do hidrogênio contido no cilindro?
</v>
      </c>
      <c r="M191" s="4" t="str">
        <f ca="1">IFERROR(__xludf.DUMMYFUNCTION("""COMPUTED_VALUE"""),"−242 000
")</f>
        <v xml:space="preserve">−242 000
</v>
      </c>
      <c r="N191" s="4" t="str">
        <f ca="1">IFERROR(__xludf.DUMMYFUNCTION("""COMPUTED_VALUE"""),"−121 000
")</f>
        <v xml:space="preserve">−121 000
</v>
      </c>
      <c r="O191" s="4" t="str">
        <f ca="1">IFERROR(__xludf.DUMMYFUNCTION("""COMPUTED_VALUE"""),"−2 500
")</f>
        <v xml:space="preserve">−2 500
</v>
      </c>
      <c r="P191" s="4" t="str">
        <f ca="1">IFERROR(__xludf.DUMMYFUNCTION("""COMPUTED_VALUE"""),"+110 500
")</f>
        <v xml:space="preserve">+110 500
</v>
      </c>
      <c r="Q191" s="4" t="str">
        <f ca="1">IFERROR(__xludf.DUMMYFUNCTION("""COMPUTED_VALUE"""),"+234 000
")</f>
        <v xml:space="preserve">+234 000
</v>
      </c>
      <c r="R191" s="4"/>
      <c r="S191" s="4"/>
      <c r="T191" s="4"/>
      <c r="U191" s="4"/>
      <c r="V191" s="4"/>
      <c r="W191" s="4"/>
      <c r="X191" s="4"/>
      <c r="Y191" s="4"/>
      <c r="Z191" s="4"/>
    </row>
    <row r="192" spans="1:26" x14ac:dyDescent="0.25">
      <c r="A192" s="3" t="str">
        <f ca="1">IFERROR(__xludf.DUMMYFUNCTION("""COMPUTED_VALUE"""),"https://drive.google.com/open?id=1QPWof4NaRpuYDAY1pyX6UlK-BodwgZK1")</f>
        <v>https://drive.google.com/open?id=1QPWof4NaRpuYDAY1pyX6UlK-BodwgZK1</v>
      </c>
      <c r="B192" s="4" t="str">
        <f ca="1">IFERROR(__xludf.DUMMYFUNCTION("""COMPUTED_VALUE"""),"Enem")</f>
        <v>Enem</v>
      </c>
      <c r="C192" s="4">
        <f ca="1">IFERROR(__xludf.DUMMYFUNCTION("""COMPUTED_VALUE"""),2019)</f>
        <v>2019</v>
      </c>
      <c r="D192" s="4" t="str">
        <f ca="1">IFERROR(__xludf.DUMMYFUNCTION("""COMPUTED_VALUE"""),"Ciências da Natureza")</f>
        <v>Ciências da Natureza</v>
      </c>
      <c r="E192" s="4" t="str">
        <f ca="1">IFERROR(__xludf.DUMMYFUNCTION("""COMPUTED_VALUE"""),"Química")</f>
        <v>Química</v>
      </c>
      <c r="F192" s="4" t="str">
        <f ca="1">IFERROR(__xludf.DUMMYFUNCTION("""COMPUTED_VALUE"""),"Química Geral")</f>
        <v>Química Geral</v>
      </c>
      <c r="G192" s="4"/>
      <c r="H192" s="4"/>
      <c r="I192" s="4" t="str">
        <f ca="1">IFERROR(__xludf.DUMMYFUNCTION("""COMPUTED_VALUE"""),"Amarelo")</f>
        <v>Amarelo</v>
      </c>
      <c r="J192" s="4">
        <f ca="1">IFERROR(__xludf.DUMMYFUNCTION("""COMPUTED_VALUE"""),125)</f>
        <v>125</v>
      </c>
      <c r="K192" s="4" t="str">
        <f ca="1">IFERROR(__xludf.DUMMYFUNCTION("""COMPUTED_VALUE"""),"C")</f>
        <v>C</v>
      </c>
      <c r="L192" s="4" t="str">
        <f ca="1">IFERROR(__xludf.DUMMYFUNCTION("""COMPUTED_VALUE"""),"Laboratórios de química geram como subprodutos substâncias ou misturas que, quando não têm mais utilidade nesses locais, são consideradas resíduos químicos. Para o descarte na rede de esgoto, o resíduo deve ser neutro, livre de solventes inflamáveis e ele"&amp;"mentos tóxicos como Pb, Cr e Hg. Uma possibilidade é fazer uma mistura de dois resíduos para obter um material que apresente as características necessárias para o descarte. Considere que um laboratório disponha de frascos de volumes iguais cheios dos resí"&amp;"duos, listados no quadro. IMAGEM NO ARQUIVO. Qual combinação de resíduos poderá ser descartada na rede de esgotos?
")</f>
        <v xml:space="preserve">Laboratórios de química geram como subprodutos substâncias ou misturas que, quando não têm mais utilidade nesses locais, são consideradas resíduos químicos. Para o descarte na rede de esgoto, o resíduo deve ser neutro, livre de solventes inflamáveis e elementos tóxicos como Pb, Cr e Hg. Uma possibilidade é fazer uma mistura de dois resíduos para obter um material que apresente as características necessárias para o descarte. Considere que um laboratório disponha de frascos de volumes iguais cheios dos resíduos, listados no quadro. IMAGEM NO ARQUIVO. Qual combinação de resíduos poderá ser descartada na rede de esgotos?
</v>
      </c>
      <c r="M192" s="4" t="str">
        <f ca="1">IFERROR(__xludf.DUMMYFUNCTION("""COMPUTED_VALUE"""),"I e II
")</f>
        <v xml:space="preserve">I e II
</v>
      </c>
      <c r="N192" s="4" t="str">
        <f ca="1">IFERROR(__xludf.DUMMYFUNCTION("""COMPUTED_VALUE"""),"II e III
")</f>
        <v xml:space="preserve">II e III
</v>
      </c>
      <c r="O192" s="4" t="str">
        <f ca="1">IFERROR(__xludf.DUMMYFUNCTION("""COMPUTED_VALUE"""),"II e IV
")</f>
        <v xml:space="preserve">II e IV
</v>
      </c>
      <c r="P192" s="4" t="str">
        <f ca="1">IFERROR(__xludf.DUMMYFUNCTION("""COMPUTED_VALUE"""),"V e VI
")</f>
        <v xml:space="preserve">V e VI
</v>
      </c>
      <c r="Q192" s="4" t="str">
        <f ca="1">IFERROR(__xludf.DUMMYFUNCTION("""COMPUTED_VALUE"""),"V e VI
")</f>
        <v xml:space="preserve">V e VI
</v>
      </c>
      <c r="R192" s="4"/>
      <c r="S192" s="4"/>
      <c r="T192" s="4"/>
      <c r="U192" s="4"/>
      <c r="V192" s="4"/>
      <c r="W192" s="4"/>
      <c r="X192" s="4"/>
      <c r="Y192" s="4"/>
      <c r="Z192" s="4"/>
    </row>
    <row r="193" spans="1:26" x14ac:dyDescent="0.25">
      <c r="A193" s="3" t="str">
        <f ca="1">IFERROR(__xludf.DUMMYFUNCTION("""COMPUTED_VALUE"""),"https://drive.google.com/open?id=1R8cqirk3A3nOKfKOlXjbK4EqavyvRlxP")</f>
        <v>https://drive.google.com/open?id=1R8cqirk3A3nOKfKOlXjbK4EqavyvRlxP</v>
      </c>
      <c r="B193" s="4" t="str">
        <f ca="1">IFERROR(__xludf.DUMMYFUNCTION("""COMPUTED_VALUE"""),"Enem")</f>
        <v>Enem</v>
      </c>
      <c r="C193" s="4">
        <f ca="1">IFERROR(__xludf.DUMMYFUNCTION("""COMPUTED_VALUE"""),2019)</f>
        <v>2019</v>
      </c>
      <c r="D193" s="4" t="str">
        <f ca="1">IFERROR(__xludf.DUMMYFUNCTION("""COMPUTED_VALUE"""),"Ciências da Natureza")</f>
        <v>Ciências da Natureza</v>
      </c>
      <c r="E193" s="4" t="str">
        <f ca="1">IFERROR(__xludf.DUMMYFUNCTION("""COMPUTED_VALUE"""),"Química")</f>
        <v>Química</v>
      </c>
      <c r="F193" s="4" t="str">
        <f ca="1">IFERROR(__xludf.DUMMYFUNCTION("""COMPUTED_VALUE"""),"Química Geral")</f>
        <v>Química Geral</v>
      </c>
      <c r="G193" s="4"/>
      <c r="H193" s="4"/>
      <c r="I193" s="4" t="str">
        <f ca="1">IFERROR(__xludf.DUMMYFUNCTION("""COMPUTED_VALUE"""),"Amarelo")</f>
        <v>Amarelo</v>
      </c>
      <c r="J193" s="4">
        <f ca="1">IFERROR(__xludf.DUMMYFUNCTION("""COMPUTED_VALUE"""),128)</f>
        <v>128</v>
      </c>
      <c r="K193" s="4" t="str">
        <f ca="1">IFERROR(__xludf.DUMMYFUNCTION("""COMPUTED_VALUE"""),"C")</f>
        <v>C</v>
      </c>
      <c r="L193" s="4" t="str">
        <f ca="1">IFERROR(__xludf.DUMMYFUNCTION("""COMPUTED_VALUE"""),"O processo de calagem consiste na diminuição da acidez do solo usando compostos inorgânicos, sendo o mais usado o calcário dolomítico, que é constituído de carbonato de cálcio (CaCO3) e carbonato de magnésio (MgCO3). Além de aumentarem o ph do solo, esses"&amp;" compostos são fontes de cálcio e magnésio, nutrientes importantes para os vegetais.Os compostos contidos no calcário dolomítico elevam o ph do solo, pois
")</f>
        <v xml:space="preserve">O processo de calagem consiste na diminuição da acidez do solo usando compostos inorgânicos, sendo o mais usado o calcário dolomítico, que é constituído de carbonato de cálcio (CaCO3) e carbonato de magnésio (MgCO3). Além de aumentarem o ph do solo, esses compostos são fontes de cálcio e magnésio, nutrientes importantes para os vegetais.Os compostos contidos no calcário dolomítico elevam o ph do solo, pois
</v>
      </c>
      <c r="M193" s="4" t="str">
        <f ca="1">IFERROR(__xludf.DUMMYFUNCTION("""COMPUTED_VALUE"""),"são óxidos inorgânicos.
")</f>
        <v xml:space="preserve">são óxidos inorgânicos.
</v>
      </c>
      <c r="N193" s="4" t="str">
        <f ca="1">IFERROR(__xludf.DUMMYFUNCTION("""COMPUTED_VALUE"""),"são fontes de oxigênio.
")</f>
        <v xml:space="preserve">são fontes de oxigênio.
</v>
      </c>
      <c r="O193" s="4" t="str">
        <f ca="1">IFERROR(__xludf.DUMMYFUNCTION("""COMPUTED_VALUE"""),"o ânion reage com a água
")</f>
        <v xml:space="preserve">o ânion reage com a água
</v>
      </c>
      <c r="P193" s="4" t="str">
        <f ca="1">IFERROR(__xludf.DUMMYFUNCTION("""COMPUTED_VALUE"""),"são substâncias anfóteras.
")</f>
        <v xml:space="preserve">são substâncias anfóteras.
</v>
      </c>
      <c r="Q193" s="4" t="str">
        <f ca="1">IFERROR(__xludf.DUMMYFUNCTION("""COMPUTED_VALUE"""),"os cátions reagem com a água
")</f>
        <v xml:space="preserve">os cátions reagem com a água
</v>
      </c>
      <c r="R193" s="4"/>
      <c r="S193" s="4"/>
      <c r="T193" s="4"/>
      <c r="U193" s="4"/>
      <c r="V193" s="4"/>
      <c r="W193" s="4"/>
      <c r="X193" s="4"/>
      <c r="Y193" s="4"/>
      <c r="Z193" s="4"/>
    </row>
    <row r="194" spans="1:26" x14ac:dyDescent="0.25">
      <c r="A194" s="3" t="str">
        <f ca="1">IFERROR(__xludf.DUMMYFUNCTION("""COMPUTED_VALUE"""),"https://drive.google.com/open?id=1Ed6H7jBRwo7R-nA2GMxmucRYug-ko6KB")</f>
        <v>https://drive.google.com/open?id=1Ed6H7jBRwo7R-nA2GMxmucRYug-ko6KB</v>
      </c>
      <c r="B194" s="4" t="str">
        <f ca="1">IFERROR(__xludf.DUMMYFUNCTION("""COMPUTED_VALUE"""),"Enem")</f>
        <v>Enem</v>
      </c>
      <c r="C194" s="4">
        <f ca="1">IFERROR(__xludf.DUMMYFUNCTION("""COMPUTED_VALUE"""),2019)</f>
        <v>2019</v>
      </c>
      <c r="D194" s="4" t="str">
        <f ca="1">IFERROR(__xludf.DUMMYFUNCTION("""COMPUTED_VALUE"""),"Ciências da Natureza")</f>
        <v>Ciências da Natureza</v>
      </c>
      <c r="E194" s="4" t="str">
        <f ca="1">IFERROR(__xludf.DUMMYFUNCTION("""COMPUTED_VALUE"""),"Química")</f>
        <v>Química</v>
      </c>
      <c r="F194" s="4" t="str">
        <f ca="1">IFERROR(__xludf.DUMMYFUNCTION("""COMPUTED_VALUE"""),"Físico-Química")</f>
        <v>Físico-Química</v>
      </c>
      <c r="G194" s="4"/>
      <c r="H194" s="4"/>
      <c r="I194" s="4" t="str">
        <f ca="1">IFERROR(__xludf.DUMMYFUNCTION("""COMPUTED_VALUE"""),"Amarelo")</f>
        <v>Amarelo</v>
      </c>
      <c r="J194" s="4">
        <f ca="1">IFERROR(__xludf.DUMMYFUNCTION("""COMPUTED_VALUE"""),131)</f>
        <v>131</v>
      </c>
      <c r="K194" s="4" t="str">
        <f ca="1">IFERROR(__xludf.DUMMYFUNCTION("""COMPUTED_VALUE"""),"D")</f>
        <v>D</v>
      </c>
      <c r="L194" s="4" t="str">
        <f ca="1">IFERROR(__xludf.DUMMYFUNCTION("""COMPUTED_VALUE"""),"Nos municípios onde foi detectada a resistência do Aedes aegypti, o larvicida tradicional será substituído por outro com concentração de 10% (v/v) de um novo princípio ativo. A vantagem desse segundo larvicida é que uma pequena quantidade da emulsão apres"&amp;"enta alta capacidade de atuação, o que permitirá a condução de baixo volume de larvicida pelo agente de combate às endemias. Para evitar erros de manipulação, esse novo larvicida será fornecido em frascos plásticos e, para uso em campo, todo o seu conteúd"&amp;"o deve ser diluído em água até o volume final de um litro. O objetivo é obter uma concentração final de 2% em volume do princípio ativo.Que volume de larvicida deve conter o frasco plástico?
")</f>
        <v xml:space="preserve">Nos municípios onde foi detectada a resistência do Aedes aegypti, o larvicida tradicional será substituído por outro com concentração de 10% (v/v) de um novo princípio ativo. A vantagem desse segundo larvicida é que uma pequena quantidade da emulsão apresenta alta capacidade de atuação, o que permitirá a condução de baixo volume de larvicida pelo agente de combate às endemias. Para evitar erros de manipulação, esse novo larvicida será fornecido em frascos plásticos e, para uso em campo, todo o seu conteúdo deve ser diluído em água até o volume final de um litro. O objetivo é obter uma concentração final de 2% em volume do princípio ativo.Que volume de larvicida deve conter o frasco plástico?
</v>
      </c>
      <c r="M194" s="4" t="str">
        <f ca="1">IFERROR(__xludf.DUMMYFUNCTION("""COMPUTED_VALUE"""),"10 ml
")</f>
        <v xml:space="preserve">10 ml
</v>
      </c>
      <c r="N194" s="4" t="str">
        <f ca="1">IFERROR(__xludf.DUMMYFUNCTION("""COMPUTED_VALUE"""),"50 ml
")</f>
        <v xml:space="preserve">50 ml
</v>
      </c>
      <c r="O194" s="4" t="str">
        <f ca="1">IFERROR(__xludf.DUMMYFUNCTION("""COMPUTED_VALUE"""),"100 ml
")</f>
        <v xml:space="preserve">100 ml
</v>
      </c>
      <c r="P194" s="4" t="str">
        <f ca="1">IFERROR(__xludf.DUMMYFUNCTION("""COMPUTED_VALUE"""),"200 ml
")</f>
        <v xml:space="preserve">200 ml
</v>
      </c>
      <c r="Q194" s="4" t="str">
        <f ca="1">IFERROR(__xludf.DUMMYFUNCTION("""COMPUTED_VALUE"""),"500 ml
")</f>
        <v xml:space="preserve">500 ml
</v>
      </c>
      <c r="R194" s="4"/>
      <c r="S194" s="4"/>
      <c r="T194" s="4"/>
      <c r="U194" s="4"/>
      <c r="V194" s="4"/>
      <c r="W194" s="4"/>
      <c r="X194" s="4"/>
      <c r="Y194" s="4"/>
      <c r="Z194" s="4"/>
    </row>
    <row r="195" spans="1:26" x14ac:dyDescent="0.25">
      <c r="A195" s="3" t="str">
        <f ca="1">IFERROR(__xludf.DUMMYFUNCTION("""COMPUTED_VALUE"""),"https://drive.google.com/open?id=1KrBZcH8zU3ZFwsIqH56bB3pOeqLt0YIx")</f>
        <v>https://drive.google.com/open?id=1KrBZcH8zU3ZFwsIqH56bB3pOeqLt0YIx</v>
      </c>
      <c r="B195" s="4" t="str">
        <f ca="1">IFERROR(__xludf.DUMMYFUNCTION("""COMPUTED_VALUE"""),"Enem")</f>
        <v>Enem</v>
      </c>
      <c r="C195" s="4">
        <f ca="1">IFERROR(__xludf.DUMMYFUNCTION("""COMPUTED_VALUE"""),2019)</f>
        <v>2019</v>
      </c>
      <c r="D195" s="4" t="str">
        <f ca="1">IFERROR(__xludf.DUMMYFUNCTION("""COMPUTED_VALUE"""),"Ciências da Natureza")</f>
        <v>Ciências da Natureza</v>
      </c>
      <c r="E195" s="4" t="str">
        <f ca="1">IFERROR(__xludf.DUMMYFUNCTION("""COMPUTED_VALUE"""),"Química")</f>
        <v>Química</v>
      </c>
      <c r="F195" s="4" t="str">
        <f ca="1">IFERROR(__xludf.DUMMYFUNCTION("""COMPUTED_VALUE"""),"Química Orgânica")</f>
        <v>Química Orgânica</v>
      </c>
      <c r="G195" s="4"/>
      <c r="H195" s="4"/>
      <c r="I195" s="4" t="str">
        <f ca="1">IFERROR(__xludf.DUMMYFUNCTION("""COMPUTED_VALUE"""),"Amarelo")</f>
        <v>Amarelo</v>
      </c>
      <c r="J195" s="4">
        <f ca="1">IFERROR(__xludf.DUMMYFUNCTION("""COMPUTED_VALUE"""),133)</f>
        <v>133</v>
      </c>
      <c r="K195" s="4" t="str">
        <f ca="1">IFERROR(__xludf.DUMMYFUNCTION("""COMPUTED_VALUE"""),"E")</f>
        <v>E</v>
      </c>
      <c r="L195" s="4" t="str">
        <f ca="1">IFERROR(__xludf.DUMMYFUNCTION("""COMPUTED_VALUE"""),"Antigamente, em lugares com invernos rigorosos, as pessoas acendiam fogueiras dentro de uma sala fechada para se aquecerem do frio. O risco no uso desse recurso ocorria quando as pessoas adormeciam antes de apagarem totalmente a fogueira, o que poderia le"&amp;"vá-las a óbito, mesmo sem a ocorrência de incêndio.A causa principal desse risco era o(a)
")</f>
        <v xml:space="preserve">Antigamente, em lugares com invernos rigorosos, as pessoas acendiam fogueiras dentro de uma sala fechada para se aquecerem do frio. O risco no uso desse recurso ocorria quando as pessoas adormeciam antes de apagarem totalmente a fogueira, o que poderia levá-las a óbito, mesmo sem a ocorrência de incêndio.A causa principal desse risco era o(a)
</v>
      </c>
      <c r="M195" s="4" t="str">
        <f ca="1">IFERROR(__xludf.DUMMYFUNCTION("""COMPUTED_VALUE"""),"produção de fuligem pela fogueira.
")</f>
        <v xml:space="preserve">produção de fuligem pela fogueira.
</v>
      </c>
      <c r="N195" s="4" t="str">
        <f ca="1">IFERROR(__xludf.DUMMYFUNCTION("""COMPUTED_VALUE"""),"liberação de calor intenso pela fogueira.
")</f>
        <v xml:space="preserve">liberação de calor intenso pela fogueira.
</v>
      </c>
      <c r="O195" s="4" t="str">
        <f ca="1">IFERROR(__xludf.DUMMYFUNCTION("""COMPUTED_VALUE"""),"consumo de todo o oxigênio pelas pessoas.
")</f>
        <v xml:space="preserve">consumo de todo o oxigênio pelas pessoas.
</v>
      </c>
      <c r="P195" s="4" t="str">
        <f ca="1">IFERROR(__xludf.DUMMYFUNCTION("""COMPUTED_VALUE"""),"geração de queimaduras pela emissão de faíscas da lenha.
")</f>
        <v xml:space="preserve">geração de queimaduras pela emissão de faíscas da lenha.
</v>
      </c>
      <c r="Q195" s="4" t="str">
        <f ca="1">IFERROR(__xludf.DUMMYFUNCTION("""COMPUTED_VALUE"""),"geração de monóxido de carbono pela combustão incompleta da lenha.
")</f>
        <v xml:space="preserve">geração de monóxido de carbono pela combustão incompleta da lenha.
</v>
      </c>
      <c r="R195" s="4"/>
      <c r="S195" s="4"/>
      <c r="T195" s="4"/>
      <c r="U195" s="4"/>
      <c r="V195" s="4"/>
      <c r="W195" s="4"/>
      <c r="X195" s="4"/>
      <c r="Y195" s="4"/>
      <c r="Z195" s="4"/>
    </row>
    <row r="196" spans="1:26" x14ac:dyDescent="0.25">
      <c r="A196" s="3" t="str">
        <f ca="1">IFERROR(__xludf.DUMMYFUNCTION("""COMPUTED_VALUE"""),"https://drive.google.com/open?id=18sXE8pOiccw0760SQ-Nq9xHzus2pW_kN")</f>
        <v>https://drive.google.com/open?id=18sXE8pOiccw0760SQ-Nq9xHzus2pW_kN</v>
      </c>
      <c r="B196" s="4" t="str">
        <f ca="1">IFERROR(__xludf.DUMMYFUNCTION("""COMPUTED_VALUE"""),"Enem")</f>
        <v>Enem</v>
      </c>
      <c r="C196" s="4">
        <f ca="1">IFERROR(__xludf.DUMMYFUNCTION("""COMPUTED_VALUE"""),2019)</f>
        <v>2019</v>
      </c>
      <c r="D196" s="4" t="str">
        <f ca="1">IFERROR(__xludf.DUMMYFUNCTION("""COMPUTED_VALUE"""),"Ciências da Natureza")</f>
        <v>Ciências da Natureza</v>
      </c>
      <c r="E196" s="4" t="str">
        <f ca="1">IFERROR(__xludf.DUMMYFUNCTION("""COMPUTED_VALUE"""),"Física")</f>
        <v>Física</v>
      </c>
      <c r="F196" s="4" t="str">
        <f ca="1">IFERROR(__xludf.DUMMYFUNCTION("""COMPUTED_VALUE"""),"Mecânica")</f>
        <v>Mecânica</v>
      </c>
      <c r="G196" s="4"/>
      <c r="H196" s="4"/>
      <c r="I196" s="4" t="str">
        <f ca="1">IFERROR(__xludf.DUMMYFUNCTION("""COMPUTED_VALUE"""),"Amarelo")</f>
        <v>Amarelo</v>
      </c>
      <c r="J196" s="4">
        <f ca="1">IFERROR(__xludf.DUMMYFUNCTION("""COMPUTED_VALUE"""),91)</f>
        <v>91</v>
      </c>
      <c r="K196" s="4" t="str">
        <f ca="1">IFERROR(__xludf.DUMMYFUNCTION("""COMPUTED_VALUE"""),"C")</f>
        <v>C</v>
      </c>
      <c r="L196" s="4" t="str">
        <f ca="1">IFERROR(__xludf.DUMMYFUNCTION("""COMPUTED_VALUE"""),"Astrônomos medem a velocidade de afastamento de galáxias distantes pela
detecção da luz emitida por esses sistemas. A Lei de Hubble afirma que a velocidade
de afastamento de uma galáxia (em km/s ) é proporcional à sua distância até a Terra,
medida em mega"&amp;"parsec (Mpc). Nessa lei, a constante de proporcionalidade é a constante
de Hubble (H0) e seu valor mais aceito é de (72 km/s)/Mpc. O parsec (pc) é uma unidade de
distância utilizada em astronomia que vale aproximadamente 3 × 1016 m. Observações
astronômic"&amp;"as determinaram que a velocidade de afastamento de uma determinada galáxia
é de 1 440 km/s .
Utilizando a Lei de Hubble, pode-se concluir que a distância até essa galáxia, medida
em km, é igual a:")</f>
        <v>Astrônomos medem a velocidade de afastamento de galáxias distantes pela
detecção da luz emitida por esses sistemas. A Lei de Hubble afirma que a velocidade
de afastamento de uma galáxia (em km/s ) é proporcional à sua distância até a Terra,
medida em megaparsec (Mpc). Nessa lei, a constante de proporcionalidade é a constante
de Hubble (H0) e seu valor mais aceito é de (72 km/s)/Mpc. O parsec (pc) é uma unidade de
distância utilizada em astronomia que vale aproximadamente 3 × 1016 m. Observações
astronômicas determinaram que a velocidade de afastamento de uma determinada galáxia
é de 1 440 km/s .
Utilizando a Lei de Hubble, pode-se concluir que a distância até essa galáxia, medida
em km, é igual a:</v>
      </c>
      <c r="M196" s="4" t="str">
        <f ca="1">IFERROR(__xludf.DUMMYFUNCTION("""COMPUTED_VALUE"""),"20 × 10^0")</f>
        <v>20 × 10^0</v>
      </c>
      <c r="N196" s="4" t="str">
        <f ca="1">IFERROR(__xludf.DUMMYFUNCTION("""COMPUTED_VALUE"""),"20 × 10^6")</f>
        <v>20 × 10^6</v>
      </c>
      <c r="O196" s="4" t="str">
        <f ca="1">IFERROR(__xludf.DUMMYFUNCTION("""COMPUTED_VALUE"""),"6 × 10^20")</f>
        <v>6 × 10^20</v>
      </c>
      <c r="P196" s="4" t="str">
        <f ca="1">IFERROR(__xludf.DUMMYFUNCTION("""COMPUTED_VALUE"""),"6 × 10^23")</f>
        <v>6 × 10^23</v>
      </c>
      <c r="Q196" s="4" t="str">
        <f ca="1">IFERROR(__xludf.DUMMYFUNCTION("""COMPUTED_VALUE"""),"6 × 10^26")</f>
        <v>6 × 10^26</v>
      </c>
      <c r="R196" s="4"/>
      <c r="S196" s="4"/>
      <c r="T196" s="4"/>
      <c r="U196" s="4"/>
      <c r="V196" s="4"/>
      <c r="W196" s="4"/>
      <c r="X196" s="4"/>
      <c r="Y196" s="4"/>
      <c r="Z196" s="4"/>
    </row>
    <row r="197" spans="1:26" x14ac:dyDescent="0.25">
      <c r="A197" s="3" t="str">
        <f ca="1">IFERROR(__xludf.DUMMYFUNCTION("""COMPUTED_VALUE"""),"https://drive.google.com/open?id=1YAm1qh0Z3vE55q3RFhffgRmWYWdNUCXP")</f>
        <v>https://drive.google.com/open?id=1YAm1qh0Z3vE55q3RFhffgRmWYWdNUCXP</v>
      </c>
      <c r="B197" s="4" t="str">
        <f ca="1">IFERROR(__xludf.DUMMYFUNCTION("""COMPUTED_VALUE"""),"Enem")</f>
        <v>Enem</v>
      </c>
      <c r="C197" s="4">
        <f ca="1">IFERROR(__xludf.DUMMYFUNCTION("""COMPUTED_VALUE"""),2019)</f>
        <v>2019</v>
      </c>
      <c r="D197" s="4" t="str">
        <f ca="1">IFERROR(__xludf.DUMMYFUNCTION("""COMPUTED_VALUE"""),"Ciências da Natureza")</f>
        <v>Ciências da Natureza</v>
      </c>
      <c r="E197" s="4" t="str">
        <f ca="1">IFERROR(__xludf.DUMMYFUNCTION("""COMPUTED_VALUE"""),"Física")</f>
        <v>Física</v>
      </c>
      <c r="F197" s="4" t="str">
        <f ca="1">IFERROR(__xludf.DUMMYFUNCTION("""COMPUTED_VALUE"""),"Mecânica")</f>
        <v>Mecânica</v>
      </c>
      <c r="G197" s="4"/>
      <c r="H197" s="4"/>
      <c r="I197" s="4" t="str">
        <f ca="1">IFERROR(__xludf.DUMMYFUNCTION("""COMPUTED_VALUE"""),"Amarelo")</f>
        <v>Amarelo</v>
      </c>
      <c r="J197" s="4">
        <f ca="1">IFERROR(__xludf.DUMMYFUNCTION("""COMPUTED_VALUE"""),100)</f>
        <v>100</v>
      </c>
      <c r="K197" s="4" t="str">
        <f ca="1">IFERROR(__xludf.DUMMYFUNCTION("""COMPUTED_VALUE"""),"C")</f>
        <v>C</v>
      </c>
      <c r="L197" s="4" t="str">
        <f ca="1">IFERROR(__xludf.DUMMYFUNCTION("""COMPUTED_VALUE"""),"Um estudante leu em um site da internet que os povos antigos determinavam a
duração das estações do ano observando a variação do tamanho da sombra de uma
haste vertical projetada no solo. Isso ocorria porque, se registrarmos o tamanho da menor
sombra ao l"&amp;"ongo de um dia (ao meio-dia solar), esse valor varia ao longo do ano, o que
permitiu aos antigos usar esse instrumento rudimentar como um calendário solar primitivo.
O estudante também leu que, ao longo de um ano (sempre ao meio-dia solar): (I) a sombra
é"&amp;" máxima no solstício de inverno; e (II) a sombra é mínima no solstício de verão.
O estudante, que morava em Macapá (na Linha do Equador), ficou intrigado com
essas afirmações e resolveu verificar se elas eram verdadeiras em diferentes regiões do
mundo. Co"&amp;"ntactou seus amigos virtuais em Salvador (Região Tropical) e Porto Alegre
(Região Temperada) e pediu que eles registrassem o tamanho da menor sombra de uma
haste vertical padronizada, ao longo do dia, durante um ano. Os resultados encontrados
estão mostra"&amp;"dos esquematicamente no gráfico (SV: Solstício de Verão; SI: Solstício de
Inverno; E: Equinócio):")</f>
        <v>Um estudante leu em um site da internet que os povos antigos determinavam a
duração das estações do ano observando a variação do tamanho da sombra de uma
haste vertical projetada no solo. Isso ocorria porque, se registrarmos o tamanho da menor
sombra ao longo de um dia (ao meio-dia solar), esse valor varia ao longo do ano, o que
permitiu aos antigos usar esse instrumento rudimentar como um calendário solar primitivo.
O estudante também leu que, ao longo de um ano (sempre ao meio-dia solar): (I) a sombra
é máxima no solstício de inverno; e (II) a sombra é mínima no solstício de verão.
O estudante, que morava em Macapá (na Linha do Equador), ficou intrigado com
essas afirmações e resolveu verificar se elas eram verdadeiras em diferentes regiões do
mundo. Contactou seus amigos virtuais em Salvador (Região Tropical) e Porto Alegre
(Região Temperada) e pediu que eles registrassem o tamanho da menor sombra de uma
haste vertical padronizada, ao longo do dia, durante um ano. Os resultados encontrados
estão mostrados esquematicamente no gráfico (SV: Solstício de Verão; SI: Solstício de
Inverno; E: Equinócio):</v>
      </c>
      <c r="M197" s="4" t="str">
        <f ca="1">IFERROR(__xludf.DUMMYFUNCTION("""COMPUTED_VALUE"""),"Salvador.")</f>
        <v>Salvador.</v>
      </c>
      <c r="N197" s="4" t="str">
        <f ca="1">IFERROR(__xludf.DUMMYFUNCTION("""COMPUTED_VALUE""")," Porto Alegre.")</f>
        <v xml:space="preserve"> Porto Alegre.</v>
      </c>
      <c r="O197" s="4" t="str">
        <f ca="1">IFERROR(__xludf.DUMMYFUNCTION("""COMPUTED_VALUE"""),"Macapá e Salvador.")</f>
        <v>Macapá e Salvador.</v>
      </c>
      <c r="P197" s="4" t="str">
        <f ca="1">IFERROR(__xludf.DUMMYFUNCTION("""COMPUTED_VALUE"""),"Macapá e Porto Alegre.")</f>
        <v>Macapá e Porto Alegre.</v>
      </c>
      <c r="Q197" s="4" t="str">
        <f ca="1">IFERROR(__xludf.DUMMYFUNCTION("""COMPUTED_VALUE"""),"Porto Alegre e Salvador.")</f>
        <v>Porto Alegre e Salvador.</v>
      </c>
      <c r="R197" s="4"/>
      <c r="S197" s="4"/>
      <c r="T197" s="4"/>
      <c r="U197" s="4"/>
      <c r="V197" s="4"/>
      <c r="W197" s="4"/>
      <c r="X197" s="4"/>
      <c r="Y197" s="4"/>
      <c r="Z197" s="4"/>
    </row>
    <row r="198" spans="1:26" x14ac:dyDescent="0.25">
      <c r="A198" s="3" t="str">
        <f ca="1">IFERROR(__xludf.DUMMYFUNCTION("""COMPUTED_VALUE"""),"https://drive.google.com/open?id=1dab3aFpo-rh-K-x4S-0m0jb7DQuZe9T4")</f>
        <v>https://drive.google.com/open?id=1dab3aFpo-rh-K-x4S-0m0jb7DQuZe9T4</v>
      </c>
      <c r="B198" s="4" t="str">
        <f ca="1">IFERROR(__xludf.DUMMYFUNCTION("""COMPUTED_VALUE"""),"Enem")</f>
        <v>Enem</v>
      </c>
      <c r="C198" s="4">
        <f ca="1">IFERROR(__xludf.DUMMYFUNCTION("""COMPUTED_VALUE"""),2019)</f>
        <v>2019</v>
      </c>
      <c r="D198" s="4" t="str">
        <f ca="1">IFERROR(__xludf.DUMMYFUNCTION("""COMPUTED_VALUE"""),"Ciências da Natureza")</f>
        <v>Ciências da Natureza</v>
      </c>
      <c r="E198" s="4" t="str">
        <f ca="1">IFERROR(__xludf.DUMMYFUNCTION("""COMPUTED_VALUE"""),"Física")</f>
        <v>Física</v>
      </c>
      <c r="F198" s="4" t="str">
        <f ca="1">IFERROR(__xludf.DUMMYFUNCTION("""COMPUTED_VALUE"""),"Mecânica")</f>
        <v>Mecânica</v>
      </c>
      <c r="G198" s="4"/>
      <c r="H198" s="4"/>
      <c r="I198" s="4" t="str">
        <f ca="1">IFERROR(__xludf.DUMMYFUNCTION("""COMPUTED_VALUE"""),"Amarelo")</f>
        <v>Amarelo</v>
      </c>
      <c r="J198" s="4">
        <f ca="1">IFERROR(__xludf.DUMMYFUNCTION("""COMPUTED_VALUE"""),103)</f>
        <v>103</v>
      </c>
      <c r="K198" s="4" t="str">
        <f ca="1">IFERROR(__xludf.DUMMYFUNCTION("""COMPUTED_VALUE"""),"B")</f>
        <v>B</v>
      </c>
      <c r="L198" s="4" t="str">
        <f ca="1">IFERROR(__xludf.DUMMYFUNCTION("""COMPUTED_VALUE"""),"O curling é um dos esportes de inverno mais antigos e tradicionais. No jogo, dois
times com quatro pessoas têm de deslizar pedras de granito sobre uma área marcada
de gelo e tentar colocá-las o mais próximo possível do centro. A pista de curling é
feita p"&amp;"ara ser o mais nivelada possível, para não interferir no decorrer do jogo. Após o
lançamento, membros da equipe varrem (com vassouras especiais) o gelo imediatamente
à frente da pedra, porém sem tocá-la. Isso é fundamental para o decorrer da partida,
pois"&amp;" influi diretamente na distância percorrida e na direção do movimento da pedra.
Em um lançamento retilíneo, sem a interferência dos varredores, verifica-se que o módulo
da desaceleração da pedra é superior se comparado à desaceleração da mesma pedra
lança"&amp;"da com a ação dos varredores")</f>
        <v>O curling é um dos esportes de inverno mais antigos e tradicionais. No jogo, dois
times com quatro pessoas têm de deslizar pedras de granito sobre uma área marcada
de gelo e tentar colocá-las o mais próximo possível do centro. A pista de curling é
feita para ser o mais nivelada possível, para não interferir no decorrer do jogo. Após o
lançamento, membros da equipe varrem (com vassouras especiais) o gelo imediatamente
à frente da pedra, porém sem tocá-la. Isso é fundamental para o decorrer da partida,
pois influi diretamente na distância percorrida e na direção do movimento da pedra.
Em um lançamento retilíneo, sem a interferência dos varredores, verifica-se que o módulo
da desaceleração da pedra é superior se comparado à desaceleração da mesma pedra
lançada com a ação dos varredores</v>
      </c>
      <c r="M198" s="4" t="str">
        <f ca="1">IFERROR(__xludf.DUMMYFUNCTION("""COMPUTED_VALUE"""),"força motriz sobre a pedra.")</f>
        <v>força motriz sobre a pedra.</v>
      </c>
      <c r="N198" s="4" t="str">
        <f ca="1">IFERROR(__xludf.DUMMYFUNCTION("""COMPUTED_VALUE""")," força de atrito cinético sobre a pedra.")</f>
        <v xml:space="preserve"> força de atrito cinético sobre a pedra.</v>
      </c>
      <c r="O198" s="4" t="str">
        <f ca="1">IFERROR(__xludf.DUMMYFUNCTION("""COMPUTED_VALUE""")," força peso paralela ao movimento da pedra.")</f>
        <v xml:space="preserve"> força peso paralela ao movimento da pedra.</v>
      </c>
      <c r="P198" s="4" t="str">
        <f ca="1">IFERROR(__xludf.DUMMYFUNCTION("""COMPUTED_VALUE""")," força de arrasto do ar que atua sobre a pedra.")</f>
        <v xml:space="preserve"> força de arrasto do ar que atua sobre a pedra.</v>
      </c>
      <c r="Q198" s="4" t="str">
        <f ca="1">IFERROR(__xludf.DUMMYFUNCTION("""COMPUTED_VALUE""")," força de reação normal que a superfície exerce sobre a pedra.")</f>
        <v xml:space="preserve"> força de reação normal que a superfície exerce sobre a pedra.</v>
      </c>
      <c r="R198" s="4"/>
      <c r="S198" s="4"/>
      <c r="T198" s="4"/>
      <c r="U198" s="4"/>
      <c r="V198" s="4"/>
      <c r="W198" s="4"/>
      <c r="X198" s="4"/>
      <c r="Y198" s="4"/>
      <c r="Z198" s="4"/>
    </row>
    <row r="199" spans="1:26" x14ac:dyDescent="0.25">
      <c r="A199" s="3" t="str">
        <f ca="1">IFERROR(__xludf.DUMMYFUNCTION("""COMPUTED_VALUE"""),"https://drive.google.com/open?id=1L6nYxl-T1tfy0e5o3yTdR5BOts6CAthh")</f>
        <v>https://drive.google.com/open?id=1L6nYxl-T1tfy0e5o3yTdR5BOts6CAthh</v>
      </c>
      <c r="B199" s="4" t="str">
        <f ca="1">IFERROR(__xludf.DUMMYFUNCTION("""COMPUTED_VALUE"""),"Enem")</f>
        <v>Enem</v>
      </c>
      <c r="C199" s="4">
        <f ca="1">IFERROR(__xludf.DUMMYFUNCTION("""COMPUTED_VALUE"""),2019)</f>
        <v>2019</v>
      </c>
      <c r="D199" s="4" t="str">
        <f ca="1">IFERROR(__xludf.DUMMYFUNCTION("""COMPUTED_VALUE"""),"Ciências da Natureza")</f>
        <v>Ciências da Natureza</v>
      </c>
      <c r="E199" s="4" t="str">
        <f ca="1">IFERROR(__xludf.DUMMYFUNCTION("""COMPUTED_VALUE"""),"Física")</f>
        <v>Física</v>
      </c>
      <c r="F199" s="4" t="str">
        <f ca="1">IFERROR(__xludf.DUMMYFUNCTION("""COMPUTED_VALUE"""),"Mecânica")</f>
        <v>Mecânica</v>
      </c>
      <c r="G199" s="4"/>
      <c r="H199" s="4"/>
      <c r="I199" s="4" t="str">
        <f ca="1">IFERROR(__xludf.DUMMYFUNCTION("""COMPUTED_VALUE"""),"Amarelo")</f>
        <v>Amarelo</v>
      </c>
      <c r="J199" s="4">
        <f ca="1">IFERROR(__xludf.DUMMYFUNCTION("""COMPUTED_VALUE"""),107)</f>
        <v>107</v>
      </c>
      <c r="K199" s="4" t="str">
        <f ca="1">IFERROR(__xludf.DUMMYFUNCTION("""COMPUTED_VALUE"""),"B")</f>
        <v>B</v>
      </c>
      <c r="L199" s="4" t="str">
        <f ca="1">IFERROR(__xludf.DUMMYFUNCTION("""COMPUTED_VALUE"""),"A figura mostra, de forma esquemática, uma representação comum em diversos livros
e textos sobre eclipses. Apenas analisando essa figura, um estudante pode concluir
que os eclipses podem ocorrer duas vezes a cada volta completa da Lua em torno
da Terra. A"&amp;"pesar de a figura levar a essa percepção, algumas informações adicionais
são necessárias para se concluir que nem o eclipse solar, nem o lunar ocorrem com
tal periodicidade.")</f>
        <v>A figura mostra, de forma esquemática, uma representação comum em diversos livros
e textos sobre eclipses. Apenas analisando essa figura, um estudante pode concluir
que os eclipses podem ocorrer duas vezes a cada volta completa da Lua em torno
da Terra. Apesar de a figura levar a essa percepção, algumas informações adicionais
são necessárias para se concluir que nem o eclipse solar, nem o lunar ocorrem com
tal periodicidade.</v>
      </c>
      <c r="M199" s="4" t="str">
        <f ca="1">IFERROR(__xludf.DUMMYFUNCTION("""COMPUTED_VALUE"""),"eclipses noturnos serem imperceptíveis da Terra.")</f>
        <v>eclipses noturnos serem imperceptíveis da Terra.</v>
      </c>
      <c r="N199" s="4" t="str">
        <f ca="1">IFERROR(__xludf.DUMMYFUNCTION("""COMPUTED_VALUE"""),"planos das órbitas da Terra e da Lua serem diferentes.")</f>
        <v>planos das órbitas da Terra e da Lua serem diferentes.</v>
      </c>
      <c r="O199" s="4" t="str">
        <f ca="1">IFERROR(__xludf.DUMMYFUNCTION("""COMPUTED_VALUE""")," distância entre a Terra e a Lua variar ao longo da órbita.")</f>
        <v xml:space="preserve"> distância entre a Terra e a Lua variar ao longo da órbita.</v>
      </c>
      <c r="P199" s="4" t="str">
        <f ca="1">IFERROR(__xludf.DUMMYFUNCTION("""COMPUTED_VALUE"""),"eclipses serem visíveis apenas em parte da superfície da Terra.")</f>
        <v>eclipses serem visíveis apenas em parte da superfície da Terra.</v>
      </c>
      <c r="Q199" s="4" t="str">
        <f ca="1">IFERROR(__xludf.DUMMYFUNCTION("""COMPUTED_VALUE""")," o Sol ser uma fonte de luz extensa comparado ao tamanho da Lua.")</f>
        <v xml:space="preserve"> o Sol ser uma fonte de luz extensa comparado ao tamanho da Lua.</v>
      </c>
      <c r="R199" s="4"/>
      <c r="S199" s="4"/>
      <c r="T199" s="4"/>
      <c r="U199" s="4"/>
      <c r="V199" s="4"/>
      <c r="W199" s="4"/>
      <c r="X199" s="4"/>
      <c r="Y199" s="4"/>
      <c r="Z199" s="4"/>
    </row>
    <row r="200" spans="1:26" x14ac:dyDescent="0.25">
      <c r="A200" s="3" t="str">
        <f ca="1">IFERROR(__xludf.DUMMYFUNCTION("""COMPUTED_VALUE"""),"https://drive.google.com/open?id=1yco3jo4qt7QTr_KAGobrqer9p-HshgNm")</f>
        <v>https://drive.google.com/open?id=1yco3jo4qt7QTr_KAGobrqer9p-HshgNm</v>
      </c>
      <c r="B200" s="4" t="str">
        <f ca="1">IFERROR(__xludf.DUMMYFUNCTION("""COMPUTED_VALUE"""),"Enem")</f>
        <v>Enem</v>
      </c>
      <c r="C200" s="4">
        <f ca="1">IFERROR(__xludf.DUMMYFUNCTION("""COMPUTED_VALUE"""),2019)</f>
        <v>2019</v>
      </c>
      <c r="D200" s="4" t="str">
        <f ca="1">IFERROR(__xludf.DUMMYFUNCTION("""COMPUTED_VALUE"""),"Ciências da Natureza")</f>
        <v>Ciências da Natureza</v>
      </c>
      <c r="E200" s="4" t="str">
        <f ca="1">IFERROR(__xludf.DUMMYFUNCTION("""COMPUTED_VALUE"""),"Física")</f>
        <v>Física</v>
      </c>
      <c r="F200" s="4" t="str">
        <f ca="1">IFERROR(__xludf.DUMMYFUNCTION("""COMPUTED_VALUE"""),"Mecânica")</f>
        <v>Mecânica</v>
      </c>
      <c r="G200" s="4"/>
      <c r="H200" s="4"/>
      <c r="I200" s="4" t="str">
        <f ca="1">IFERROR(__xludf.DUMMYFUNCTION("""COMPUTED_VALUE"""),"Amarelo")</f>
        <v>Amarelo</v>
      </c>
      <c r="J200" s="4">
        <f ca="1">IFERROR(__xludf.DUMMYFUNCTION("""COMPUTED_VALUE"""),109)</f>
        <v>109</v>
      </c>
      <c r="K200" s="4" t="str">
        <f ca="1">IFERROR(__xludf.DUMMYFUNCTION("""COMPUTED_VALUE"""),"C")</f>
        <v>C</v>
      </c>
      <c r="L200" s="4" t="str">
        <f ca="1">IFERROR(__xludf.DUMMYFUNCTION("""COMPUTED_VALUE"""),"Um foguete viaja pelo espaço sideral com os propulsores desligados. A velocidade
inicial v tem módulo constante e direção perpendicular à ação dos propulsores, conforme
indicado na figura. O piloto aciona os propulsores para alterar a direção do movimento"&amp;"
quando o foguete passa pelo ponto A e os desliga quando o módulo de sua velocidade
final é superior a 2 | v |, o que ocorre antes de passar pelo ponto B. Considere as
interações desprezíveis.
A representação gráfica da trajetória seguida pelo foguete, an"&amp;"tes e depois de passar pelo
ponto B, é:")</f>
        <v>Um foguete viaja pelo espaço sideral com os propulsores desligados. A velocidade
inicial v tem módulo constante e direção perpendicular à ação dos propulsores, conforme
indicado na figura. O piloto aciona os propulsores para alterar a direção do movimento
quando o foguete passa pelo ponto A e os desliga quando o módulo de sua velocidade
final é superior a 2 | v |, o que ocorre antes de passar pelo ponto B. Considere as
interações desprezíveis.
A representação gráfica da trajetória seguida pelo foguete, antes e depois de passar pelo
ponto B, é:</v>
      </c>
      <c r="M200" s="4" t="str">
        <f ca="1">IFERROR(__xludf.DUMMYFUNCTION("""COMPUTED_VALUE"""),".")</f>
        <v>.</v>
      </c>
      <c r="N200" s="4" t="str">
        <f ca="1">IFERROR(__xludf.DUMMYFUNCTION("""COMPUTED_VALUE"""),".")</f>
        <v>.</v>
      </c>
      <c r="O200" s="4" t="str">
        <f ca="1">IFERROR(__xludf.DUMMYFUNCTION("""COMPUTED_VALUE"""),".")</f>
        <v>.</v>
      </c>
      <c r="P200" s="4" t="str">
        <f ca="1">IFERROR(__xludf.DUMMYFUNCTION("""COMPUTED_VALUE"""),".")</f>
        <v>.</v>
      </c>
      <c r="Q200" s="4" t="str">
        <f ca="1">IFERROR(__xludf.DUMMYFUNCTION("""COMPUTED_VALUE"""),".")</f>
        <v>.</v>
      </c>
      <c r="R200" s="4"/>
      <c r="S200" s="4"/>
      <c r="T200" s="4"/>
      <c r="U200" s="4"/>
      <c r="V200" s="4"/>
      <c r="W200" s="4"/>
      <c r="X200" s="4"/>
      <c r="Y200" s="4"/>
      <c r="Z200" s="4"/>
    </row>
    <row r="201" spans="1:26" x14ac:dyDescent="0.25">
      <c r="A201" s="3" t="str">
        <f ca="1">IFERROR(__xludf.DUMMYFUNCTION("""COMPUTED_VALUE"""),"https://drive.google.com/open?id=1Lfb8ja5_p2k_XkVvsKDiBXamEP4T13Gm")</f>
        <v>https://drive.google.com/open?id=1Lfb8ja5_p2k_XkVvsKDiBXamEP4T13Gm</v>
      </c>
      <c r="B201" s="4" t="str">
        <f ca="1">IFERROR(__xludf.DUMMYFUNCTION("""COMPUTED_VALUE"""),"Enem")</f>
        <v>Enem</v>
      </c>
      <c r="C201" s="4">
        <f ca="1">IFERROR(__xludf.DUMMYFUNCTION("""COMPUTED_VALUE"""),2019)</f>
        <v>2019</v>
      </c>
      <c r="D201" s="4" t="str">
        <f ca="1">IFERROR(__xludf.DUMMYFUNCTION("""COMPUTED_VALUE"""),"Ciências da Natureza")</f>
        <v>Ciências da Natureza</v>
      </c>
      <c r="E201" s="4" t="str">
        <f ca="1">IFERROR(__xludf.DUMMYFUNCTION("""COMPUTED_VALUE"""),"Física")</f>
        <v>Física</v>
      </c>
      <c r="F201" s="4" t="str">
        <f ca="1">IFERROR(__xludf.DUMMYFUNCTION("""COMPUTED_VALUE"""),"Óptica e Térmica")</f>
        <v>Óptica e Térmica</v>
      </c>
      <c r="G201" s="4" t="str">
        <f ca="1">IFERROR(__xludf.DUMMYFUNCTION("""COMPUTED_VALUE"""),"Mecânica")</f>
        <v>Mecânica</v>
      </c>
      <c r="H201" s="4"/>
      <c r="I201" s="4" t="str">
        <f ca="1">IFERROR(__xludf.DUMMYFUNCTION("""COMPUTED_VALUE"""),"Amarelo")</f>
        <v>Amarelo</v>
      </c>
      <c r="J201" s="4">
        <f ca="1">IFERROR(__xludf.DUMMYFUNCTION("""COMPUTED_VALUE"""),115)</f>
        <v>115</v>
      </c>
      <c r="K201" s="4" t="str">
        <f ca="1">IFERROR(__xludf.DUMMYFUNCTION("""COMPUTED_VALUE"""),"D")</f>
        <v>D</v>
      </c>
      <c r="L201" s="4" t="str">
        <f ca="1">IFERROR(__xludf.DUMMYFUNCTION("""COMPUTED_VALUE"""),"Em uma residência com aquecimento central, um reservatório é alimentado com
água fria, que é aquecida na base do reservatório e, a seguir, distribuída para as torneiras.
De modo a obter a melhor eficiência de aquecimento com menor consumo energético,
fora"&amp;"m feitos alguns testes com diferentes configurações, modificando-se as posições
de entrada de água fria e de saída de água quente no reservatório, conforme a figura.
Em todos os testes, as vazões de entrada e saída foram mantidas iguais e constantes.
A co"&amp;"nfiguração mais eficiente para a instalação dos pontos de entrada e saída de água no
reservatório é, respectivamente, nas posições")</f>
        <v>Em uma residência com aquecimento central, um reservatório é alimentado com
água fria, que é aquecida na base do reservatório e, a seguir, distribuída para as torneiras.
De modo a obter a melhor eficiência de aquecimento com menor consumo energético,
foram feitos alguns testes com diferentes configurações, modificando-se as posições
de entrada de água fria e de saída de água quente no reservatório, conforme a figura.
Em todos os testes, as vazões de entrada e saída foram mantidas iguais e constantes.
A configuração mais eficiente para a instalação dos pontos de entrada e saída de água no
reservatório é, respectivamente, nas posições</v>
      </c>
      <c r="M201" s="4" t="str">
        <f ca="1">IFERROR(__xludf.DUMMYFUNCTION("""COMPUTED_VALUE"""),"1 e 4.")</f>
        <v>1 e 4.</v>
      </c>
      <c r="N201" s="4" t="str">
        <f ca="1">IFERROR(__xludf.DUMMYFUNCTION("""COMPUTED_VALUE""")," 1 e 6.")</f>
        <v xml:space="preserve"> 1 e 6.</v>
      </c>
      <c r="O201" s="4" t="str">
        <f ca="1">IFERROR(__xludf.DUMMYFUNCTION("""COMPUTED_VALUE""")," 2 e 5.")</f>
        <v xml:space="preserve"> 2 e 5.</v>
      </c>
      <c r="P201" s="4" t="str">
        <f ca="1">IFERROR(__xludf.DUMMYFUNCTION("""COMPUTED_VALUE"""),"3 e 4.")</f>
        <v>3 e 4.</v>
      </c>
      <c r="Q201" s="4" t="str">
        <f ca="1">IFERROR(__xludf.DUMMYFUNCTION("""COMPUTED_VALUE"""),"3 e 5.")</f>
        <v>3 e 5.</v>
      </c>
      <c r="R201" s="4"/>
      <c r="S201" s="4"/>
      <c r="T201" s="4"/>
      <c r="U201" s="4"/>
      <c r="V201" s="4"/>
      <c r="W201" s="4"/>
      <c r="X201" s="4"/>
      <c r="Y201" s="4"/>
      <c r="Z201" s="4"/>
    </row>
    <row r="202" spans="1:26" x14ac:dyDescent="0.25">
      <c r="A202" s="3" t="str">
        <f ca="1">IFERROR(__xludf.DUMMYFUNCTION("""COMPUTED_VALUE"""),"https://drive.google.com/open?id=1D72RSsVl1i2kefC_fkyaxN8GX6qo43lu")</f>
        <v>https://drive.google.com/open?id=1D72RSsVl1i2kefC_fkyaxN8GX6qo43lu</v>
      </c>
      <c r="B202" s="4" t="str">
        <f ca="1">IFERROR(__xludf.DUMMYFUNCTION("""COMPUTED_VALUE"""),"Enem")</f>
        <v>Enem</v>
      </c>
      <c r="C202" s="4">
        <f ca="1">IFERROR(__xludf.DUMMYFUNCTION("""COMPUTED_VALUE"""),2019)</f>
        <v>2019</v>
      </c>
      <c r="D202" s="4" t="str">
        <f ca="1">IFERROR(__xludf.DUMMYFUNCTION("""COMPUTED_VALUE"""),"Ciências da Natureza")</f>
        <v>Ciências da Natureza</v>
      </c>
      <c r="E202" s="4" t="str">
        <f ca="1">IFERROR(__xludf.DUMMYFUNCTION("""COMPUTED_VALUE"""),"Física")</f>
        <v>Física</v>
      </c>
      <c r="F202" s="4" t="str">
        <f ca="1">IFERROR(__xludf.DUMMYFUNCTION("""COMPUTED_VALUE"""),"Mecânica")</f>
        <v>Mecânica</v>
      </c>
      <c r="G202" s="4"/>
      <c r="H202" s="4"/>
      <c r="I202" s="4" t="str">
        <f ca="1">IFERROR(__xludf.DUMMYFUNCTION("""COMPUTED_VALUE"""),"Amarelo")</f>
        <v>Amarelo</v>
      </c>
      <c r="J202" s="4">
        <f ca="1">IFERROR(__xludf.DUMMYFUNCTION("""COMPUTED_VALUE"""),118)</f>
        <v>118</v>
      </c>
      <c r="K202" s="4" t="str">
        <f ca="1">IFERROR(__xludf.DUMMYFUNCTION("""COMPUTED_VALUE"""),"E")</f>
        <v>E</v>
      </c>
      <c r="L202" s="4" t="str">
        <f ca="1">IFERROR(__xludf.DUMMYFUNCTION("""COMPUTED_VALUE"""),"Uma das formas de se obter energia elétrica é usar uma lente convergente circular para
concentrar os raios de sol em um único ponto, aquecendo um dispositivo localizado nesse
ponto a uma temperatura elevada. Com a transformação da energia luminosa em ener"&amp;"gia
térmica, pode ser criado vapor-d’água que moverá uma turbina e gerará energia elétrica.
Para projetar um sistema de geração de energia elétrica, a fim de alimentar um chuveiro
elétrico de 2 000 W de potência, sabe-se que, neste local, a energia recebi"&amp;"da do Sol
é 1 000 W/m2 . Esse sistema apresenta taxa de eficiência de conversão em energia
elétrica de 50% da energia solar incidente. Considere  = 1,8.
Qual deve ser, em metro, o raio da lente para que esse sistema satisfaça aos requisitos do
projeto?")</f>
        <v>Uma das formas de se obter energia elétrica é usar uma lente convergente circular para
concentrar os raios de sol em um único ponto, aquecendo um dispositivo localizado nesse
ponto a uma temperatura elevada. Com a transformação da energia luminosa em energia
térmica, pode ser criado vapor-d’água que moverá uma turbina e gerará energia elétrica.
Para projetar um sistema de geração de energia elétrica, a fim de alimentar um chuveiro
elétrico de 2 000 W de potência, sabe-se que, neste local, a energia recebida do Sol
é 1 000 W/m2 . Esse sistema apresenta taxa de eficiência de conversão em energia
elétrica de 50% da energia solar incidente. Considere  = 1,8.
Qual deve ser, em metro, o raio da lente para que esse sistema satisfaça aos requisitos do
projeto?</v>
      </c>
      <c r="M202" s="4" t="str">
        <f ca="1">IFERROR(__xludf.DUMMYFUNCTION("""COMPUTED_VALUE"""),"0,28")</f>
        <v>0,28</v>
      </c>
      <c r="N202" s="4" t="str">
        <f ca="1">IFERROR(__xludf.DUMMYFUNCTION("""COMPUTED_VALUE"""),"0,32")</f>
        <v>0,32</v>
      </c>
      <c r="O202" s="4" t="str">
        <f ca="1">IFERROR(__xludf.DUMMYFUNCTION("""COMPUTED_VALUE"""),"0,4")</f>
        <v>0,4</v>
      </c>
      <c r="P202" s="4" t="str">
        <f ca="1">IFERROR(__xludf.DUMMYFUNCTION("""COMPUTED_VALUE"""),"0,8")</f>
        <v>0,8</v>
      </c>
      <c r="Q202" s="4" t="str">
        <f ca="1">IFERROR(__xludf.DUMMYFUNCTION("""COMPUTED_VALUE"""),"1,11")</f>
        <v>1,11</v>
      </c>
      <c r="R202" s="4"/>
      <c r="S202" s="4"/>
      <c r="T202" s="4"/>
      <c r="U202" s="4"/>
      <c r="V202" s="4"/>
      <c r="W202" s="4"/>
      <c r="X202" s="4"/>
      <c r="Y202" s="4"/>
      <c r="Z202" s="4"/>
    </row>
    <row r="203" spans="1:26" x14ac:dyDescent="0.25">
      <c r="A203" s="3" t="str">
        <f ca="1">IFERROR(__xludf.DUMMYFUNCTION("""COMPUTED_VALUE"""),"https://drive.google.com/open?id=10d6w-yNpk4N4B0hjlKGF9ZjXxmqNW-jo")</f>
        <v>https://drive.google.com/open?id=10d6w-yNpk4N4B0hjlKGF9ZjXxmqNW-jo</v>
      </c>
      <c r="B203" s="4" t="str">
        <f ca="1">IFERROR(__xludf.DUMMYFUNCTION("""COMPUTED_VALUE"""),"Enem")</f>
        <v>Enem</v>
      </c>
      <c r="C203" s="4">
        <f ca="1">IFERROR(__xludf.DUMMYFUNCTION("""COMPUTED_VALUE"""),2018)</f>
        <v>2018</v>
      </c>
      <c r="D203" s="4" t="str">
        <f ca="1">IFERROR(__xludf.DUMMYFUNCTION("""COMPUTED_VALUE"""),"Matemática")</f>
        <v>Matemática</v>
      </c>
      <c r="E203" s="4" t="str">
        <f ca="1">IFERROR(__xludf.DUMMYFUNCTION("""COMPUTED_VALUE"""),"Matemática")</f>
        <v>Matemática</v>
      </c>
      <c r="F203" s="4" t="str">
        <f ca="1">IFERROR(__xludf.DUMMYFUNCTION("""COMPUTED_VALUE"""),"Aritmética e Algebra")</f>
        <v>Aritmética e Algebra</v>
      </c>
      <c r="G203" s="4" t="str">
        <f ca="1">IFERROR(__xludf.DUMMYFUNCTION("""COMPUTED_VALUE"""),"Geografia Geral")</f>
        <v>Geografia Geral</v>
      </c>
      <c r="H203" s="4"/>
      <c r="I203" s="4" t="str">
        <f ca="1">IFERROR(__xludf.DUMMYFUNCTION("""COMPUTED_VALUE"""),"Amarelo")</f>
        <v>Amarelo</v>
      </c>
      <c r="J203" s="4">
        <f ca="1">IFERROR(__xludf.DUMMYFUNCTION("""COMPUTED_VALUE"""),141)</f>
        <v>141</v>
      </c>
      <c r="K203" s="4" t="str">
        <f ca="1">IFERROR(__xludf.DUMMYFUNCTION("""COMPUTED_VALUE"""),"A")</f>
        <v>A</v>
      </c>
      <c r="L203" s="4" t="str">
        <f ca="1">IFERROR(__xludf.DUMMYFUNCTION("""COMPUTED_VALUE"""),"Um mapa é a representação reduzida e simplificada de uma localidade.
Essa redução, que é feita com o uso de uma escala, mantém a proporção do espaço 
representado em relação ao espaço real.
Certo mapa tem escala 1 : 58 000 000.
[Desenho contido no arquivo"&amp;"]
Considere que, nesse mapa, o segmento de reta que liga o navio à marca do tesouro 
meça 7,6 cm.
A medida real, em quilômetro, desse segmento de reta é:")</f>
        <v>Um mapa é a representação reduzida e simplificada de uma localidade.
Essa redução, que é feita com o uso de uma escala, mantém a proporção do espaço 
representado em relação ao espaço real.
Certo mapa tem escala 1 : 58 000 000.
[Desenho contido no arquivo]
Considere que, nesse mapa, o segmento de reta que liga o navio à marca do tesouro 
meça 7,6 cm.
A medida real, em quilômetro, desse segmento de reta é:</v>
      </c>
      <c r="M203" s="4" t="str">
        <f ca="1">IFERROR(__xludf.DUMMYFUNCTION("""COMPUTED_VALUE"""),"4 408")</f>
        <v>4 408</v>
      </c>
      <c r="N203" s="4" t="str">
        <f ca="1">IFERROR(__xludf.DUMMYFUNCTION("""COMPUTED_VALUE"""),"7 632")</f>
        <v>7 632</v>
      </c>
      <c r="O203" s="4" t="str">
        <f ca="1">IFERROR(__xludf.DUMMYFUNCTION("""COMPUTED_VALUE"""),"44 080")</f>
        <v>44 080</v>
      </c>
      <c r="P203" s="4" t="str">
        <f ca="1">IFERROR(__xludf.DUMMYFUNCTION("""COMPUTED_VALUE"""),"76 316")</f>
        <v>76 316</v>
      </c>
      <c r="Q203" s="4" t="str">
        <f ca="1">IFERROR(__xludf.DUMMYFUNCTION("""COMPUTED_VALUE"""),"440 800")</f>
        <v>440 800</v>
      </c>
      <c r="R203" s="4"/>
      <c r="S203" s="4"/>
      <c r="T203" s="4"/>
      <c r="U203" s="4"/>
      <c r="V203" s="4"/>
      <c r="W203" s="4"/>
      <c r="X203" s="4"/>
      <c r="Y203" s="4"/>
      <c r="Z203" s="4"/>
    </row>
    <row r="204" spans="1:26" x14ac:dyDescent="0.25">
      <c r="A204" s="3" t="str">
        <f ca="1">IFERROR(__xludf.DUMMYFUNCTION("""COMPUTED_VALUE"""),"https://drive.google.com/open?id=1SBXIIpHNMOMhdJYniGsCPDtFLNzK8N1b")</f>
        <v>https://drive.google.com/open?id=1SBXIIpHNMOMhdJYniGsCPDtFLNzK8N1b</v>
      </c>
      <c r="B204" s="4" t="str">
        <f ca="1">IFERROR(__xludf.DUMMYFUNCTION("""COMPUTED_VALUE"""),"Enem")</f>
        <v>Enem</v>
      </c>
      <c r="C204" s="4">
        <f ca="1">IFERROR(__xludf.DUMMYFUNCTION("""COMPUTED_VALUE"""),2018)</f>
        <v>2018</v>
      </c>
      <c r="D204" s="4" t="str">
        <f ca="1">IFERROR(__xludf.DUMMYFUNCTION("""COMPUTED_VALUE"""),"Matemática")</f>
        <v>Matemática</v>
      </c>
      <c r="E204" s="4" t="str">
        <f ca="1">IFERROR(__xludf.DUMMYFUNCTION("""COMPUTED_VALUE"""),"Matemática")</f>
        <v>Matemática</v>
      </c>
      <c r="F204" s="4" t="str">
        <f ca="1">IFERROR(__xludf.DUMMYFUNCTION("""COMPUTED_VALUE"""),"Aritmética e Algebra")</f>
        <v>Aritmética e Algebra</v>
      </c>
      <c r="G204" s="4"/>
      <c r="H204" s="4"/>
      <c r="I204" s="4" t="str">
        <f ca="1">IFERROR(__xludf.DUMMYFUNCTION("""COMPUTED_VALUE"""),"Amarelo")</f>
        <v>Amarelo</v>
      </c>
      <c r="J204" s="4">
        <f ca="1">IFERROR(__xludf.DUMMYFUNCTION("""COMPUTED_VALUE"""),142)</f>
        <v>142</v>
      </c>
      <c r="K204" s="4" t="str">
        <f ca="1">IFERROR(__xludf.DUMMYFUNCTION("""COMPUTED_VALUE"""),"B")</f>
        <v>B</v>
      </c>
      <c r="L204" s="4" t="str">
        <f ca="1">IFERROR(__xludf.DUMMYFUNCTION("""COMPUTED_VALUE"""),"Um produtor de milho utiliza uma área de 160 hectares para as suas atividades 
agrícolas. Essa área é dividida em duas partes: uma de 40 hectares, com maior 
produtividade, e outra, de 120 hectares, com menor produtividade. A produtividade é 
dada pela ra"&amp;"zão entre a produção, em tonelada, e a área cultivada. Sabe-se que a área 
de 40 hectares tem produtividade igual a 2,5 vezes à da outra. Esse fazendeiro pretende 
aumentar sua produção total em 15%, aumentando o tamanho da sua propriedade. 
Para tanto, p"&amp;"retende comprar uma parte de uma fazenda vizinha, que possui a mesma 
produtividade da parte de 120 hectares de suas terras.
Qual é a área mínima, em hectare, que o produtor precisará comprar?")</f>
        <v>Um produtor de milho utiliza uma área de 160 hectares para as suas atividades 
agrícolas. Essa área é dividida em duas partes: uma de 40 hectares, com maior 
produtividade, e outra, de 120 hectares, com menor produtividade. A produtividade é 
dada pela razão entre a produção, em tonelada, e a área cultivada. Sabe-se que a área 
de 40 hectares tem produtividade igual a 2,5 vezes à da outra. Esse fazendeiro pretende 
aumentar sua produção total em 15%, aumentando o tamanho da sua propriedade. 
Para tanto, pretende comprar uma parte de uma fazenda vizinha, que possui a mesma 
produtividade da parte de 120 hectares de suas terras.
Qual é a área mínima, em hectare, que o produtor precisará comprar?</v>
      </c>
      <c r="M204" s="4" t="str">
        <f ca="1">IFERROR(__xludf.DUMMYFUNCTION("""COMPUTED_VALUE"""),"36")</f>
        <v>36</v>
      </c>
      <c r="N204" s="4" t="str">
        <f ca="1">IFERROR(__xludf.DUMMYFUNCTION("""COMPUTED_VALUE"""),"33")</f>
        <v>33</v>
      </c>
      <c r="O204" s="4" t="str">
        <f ca="1">IFERROR(__xludf.DUMMYFUNCTION("""COMPUTED_VALUE"""),"27")</f>
        <v>27</v>
      </c>
      <c r="P204" s="4" t="str">
        <f ca="1">IFERROR(__xludf.DUMMYFUNCTION("""COMPUTED_VALUE"""),"24")</f>
        <v>24</v>
      </c>
      <c r="Q204" s="4" t="str">
        <f ca="1">IFERROR(__xludf.DUMMYFUNCTION("""COMPUTED_VALUE"""),"21")</f>
        <v>21</v>
      </c>
      <c r="R204" s="4"/>
      <c r="S204" s="4"/>
      <c r="T204" s="4"/>
      <c r="U204" s="4"/>
      <c r="V204" s="4"/>
      <c r="W204" s="4"/>
      <c r="X204" s="4"/>
      <c r="Y204" s="4"/>
      <c r="Z204" s="4"/>
    </row>
    <row r="205" spans="1:26" x14ac:dyDescent="0.25">
      <c r="A205" s="3" t="str">
        <f ca="1">IFERROR(__xludf.DUMMYFUNCTION("""COMPUTED_VALUE"""),"https://drive.google.com/open?id=1luMfhLbX8qHd_ATmLKgO6bQuHv_UA7ta")</f>
        <v>https://drive.google.com/open?id=1luMfhLbX8qHd_ATmLKgO6bQuHv_UA7ta</v>
      </c>
      <c r="B205" s="4" t="str">
        <f ca="1">IFERROR(__xludf.DUMMYFUNCTION("""COMPUTED_VALUE"""),"Enem")</f>
        <v>Enem</v>
      </c>
      <c r="C205" s="4">
        <f ca="1">IFERROR(__xludf.DUMMYFUNCTION("""COMPUTED_VALUE"""),2018)</f>
        <v>2018</v>
      </c>
      <c r="D205" s="4" t="str">
        <f ca="1">IFERROR(__xludf.DUMMYFUNCTION("""COMPUTED_VALUE"""),"Matemática")</f>
        <v>Matemática</v>
      </c>
      <c r="E205" s="4" t="str">
        <f ca="1">IFERROR(__xludf.DUMMYFUNCTION("""COMPUTED_VALUE"""),"Matemática")</f>
        <v>Matemática</v>
      </c>
      <c r="F205" s="4" t="str">
        <f ca="1">IFERROR(__xludf.DUMMYFUNCTION("""COMPUTED_VALUE"""),"Aritmética e Algebra")</f>
        <v>Aritmética e Algebra</v>
      </c>
      <c r="G205" s="4"/>
      <c r="H205" s="4"/>
      <c r="I205" s="4" t="str">
        <f ca="1">IFERROR(__xludf.DUMMYFUNCTION("""COMPUTED_VALUE"""),"Amarelo")</f>
        <v>Amarelo</v>
      </c>
      <c r="J205" s="4">
        <f ca="1">IFERROR(__xludf.DUMMYFUNCTION("""COMPUTED_VALUE"""),143)</f>
        <v>143</v>
      </c>
      <c r="K205" s="4" t="str">
        <f ca="1">IFERROR(__xludf.DUMMYFUNCTION("""COMPUTED_VALUE"""),"B")</f>
        <v>B</v>
      </c>
      <c r="L205" s="4" t="str">
        <f ca="1">IFERROR(__xludf.DUMMYFUNCTION("""COMPUTED_VALUE"""),"A raiva é uma doença viral e infecciosa, transmitida por mamíferos. A campanha 
nacional de vacinação antirrábica tem o objetivo de controlar a circulação do vírus 
da raiva canina e felina, prevenindo a raiva humana. O gráfico mostra a cobertura
(porcent"&amp;"agem de vacinados) da campanha, em cães, nos anos de 2013, 2015 e 2017, no 
município de Belo Horizonte, em Minas Gerais. Os valores das coberturas dos anos de 
2014 e 2016 não estão informados no gráfico e deseja-se estima-los. Para tal, levou-se em cons"&amp;"ideração que a variação na cobertura de vacinação da campanha antirrábica, nos 
períodos de 2013 a 2015 e de 2015 a 2017, deu-se de forma linear.
[IMAGEM CONTIDA NO ARQUIVO]
Qual teria sido a cobertura dessa campanha no ano de 2014?")</f>
        <v>A raiva é uma doença viral e infecciosa, transmitida por mamíferos. A campanha 
nacional de vacinação antirrábica tem o objetivo de controlar a circulação do vírus 
da raiva canina e felina, prevenindo a raiva humana. O gráfico mostra a cobertura
(porcentagem de vacinados) da campanha, em cães, nos anos de 2013, 2015 e 2017, no 
município de Belo Horizonte, em Minas Gerais. Os valores das coberturas dos anos de 
2014 e 2016 não estão informados no gráfico e deseja-se estima-los. Para tal, levou-se em consideração que a variação na cobertura de vacinação da campanha antirrábica, nos 
períodos de 2013 a 2015 e de 2015 a 2017, deu-se de forma linear.
[IMAGEM CONTIDA NO ARQUIVO]
Qual teria sido a cobertura dessa campanha no ano de 2014?</v>
      </c>
      <c r="M205" s="4" t="str">
        <f ca="1">IFERROR(__xludf.DUMMYFUNCTION("""COMPUTED_VALUE"""),"62,30%")</f>
        <v>62,30%</v>
      </c>
      <c r="N205" s="4" t="str">
        <f ca="1">IFERROR(__xludf.DUMMYFUNCTION("""COMPUTED_VALUE"""),"63,00%")</f>
        <v>63,00%</v>
      </c>
      <c r="O205" s="4" t="str">
        <f ca="1">IFERROR(__xludf.DUMMYFUNCTION("""COMPUTED_VALUE"""),"63,50%")</f>
        <v>63,50%</v>
      </c>
      <c r="P205" s="4" t="str">
        <f ca="1">IFERROR(__xludf.DUMMYFUNCTION("""COMPUTED_VALUE"""),"64,00%")</f>
        <v>64,00%</v>
      </c>
      <c r="Q205" s="4" t="str">
        <f ca="1">IFERROR(__xludf.DUMMYFUNCTION("""COMPUTED_VALUE"""),"65,50%")</f>
        <v>65,50%</v>
      </c>
      <c r="R205" s="4"/>
      <c r="S205" s="4"/>
      <c r="T205" s="4"/>
      <c r="U205" s="4"/>
      <c r="V205" s="4"/>
      <c r="W205" s="4"/>
      <c r="X205" s="4"/>
      <c r="Y205" s="4"/>
      <c r="Z205" s="4"/>
    </row>
    <row r="206" spans="1:26" x14ac:dyDescent="0.25">
      <c r="A206" s="3" t="str">
        <f ca="1">IFERROR(__xludf.DUMMYFUNCTION("""COMPUTED_VALUE"""),"https://drive.google.com/open?id=1LMXsu2gv9w9BME3aLkE-ZnM61XIOuVYe")</f>
        <v>https://drive.google.com/open?id=1LMXsu2gv9w9BME3aLkE-ZnM61XIOuVYe</v>
      </c>
      <c r="B206" s="4" t="str">
        <f ca="1">IFERROR(__xludf.DUMMYFUNCTION("""COMPUTED_VALUE"""),"Enem")</f>
        <v>Enem</v>
      </c>
      <c r="C206" s="4">
        <f ca="1">IFERROR(__xludf.DUMMYFUNCTION("""COMPUTED_VALUE"""),2018)</f>
        <v>2018</v>
      </c>
      <c r="D206" s="4" t="str">
        <f ca="1">IFERROR(__xludf.DUMMYFUNCTION("""COMPUTED_VALUE"""),"Matemática")</f>
        <v>Matemática</v>
      </c>
      <c r="E206" s="4" t="str">
        <f ca="1">IFERROR(__xludf.DUMMYFUNCTION("""COMPUTED_VALUE"""),"Matemática")</f>
        <v>Matemática</v>
      </c>
      <c r="F206" s="4" t="str">
        <f ca="1">IFERROR(__xludf.DUMMYFUNCTION("""COMPUTED_VALUE"""),"Aritmética e Algebra")</f>
        <v>Aritmética e Algebra</v>
      </c>
      <c r="G206" s="4"/>
      <c r="H206" s="4"/>
      <c r="I206" s="4" t="str">
        <f ca="1">IFERROR(__xludf.DUMMYFUNCTION("""COMPUTED_VALUE"""),"Amarelo")</f>
        <v>Amarelo</v>
      </c>
      <c r="J206" s="4">
        <f ca="1">IFERROR(__xludf.DUMMYFUNCTION("""COMPUTED_VALUE"""),144)</f>
        <v>144</v>
      </c>
      <c r="K206" s="4" t="str">
        <f ca="1">IFERROR(__xludf.DUMMYFUNCTION("""COMPUTED_VALUE"""),"C")</f>
        <v>C</v>
      </c>
      <c r="L206" s="4" t="str">
        <f ca="1">IFERROR(__xludf.DUMMYFUNCTION("""COMPUTED_VALUE"""),"Uma empresa de comunicação tem a tarefa de elaborar um material publicitário de 
um estaleiro para divulgar um novo navio, equipado com um guindaste de 15 m de altura 
e uma esteira de 90 m de comprimento. No desenho desse navio, a representação do 
guind"&amp;"aste deve ter sua altura entre 0,5 cm e 1 cm, enquanto a esteira deve apresentar 
comprimento superior a 4 cm. Todo o desenho deverá ser feito em uma escala 1 : X.
Os valores possíveis para X são, apenas,")</f>
        <v>Uma empresa de comunicação tem a tarefa de elaborar um material publicitário de 
um estaleiro para divulgar um novo navio, equipado com um guindaste de 15 m de altura 
e uma esteira de 90 m de comprimento. No desenho desse navio, a representação do 
guindaste deve ter sua altura entre 0,5 cm e 1 cm, enquanto a esteira deve apresentar 
comprimento superior a 4 cm. Todo o desenho deverá ser feito em uma escala 1 : X.
Os valores possíveis para X são, apenas,</v>
      </c>
      <c r="M206" s="4" t="str">
        <f ca="1">IFERROR(__xludf.DUMMYFUNCTION("""COMPUTED_VALUE"""),"X &gt; 1 500.")</f>
        <v>X &gt; 1 500.</v>
      </c>
      <c r="N206" s="4" t="str">
        <f ca="1">IFERROR(__xludf.DUMMYFUNCTION("""COMPUTED_VALUE"""),"X &lt; 3 000")</f>
        <v>X &lt; 3 000</v>
      </c>
      <c r="O206" s="4" t="str">
        <f ca="1">IFERROR(__xludf.DUMMYFUNCTION("""COMPUTED_VALUE"""),"1 500 &lt; X &lt; 2 250")</f>
        <v>1 500 &lt; X &lt; 2 250</v>
      </c>
      <c r="P206" s="4" t="str">
        <f ca="1">IFERROR(__xludf.DUMMYFUNCTION("""COMPUTED_VALUE"""),"1 500 &lt; X &lt; 3 000")</f>
        <v>1 500 &lt; X &lt; 3 000</v>
      </c>
      <c r="Q206" s="4" t="str">
        <f ca="1">IFERROR(__xludf.DUMMYFUNCTION("""COMPUTED_VALUE"""),"2 250 &lt; X &lt; 3 000")</f>
        <v>2 250 &lt; X &lt; 3 000</v>
      </c>
      <c r="R206" s="4"/>
      <c r="S206" s="4"/>
      <c r="T206" s="4"/>
      <c r="U206" s="4"/>
      <c r="V206" s="4"/>
      <c r="W206" s="4"/>
      <c r="X206" s="4"/>
      <c r="Y206" s="4"/>
      <c r="Z206" s="4"/>
    </row>
    <row r="207" spans="1:26" x14ac:dyDescent="0.25">
      <c r="A207" s="3" t="str">
        <f ca="1">IFERROR(__xludf.DUMMYFUNCTION("""COMPUTED_VALUE"""),"https://drive.google.com/open?id=18qAy46Y_A3PW5RduBH0cCOK-yeGPLGuv")</f>
        <v>https://drive.google.com/open?id=18qAy46Y_A3PW5RduBH0cCOK-yeGPLGuv</v>
      </c>
      <c r="B207" s="4" t="str">
        <f ca="1">IFERROR(__xludf.DUMMYFUNCTION("""COMPUTED_VALUE"""),"Enem")</f>
        <v>Enem</v>
      </c>
      <c r="C207" s="4">
        <f ca="1">IFERROR(__xludf.DUMMYFUNCTION("""COMPUTED_VALUE"""),2018)</f>
        <v>2018</v>
      </c>
      <c r="D207" s="4" t="str">
        <f ca="1">IFERROR(__xludf.DUMMYFUNCTION("""COMPUTED_VALUE"""),"Matemática")</f>
        <v>Matemática</v>
      </c>
      <c r="E207" s="4" t="str">
        <f ca="1">IFERROR(__xludf.DUMMYFUNCTION("""COMPUTED_VALUE"""),"Matemática")</f>
        <v>Matemática</v>
      </c>
      <c r="F207" s="4" t="str">
        <f ca="1">IFERROR(__xludf.DUMMYFUNCTION("""COMPUTED_VALUE"""),"Financeira e Trigonometria")</f>
        <v>Financeira e Trigonometria</v>
      </c>
      <c r="G207" s="4" t="str">
        <f ca="1">IFERROR(__xludf.DUMMYFUNCTION("""COMPUTED_VALUE"""),"Geometria")</f>
        <v>Geometria</v>
      </c>
      <c r="H207" s="4"/>
      <c r="I207" s="4" t="str">
        <f ca="1">IFERROR(__xludf.DUMMYFUNCTION("""COMPUTED_VALUE"""),"Amarelo")</f>
        <v>Amarelo</v>
      </c>
      <c r="J207" s="4">
        <f ca="1">IFERROR(__xludf.DUMMYFUNCTION("""COMPUTED_VALUE"""),145)</f>
        <v>145</v>
      </c>
      <c r="K207" s="4" t="str">
        <f ca="1">IFERROR(__xludf.DUMMYFUNCTION("""COMPUTED_VALUE"""),"A")</f>
        <v>A</v>
      </c>
      <c r="L207" s="4" t="str">
        <f ca="1">IFERROR(__xludf.DUMMYFUNCTION("""COMPUTED_VALUE"""),"Em 2014 foi inaugurada a maior roda-gigante do mundo, a High Roller, situada 
em Las Vegas. A figura representa um esboço dessa roda-gigante no qual o ponto A
representa uma de suas cadeiras:
[IMAGEM CONTIDA NO ARQUIVO]
A partir da posição indicada, em qu"&amp;"e o segmento OA se encontra paralelo ao 
plano do solo, rotaciona-se a High Roller no sentido anti-horário, em torno do ponto O.
Sejam t o ângulo determinado pelo segmento OA em relação à sua posição inicial, e f a 
função que descreve a altura do ponto A"&amp;", em relação ao solo, em função de t.
Após duas voltas completas, f tem o seguinte gráfico:
[IMAGEM CONTIDA NO ARQUIVO]
 A expressão da função altura é dada por:")</f>
        <v>Em 2014 foi inaugurada a maior roda-gigante do mundo, a High Roller, situada 
em Las Vegas. A figura representa um esboço dessa roda-gigante no qual o ponto A
representa uma de suas cadeiras:
[IMAGEM CONTIDA NO ARQUIVO]
A partir da posição indicada, em que o segmento OA se encontra paralelo ao 
plano do solo, rotaciona-se a High Roller no sentido anti-horário, em torno do ponto O.
Sejam t o ângulo determinado pelo segmento OA em relação à sua posição inicial, e f a 
função que descreve a altura do ponto A, em relação ao solo, em função de t.
Após duas voltas completas, f tem o seguinte gráfico:
[IMAGEM CONTIDA NO ARQUIVO]
 A expressão da função altura é dada por:</v>
      </c>
      <c r="M207" s="4" t="str">
        <f ca="1">IFERROR(__xludf.DUMMYFUNCTION("""COMPUTED_VALUE"""),"f(t)= 80 sen (t) + 88")</f>
        <v>f(t)= 80 sen (t) + 88</v>
      </c>
      <c r="N207" s="4" t="str">
        <f ca="1">IFERROR(__xludf.DUMMYFUNCTION("""COMPUTED_VALUE"""),"f(t)= 80 cos (t) + 88")</f>
        <v>f(t)= 80 cos (t) + 88</v>
      </c>
      <c r="O207" s="4" t="str">
        <f ca="1">IFERROR(__xludf.DUMMYFUNCTION("""COMPUTED_VALUE"""),"f(t)= 88 cos (t) + 168")</f>
        <v>f(t)= 88 cos (t) + 168</v>
      </c>
      <c r="P207" s="4" t="str">
        <f ca="1">IFERROR(__xludf.DUMMYFUNCTION("""COMPUTED_VALUE"""),"f(t)= 168 sen (t) + 88 cos (t)")</f>
        <v>f(t)= 168 sen (t) + 88 cos (t)</v>
      </c>
      <c r="Q207" s="4" t="str">
        <f ca="1">IFERROR(__xludf.DUMMYFUNCTION("""COMPUTED_VALUE"""),"f(t)= 88 sen (t) + 168 cos (t)")</f>
        <v>f(t)= 88 sen (t) + 168 cos (t)</v>
      </c>
      <c r="R207" s="4"/>
      <c r="S207" s="4"/>
      <c r="T207" s="4"/>
      <c r="U207" s="4"/>
      <c r="V207" s="4"/>
      <c r="W207" s="4"/>
      <c r="X207" s="4"/>
      <c r="Y207" s="4"/>
      <c r="Z207" s="4"/>
    </row>
    <row r="208" spans="1:26" x14ac:dyDescent="0.25">
      <c r="A208" s="3" t="str">
        <f ca="1">IFERROR(__xludf.DUMMYFUNCTION("""COMPUTED_VALUE"""),"https://drive.google.com/open?id=150sqBRAWVHISku28wfN7QLs6Or9YvDqQ")</f>
        <v>https://drive.google.com/open?id=150sqBRAWVHISku28wfN7QLs6Or9YvDqQ</v>
      </c>
      <c r="B208" s="4" t="str">
        <f ca="1">IFERROR(__xludf.DUMMYFUNCTION("""COMPUTED_VALUE"""),"Enem")</f>
        <v>Enem</v>
      </c>
      <c r="C208" s="4">
        <f ca="1">IFERROR(__xludf.DUMMYFUNCTION("""COMPUTED_VALUE"""),2018)</f>
        <v>2018</v>
      </c>
      <c r="D208" s="4" t="str">
        <f ca="1">IFERROR(__xludf.DUMMYFUNCTION("""COMPUTED_VALUE"""),"Ciências Humanas")</f>
        <v>Ciências Humanas</v>
      </c>
      <c r="E208" s="4" t="str">
        <f ca="1">IFERROR(__xludf.DUMMYFUNCTION("""COMPUTED_VALUE"""),"História")</f>
        <v>História</v>
      </c>
      <c r="F208" s="4" t="str">
        <f ca="1">IFERROR(__xludf.DUMMYFUNCTION("""COMPUTED_VALUE"""),"História Geral")</f>
        <v>História Geral</v>
      </c>
      <c r="G208" s="4"/>
      <c r="H208" s="4"/>
      <c r="I208" s="4" t="str">
        <f ca="1">IFERROR(__xludf.DUMMYFUNCTION("""COMPUTED_VALUE"""),"Azul")</f>
        <v>Azul</v>
      </c>
      <c r="J208" s="4">
        <f ca="1">IFERROR(__xludf.DUMMYFUNCTION("""COMPUTED_VALUE"""),47)</f>
        <v>47</v>
      </c>
      <c r="K208" s="4" t="str">
        <f ca="1">IFERROR(__xludf.DUMMYFUNCTION("""COMPUTED_VALUE"""),"A")</f>
        <v>A</v>
      </c>
      <c r="L208" s="4" t="str">
        <f ca="1">IFERROR(__xludf.DUMMYFUNCTION("""COMPUTED_VALUE"""),"A existência em Jerusalém de um hospital voltado para o alojamento e o cuidado dos peregrinos, assim como daqueles entre eles que estavam cansados ou doentes, fortaleceu o elo entre a obra de assistência e de caridade e a Terra Santa. Ao fazer, em 1113, d"&amp;"o Hospital de Jerusalém um estabelecimento central da
ordem, Pascoal II estimulava a filiação dos hospitalários do Ocidente a ele, sobretudo daqueles que estavam ligados à peregrinação na Terra Santa ou em outro lugar. A militarização do Hospital de Jerus"&amp;"além não diminuiu a vocação caritativa primitiva, mas a fortaleceu.
DEMURGER, A. Os Cavaleiros de Cristo. Rio de Janeiro: Jorge Zahar, 2002 (adaptado).
o acontecimento descrito vincula-se ao fenômeno ocidental do(a)")</f>
        <v>A existência em Jerusalém de um hospital voltado para o alojamento e o cuidado dos peregrinos, assim como daqueles entre eles que estavam cansados ou doentes, fortaleceu o elo entre a obra de assistência e de caridade e a Terra Santa. Ao fazer, em 1113, do Hospital de Jerusalém um estabelecimento central da
ordem, Pascoal II estimulava a filiação dos hospitalários do Ocidente a ele, sobretudo daqueles que estavam ligados à peregrinação na Terra Santa ou em outro lugar. A militarização do Hospital de Jerusalém não diminuiu a vocação caritativa primitiva, mas a fortaleceu.
DEMURGER, A. Os Cavaleiros de Cristo. Rio de Janeiro: Jorge Zahar, 2002 (adaptado).
o acontecimento descrito vincula-se ao fenômeno ocidental do(a)</v>
      </c>
      <c r="M208" s="4" t="str">
        <f ca="1">IFERROR(__xludf.DUMMYFUNCTION("""COMPUTED_VALUE"""),"surgimento do monasticismo guerreiro, ocasionado pelas cruzadas.
")</f>
        <v xml:space="preserve">surgimento do monasticismo guerreiro, ocasionado pelas cruzadas.
</v>
      </c>
      <c r="N208" s="4" t="str">
        <f ca="1">IFERROR(__xludf.DUMMYFUNCTION("""COMPUTED_VALUE"""),"descentralização do poder eclesiástico, produzida pelo feudalismo.
")</f>
        <v xml:space="preserve">descentralização do poder eclesiástico, produzida pelo feudalismo.
</v>
      </c>
      <c r="O208" s="4" t="str">
        <f ca="1">IFERROR(__xludf.DUMMYFUNCTION("""COMPUTED_VALUE"""),"alastramento da peste bubônica, provocado pela expansão comercial.
")</f>
        <v xml:space="preserve">alastramento da peste bubônica, provocado pela expansão comercial.
</v>
      </c>
      <c r="P208" s="4" t="str">
        <f ca="1">IFERROR(__xludf.DUMMYFUNCTION("""COMPUTED_VALUE"""),"afirmação da fraternidade mendicante, estimulada pela reforma espiritual.
")</f>
        <v xml:space="preserve">afirmação da fraternidade mendicante, estimulada pela reforma espiritual.
</v>
      </c>
      <c r="Q208" s="4" t="str">
        <f ca="1">IFERROR(__xludf.DUMMYFUNCTION("""COMPUTED_VALUE"""),"criação das faculdades de medicina, promovida pelo renascimento urbano.
")</f>
        <v xml:space="preserve">criação das faculdades de medicina, promovida pelo renascimento urbano.
</v>
      </c>
      <c r="R208" s="4"/>
      <c r="S208" s="4"/>
      <c r="T208" s="4"/>
      <c r="U208" s="4"/>
      <c r="V208" s="4"/>
      <c r="W208" s="4"/>
      <c r="X208" s="4"/>
      <c r="Y208" s="4"/>
      <c r="Z208" s="4"/>
    </row>
    <row r="209" spans="1:26" x14ac:dyDescent="0.25">
      <c r="A209" s="3" t="str">
        <f ca="1">IFERROR(__xludf.DUMMYFUNCTION("""COMPUTED_VALUE"""),"https://drive.google.com/open?id=1-Pt3ifAzfdv44M8ZjzcCXu-N1KbB4Ic9")</f>
        <v>https://drive.google.com/open?id=1-Pt3ifAzfdv44M8ZjzcCXu-N1KbB4Ic9</v>
      </c>
      <c r="B209" s="4" t="str">
        <f ca="1">IFERROR(__xludf.DUMMYFUNCTION("""COMPUTED_VALUE"""),"Enem")</f>
        <v>Enem</v>
      </c>
      <c r="C209" s="4">
        <f ca="1">IFERROR(__xludf.DUMMYFUNCTION("""COMPUTED_VALUE"""),2018)</f>
        <v>2018</v>
      </c>
      <c r="D209" s="4" t="str">
        <f ca="1">IFERROR(__xludf.DUMMYFUNCTION("""COMPUTED_VALUE"""),"Ciências Humanas")</f>
        <v>Ciências Humanas</v>
      </c>
      <c r="E209" s="4" t="str">
        <f ca="1">IFERROR(__xludf.DUMMYFUNCTION("""COMPUTED_VALUE"""),"História")</f>
        <v>História</v>
      </c>
      <c r="F209" s="4" t="str">
        <f ca="1">IFERROR(__xludf.DUMMYFUNCTION("""COMPUTED_VALUE"""),"História Geral")</f>
        <v>História Geral</v>
      </c>
      <c r="G209" s="4" t="str">
        <f ca="1">IFERROR(__xludf.DUMMYFUNCTION("""COMPUTED_VALUE"""),"Sociologia")</f>
        <v>Sociologia</v>
      </c>
      <c r="H209" s="4"/>
      <c r="I209" s="4" t="str">
        <f ca="1">IFERROR(__xludf.DUMMYFUNCTION("""COMPUTED_VALUE"""),"Azul")</f>
        <v>Azul</v>
      </c>
      <c r="J209" s="4">
        <f ca="1">IFERROR(__xludf.DUMMYFUNCTION("""COMPUTED_VALUE"""),48)</f>
        <v>48</v>
      </c>
      <c r="K209" s="4" t="str">
        <f ca="1">IFERROR(__xludf.DUMMYFUNCTION("""COMPUTED_VALUE"""),"C")</f>
        <v>C</v>
      </c>
      <c r="L209" s="4" t="str">
        <f ca="1">IFERROR(__xludf.DUMMYFUNCTION("""COMPUTED_VALUE"""),"A tribo não possui um rei, mas um chefe que não é chefe de Estado. O que significa isso? Simplesmente que o chefe não dispõe de nenhuma autoridade, de nenhum poder de coerção, de nenhum meio de dar uma ordem. O chefe não é um comandante, as pessoas da tri"&amp;"bo não têm nenhum dever de obediência. O espaço da chefia não é o lugar do poder. Essencialmente encarregado de eliminar conflitos que podem surgir entre indivíduos, famílias e linhagens, o chefe só dispõe, para restabelecer a ordem e a concórdia, do pres"&amp;"tígio que lhe reconhece a sociedade. Mas evidentemente prestígio não significa poder, e os meios que o chefe detém para realizar sua tarefa de pacificador limitam-se ao uso exclusivo da palavra.
CLASTRES, P. A sociedade contra o Estado. Rio de Janeiro: F"&amp;"rancisco Alves, 1982 (adaptado).
O modelo político das sociedades discutidas no texto contrasta com o do Estado liberal burguês porque se baseia em:")</f>
        <v>A tribo não possui um rei, mas um chefe que não é chefe de Estado. O que significa isso? Simplesmente que o chefe não dispõe de nenhuma autoridade, de nenhum poder de coerção, de nenhum meio de dar uma ordem. O chefe não é um comandante, as pessoas da tribo não têm nenhum dever de obediência. O espaço da chefia não é o lugar do poder. Essencialmente encarregado de eliminar conflitos que podem surgir entre indivíduos, famílias e linhagens, o chefe só dispõe, para restabelecer a ordem e a concórdia, do prestígio que lhe reconhece a sociedade. Mas evidentemente prestígio não significa poder, e os meios que o chefe detém para realizar sua tarefa de pacificador limitam-se ao uso exclusivo da palavra.
CLASTRES, P. A sociedade contra o Estado. Rio de Janeiro: Francisco Alves, 1982 (adaptado).
O modelo político das sociedades discutidas no texto contrasta com o do Estado liberal burguês porque se baseia em:</v>
      </c>
      <c r="M209" s="4" t="str">
        <f ca="1">IFERROR(__xludf.DUMMYFUNCTION("""COMPUTED_VALUE"""),"Imposição ideológica e normas hierárquicas.
")</f>
        <v xml:space="preserve">Imposição ideológica e normas hierárquicas.
</v>
      </c>
      <c r="N209" s="4" t="str">
        <f ca="1">IFERROR(__xludf.DUMMYFUNCTION("""COMPUTED_VALUE"""),"Determinação divina e soberania monárquica.
")</f>
        <v xml:space="preserve">Determinação divina e soberania monárquica.
</v>
      </c>
      <c r="O209" s="4" t="str">
        <f ca="1">IFERROR(__xludf.DUMMYFUNCTION("""COMPUTED_VALUE"""),"Intervenção consensual e autonomia comunitária.
")</f>
        <v xml:space="preserve">Intervenção consensual e autonomia comunitária.
</v>
      </c>
      <c r="P209" s="4" t="str">
        <f ca="1">IFERROR(__xludf.DUMMYFUNCTION("""COMPUTED_VALUE"""),"Mediação jurídica e regras contratualistas.
")</f>
        <v xml:space="preserve">Mediação jurídica e regras contratualistas.
</v>
      </c>
      <c r="Q209" s="4" t="str">
        <f ca="1">IFERROR(__xludf.DUMMYFUNCTION("""COMPUTED_VALUE"""),"Gestão coletiva e obrigações tributárias.
")</f>
        <v xml:space="preserve">Gestão coletiva e obrigações tributárias.
</v>
      </c>
      <c r="R209" s="4"/>
      <c r="S209" s="4"/>
      <c r="T209" s="4"/>
      <c r="U209" s="4"/>
      <c r="V209" s="4"/>
      <c r="W209" s="4"/>
      <c r="X209" s="4"/>
      <c r="Y209" s="4"/>
      <c r="Z209" s="4"/>
    </row>
    <row r="210" spans="1:26" x14ac:dyDescent="0.25">
      <c r="A210" s="3" t="str">
        <f ca="1">IFERROR(__xludf.DUMMYFUNCTION("""COMPUTED_VALUE"""),"https://drive.google.com/open?id=1FcIxRy9P8soBu7tUxjcp95r-pNJaNO9E")</f>
        <v>https://drive.google.com/open?id=1FcIxRy9P8soBu7tUxjcp95r-pNJaNO9E</v>
      </c>
      <c r="B210" s="4" t="str">
        <f ca="1">IFERROR(__xludf.DUMMYFUNCTION("""COMPUTED_VALUE"""),"Enem")</f>
        <v>Enem</v>
      </c>
      <c r="C210" s="4">
        <f ca="1">IFERROR(__xludf.DUMMYFUNCTION("""COMPUTED_VALUE"""),2018)</f>
        <v>2018</v>
      </c>
      <c r="D210" s="4" t="str">
        <f ca="1">IFERROR(__xludf.DUMMYFUNCTION("""COMPUTED_VALUE"""),"Ciências Humanas")</f>
        <v>Ciências Humanas</v>
      </c>
      <c r="E210" s="4" t="str">
        <f ca="1">IFERROR(__xludf.DUMMYFUNCTION("""COMPUTED_VALUE"""),"História")</f>
        <v>História</v>
      </c>
      <c r="F210" s="4" t="str">
        <f ca="1">IFERROR(__xludf.DUMMYFUNCTION("""COMPUTED_VALUE"""),"História Geral")</f>
        <v>História Geral</v>
      </c>
      <c r="G210" s="4"/>
      <c r="H210" s="4"/>
      <c r="I210" s="4" t="str">
        <f ca="1">IFERROR(__xludf.DUMMYFUNCTION("""COMPUTED_VALUE"""),"Azul")</f>
        <v>Azul</v>
      </c>
      <c r="J210" s="4">
        <f ca="1">IFERROR(__xludf.DUMMYFUNCTION("""COMPUTED_VALUE"""),50)</f>
        <v>50</v>
      </c>
      <c r="K210" s="4" t="str">
        <f ca="1">IFERROR(__xludf.DUMMYFUNCTION("""COMPUTED_VALUE"""),"D")</f>
        <v>D</v>
      </c>
      <c r="L210" s="4" t="str">
        <f ca="1">IFERROR(__xludf.DUMMYFUNCTION("""COMPUTED_VALUE"""),"Esse ônibus relaciona-se ao ato praticado, em 1955, por Rosa Parks, apresentada em fotografia ao lado de Martin Luther King. O veículo alcançou o estatuto de obra museológica por simbolizar o(a)")</f>
        <v>Esse ônibus relaciona-se ao ato praticado, em 1955, por Rosa Parks, apresentada em fotografia ao lado de Martin Luther King. O veículo alcançou o estatuto de obra museológica por simbolizar o(a)</v>
      </c>
      <c r="M210" s="4" t="str">
        <f ca="1">IFERROR(__xludf.DUMMYFUNCTION("""COMPUTED_VALUE"""),"impacto do medo da corrida armamentista.
")</f>
        <v xml:space="preserve">impacto do medo da corrida armamentista.
</v>
      </c>
      <c r="N210" s="4" t="str">
        <f ca="1">IFERROR(__xludf.DUMMYFUNCTION("""COMPUTED_VALUE"""),"democratização do acesso à escola pública.
")</f>
        <v xml:space="preserve">democratização do acesso à escola pública.
</v>
      </c>
      <c r="O210" s="4" t="str">
        <f ca="1">IFERROR(__xludf.DUMMYFUNCTION("""COMPUTED_VALUE"""),"preconceito de gênero no transporte coletivo.
")</f>
        <v xml:space="preserve">preconceito de gênero no transporte coletivo.
</v>
      </c>
      <c r="P210" s="4" t="str">
        <f ca="1">IFERROR(__xludf.DUMMYFUNCTION("""COMPUTED_VALUE"""),"deflagração do movimento por igualdade civil.
")</f>
        <v xml:space="preserve">deflagração do movimento por igualdade civil.
</v>
      </c>
      <c r="Q210" s="4" t="str">
        <f ca="1">IFERROR(__xludf.DUMMYFUNCTION("""COMPUTED_VALUE"""),"eclosão da rebeldia no comportamento juvenil.
")</f>
        <v xml:space="preserve">eclosão da rebeldia no comportamento juvenil.
</v>
      </c>
      <c r="R210" s="4"/>
      <c r="S210" s="4"/>
      <c r="T210" s="4"/>
      <c r="U210" s="4"/>
      <c r="V210" s="4"/>
      <c r="W210" s="4"/>
      <c r="X210" s="4"/>
      <c r="Y210" s="4"/>
      <c r="Z210" s="4"/>
    </row>
    <row r="211" spans="1:26" x14ac:dyDescent="0.25">
      <c r="A211" s="3" t="str">
        <f ca="1">IFERROR(__xludf.DUMMYFUNCTION("""COMPUTED_VALUE"""),"https://drive.google.com/open?id=1Dm1l7bN4ZK-dSYcS_dKrzOe0ERPc5dN0")</f>
        <v>https://drive.google.com/open?id=1Dm1l7bN4ZK-dSYcS_dKrzOe0ERPc5dN0</v>
      </c>
      <c r="B211" s="4" t="str">
        <f ca="1">IFERROR(__xludf.DUMMYFUNCTION("""COMPUTED_VALUE"""),"Enem")</f>
        <v>Enem</v>
      </c>
      <c r="C211" s="4">
        <f ca="1">IFERROR(__xludf.DUMMYFUNCTION("""COMPUTED_VALUE"""),2018)</f>
        <v>2018</v>
      </c>
      <c r="D211" s="4" t="str">
        <f ca="1">IFERROR(__xludf.DUMMYFUNCTION("""COMPUTED_VALUE"""),"Ciências Humanas")</f>
        <v>Ciências Humanas</v>
      </c>
      <c r="E211" s="4" t="str">
        <f ca="1">IFERROR(__xludf.DUMMYFUNCTION("""COMPUTED_VALUE"""),"História")</f>
        <v>História</v>
      </c>
      <c r="F211" s="4" t="str">
        <f ca="1">IFERROR(__xludf.DUMMYFUNCTION("""COMPUTED_VALUE"""),"História Geral")</f>
        <v>História Geral</v>
      </c>
      <c r="G211" s="4"/>
      <c r="H211" s="4"/>
      <c r="I211" s="4" t="str">
        <f ca="1">IFERROR(__xludf.DUMMYFUNCTION("""COMPUTED_VALUE"""),"Azul")</f>
        <v>Azul</v>
      </c>
      <c r="J211" s="4">
        <f ca="1">IFERROR(__xludf.DUMMYFUNCTION("""COMPUTED_VALUE"""),54)</f>
        <v>54</v>
      </c>
      <c r="K211" s="4" t="str">
        <f ca="1">IFERROR(__xludf.DUMMYFUNCTION("""COMPUTED_VALUE"""),"E")</f>
        <v>E</v>
      </c>
      <c r="L211" s="4" t="str">
        <f ca="1">IFERROR(__xludf.DUMMYFUNCTION("""COMPUTED_VALUE"""),"E pois que em outra cousa nesta parte me não posso vingar do demônio, admoesto da parte da cruz de Cristo Jesus a todos que este lugar lerem, que deem a esta terra o nome que com tanta solenidade lhe foi posto, sob pena de a mesma cruz que nos há de ser m"&amp;"ostrada no dia final, os acusar de mais devotos do pau-brasil que dela.
BARROS, J. In: SOUZA, L. M. Inferno atlântico: demonologia e colonização: séculos XVI-XVIII. São Paulo: Cia. das Letras, 1993.
E deste modo se hão os povoadores, os quais, por mais "&amp;"arraigados que na terra estejam e mais ricos que sejam, tudo pretendem levar a Portugal, e, se as fazendas e bens que possuem souberam falar, também lhes houveram de ensinar a dizer como os papagaios, aos
quais a primeira coisa que ensinam é: papagaio rea"&amp;"l para Portugal, porque tudo querem para lá.
SALVADOR, F. V. In: SOUZA, L. M. (Org.). História da vida privada no Brasil: cotidiano e vida privada na América portuguesa. São Paulo: Cia. das Letras, 1997.
As críticas desses cronistas ao processo de colon"&amp;"ização portuguesa na América estavam relacionadas à")</f>
        <v>E pois que em outra cousa nesta parte me não posso vingar do demônio, admoesto da parte da cruz de Cristo Jesus a todos que este lugar lerem, que deem a esta terra o nome que com tanta solenidade lhe foi posto, sob pena de a mesma cruz que nos há de ser mostrada no dia final, os acusar de mais devotos do pau-brasil que dela.
BARROS, J. In: SOUZA, L. M. Inferno atlântico: demonologia e colonização: séculos XVI-XVIII. São Paulo: Cia. das Letras, 1993.
E deste modo se hão os povoadores, os quais, por mais arraigados que na terra estejam e mais ricos que sejam, tudo pretendem levar a Portugal, e, se as fazendas e bens que possuem souberam falar, também lhes houveram de ensinar a dizer como os papagaios, aos
quais a primeira coisa que ensinam é: papagaio real para Portugal, porque tudo querem para lá.
SALVADOR, F. V. In: SOUZA, L. M. (Org.). História da vida privada no Brasil: cotidiano e vida privada na América portuguesa. São Paulo: Cia. das Letras, 1997.
As críticas desses cronistas ao processo de colonização portuguesa na América estavam relacionadas à</v>
      </c>
      <c r="M211" s="4" t="str">
        <f ca="1">IFERROR(__xludf.DUMMYFUNCTION("""COMPUTED_VALUE"""),"utilização do trabalho escravo.
")</f>
        <v xml:space="preserve">utilização do trabalho escravo.
</v>
      </c>
      <c r="N211" s="4" t="str">
        <f ca="1">IFERROR(__xludf.DUMMYFUNCTION("""COMPUTED_VALUE"""),"implantação de polos urbanos.
")</f>
        <v xml:space="preserve">implantação de polos urbanos.
</v>
      </c>
      <c r="O211" s="4" t="str">
        <f ca="1">IFERROR(__xludf.DUMMYFUNCTION("""COMPUTED_VALUE"""),"devastação de áreas naturais.
")</f>
        <v xml:space="preserve">devastação de áreas naturais.
</v>
      </c>
      <c r="P211" s="4" t="str">
        <f ca="1">IFERROR(__xludf.DUMMYFUNCTION("""COMPUTED_VALUE"""),"ocupação de terras indígenas.
")</f>
        <v xml:space="preserve">ocupação de terras indígenas.
</v>
      </c>
      <c r="Q211" s="4" t="str">
        <f ca="1">IFERROR(__xludf.DUMMYFUNCTION("""COMPUTED_VALUE"""),"expropriação de riquezas locais.
")</f>
        <v xml:space="preserve">expropriação de riquezas locais.
</v>
      </c>
      <c r="R211" s="4"/>
      <c r="S211" s="4"/>
      <c r="T211" s="4"/>
      <c r="U211" s="4"/>
      <c r="V211" s="4"/>
      <c r="W211" s="4"/>
      <c r="X211" s="4"/>
      <c r="Y211" s="4"/>
      <c r="Z211" s="4"/>
    </row>
    <row r="212" spans="1:26" x14ac:dyDescent="0.25">
      <c r="A212" s="3" t="str">
        <f ca="1">IFERROR(__xludf.DUMMYFUNCTION("""COMPUTED_VALUE"""),"https://drive.google.com/open?id=15jhb7fXOiR-u6IWsy4IWivRRCdmvbunO")</f>
        <v>https://drive.google.com/open?id=15jhb7fXOiR-u6IWsy4IWivRRCdmvbunO</v>
      </c>
      <c r="B212" s="4" t="str">
        <f ca="1">IFERROR(__xludf.DUMMYFUNCTION("""COMPUTED_VALUE"""),"Enem")</f>
        <v>Enem</v>
      </c>
      <c r="C212" s="4">
        <f ca="1">IFERROR(__xludf.DUMMYFUNCTION("""COMPUTED_VALUE"""),2018)</f>
        <v>2018</v>
      </c>
      <c r="D212" s="4" t="str">
        <f ca="1">IFERROR(__xludf.DUMMYFUNCTION("""COMPUTED_VALUE"""),"Ciências Humanas")</f>
        <v>Ciências Humanas</v>
      </c>
      <c r="E212" s="4" t="str">
        <f ca="1">IFERROR(__xludf.DUMMYFUNCTION("""COMPUTED_VALUE"""),"História")</f>
        <v>História</v>
      </c>
      <c r="F212" s="4" t="str">
        <f ca="1">IFERROR(__xludf.DUMMYFUNCTION("""COMPUTED_VALUE"""),"História Geral")</f>
        <v>História Geral</v>
      </c>
      <c r="G212" s="4"/>
      <c r="H212" s="4"/>
      <c r="I212" s="4" t="str">
        <f ca="1">IFERROR(__xludf.DUMMYFUNCTION("""COMPUTED_VALUE"""),"Azul")</f>
        <v>Azul</v>
      </c>
      <c r="J212" s="4">
        <f ca="1">IFERROR(__xludf.DUMMYFUNCTION("""COMPUTED_VALUE"""),55)</f>
        <v>55</v>
      </c>
      <c r="K212" s="4" t="str">
        <f ca="1">IFERROR(__xludf.DUMMYFUNCTION("""COMPUTED_VALUE"""),"C")</f>
        <v>C</v>
      </c>
      <c r="L212" s="4" t="str">
        <f ca="1">IFERROR(__xludf.DUMMYFUNCTION("""COMPUTED_VALUE"""),"Os soviéticos tinham chegado a Cuba muito cedo na década de 1960, esgueirando-se pela fresta aberta pela imediata hostilidade norte-americana em relação ao processo social revolucionário. Durante três décadas os soviéticos mantiveram sua presença em Cuba "&amp;"com bases e ajuda militar, mas, sobretudo, com todo o apoio econômico que, como saberíamos anos mais tarde, mantinha o país à tona, embora nos deixasse em dívida com os irmãos soviéticos – e depois com seus herdeiros russos – por cifras que chegavam a US$"&amp;" 32 bilhões. Ou seja, o que era oferecido em nome da solidariedade socialista tinha um preço definido.
PADURA, L. Cuba e os russos. Folha de São Paulo, 19 jul. 2014 (adaptado).
O texto indica que durante a Guerra Fria as relações internas em um mesmo bl"&amp;"oco foram marcadas pelo(a)")</f>
        <v>Os soviéticos tinham chegado a Cuba muito cedo na década de 1960, esgueirando-se pela fresta aberta pela imediata hostilidade norte-americana em relação ao processo social revolucionário. Durante três décadas os soviéticos mantiveram sua presença em Cuba com bases e ajuda militar, mas, sobretudo, com todo o apoio econômico que, como saberíamos anos mais tarde, mantinha o país à tona, embora nos deixasse em dívida com os irmãos soviéticos – e depois com seus herdeiros russos – por cifras que chegavam a US$ 32 bilhões. Ou seja, o que era oferecido em nome da solidariedade socialista tinha um preço definido.
PADURA, L. Cuba e os russos. Folha de São Paulo, 19 jul. 2014 (adaptado).
O texto indica que durante a Guerra Fria as relações internas em um mesmo bloco foram marcadas pelo(a)</v>
      </c>
      <c r="M212" s="4" t="str">
        <f ca="1">IFERROR(__xludf.DUMMYFUNCTION("""COMPUTED_VALUE"""),"busca da neutralidade política.
")</f>
        <v xml:space="preserve">busca da neutralidade política.
</v>
      </c>
      <c r="N212" s="4" t="str">
        <f ca="1">IFERROR(__xludf.DUMMYFUNCTION("""COMPUTED_VALUE"""),"estímulo à competição comercial.
")</f>
        <v xml:space="preserve">estímulo à competição comercial.
</v>
      </c>
      <c r="O212" s="4" t="str">
        <f ca="1">IFERROR(__xludf.DUMMYFUNCTION("""COMPUTED_VALUE"""),"subordinação à potência hegemônica.
")</f>
        <v xml:space="preserve">subordinação à potência hegemônica.
</v>
      </c>
      <c r="P212" s="4" t="str">
        <f ca="1">IFERROR(__xludf.DUMMYFUNCTION("""COMPUTED_VALUE"""),"elasticidade das fronteiras geográficas.
")</f>
        <v xml:space="preserve">elasticidade das fronteiras geográficas.
</v>
      </c>
      <c r="Q212" s="4" t="str">
        <f ca="1">IFERROR(__xludf.DUMMYFUNCTION("""COMPUTED_VALUE"""),"compartilhamento de pesquisas científicas.
")</f>
        <v xml:space="preserve">compartilhamento de pesquisas científicas.
</v>
      </c>
      <c r="R212" s="4"/>
      <c r="S212" s="4"/>
      <c r="T212" s="4"/>
      <c r="U212" s="4"/>
      <c r="V212" s="4"/>
      <c r="W212" s="4"/>
      <c r="X212" s="4"/>
      <c r="Y212" s="4"/>
      <c r="Z212" s="4"/>
    </row>
    <row r="213" spans="1:26" x14ac:dyDescent="0.25">
      <c r="A213" s="3" t="str">
        <f ca="1">IFERROR(__xludf.DUMMYFUNCTION("""COMPUTED_VALUE"""),"https://drive.google.com/open?id=1FtQZ0JNmgiyy7ZyWCOpgtGx_9q5bpjnb")</f>
        <v>https://drive.google.com/open?id=1FtQZ0JNmgiyy7ZyWCOpgtGx_9q5bpjnb</v>
      </c>
      <c r="B213" s="4" t="str">
        <f ca="1">IFERROR(__xludf.DUMMYFUNCTION("""COMPUTED_VALUE"""),"Enem")</f>
        <v>Enem</v>
      </c>
      <c r="C213" s="4">
        <f ca="1">IFERROR(__xludf.DUMMYFUNCTION("""COMPUTED_VALUE"""),2018)</f>
        <v>2018</v>
      </c>
      <c r="D213" s="4" t="str">
        <f ca="1">IFERROR(__xludf.DUMMYFUNCTION("""COMPUTED_VALUE"""),"Ciências Humanas")</f>
        <v>Ciências Humanas</v>
      </c>
      <c r="E213" s="4" t="str">
        <f ca="1">IFERROR(__xludf.DUMMYFUNCTION("""COMPUTED_VALUE"""),"História")</f>
        <v>História</v>
      </c>
      <c r="F213" s="4" t="str">
        <f ca="1">IFERROR(__xludf.DUMMYFUNCTION("""COMPUTED_VALUE"""),"História Geral")</f>
        <v>História Geral</v>
      </c>
      <c r="G213" s="4"/>
      <c r="H213" s="4"/>
      <c r="I213" s="4" t="str">
        <f ca="1">IFERROR(__xludf.DUMMYFUNCTION("""COMPUTED_VALUE"""),"Azul")</f>
        <v>Azul</v>
      </c>
      <c r="J213" s="4">
        <f ca="1">IFERROR(__xludf.DUMMYFUNCTION("""COMPUTED_VALUE"""),57)</f>
        <v>57</v>
      </c>
      <c r="K213" s="4" t="str">
        <f ca="1">IFERROR(__xludf.DUMMYFUNCTION("""COMPUTED_VALUE"""),"E")</f>
        <v>E</v>
      </c>
      <c r="L213" s="4" t="str">
        <f ca="1">IFERROR(__xludf.DUMMYFUNCTION("""COMPUTED_VALUE"""),"A poetisa Emília Freitas subiu a um palanque, nervosa, pedindo desculpas por não possuir títulos nem conhecimentos, mas orgulhosa ofereceu a sua pena que “sem ser hábil, é, em compensação, guiada pelo poder da vontade”. Maria Tomásia pronunciava orações q"&amp;"ue levantavam os ouvintes. A escritora Francisca Clotilde arrebatava, declamando seus poemas. Aquelas
“angélicas senhoras”, “heroínas da caridade”, levantavam dinheiro para comprar liberdades e usavam de seu entusiasmo a fim de convencer os donos de escra"&amp;"vos a fazerem alforrias gratuitamente.
MIRANDA, A. Disponível em: www.opovoonline.com.br. Acesso em: 10 jun. 2015
As práticas culturais narradas remetem, historicamente, ao movimento
")</f>
        <v xml:space="preserve">A poetisa Emília Freitas subiu a um palanque, nervosa, pedindo desculpas por não possuir títulos nem conhecimentos, mas orgulhosa ofereceu a sua pena que “sem ser hábil, é, em compensação, guiada pelo poder da vontade”. Maria Tomásia pronunciava orações que levantavam os ouvintes. A escritora Francisca Clotilde arrebatava, declamando seus poemas. Aquelas
“angélicas senhoras”, “heroínas da caridade”, levantavam dinheiro para comprar liberdades e usavam de seu entusiasmo a fim de convencer os donos de escravos a fazerem alforrias gratuitamente.
MIRANDA, A. Disponível em: www.opovoonline.com.br. Acesso em: 10 jun. 2015
As práticas culturais narradas remetem, historicamente, ao movimento
</v>
      </c>
      <c r="M213" s="4" t="str">
        <f ca="1">IFERROR(__xludf.DUMMYFUNCTION("""COMPUTED_VALUE"""),"feminista.
")</f>
        <v xml:space="preserve">feminista.
</v>
      </c>
      <c r="N213" s="4" t="str">
        <f ca="1">IFERROR(__xludf.DUMMYFUNCTION("""COMPUTED_VALUE"""),"sufragista.
")</f>
        <v xml:space="preserve">sufragista.
</v>
      </c>
      <c r="O213" s="4" t="str">
        <f ca="1">IFERROR(__xludf.DUMMYFUNCTION("""COMPUTED_VALUE"""),"socialista.
")</f>
        <v xml:space="preserve">socialista.
</v>
      </c>
      <c r="P213" s="4" t="str">
        <f ca="1">IFERROR(__xludf.DUMMYFUNCTION("""COMPUTED_VALUE"""),"republicano.
")</f>
        <v xml:space="preserve">republicano.
</v>
      </c>
      <c r="Q213" s="4" t="str">
        <f ca="1">IFERROR(__xludf.DUMMYFUNCTION("""COMPUTED_VALUE"""),"abolicionista.
")</f>
        <v xml:space="preserve">abolicionista.
</v>
      </c>
      <c r="R213" s="4"/>
      <c r="S213" s="4"/>
      <c r="T213" s="4"/>
      <c r="U213" s="4"/>
      <c r="V213" s="4"/>
      <c r="W213" s="4"/>
      <c r="X213" s="4"/>
      <c r="Y213" s="4"/>
      <c r="Z213" s="4"/>
    </row>
    <row r="214" spans="1:26" x14ac:dyDescent="0.25">
      <c r="A214" s="3" t="str">
        <f ca="1">IFERROR(__xludf.DUMMYFUNCTION("""COMPUTED_VALUE"""),"https://drive.google.com/open?id=1kC0H4w9nGi6sbeXGtyNbQwiCOocvdJCy")</f>
        <v>https://drive.google.com/open?id=1kC0H4w9nGi6sbeXGtyNbQwiCOocvdJCy</v>
      </c>
      <c r="B214" s="4" t="str">
        <f ca="1">IFERROR(__xludf.DUMMYFUNCTION("""COMPUTED_VALUE"""),"Enem")</f>
        <v>Enem</v>
      </c>
      <c r="C214" s="4">
        <f ca="1">IFERROR(__xludf.DUMMYFUNCTION("""COMPUTED_VALUE"""),2018)</f>
        <v>2018</v>
      </c>
      <c r="D214" s="4" t="str">
        <f ca="1">IFERROR(__xludf.DUMMYFUNCTION("""COMPUTED_VALUE"""),"Ciências Humanas")</f>
        <v>Ciências Humanas</v>
      </c>
      <c r="E214" s="4" t="str">
        <f ca="1">IFERROR(__xludf.DUMMYFUNCTION("""COMPUTED_VALUE"""),"História")</f>
        <v>História</v>
      </c>
      <c r="F214" s="4" t="str">
        <f ca="1">IFERROR(__xludf.DUMMYFUNCTION("""COMPUTED_VALUE"""),"História do Brasil")</f>
        <v>História do Brasil</v>
      </c>
      <c r="G214" s="4"/>
      <c r="H214" s="4"/>
      <c r="I214" s="4" t="str">
        <f ca="1">IFERROR(__xludf.DUMMYFUNCTION("""COMPUTED_VALUE"""),"Azul")</f>
        <v>Azul</v>
      </c>
      <c r="J214" s="4">
        <f ca="1">IFERROR(__xludf.DUMMYFUNCTION("""COMPUTED_VALUE"""),58)</f>
        <v>58</v>
      </c>
      <c r="K214" s="4" t="str">
        <f ca="1">IFERROR(__xludf.DUMMYFUNCTION("""COMPUTED_VALUE"""),"D")</f>
        <v>D</v>
      </c>
      <c r="L214" s="4" t="str">
        <f ca="1">IFERROR(__xludf.DUMMYFUNCTION("""COMPUTED_VALUE"""),"A democracia que eles pretendem é a democracia dos privilégios, a democracia da intolerância e do ódio. A democracia que eles querem é para liquidar com a Petrobras, é a democracia dos monopólios, nacionais e internacionais, a democracia que pudesse lutar"&amp;" contra
o povo. Ainda ontem eu afirmava que a democracia jamais poderia ser ameaçada pelo povo, quando o povo livremente vem para as praças – as praças que são do povo. Para as ruas – que são do povo.
Disponível em: www.revistadehistoria.com.br/secao/art"&amp;"igos/discurso-de-joao-goulart-nocomicio-da-central. Acesso em: 29 out. 2015
Em um momento de radicalização política, a retórica no discurso do presidente João Goulart, proferido no comício da Central do Brasil, buscava justificar a necessidade de")</f>
        <v>A democracia que eles pretendem é a democracia dos privilégios, a democracia da intolerância e do ódio. A democracia que eles querem é para liquidar com a Petrobras, é a democracia dos monopólios, nacionais e internacionais, a democracia que pudesse lutar contra
o povo. Ainda ontem eu afirmava que a democracia jamais poderia ser ameaçada pelo povo, quando o povo livremente vem para as praças – as praças que são do povo. Para as ruas – que são do povo.
Disponível em: www.revistadehistoria.com.br/secao/artigos/discurso-de-joao-goulart-nocomicio-da-central. Acesso em: 29 out. 2015
Em um momento de radicalização política, a retórica no discurso do presidente João Goulart, proferido no comício da Central do Brasil, buscava justificar a necessidade de</v>
      </c>
      <c r="M214" s="4" t="str">
        <f ca="1">IFERROR(__xludf.DUMMYFUNCTION("""COMPUTED_VALUE"""),"conter a abertura econômica para conseguir a adesão das elites.
")</f>
        <v xml:space="preserve">conter a abertura econômica para conseguir a adesão das elites.
</v>
      </c>
      <c r="N214" s="4" t="str">
        <f ca="1">IFERROR(__xludf.DUMMYFUNCTION("""COMPUTED_VALUE"""),"impedir a ingerência externa para garantir a conservação de direitos.
")</f>
        <v xml:space="preserve">impedir a ingerência externa para garantir a conservação de direitos.
</v>
      </c>
      <c r="O214" s="4" t="str">
        <f ca="1">IFERROR(__xludf.DUMMYFUNCTION("""COMPUTED_VALUE"""),"regulamentar os meios de comunicação para coibir os partidos de oposição.
")</f>
        <v xml:space="preserve">regulamentar os meios de comunicação para coibir os partidos de oposição.
</v>
      </c>
      <c r="P214" s="4" t="str">
        <f ca="1">IFERROR(__xludf.DUMMYFUNCTION("""COMPUTED_VALUE"""),"aprovar os projetos reformistas para atender a mobilização de setores trabalhistas.
")</f>
        <v xml:space="preserve">aprovar os projetos reformistas para atender a mobilização de setores trabalhistas.
</v>
      </c>
      <c r="Q214" s="4" t="str">
        <f ca="1">IFERROR(__xludf.DUMMYFUNCTION("""COMPUTED_VALUE"""),"incrementar o processo de desestatização para diminuir a pressão da opinião pública.
")</f>
        <v xml:space="preserve">incrementar o processo de desestatização para diminuir a pressão da opinião pública.
</v>
      </c>
      <c r="R214" s="4"/>
      <c r="S214" s="4"/>
      <c r="T214" s="4"/>
      <c r="U214" s="4"/>
      <c r="V214" s="4"/>
      <c r="W214" s="4"/>
      <c r="X214" s="4"/>
      <c r="Y214" s="4"/>
      <c r="Z214" s="4"/>
    </row>
    <row r="215" spans="1:26" x14ac:dyDescent="0.25">
      <c r="A215" s="3" t="str">
        <f ca="1">IFERROR(__xludf.DUMMYFUNCTION("""COMPUTED_VALUE"""),"https://drive.google.com/open?id=1vUwRx1Q0IbzQismY7D9pZLPqssd8Jr5t")</f>
        <v>https://drive.google.com/open?id=1vUwRx1Q0IbzQismY7D9pZLPqssd8Jr5t</v>
      </c>
      <c r="B215" s="4" t="str">
        <f ca="1">IFERROR(__xludf.DUMMYFUNCTION("""COMPUTED_VALUE"""),"Enem")</f>
        <v>Enem</v>
      </c>
      <c r="C215" s="4">
        <f ca="1">IFERROR(__xludf.DUMMYFUNCTION("""COMPUTED_VALUE"""),2018)</f>
        <v>2018</v>
      </c>
      <c r="D215" s="4" t="str">
        <f ca="1">IFERROR(__xludf.DUMMYFUNCTION("""COMPUTED_VALUE"""),"Ciências Humanas")</f>
        <v>Ciências Humanas</v>
      </c>
      <c r="E215" s="4" t="str">
        <f ca="1">IFERROR(__xludf.DUMMYFUNCTION("""COMPUTED_VALUE"""),"História")</f>
        <v>História</v>
      </c>
      <c r="F215" s="4" t="str">
        <f ca="1">IFERROR(__xludf.DUMMYFUNCTION("""COMPUTED_VALUE"""),"História do Brasil")</f>
        <v>História do Brasil</v>
      </c>
      <c r="G215" s="4"/>
      <c r="H215" s="4"/>
      <c r="I215" s="4" t="str">
        <f ca="1">IFERROR(__xludf.DUMMYFUNCTION("""COMPUTED_VALUE"""),"Azul")</f>
        <v>Azul</v>
      </c>
      <c r="J215" s="4">
        <f ca="1">IFERROR(__xludf.DUMMYFUNCTION("""COMPUTED_VALUE"""),59)</f>
        <v>59</v>
      </c>
      <c r="K215" s="4" t="str">
        <f ca="1">IFERROR(__xludf.DUMMYFUNCTION("""COMPUTED_VALUE"""),"E")</f>
        <v>E</v>
      </c>
      <c r="L215" s="4" t="str">
        <f ca="1">IFERROR(__xludf.DUMMYFUNCTION("""COMPUTED_VALUE"""),"A rebelião luso-brasileira em Pernambuco começou a ser urdida em 1644 e explodiu em 13 de junho de 1645, dia de Santo Antônio. Uma das primeiras medidas de João Fernandes foi decretar nulas as dívidas que os rebeldes tinham com os holandeses. Houve grande"&amp;" adesão da “nobreza da terra”, entusiasmada com esta proclamação heroica.
VAINFAS, R. Guerra declarada e paz fingida na restauração portuguesa. Tempo, n. 27, 2009.
O desencadeamento dessa revolta na América portuguesa seiscentista foi o resultado do(a)
"&amp;"
")</f>
        <v xml:space="preserve">A rebelião luso-brasileira em Pernambuco começou a ser urdida em 1644 e explodiu em 13 de junho de 1645, dia de Santo Antônio. Uma das primeiras medidas de João Fernandes foi decretar nulas as dívidas que os rebeldes tinham com os holandeses. Houve grande adesão da “nobreza da terra”, entusiasmada com esta proclamação heroica.
VAINFAS, R. Guerra declarada e paz fingida na restauração portuguesa. Tempo, n. 27, 2009.
O desencadeamento dessa revolta na América portuguesa seiscentista foi o resultado do(a)
</v>
      </c>
      <c r="M215" s="4" t="str">
        <f ca="1">IFERROR(__xludf.DUMMYFUNCTION("""COMPUTED_VALUE"""),"fraqueza bélica dos protestantes batavos.
")</f>
        <v xml:space="preserve">fraqueza bélica dos protestantes batavos.
</v>
      </c>
      <c r="N215" s="4" t="str">
        <f ca="1">IFERROR(__xludf.DUMMYFUNCTION("""COMPUTED_VALUE"""),"comércio transatlântico da África ocidental.
")</f>
        <v xml:space="preserve">comércio transatlântico da África ocidental.
</v>
      </c>
      <c r="O215" s="4" t="str">
        <f ca="1">IFERROR(__xludf.DUMMYFUNCTION("""COMPUTED_VALUE"""),"auxílio financeiro dos negociantes flamengos.
")</f>
        <v xml:space="preserve">auxílio financeiro dos negociantes flamengos.
</v>
      </c>
      <c r="P215" s="4" t="str">
        <f ca="1">IFERROR(__xludf.DUMMYFUNCTION("""COMPUTED_VALUE"""),"diplomacia internacional dos Estados ibéricos.
")</f>
        <v xml:space="preserve">diplomacia internacional dos Estados ibéricos.
</v>
      </c>
      <c r="Q215" s="4" t="str">
        <f ca="1">IFERROR(__xludf.DUMMYFUNCTION("""COMPUTED_VALUE"""),"interesse econômico dos senhores de engenho.
")</f>
        <v xml:space="preserve">interesse econômico dos senhores de engenho.
</v>
      </c>
      <c r="R215" s="4"/>
      <c r="S215" s="4"/>
      <c r="T215" s="4"/>
      <c r="U215" s="4"/>
      <c r="V215" s="4"/>
      <c r="W215" s="4"/>
      <c r="X215" s="4"/>
      <c r="Y215" s="4"/>
      <c r="Z215" s="4"/>
    </row>
    <row r="216" spans="1:26" x14ac:dyDescent="0.25">
      <c r="A216" s="3" t="str">
        <f ca="1">IFERROR(__xludf.DUMMYFUNCTION("""COMPUTED_VALUE"""),"https://drive.google.com/open?id=1YFXN9KG-GOIQU-UY7trwe7_1uL3cbg9A")</f>
        <v>https://drive.google.com/open?id=1YFXN9KG-GOIQU-UY7trwe7_1uL3cbg9A</v>
      </c>
      <c r="B216" s="4" t="str">
        <f ca="1">IFERROR(__xludf.DUMMYFUNCTION("""COMPUTED_VALUE"""),"Enem")</f>
        <v>Enem</v>
      </c>
      <c r="C216" s="4">
        <f ca="1">IFERROR(__xludf.DUMMYFUNCTION("""COMPUTED_VALUE"""),2018)</f>
        <v>2018</v>
      </c>
      <c r="D216" s="4" t="str">
        <f ca="1">IFERROR(__xludf.DUMMYFUNCTION("""COMPUTED_VALUE"""),"Ciências Humanas")</f>
        <v>Ciências Humanas</v>
      </c>
      <c r="E216" s="4" t="str">
        <f ca="1">IFERROR(__xludf.DUMMYFUNCTION("""COMPUTED_VALUE"""),"História")</f>
        <v>História</v>
      </c>
      <c r="F216" s="4" t="str">
        <f ca="1">IFERROR(__xludf.DUMMYFUNCTION("""COMPUTED_VALUE"""),"História Geral")</f>
        <v>História Geral</v>
      </c>
      <c r="G216" s="4"/>
      <c r="H216" s="4"/>
      <c r="I216" s="4" t="str">
        <f ca="1">IFERROR(__xludf.DUMMYFUNCTION("""COMPUTED_VALUE"""),"Azul")</f>
        <v>Azul</v>
      </c>
      <c r="J216" s="4">
        <f ca="1">IFERROR(__xludf.DUMMYFUNCTION("""COMPUTED_VALUE"""),60)</f>
        <v>60</v>
      </c>
      <c r="K216" s="4" t="str">
        <f ca="1">IFERROR(__xludf.DUMMYFUNCTION("""COMPUTED_VALUE"""),"E")</f>
        <v>E</v>
      </c>
      <c r="L216" s="4" t="str">
        <f ca="1">IFERROR(__xludf.DUMMYFUNCTION("""COMPUTED_VALUE"""),"Em Beirute, no Líbano, quando perguntado sobre onde se encontram os refugiados sírios, a resposta do homem é imediata: “em todos os lugares e em lugar nenhum”. Andando ao acaso, não é raro ver, sob um prédio ou num canto de calçada, ao abrigo do vento, um"&amp;"a família refugiada em volta de uma refeição frugal posta sobre jornais como se fossem guardanapos. Também se vê de vez em quando uma tenda com a sigla ACNUR (Alto Comissariado das Nações Unidas para Refugiados), erguida em um dos raros terrenos vagos da "&amp;"capital.
JABER, H. Quem realmente acolhe os refugiados? Le Monde Diplomatique Brasil, out. 2015 (adaptado)
O cenário descrito aponta para uma crise humanitária que é explicada pelo processo de
")</f>
        <v xml:space="preserve">Em Beirute, no Líbano, quando perguntado sobre onde se encontram os refugiados sírios, a resposta do homem é imediata: “em todos os lugares e em lugar nenhum”. Andando ao acaso, não é raro ver, sob um prédio ou num canto de calçada, ao abrigo do vento, uma família refugiada em volta de uma refeição frugal posta sobre jornais como se fossem guardanapos. Também se vê de vez em quando uma tenda com a sigla ACNUR (Alto Comissariado das Nações Unidas para Refugiados), erguida em um dos raros terrenos vagos da capital.
JABER, H. Quem realmente acolhe os refugiados? Le Monde Diplomatique Brasil, out. 2015 (adaptado)
O cenário descrito aponta para uma crise humanitária que é explicada pelo processo de
</v>
      </c>
      <c r="M216" s="4" t="str">
        <f ca="1">IFERROR(__xludf.DUMMYFUNCTION("""COMPUTED_VALUE"""),"migração massiva de pessoas atingidas por catástrofe natural.
")</f>
        <v xml:space="preserve">migração massiva de pessoas atingidas por catástrofe natural.
</v>
      </c>
      <c r="N216" s="4" t="str">
        <f ca="1">IFERROR(__xludf.DUMMYFUNCTION("""COMPUTED_VALUE"""),"hibridização cultural de grupos caracterizados por homogeneidade social.
")</f>
        <v xml:space="preserve">hibridização cultural de grupos caracterizados por homogeneidade social.
</v>
      </c>
      <c r="O216" s="4" t="str">
        <f ca="1">IFERROR(__xludf.DUMMYFUNCTION("""COMPUTED_VALUE"""),"desmobilização voluntária de militantes cooptados por seitas extremistas.
")</f>
        <v xml:space="preserve">desmobilização voluntária de militantes cooptados por seitas extremistas.
</v>
      </c>
      <c r="P216" s="4" t="str">
        <f ca="1">IFERROR(__xludf.DUMMYFUNCTION("""COMPUTED_VALUE"""),"peregrinação religiosa de fiéis orientados por lideranças fundamentalistas.
")</f>
        <v xml:space="preserve">peregrinação religiosa de fiéis orientados por lideranças fundamentalistas.
</v>
      </c>
      <c r="Q216" s="4" t="str">
        <f ca="1">IFERROR(__xludf.DUMMYFUNCTION("""COMPUTED_VALUE"""),"desterritorialização forçada de populações afetadas por conflitos armados.
")</f>
        <v xml:space="preserve">desterritorialização forçada de populações afetadas por conflitos armados.
</v>
      </c>
      <c r="R216" s="4"/>
      <c r="S216" s="4"/>
      <c r="T216" s="4"/>
      <c r="U216" s="4"/>
      <c r="V216" s="4"/>
      <c r="W216" s="4"/>
      <c r="X216" s="4"/>
      <c r="Y216" s="4"/>
      <c r="Z216" s="4"/>
    </row>
    <row r="217" spans="1:26" x14ac:dyDescent="0.25">
      <c r="A217" s="3" t="str">
        <f ca="1">IFERROR(__xludf.DUMMYFUNCTION("""COMPUTED_VALUE"""),"https://drive.google.com/open?id=1uhjV1EeYNMvUtdzRfXdz6CWI6ZETJTZ6")</f>
        <v>https://drive.google.com/open?id=1uhjV1EeYNMvUtdzRfXdz6CWI6ZETJTZ6</v>
      </c>
      <c r="B217" s="4" t="str">
        <f ca="1">IFERROR(__xludf.DUMMYFUNCTION("""COMPUTED_VALUE"""),"Enem")</f>
        <v>Enem</v>
      </c>
      <c r="C217" s="4">
        <f ca="1">IFERROR(__xludf.DUMMYFUNCTION("""COMPUTED_VALUE"""),2018)</f>
        <v>2018</v>
      </c>
      <c r="D217" s="4" t="str">
        <f ca="1">IFERROR(__xludf.DUMMYFUNCTION("""COMPUTED_VALUE"""),"Ciências Humanas")</f>
        <v>Ciências Humanas</v>
      </c>
      <c r="E217" s="4" t="str">
        <f ca="1">IFERROR(__xludf.DUMMYFUNCTION("""COMPUTED_VALUE"""),"História")</f>
        <v>História</v>
      </c>
      <c r="F217" s="4" t="str">
        <f ca="1">IFERROR(__xludf.DUMMYFUNCTION("""COMPUTED_VALUE"""),"História do Brasil")</f>
        <v>História do Brasil</v>
      </c>
      <c r="G217" s="4"/>
      <c r="H217" s="4"/>
      <c r="I217" s="4" t="str">
        <f ca="1">IFERROR(__xludf.DUMMYFUNCTION("""COMPUTED_VALUE"""),"Azul")</f>
        <v>Azul</v>
      </c>
      <c r="J217" s="4">
        <f ca="1">IFERROR(__xludf.DUMMYFUNCTION("""COMPUTED_VALUE"""),61)</f>
        <v>61</v>
      </c>
      <c r="K217" s="4" t="str">
        <f ca="1">IFERROR(__xludf.DUMMYFUNCTION("""COMPUTED_VALUE"""),"E")</f>
        <v>E</v>
      </c>
      <c r="L217" s="4" t="str">
        <f ca="1">IFERROR(__xludf.DUMMYFUNCTION("""COMPUTED_VALUE"""),"Programa do Partido Social Democrático (PSD)
   Capitais estrangeiros
É indispensável manter clima propício à entrada de capitais estrangeiros. A manutenção desse clima recomenda a adoção de normas disciplinadoras dos investimentos e suas rendas, visando "&amp;"reter no país a maior parcela possível dos lucros auferidos.
Programa da União Democrática Nacional (UDN)
 O capital
Apelar para o capital estrangeiro, necessário para os
empreendimentos da reconstrução nacional e, sobretudo,
para o aproveitamento das no"&amp;"ssas reservas inexploradas,
dando-lhe um tratamento equitativo e liberdade para a
saída dos juros.
CHACON, V. História dos partidos brasileiros: discurso e práxis dos seus programas. Brasília: UnB, 1981 (adaptado)
Considerando as décadas de 1950 e 1960 "&amp;"no Brasil, os trechos dos programas do PSD e UDN convergiam na defesa da")</f>
        <v>Programa do Partido Social Democrático (PSD)
   Capitais estrangeiros
É indispensável manter clima propício à entrada de capitais estrangeiros. A manutenção desse clima recomenda a adoção de normas disciplinadoras dos investimentos e suas rendas, visando reter no país a maior parcela possível dos lucros auferidos.
Programa da União Democrática Nacional (UDN)
 O capital
Apelar para o capital estrangeiro, necessário para os
empreendimentos da reconstrução nacional e, sobretudo,
para o aproveitamento das nossas reservas inexploradas,
dando-lhe um tratamento equitativo e liberdade para a
saída dos juros.
CHACON, V. História dos partidos brasileiros: discurso e práxis dos seus programas. Brasília: UnB, 1981 (adaptado)
Considerando as décadas de 1950 e 1960 no Brasil, os trechos dos programas do PSD e UDN convergiam na defesa da</v>
      </c>
      <c r="M217" s="4" t="str">
        <f ca="1">IFERROR(__xludf.DUMMYFUNCTION("""COMPUTED_VALUE"""),"autonomia de atuação das multinacionais.
")</f>
        <v xml:space="preserve">autonomia de atuação das multinacionais.
</v>
      </c>
      <c r="N217" s="4" t="str">
        <f ca="1">IFERROR(__xludf.DUMMYFUNCTION("""COMPUTED_VALUE"""),"descentralização da cobrança tributária.
")</f>
        <v xml:space="preserve">descentralização da cobrança tributária.
</v>
      </c>
      <c r="O217" s="4" t="str">
        <f ca="1">IFERROR(__xludf.DUMMYFUNCTION("""COMPUTED_VALUE"""),"flexibilização das reservas cambiais.
")</f>
        <v xml:space="preserve">flexibilização das reservas cambiais.
</v>
      </c>
      <c r="P217" s="4" t="str">
        <f ca="1">IFERROR(__xludf.DUMMYFUNCTION("""COMPUTED_VALUE"""),"liberdade de remessa de ganhos.
")</f>
        <v xml:space="preserve">liberdade de remessa de ganhos.
</v>
      </c>
      <c r="Q217" s="4" t="str">
        <f ca="1">IFERROR(__xludf.DUMMYFUNCTION("""COMPUTED_VALUE"""),"captação de recursos do exterior.
")</f>
        <v xml:space="preserve">captação de recursos do exterior.
</v>
      </c>
      <c r="R217" s="4"/>
      <c r="S217" s="4"/>
      <c r="T217" s="4"/>
      <c r="U217" s="4"/>
      <c r="V217" s="4"/>
      <c r="W217" s="4"/>
      <c r="X217" s="4"/>
      <c r="Y217" s="4"/>
      <c r="Z217" s="4"/>
    </row>
    <row r="218" spans="1:26" x14ac:dyDescent="0.25">
      <c r="A218" s="3" t="str">
        <f ca="1">IFERROR(__xludf.DUMMYFUNCTION("""COMPUTED_VALUE"""),"https://drive.google.com/open?id=1UxQIHcR6mGZJACpDV7JShq85qI04MvC6")</f>
        <v>https://drive.google.com/open?id=1UxQIHcR6mGZJACpDV7JShq85qI04MvC6</v>
      </c>
      <c r="B218" s="4" t="str">
        <f ca="1">IFERROR(__xludf.DUMMYFUNCTION("""COMPUTED_VALUE"""),"Enem")</f>
        <v>Enem</v>
      </c>
      <c r="C218" s="4">
        <f ca="1">IFERROR(__xludf.DUMMYFUNCTION("""COMPUTED_VALUE"""),2018)</f>
        <v>2018</v>
      </c>
      <c r="D218" s="4" t="str">
        <f ca="1">IFERROR(__xludf.DUMMYFUNCTION("""COMPUTED_VALUE"""),"Ciências Humanas")</f>
        <v>Ciências Humanas</v>
      </c>
      <c r="E218" s="4" t="str">
        <f ca="1">IFERROR(__xludf.DUMMYFUNCTION("""COMPUTED_VALUE"""),"História")</f>
        <v>História</v>
      </c>
      <c r="F218" s="4" t="str">
        <f ca="1">IFERROR(__xludf.DUMMYFUNCTION("""COMPUTED_VALUE"""),"História Geral")</f>
        <v>História Geral</v>
      </c>
      <c r="G218" s="4"/>
      <c r="H218" s="4"/>
      <c r="I218" s="4" t="str">
        <f ca="1">IFERROR(__xludf.DUMMYFUNCTION("""COMPUTED_VALUE"""),"Azul")</f>
        <v>Azul</v>
      </c>
      <c r="J218" s="4">
        <f ca="1">IFERROR(__xludf.DUMMYFUNCTION("""COMPUTED_VALUE"""),62)</f>
        <v>62</v>
      </c>
      <c r="K218" s="4" t="str">
        <f ca="1">IFERROR(__xludf.DUMMYFUNCTION("""COMPUTED_VALUE"""),"B")</f>
        <v>B</v>
      </c>
      <c r="L218" s="4" t="str">
        <f ca="1">IFERROR(__xludf.DUMMYFUNCTION("""COMPUTED_VALUE"""),"A situação demográfica de Israel é muito particular. Desde 1967, a esquerda sionista afirma que Israel deveria se desfazer rapidamente da Cisjordânia e da Faixa de Gaza, argumentando a partir de uma lógica demográfica aparentemente inexorável. Devido à ta"&amp;"xa de nascimento árabe ser muito mais elevada, a anexação dos territórios palestinos, formal ou informal, acarretaria dentro de uma ou duas gerações uma maioria árabe “entre o rio e o mar”.
DEMANT, P Israel: a crise próxima. História, n. 2, jul.-dez. 2014"&amp;".
A preocupação apresentada no texto revela um aspectoda condução política desse Estado identificado ao(à)")</f>
        <v>A situação demográfica de Israel é muito particular. Desde 1967, a esquerda sionista afirma que Israel deveria se desfazer rapidamente da Cisjordânia e da Faixa de Gaza, argumentando a partir de uma lógica demográfica aparentemente inexorável. Devido à taxa de nascimento árabe ser muito mais elevada, a anexação dos territórios palestinos, formal ou informal, acarretaria dentro de uma ou duas gerações uma maioria árabe “entre o rio e o mar”.
DEMANT, P Israel: a crise próxima. História, n. 2, jul.-dez. 2014.
A preocupação apresentada no texto revela um aspectoda condução política desse Estado identificado ao(à)</v>
      </c>
      <c r="M218" s="4" t="str">
        <f ca="1">IFERROR(__xludf.DUMMYFUNCTION("""COMPUTED_VALUE"""),"abdicação da interferência militar em conflito local")</f>
        <v>abdicação da interferência militar em conflito local</v>
      </c>
      <c r="N218" s="4" t="str">
        <f ca="1">IFERROR(__xludf.DUMMYFUNCTION("""COMPUTED_VALUE"""),"busca da preeminência étnica sobre o espaço nacional")</f>
        <v>busca da preeminência étnica sobre o espaço nacional</v>
      </c>
      <c r="O218" s="4" t="str">
        <f ca="1">IFERROR(__xludf.DUMMYFUNCTION("""COMPUTED_VALUE"""),"admissão da participação proativa em blocos regionais")</f>
        <v>admissão da participação proativa em blocos regionais</v>
      </c>
      <c r="P218" s="4" t="str">
        <f ca="1">IFERROR(__xludf.DUMMYFUNCTION("""COMPUTED_VALUE"""),"rompimento com os interesses geopolíticos das potências globais.")</f>
        <v>rompimento com os interesses geopolíticos das potências globais.</v>
      </c>
      <c r="Q218" s="4" t="str">
        <f ca="1">IFERROR(__xludf.DUMMYFUNCTION("""COMPUTED_VALUE"""),"compromisso com as resoluções emanadas dos organismos internacionais.")</f>
        <v>compromisso com as resoluções emanadas dos organismos internacionais.</v>
      </c>
      <c r="R218" s="4"/>
      <c r="S218" s="4"/>
      <c r="T218" s="4"/>
      <c r="U218" s="4"/>
      <c r="V218" s="4"/>
      <c r="W218" s="4"/>
      <c r="X218" s="4"/>
      <c r="Y218" s="4"/>
      <c r="Z218" s="4"/>
    </row>
    <row r="219" spans="1:26" x14ac:dyDescent="0.25">
      <c r="A219" s="3" t="str">
        <f ca="1">IFERROR(__xludf.DUMMYFUNCTION("""COMPUTED_VALUE"""),"https://drive.google.com/open?id=1s4l5Sml4J7GyVDsXw_QTJG-5bDSezKrq")</f>
        <v>https://drive.google.com/open?id=1s4l5Sml4J7GyVDsXw_QTJG-5bDSezKrq</v>
      </c>
      <c r="B219" s="4" t="str">
        <f ca="1">IFERROR(__xludf.DUMMYFUNCTION("""COMPUTED_VALUE"""),"Enem")</f>
        <v>Enem</v>
      </c>
      <c r="C219" s="4">
        <f ca="1">IFERROR(__xludf.DUMMYFUNCTION("""COMPUTED_VALUE"""),2018)</f>
        <v>2018</v>
      </c>
      <c r="D219" s="4" t="str">
        <f ca="1">IFERROR(__xludf.DUMMYFUNCTION("""COMPUTED_VALUE"""),"Ciências Humanas")</f>
        <v>Ciências Humanas</v>
      </c>
      <c r="E219" s="4" t="str">
        <f ca="1">IFERROR(__xludf.DUMMYFUNCTION("""COMPUTED_VALUE"""),"História")</f>
        <v>História</v>
      </c>
      <c r="F219" s="4" t="str">
        <f ca="1">IFERROR(__xludf.DUMMYFUNCTION("""COMPUTED_VALUE"""),"História Geral")</f>
        <v>História Geral</v>
      </c>
      <c r="G219" s="4"/>
      <c r="H219" s="4"/>
      <c r="I219" s="4" t="str">
        <f ca="1">IFERROR(__xludf.DUMMYFUNCTION("""COMPUTED_VALUE"""),"Azul")</f>
        <v>Azul</v>
      </c>
      <c r="J219" s="4">
        <f ca="1">IFERROR(__xludf.DUMMYFUNCTION("""COMPUTED_VALUE"""),64)</f>
        <v>64</v>
      </c>
      <c r="K219" s="4" t="str">
        <f ca="1">IFERROR(__xludf.DUMMYFUNCTION("""COMPUTED_VALUE"""),"E")</f>
        <v>E</v>
      </c>
      <c r="L219" s="4" t="str">
        <f ca="1">IFERROR(__xludf.DUMMYFUNCTION("""COMPUTED_VALUE"""),"Outra importante manifestação das crenças e tradições africanas na Colônia eram os objetos conhecidos como “bolsas de mandinga”. A insegurança tanto física como espiritual gerava uma necessidade generalizada de proteção: das catástrofes da natureza, das d"&amp;"oenças, da má sorte, da violência dos núcleos
urbanos, dos roubos, das brigas, dos malefícios de feiticeiros etc. Também para trazer sorte, dinheiro e até atrair mulheres, o costume era corrente nas primeiras décadas do século XVIII, envolvendo não apenas"&amp;" escravos, mas também homens brancos.
CALAINHO, D. B. Feitiços e feiticeiros. In: FIGUEIREDO, L. História do Brasil para ocupados. Rio de Janeiro: Casa da Palavra, 2013 (adaptado).
A prática histórico-cultural de matriz africana descrita no texto repres"&amp;"entava um(a)
")</f>
        <v xml:space="preserve">Outra importante manifestação das crenças e tradições africanas na Colônia eram os objetos conhecidos como “bolsas de mandinga”. A insegurança tanto física como espiritual gerava uma necessidade generalizada de proteção: das catástrofes da natureza, das doenças, da má sorte, da violência dos núcleos
urbanos, dos roubos, das brigas, dos malefícios de feiticeiros etc. Também para trazer sorte, dinheiro e até atrair mulheres, o costume era corrente nas primeiras décadas do século XVIII, envolvendo não apenas escravos, mas também homens brancos.
CALAINHO, D. B. Feitiços e feiticeiros. In: FIGUEIREDO, L. História do Brasil para ocupados. Rio de Janeiro: Casa da Palavra, 2013 (adaptado).
A prática histórico-cultural de matriz africana descrita no texto representava um(a)
</v>
      </c>
      <c r="M219" s="4" t="str">
        <f ca="1">IFERROR(__xludf.DUMMYFUNCTION("""COMPUTED_VALUE"""),"expressão do valor das festividades da população pobre.
")</f>
        <v xml:space="preserve">expressão do valor das festividades da população pobre.
</v>
      </c>
      <c r="N219" s="4" t="str">
        <f ca="1">IFERROR(__xludf.DUMMYFUNCTION("""COMPUTED_VALUE"""),"ferramenta para submeter os cativos ao trabalho forçado.
")</f>
        <v xml:space="preserve">ferramenta para submeter os cativos ao trabalho forçado.
</v>
      </c>
      <c r="O219" s="4" t="str">
        <f ca="1">IFERROR(__xludf.DUMMYFUNCTION("""COMPUTED_VALUE"""),"estratégia de subversão do poder da monarquia portuguesa.
")</f>
        <v xml:space="preserve">estratégia de subversão do poder da monarquia portuguesa.
</v>
      </c>
      <c r="P219" s="4" t="str">
        <f ca="1">IFERROR(__xludf.DUMMYFUNCTION("""COMPUTED_VALUE"""),"elemento de conversão dos escravos ao catolicismo romano.
")</f>
        <v xml:space="preserve">elemento de conversão dos escravos ao catolicismo romano.
</v>
      </c>
      <c r="Q219" s="4" t="str">
        <f ca="1">IFERROR(__xludf.DUMMYFUNCTION("""COMPUTED_VALUE"""),"instrumento para minimizar o sentimento de desamparo social.
")</f>
        <v xml:space="preserve">instrumento para minimizar o sentimento de desamparo social.
</v>
      </c>
      <c r="R219" s="4"/>
      <c r="S219" s="4"/>
      <c r="T219" s="4"/>
      <c r="U219" s="4"/>
      <c r="V219" s="4"/>
      <c r="W219" s="4"/>
      <c r="X219" s="4"/>
      <c r="Y219" s="4"/>
      <c r="Z219" s="4"/>
    </row>
    <row r="220" spans="1:26" x14ac:dyDescent="0.25">
      <c r="A220" s="3" t="str">
        <f ca="1">IFERROR(__xludf.DUMMYFUNCTION("""COMPUTED_VALUE"""),"https://drive.google.com/open?id=1zfDCePPtu9KDAGXYioAmDx8K2gSGY4th")</f>
        <v>https://drive.google.com/open?id=1zfDCePPtu9KDAGXYioAmDx8K2gSGY4th</v>
      </c>
      <c r="B220" s="4" t="str">
        <f ca="1">IFERROR(__xludf.DUMMYFUNCTION("""COMPUTED_VALUE"""),"Enem")</f>
        <v>Enem</v>
      </c>
      <c r="C220" s="4">
        <f ca="1">IFERROR(__xludf.DUMMYFUNCTION("""COMPUTED_VALUE"""),2018)</f>
        <v>2018</v>
      </c>
      <c r="D220" s="4" t="str">
        <f ca="1">IFERROR(__xludf.DUMMYFUNCTION("""COMPUTED_VALUE"""),"Ciências Humanas")</f>
        <v>Ciências Humanas</v>
      </c>
      <c r="E220" s="4" t="str">
        <f ca="1">IFERROR(__xludf.DUMMYFUNCTION("""COMPUTED_VALUE"""),"História")</f>
        <v>História</v>
      </c>
      <c r="F220" s="4" t="str">
        <f ca="1">IFERROR(__xludf.DUMMYFUNCTION("""COMPUTED_VALUE"""),"História Geral")</f>
        <v>História Geral</v>
      </c>
      <c r="G220" s="4"/>
      <c r="H220" s="4"/>
      <c r="I220" s="4" t="str">
        <f ca="1">IFERROR(__xludf.DUMMYFUNCTION("""COMPUTED_VALUE"""),"Azul")</f>
        <v>Azul</v>
      </c>
      <c r="J220" s="4">
        <f ca="1">IFERROR(__xludf.DUMMYFUNCTION("""COMPUTED_VALUE"""),65)</f>
        <v>65</v>
      </c>
      <c r="K220" s="4" t="str">
        <f ca="1">IFERROR(__xludf.DUMMYFUNCTION("""COMPUTED_VALUE"""),"A")</f>
        <v>A</v>
      </c>
      <c r="L220" s="4" t="str">
        <f ca="1">IFERROR(__xludf.DUMMYFUNCTION("""COMPUTED_VALUE"""),"Os portos sempre foram respostas ao comércio praticado em grande volume, que se dá via marítima, lacustre e fluvial, e sofreram adaptações, ou modernizações, de acordo com um conjunto de fatores que vão desde a sua localização privilegiada frente a extens"&amp;"as hinterlândias, passando por sua conectividade
com modernas redes de transportes que garantam acessibilidade, associados, no atual momento, à tecnologia, que os transformam em pontas de lança de uma economia globalizada que comprime o tempo em nome da p"&amp;"rodutividade e da competitividade.
ROCHA NETO, J. M.; CRAVIDÃO, F. D. Portos no contexto do meio técnico. Mercator, n. 2, maio-ago. 2014 (adaptado)
Uma mudança que permitiu aos portos adequarem-se às novas necessidades comerciais apontadas no texto foi "&amp;"a
")</f>
        <v xml:space="preserve">Os portos sempre foram respostas ao comércio praticado em grande volume, que se dá via marítima, lacustre e fluvial, e sofreram adaptações, ou modernizações, de acordo com um conjunto de fatores que vão desde a sua localização privilegiada frente a extensas hinterlândias, passando por sua conectividade
com modernas redes de transportes que garantam acessibilidade, associados, no atual momento, à tecnologia, que os transformam em pontas de lança de uma economia globalizada que comprime o tempo em nome da produtividade e da competitividade.
ROCHA NETO, J. M.; CRAVIDÃO, F. D. Portos no contexto do meio técnico. Mercator, n. 2, maio-ago. 2014 (adaptado)
Uma mudança que permitiu aos portos adequarem-se às novas necessidades comerciais apontadas no texto foi a
</v>
      </c>
      <c r="M220" s="4" t="str">
        <f ca="1">IFERROR(__xludf.DUMMYFUNCTION("""COMPUTED_VALUE"""),"intensificação do uso de contêineres.
")</f>
        <v xml:space="preserve">intensificação do uso de contêineres.
</v>
      </c>
      <c r="N220" s="4" t="str">
        <f ca="1">IFERROR(__xludf.DUMMYFUNCTION("""COMPUTED_VALUE"""),"compactação das áreas de estocagem.
")</f>
        <v xml:space="preserve">compactação das áreas de estocagem.
</v>
      </c>
      <c r="O220" s="4" t="str">
        <f ca="1">IFERROR(__xludf.DUMMYFUNCTION("""COMPUTED_VALUE"""),"burocratização dos serviços de alfândega.
")</f>
        <v xml:space="preserve">burocratização dos serviços de alfândega.
</v>
      </c>
      <c r="P220" s="4" t="str">
        <f ca="1">IFERROR(__xludf.DUMMYFUNCTION("""COMPUTED_VALUE"""),"redução da profundidade dos atracadouros.
")</f>
        <v xml:space="preserve">redução da profundidade dos atracadouros.
</v>
      </c>
      <c r="Q220" s="4" t="str">
        <f ca="1">IFERROR(__xludf.DUMMYFUNCTION("""COMPUTED_VALUE"""),"superação da especialização dos cargueiros.
")</f>
        <v xml:space="preserve">superação da especialização dos cargueiros.
</v>
      </c>
      <c r="R220" s="4"/>
      <c r="S220" s="4"/>
      <c r="T220" s="4"/>
      <c r="U220" s="4"/>
      <c r="V220" s="4"/>
      <c r="W220" s="4"/>
      <c r="X220" s="4"/>
      <c r="Y220" s="4"/>
      <c r="Z220" s="4"/>
    </row>
    <row r="221" spans="1:26" x14ac:dyDescent="0.25">
      <c r="A221" s="3" t="str">
        <f ca="1">IFERROR(__xludf.DUMMYFUNCTION("""COMPUTED_VALUE"""),"https://drive.google.com/open?id=1z2-uO9pXi2qV6jNI5XOIC5t78Le40Rdy")</f>
        <v>https://drive.google.com/open?id=1z2-uO9pXi2qV6jNI5XOIC5t78Le40Rdy</v>
      </c>
      <c r="B221" s="4" t="str">
        <f ca="1">IFERROR(__xludf.DUMMYFUNCTION("""COMPUTED_VALUE"""),"Enem")</f>
        <v>Enem</v>
      </c>
      <c r="C221" s="4">
        <f ca="1">IFERROR(__xludf.DUMMYFUNCTION("""COMPUTED_VALUE"""),2018)</f>
        <v>2018</v>
      </c>
      <c r="D221" s="4" t="str">
        <f ca="1">IFERROR(__xludf.DUMMYFUNCTION("""COMPUTED_VALUE"""),"Ciências Humanas")</f>
        <v>Ciências Humanas</v>
      </c>
      <c r="E221" s="4" t="str">
        <f ca="1">IFERROR(__xludf.DUMMYFUNCTION("""COMPUTED_VALUE"""),"História")</f>
        <v>História</v>
      </c>
      <c r="F221" s="4" t="str">
        <f ca="1">IFERROR(__xludf.DUMMYFUNCTION("""COMPUTED_VALUE"""),"História Geral")</f>
        <v>História Geral</v>
      </c>
      <c r="G221" s="4" t="str">
        <f ca="1">IFERROR(__xludf.DUMMYFUNCTION("""COMPUTED_VALUE"""),"Filosofia")</f>
        <v>Filosofia</v>
      </c>
      <c r="H221" s="4"/>
      <c r="I221" s="4" t="str">
        <f ca="1">IFERROR(__xludf.DUMMYFUNCTION("""COMPUTED_VALUE"""),"Azul")</f>
        <v>Azul</v>
      </c>
      <c r="J221" s="4">
        <f ca="1">IFERROR(__xludf.DUMMYFUNCTION("""COMPUTED_VALUE"""),66)</f>
        <v>66</v>
      </c>
      <c r="K221" s="4" t="str">
        <f ca="1">IFERROR(__xludf.DUMMYFUNCTION("""COMPUTED_VALUE"""),"E")</f>
        <v>E</v>
      </c>
      <c r="L221" s="4" t="str">
        <f ca="1">IFERROR(__xludf.DUMMYFUNCTION("""COMPUTED_VALUE"""),"O século XVIII é, por diversas razões, um século diferenciado. Razão e experimentação se aliavam no que se acreditava ser o verdadeiro caminho para o estabelecimento do conhecimento científico, por tanto tempo almejado. O fato, a análise e a indução passa"&amp;"vam a ser parceiros fundamentais da razão. É ainda no século XVIII que o homem começa a tomar consciência de sua situação na história.
ODALIA, N. In: PINSKY, J.; PINSKY, C. B. História da cidadania. São Paulo: Contexto, 2003.
No ambiente cultural do Ant"&amp;"igo Regime, a discussão filosófica mencionada no texto tinha como uma de suas características a")</f>
        <v>O século XVIII é, por diversas razões, um século diferenciado. Razão e experimentação se aliavam no que se acreditava ser o verdadeiro caminho para o estabelecimento do conhecimento científico, por tanto tempo almejado. O fato, a análise e a indução passavam a ser parceiros fundamentais da razão. É ainda no século XVIII que o homem começa a tomar consciência de sua situação na história.
ODALIA, N. In: PINSKY, J.; PINSKY, C. B. História da cidadania. São Paulo: Contexto, 2003.
No ambiente cultural do Antigo Regime, a discussão filosófica mencionada no texto tinha como uma de suas características a</v>
      </c>
      <c r="M221" s="4" t="str">
        <f ca="1">IFERROR(__xludf.DUMMYFUNCTION("""COMPUTED_VALUE"""),"aproximação entre inovação e saberes antigos.
")</f>
        <v xml:space="preserve">aproximação entre inovação e saberes antigos.
</v>
      </c>
      <c r="N221" s="4" t="str">
        <f ca="1">IFERROR(__xludf.DUMMYFUNCTION("""COMPUTED_VALUE"""),"conciliação entre revelação e metafísica platônica.
")</f>
        <v xml:space="preserve">conciliação entre revelação e metafísica platônica.
</v>
      </c>
      <c r="O221" s="4" t="str">
        <f ca="1">IFERROR(__xludf.DUMMYFUNCTION("""COMPUTED_VALUE"""),"vinculação entre escolástica e práticas de pesquisa.
")</f>
        <v xml:space="preserve">vinculação entre escolástica e práticas de pesquisa.
</v>
      </c>
      <c r="P221" s="4" t="str">
        <f ca="1">IFERROR(__xludf.DUMMYFUNCTION("""COMPUTED_VALUE"""),"separação entre teologia e fundamentalismo religioso.
")</f>
        <v xml:space="preserve">separação entre teologia e fundamentalismo religioso.
</v>
      </c>
      <c r="Q221" s="4" t="str">
        <f ca="1">IFERROR(__xludf.DUMMYFUNCTION("""COMPUTED_VALUE"""),"contraposição entre clericalismo e liberdade de pensamento.
")</f>
        <v xml:space="preserve">contraposição entre clericalismo e liberdade de pensamento.
</v>
      </c>
      <c r="R221" s="4"/>
      <c r="S221" s="4"/>
      <c r="T221" s="4"/>
      <c r="U221" s="4"/>
      <c r="V221" s="4"/>
      <c r="W221" s="4"/>
      <c r="X221" s="4"/>
      <c r="Y221" s="4"/>
      <c r="Z221" s="4"/>
    </row>
    <row r="222" spans="1:26" x14ac:dyDescent="0.25">
      <c r="A222" s="3" t="str">
        <f ca="1">IFERROR(__xludf.DUMMYFUNCTION("""COMPUTED_VALUE"""),"https://drive.google.com/open?id=1fLwJ_RSZsgZd8EZMDaugb0lB_Pghnp8c")</f>
        <v>https://drive.google.com/open?id=1fLwJ_RSZsgZd8EZMDaugb0lB_Pghnp8c</v>
      </c>
      <c r="B222" s="4" t="str">
        <f ca="1">IFERROR(__xludf.DUMMYFUNCTION("""COMPUTED_VALUE"""),"Enem")</f>
        <v>Enem</v>
      </c>
      <c r="C222" s="4">
        <f ca="1">IFERROR(__xludf.DUMMYFUNCTION("""COMPUTED_VALUE"""),2018)</f>
        <v>2018</v>
      </c>
      <c r="D222" s="4" t="str">
        <f ca="1">IFERROR(__xludf.DUMMYFUNCTION("""COMPUTED_VALUE"""),"Ciências Humanas")</f>
        <v>Ciências Humanas</v>
      </c>
      <c r="E222" s="4" t="str">
        <f ca="1">IFERROR(__xludf.DUMMYFUNCTION("""COMPUTED_VALUE"""),"História")</f>
        <v>História</v>
      </c>
      <c r="F222" s="4" t="str">
        <f ca="1">IFERROR(__xludf.DUMMYFUNCTION("""COMPUTED_VALUE"""),"História Geral")</f>
        <v>História Geral</v>
      </c>
      <c r="G222" s="4"/>
      <c r="H222" s="4"/>
      <c r="I222" s="4" t="str">
        <f ca="1">IFERROR(__xludf.DUMMYFUNCTION("""COMPUTED_VALUE"""),"Azul")</f>
        <v>Azul</v>
      </c>
      <c r="J222" s="4">
        <f ca="1">IFERROR(__xludf.DUMMYFUNCTION("""COMPUTED_VALUE"""),68)</f>
        <v>68</v>
      </c>
      <c r="K222" s="4" t="str">
        <f ca="1">IFERROR(__xludf.DUMMYFUNCTION("""COMPUTED_VALUE"""),"C")</f>
        <v>C</v>
      </c>
      <c r="L222" s="4" t="str">
        <f ca="1">IFERROR(__xludf.DUMMYFUNCTION("""COMPUTED_VALUE"""),"O encontro entre o Velho e o Novo Mundo, que a descoberta de Colombo tornou possível, é de um tipo muito particular: é uma guerra – ou a Conquista -, como se dizia então. E um mistério continua: o resultado do combate. Por que a vitória fulgurante, se os "&amp;"habitantes da América eram tão superiores em número aos adversários e lutaram no próprio solo? Se nos limitarmos à conquista do México – a mais espetacular, já que a civilização mexicana é a mais brilhante do mundo pré-colombiano – como explicar que Corte"&amp;"z, liderando centenas de homens, tenha conseguido tomar o reino de Montezuma, que dispunha de centenas de milhares de guerreiros?
TODOROV, T. A conquista da América. São Paulo: Martins Fontes, 1991 (adaptado)
No contexto da conquista, conforme análise a"&amp;"presentada no texto, uma estratégia para superar as disparidades levantadas foi")</f>
        <v>O encontro entre o Velho e o Novo Mundo, que a descoberta de Colombo tornou possível, é de um tipo muito particular: é uma guerra – ou a Conquista -, como se dizia então. E um mistério continua: o resultado do combate. Por que a vitória fulgurante, se os habitantes da América eram tão superiores em número aos adversários e lutaram no próprio solo? Se nos limitarmos à conquista do México – a mais espetacular, já que a civilização mexicana é a mais brilhante do mundo pré-colombiano – como explicar que Cortez, liderando centenas de homens, tenha conseguido tomar o reino de Montezuma, que dispunha de centenas de milhares de guerreiros?
TODOROV, T. A conquista da América. São Paulo: Martins Fontes, 1991 (adaptado)
No contexto da conquista, conforme análise apresentada no texto, uma estratégia para superar as disparidades levantadas foi</v>
      </c>
      <c r="M222" s="4" t="str">
        <f ca="1">IFERROR(__xludf.DUMMYFUNCTION("""COMPUTED_VALUE"""),"implantar as missões cristãs entre as comunidades submetidas.
")</f>
        <v xml:space="preserve">implantar as missões cristãs entre as comunidades submetidas.
</v>
      </c>
      <c r="N222" s="4" t="str">
        <f ca="1">IFERROR(__xludf.DUMMYFUNCTION("""COMPUTED_VALUE"""),"utilizar a superioridade física dos mercenários africanos.
")</f>
        <v xml:space="preserve">utilizar a superioridade física dos mercenários africanos.
</v>
      </c>
      <c r="O222" s="4" t="str">
        <f ca="1">IFERROR(__xludf.DUMMYFUNCTION("""COMPUTED_VALUE"""),"explorar as rivalidades existentes entre os povos nativos.
")</f>
        <v xml:space="preserve">explorar as rivalidades existentes entre os povos nativos.
</v>
      </c>
      <c r="P222" s="4" t="str">
        <f ca="1">IFERROR(__xludf.DUMMYFUNCTION("""COMPUTED_VALUE"""),"introduzir vetores para a disseminação de doenças epidêmicas.
")</f>
        <v xml:space="preserve">introduzir vetores para a disseminação de doenças epidêmicas.
</v>
      </c>
      <c r="Q222" s="4" t="str">
        <f ca="1">IFERROR(__xludf.DUMMYFUNCTION("""COMPUTED_VALUE"""),"comprar terras para o enfraquecimento das teocracias autóctones.
")</f>
        <v xml:space="preserve">comprar terras para o enfraquecimento das teocracias autóctones.
</v>
      </c>
      <c r="R222" s="4"/>
      <c r="S222" s="4"/>
      <c r="T222" s="4"/>
      <c r="U222" s="4"/>
      <c r="V222" s="4"/>
      <c r="W222" s="4"/>
      <c r="X222" s="4"/>
      <c r="Y222" s="4"/>
      <c r="Z222" s="4"/>
    </row>
    <row r="223" spans="1:26" x14ac:dyDescent="0.25">
      <c r="A223" s="3" t="str">
        <f ca="1">IFERROR(__xludf.DUMMYFUNCTION("""COMPUTED_VALUE"""),"https://drive.google.com/open?id=1VdQkfM-Bov7KCxP2YFE45GWR7kjc1HY4")</f>
        <v>https://drive.google.com/open?id=1VdQkfM-Bov7KCxP2YFE45GWR7kjc1HY4</v>
      </c>
      <c r="B223" s="4" t="str">
        <f ca="1">IFERROR(__xludf.DUMMYFUNCTION("""COMPUTED_VALUE"""),"Enem")</f>
        <v>Enem</v>
      </c>
      <c r="C223" s="4">
        <f ca="1">IFERROR(__xludf.DUMMYFUNCTION("""COMPUTED_VALUE"""),2018)</f>
        <v>2018</v>
      </c>
      <c r="D223" s="4" t="str">
        <f ca="1">IFERROR(__xludf.DUMMYFUNCTION("""COMPUTED_VALUE"""),"Ciências Humanas")</f>
        <v>Ciências Humanas</v>
      </c>
      <c r="E223" s="4" t="str">
        <f ca="1">IFERROR(__xludf.DUMMYFUNCTION("""COMPUTED_VALUE"""),"História")</f>
        <v>História</v>
      </c>
      <c r="F223" s="4" t="str">
        <f ca="1">IFERROR(__xludf.DUMMYFUNCTION("""COMPUTED_VALUE"""),"História do Brasil")</f>
        <v>História do Brasil</v>
      </c>
      <c r="G223" s="4"/>
      <c r="H223" s="4"/>
      <c r="I223" s="4" t="str">
        <f ca="1">IFERROR(__xludf.DUMMYFUNCTION("""COMPUTED_VALUE"""),"Azul")</f>
        <v>Azul</v>
      </c>
      <c r="J223" s="4">
        <f ca="1">IFERROR(__xludf.DUMMYFUNCTION("""COMPUTED_VALUE"""),69)</f>
        <v>69</v>
      </c>
      <c r="K223" s="4" t="str">
        <f ca="1">IFERROR(__xludf.DUMMYFUNCTION("""COMPUTED_VALUE"""),"B")</f>
        <v>B</v>
      </c>
      <c r="L223" s="4" t="str">
        <f ca="1">IFERROR(__xludf.DUMMYFUNCTION("""COMPUTED_VALUE"""),"São Paulo, 10 de janeiro de 1979.
Exmo. Sr. Presidente Ernesto Geisel.
Considerando as instruções dadas por V. S. de que sejam negados os passaportes aos senhores Francisco Julião, Miguel Arraes, Leonel Brizola, Luis Prestes, Paulo Schilling, Gregório Bez"&amp;"erra, Márcio Moreira Alves
e Paulo Freire. Considerando que, desde que nasci, me identifico plenamente com a pele, a cor dos cabelos, a cultura, o sorriso, as aspirações, a história e o sangue destes oito senhores. Considerando tudo isto, por imperativo d"&amp;"e minha
consciência, venho por meio desta devolver o passaporte que, negado a eles, me foi concedido pelos órgãos competentes de seu governo.
Carta do cartunista Henrique de Souza Fiiho, conhecido como Henfíi. In: HENFIL. Cartas da mãe. Rio de Janeiro: C"&amp;"odecri, 1981 (adaptado).
No referido contexto histórico, a manifestação do cartunista Henfil expressava uma crítica ao(à)
")</f>
        <v xml:space="preserve">São Paulo, 10 de janeiro de 1979.
Exmo. Sr. Presidente Ernesto Geisel.
Considerando as instruções dadas por V. S. de que sejam negados os passaportes aos senhores Francisco Julião, Miguel Arraes, Leonel Brizola, Luis Prestes, Paulo Schilling, Gregório Bezerra, Márcio Moreira Alves
e Paulo Freire. Considerando que, desde que nasci, me identifico plenamente com a pele, a cor dos cabelos, a cultura, o sorriso, as aspirações, a história e o sangue destes oito senhores. Considerando tudo isto, por imperativo de minha
consciência, venho por meio desta devolver o passaporte que, negado a eles, me foi concedido pelos órgãos competentes de seu governo.
Carta do cartunista Henrique de Souza Fiiho, conhecido como Henfíi. In: HENFIL. Cartas da mãe. Rio de Janeiro: Codecri, 1981 (adaptado).
No referido contexto histórico, a manifestação do cartunista Henfil expressava uma crítica ao(à)
</v>
      </c>
      <c r="M223" s="4" t="str">
        <f ca="1">IFERROR(__xludf.DUMMYFUNCTION("""COMPUTED_VALUE"""),"censura moral das produções culturais.
")</f>
        <v xml:space="preserve">censura moral das produções culturais.
</v>
      </c>
      <c r="N223" s="4" t="str">
        <f ca="1">IFERROR(__xludf.DUMMYFUNCTION("""COMPUTED_VALUE"""),"limite do processo de distensão política.
")</f>
        <v xml:space="preserve">limite do processo de distensão política.
</v>
      </c>
      <c r="O223" s="4" t="str">
        <f ca="1">IFERROR(__xludf.DUMMYFUNCTION("""COMPUTED_VALUE"""),"interferência militar de países estrangeiros.
")</f>
        <v xml:space="preserve">interferência militar de países estrangeiros.
</v>
      </c>
      <c r="P223" s="4" t="str">
        <f ca="1">IFERROR(__xludf.DUMMYFUNCTION("""COMPUTED_VALUE"""),"representação social das agremiações partidárias.
")</f>
        <v xml:space="preserve">representação social das agremiações partidárias.
</v>
      </c>
      <c r="Q223" s="4" t="str">
        <f ca="1">IFERROR(__xludf.DUMMYFUNCTION("""COMPUTED_VALUE"""),"representação social das agremiações partidárias.
")</f>
        <v xml:space="preserve">representação social das agremiações partidárias.
</v>
      </c>
      <c r="R223" s="4"/>
      <c r="S223" s="4"/>
      <c r="T223" s="4"/>
      <c r="U223" s="4"/>
      <c r="V223" s="4"/>
      <c r="W223" s="4"/>
      <c r="X223" s="4"/>
      <c r="Y223" s="4"/>
      <c r="Z223" s="4"/>
    </row>
    <row r="224" spans="1:26" x14ac:dyDescent="0.25">
      <c r="A224" s="3" t="str">
        <f ca="1">IFERROR(__xludf.DUMMYFUNCTION("""COMPUTED_VALUE"""),"https://drive.google.com/open?id=1_3M12qYLQ3eUVrPbT4V80pbGz3zD9mnY")</f>
        <v>https://drive.google.com/open?id=1_3M12qYLQ3eUVrPbT4V80pbGz3zD9mnY</v>
      </c>
      <c r="B224" s="4" t="str">
        <f ca="1">IFERROR(__xludf.DUMMYFUNCTION("""COMPUTED_VALUE"""),"Enem")</f>
        <v>Enem</v>
      </c>
      <c r="C224" s="4">
        <f ca="1">IFERROR(__xludf.DUMMYFUNCTION("""COMPUTED_VALUE"""),2018)</f>
        <v>2018</v>
      </c>
      <c r="D224" s="4" t="str">
        <f ca="1">IFERROR(__xludf.DUMMYFUNCTION("""COMPUTED_VALUE"""),"Ciências Humanas")</f>
        <v>Ciências Humanas</v>
      </c>
      <c r="E224" s="4" t="str">
        <f ca="1">IFERROR(__xludf.DUMMYFUNCTION("""COMPUTED_VALUE"""),"História")</f>
        <v>História</v>
      </c>
      <c r="F224" s="4" t="str">
        <f ca="1">IFERROR(__xludf.DUMMYFUNCTION("""COMPUTED_VALUE"""),"História do Brasil")</f>
        <v>História do Brasil</v>
      </c>
      <c r="G224" s="4"/>
      <c r="H224" s="4"/>
      <c r="I224" s="4" t="str">
        <f ca="1">IFERROR(__xludf.DUMMYFUNCTION("""COMPUTED_VALUE"""),"Azul")</f>
        <v>Azul</v>
      </c>
      <c r="J224" s="4">
        <f ca="1">IFERROR(__xludf.DUMMYFUNCTION("""COMPUTED_VALUE"""),71)</f>
        <v>71</v>
      </c>
      <c r="K224" s="4" t="str">
        <f ca="1">IFERROR(__xludf.DUMMYFUNCTION("""COMPUTED_VALUE"""),"E")</f>
        <v>E</v>
      </c>
      <c r="L224" s="4" t="str">
        <f ca="1">IFERROR(__xludf.DUMMYFUNCTION("""COMPUTED_VALUE"""),"Os seus líderes terminaram presos e assassinados. A “marujada” rebelde foi inteiramente expulsa da esquadra. Num sentido histórico, porém, eles foram
vitoriosos. A “chibata” e outros castigos físicos infamantes nunca mais foram oficialmente utilizados; a "&amp;"partir de então, os marinheiros – agora respeitados – teriam suas condições de vida melhoradas significativamente. Sem dúvida fizeram avançar a História.
MAESTRI, M. 1910: a revolta dos marinheiros-um a saga negra. São Paulo: Global, 1982.
A eclosão des"&amp;"se conflito foi resultado da tensão acumulada na Marinha do Brasil pelo(a)
")</f>
        <v xml:space="preserve">Os seus líderes terminaram presos e assassinados. A “marujada” rebelde foi inteiramente expulsa da esquadra. Num sentido histórico, porém, eles foram
vitoriosos. A “chibata” e outros castigos físicos infamantes nunca mais foram oficialmente utilizados; a partir de então, os marinheiros – agora respeitados – teriam suas condições de vida melhoradas significativamente. Sem dúvida fizeram avançar a História.
MAESTRI, M. 1910: a revolta dos marinheiros-um a saga negra. São Paulo: Global, 1982.
A eclosão desse conflito foi resultado da tensão acumulada na Marinha do Brasil pelo(a)
</v>
      </c>
      <c r="M224" s="4" t="str">
        <f ca="1">IFERROR(__xludf.DUMMYFUNCTION("""COMPUTED_VALUE"""),"engajamento de civis analfabetos após a emergência de guerras externas.
")</f>
        <v xml:space="preserve">engajamento de civis analfabetos após a emergência de guerras externas.
</v>
      </c>
      <c r="N224" s="4" t="str">
        <f ca="1">IFERROR(__xludf.DUMMYFUNCTION("""COMPUTED_VALUE"""),"insatisfação de militares positivistas após a consolidação da política dos governadores.")</f>
        <v>insatisfação de militares positivistas após a consolidação da política dos governadores.</v>
      </c>
      <c r="O224" s="4" t="str">
        <f ca="1">IFERROR(__xludf.DUMMYFUNCTION("""COMPUTED_VALUE"""),"rebaixamento de comandantes veteranos após a repressão a insurreições milenaristas.")</f>
        <v>rebaixamento de comandantes veteranos após a repressão a insurreições milenaristas.</v>
      </c>
      <c r="P224" s="4" t="str">
        <f ca="1">IFERROR(__xludf.DUMMYFUNCTION("""COMPUTED_VALUE"""),"sublevação das classes populares do campo após a instituição do alistamento obrigatório.")</f>
        <v>sublevação das classes populares do campo após a instituição do alistamento obrigatório.</v>
      </c>
      <c r="Q224" s="4" t="str">
        <f ca="1">IFERROR(__xludf.DUMMYFUNCTION("""COMPUTED_VALUE"""),"manutenção da mentalidade escravocrata da oficialidade após a queda do regime imperial.")</f>
        <v>manutenção da mentalidade escravocrata da oficialidade após a queda do regime imperial.</v>
      </c>
      <c r="R224" s="4"/>
      <c r="S224" s="4"/>
      <c r="T224" s="4"/>
      <c r="U224" s="4"/>
      <c r="V224" s="4"/>
      <c r="W224" s="4"/>
      <c r="X224" s="4"/>
      <c r="Y224" s="4"/>
      <c r="Z224" s="4"/>
    </row>
    <row r="225" spans="1:26" x14ac:dyDescent="0.25">
      <c r="A225" s="3" t="str">
        <f ca="1">IFERROR(__xludf.DUMMYFUNCTION("""COMPUTED_VALUE"""),"https://drive.google.com/open?id=1pWQW_13F3X4kkYHOMsyYc1fSMeY60CDW")</f>
        <v>https://drive.google.com/open?id=1pWQW_13F3X4kkYHOMsyYc1fSMeY60CDW</v>
      </c>
      <c r="B225" s="4" t="str">
        <f ca="1">IFERROR(__xludf.DUMMYFUNCTION("""COMPUTED_VALUE"""),"Enem")</f>
        <v>Enem</v>
      </c>
      <c r="C225" s="4">
        <f ca="1">IFERROR(__xludf.DUMMYFUNCTION("""COMPUTED_VALUE"""),2018)</f>
        <v>2018</v>
      </c>
      <c r="D225" s="4" t="str">
        <f ca="1">IFERROR(__xludf.DUMMYFUNCTION("""COMPUTED_VALUE"""),"Ciências Humanas")</f>
        <v>Ciências Humanas</v>
      </c>
      <c r="E225" s="4" t="str">
        <f ca="1">IFERROR(__xludf.DUMMYFUNCTION("""COMPUTED_VALUE"""),"História")</f>
        <v>História</v>
      </c>
      <c r="F225" s="4" t="str">
        <f ca="1">IFERROR(__xludf.DUMMYFUNCTION("""COMPUTED_VALUE"""),"História do Brasil")</f>
        <v>História do Brasil</v>
      </c>
      <c r="G225" s="4"/>
      <c r="H225" s="4"/>
      <c r="I225" s="4" t="str">
        <f ca="1">IFERROR(__xludf.DUMMYFUNCTION("""COMPUTED_VALUE"""),"Azul")</f>
        <v>Azul</v>
      </c>
      <c r="J225" s="4">
        <f ca="1">IFERROR(__xludf.DUMMYFUNCTION("""COMPUTED_VALUE"""),74)</f>
        <v>74</v>
      </c>
      <c r="K225" s="4" t="str">
        <f ca="1">IFERROR(__xludf.DUMMYFUNCTION("""COMPUTED_VALUE"""),"D")</f>
        <v>D</v>
      </c>
      <c r="L225" s="4" t="str">
        <f ca="1">IFERROR(__xludf.DUMMYFUNCTION("""COMPUTED_VALUE"""),"Texto da imagem:
“Crianças!
Aprendendo, no lar e nas escolas, o
culto da Pátria, trazeis para a vida prática
todas as probabilidades de êxito.
Só o amor constrói e, amando o Brasil,
forçosamente o conduzireis aos mais altos
destinos entre as Nações, reali"&amp;"zando os
desejos de engrandecimento aninhados
em cada coração brasileiro.”
Essa imagem foi impressa em cartilha escolar durante a vigência do Estado Novo com o intuito de
")</f>
        <v xml:space="preserve">Texto da imagem:
“Crianças!
Aprendendo, no lar e nas escolas, o
culto da Pátria, trazeis para a vida prática
todas as probabilidades de êxito.
Só o amor constrói e, amando o Brasil,
forçosamente o conduzireis aos mais altos
destinos entre as Nações, realizando os
desejos de engrandecimento aninhados
em cada coração brasileiro.”
Essa imagem foi impressa em cartilha escolar durante a vigência do Estado Novo com o intuito de
</v>
      </c>
      <c r="M225" s="4" t="str">
        <f ca="1">IFERROR(__xludf.DUMMYFUNCTION("""COMPUTED_VALUE"""),"destacar a sabedoria inata do líder governamental.
")</f>
        <v xml:space="preserve">destacar a sabedoria inata do líder governamental.
</v>
      </c>
      <c r="N225" s="4" t="str">
        <f ca="1">IFERROR(__xludf.DUMMYFUNCTION("""COMPUTED_VALUE"""),"atender a necessidade familiar de obediência infantil.
")</f>
        <v xml:space="preserve">atender a necessidade familiar de obediência infantil.
</v>
      </c>
      <c r="O225" s="4" t="str">
        <f ca="1">IFERROR(__xludf.DUMMYFUNCTION("""COMPUTED_VALUE"""),"promover o desenvolvimento consistente das atitudes solidárias.
")</f>
        <v xml:space="preserve">promover o desenvolvimento consistente das atitudes solidárias.
</v>
      </c>
      <c r="P225" s="4" t="str">
        <f ca="1">IFERROR(__xludf.DUMMYFUNCTION("""COMPUTED_VALUE"""),"conquistar a aprovação política por meio do apelo carismático.
")</f>
        <v xml:space="preserve">conquistar a aprovação política por meio do apelo carismático.
</v>
      </c>
      <c r="Q225" s="4" t="str">
        <f ca="1">IFERROR(__xludf.DUMMYFUNCTION("""COMPUTED_VALUE"""),"estimular o interesse acadêmico por meio de exercícios intelectuais.
")</f>
        <v xml:space="preserve">estimular o interesse acadêmico por meio de exercícios intelectuais.
</v>
      </c>
      <c r="R225" s="4"/>
      <c r="S225" s="4"/>
      <c r="T225" s="4"/>
      <c r="U225" s="4"/>
      <c r="V225" s="4"/>
      <c r="W225" s="4"/>
      <c r="X225" s="4"/>
      <c r="Y225" s="4"/>
      <c r="Z225" s="4"/>
    </row>
    <row r="226" spans="1:26" x14ac:dyDescent="0.25">
      <c r="A226" s="3" t="str">
        <f ca="1">IFERROR(__xludf.DUMMYFUNCTION("""COMPUTED_VALUE"""),"https://drive.google.com/open?id=1WvyYjfacBYr-n1Lm15CmG_dgDj-LUcXu")</f>
        <v>https://drive.google.com/open?id=1WvyYjfacBYr-n1Lm15CmG_dgDj-LUcXu</v>
      </c>
      <c r="B226" s="4" t="str">
        <f ca="1">IFERROR(__xludf.DUMMYFUNCTION("""COMPUTED_VALUE"""),"Enem")</f>
        <v>Enem</v>
      </c>
      <c r="C226" s="4">
        <f ca="1">IFERROR(__xludf.DUMMYFUNCTION("""COMPUTED_VALUE"""),2018)</f>
        <v>2018</v>
      </c>
      <c r="D226" s="4" t="str">
        <f ca="1">IFERROR(__xludf.DUMMYFUNCTION("""COMPUTED_VALUE"""),"Ciências Humanas")</f>
        <v>Ciências Humanas</v>
      </c>
      <c r="E226" s="4" t="str">
        <f ca="1">IFERROR(__xludf.DUMMYFUNCTION("""COMPUTED_VALUE"""),"História")</f>
        <v>História</v>
      </c>
      <c r="F226" s="4" t="str">
        <f ca="1">IFERROR(__xludf.DUMMYFUNCTION("""COMPUTED_VALUE"""),"História do Brasil")</f>
        <v>História do Brasil</v>
      </c>
      <c r="G226" s="4"/>
      <c r="H226" s="4"/>
      <c r="I226" s="4" t="str">
        <f ca="1">IFERROR(__xludf.DUMMYFUNCTION("""COMPUTED_VALUE"""),"Azul")</f>
        <v>Azul</v>
      </c>
      <c r="J226" s="4">
        <f ca="1">IFERROR(__xludf.DUMMYFUNCTION("""COMPUTED_VALUE"""),76)</f>
        <v>76</v>
      </c>
      <c r="K226" s="4" t="str">
        <f ca="1">IFERROR(__xludf.DUMMYFUNCTION("""COMPUTED_VALUE"""),"E")</f>
        <v>E</v>
      </c>
      <c r="L226" s="4" t="str">
        <f ca="1">IFERROR(__xludf.DUMMYFUNCTION("""COMPUTED_VALUE"""),"Código Penal dos Estados Unidos do Brasil, 1890
                                 Dos crimes contra a saúde pública
Art. 156. Exercer a medicina em qualquer dos seus ramos, a arte dentária ou a farmácia; praticar a homeopatia, a dosimetria, o hipnotismo ou"&amp;" magnetismo animal, sem estar habilitado segundo as leis e regulamentos.
Art. 158. Ministrar, ou simplesmente prescrever, como meio curativo para uso interno ou externo, e sob qualquer forma preparada, substância de qualquer dos
reinos da natureza, fazend"&amp;"o, ou exercendo assim, o ofício denominado curandeiro
Disponível em: http://legis.senado.gov.br. Acesso em: 21 dez. 2014 (adaptado).
No início da Primeira República, a legislação penal vigente evidenciava o(a)
")</f>
        <v xml:space="preserve">Código Penal dos Estados Unidos do Brasil, 1890
                                 Dos crimes contra a saúde pública
Art. 156. Exercer a medicina em qualquer dos seus ramos, a arte dentária ou a farmácia; praticar a homeopatia, a dosimetria, o hipnotismo ou magnetismo animal, sem estar habilitado segundo as leis e regulamentos.
Art. 158. Ministrar, ou simplesmente prescrever, como meio curativo para uso interno ou externo, e sob qualquer forma preparada, substância de qualquer dos
reinos da natureza, fazendo, ou exercendo assim, o ofício denominado curandeiro
Disponível em: http://legis.senado.gov.br. Acesso em: 21 dez. 2014 (adaptado).
No início da Primeira República, a legislação penal vigente evidenciava o(a)
</v>
      </c>
      <c r="M226" s="4" t="str">
        <f ca="1">IFERROR(__xludf.DUMMYFUNCTION("""COMPUTED_VALUE"""),"negligência das religiões cristãs sobre as moléstias.
")</f>
        <v xml:space="preserve">negligência das religiões cristãs sobre as moléstias.
</v>
      </c>
      <c r="N226" s="4" t="str">
        <f ca="1">IFERROR(__xludf.DUMMYFUNCTION("""COMPUTED_VALUE"""),"desconhecimento das origens das crenças tradicionais.
")</f>
        <v xml:space="preserve">desconhecimento das origens das crenças tradicionais.
</v>
      </c>
      <c r="O226" s="4" t="str">
        <f ca="1">IFERROR(__xludf.DUMMYFUNCTION("""COMPUTED_VALUE"""),"preferência da população pelos tratamentos alopáticos.
")</f>
        <v xml:space="preserve">preferência da população pelos tratamentos alopáticos.
</v>
      </c>
      <c r="P226" s="4" t="str">
        <f ca="1">IFERROR(__xludf.DUMMYFUNCTION("""COMPUTED_VALUE"""),"abandono pela comunidade das práticas terapêuticas de magia.
")</f>
        <v xml:space="preserve">abandono pela comunidade das práticas terapêuticas de magia.
</v>
      </c>
      <c r="Q226" s="4" t="str">
        <f ca="1">IFERROR(__xludf.DUMMYFUNCTION("""COMPUTED_VALUE"""),"condenação pela ciência dos conhecimentos populares de cura.
")</f>
        <v xml:space="preserve">condenação pela ciência dos conhecimentos populares de cura.
</v>
      </c>
      <c r="R226" s="4"/>
      <c r="S226" s="4"/>
      <c r="T226" s="4"/>
      <c r="U226" s="4"/>
      <c r="V226" s="4"/>
      <c r="W226" s="4"/>
      <c r="X226" s="4"/>
      <c r="Y226" s="4"/>
      <c r="Z226" s="4"/>
    </row>
    <row r="227" spans="1:26" x14ac:dyDescent="0.25">
      <c r="A227" s="3" t="str">
        <f ca="1">IFERROR(__xludf.DUMMYFUNCTION("""COMPUTED_VALUE"""),"https://drive.google.com/open?id=1RXt0Btc21O3OzMlnuW88ToX_4_moezm5")</f>
        <v>https://drive.google.com/open?id=1RXt0Btc21O3OzMlnuW88ToX_4_moezm5</v>
      </c>
      <c r="B227" s="4" t="str">
        <f ca="1">IFERROR(__xludf.DUMMYFUNCTION("""COMPUTED_VALUE"""),"Enem")</f>
        <v>Enem</v>
      </c>
      <c r="C227" s="4">
        <f ca="1">IFERROR(__xludf.DUMMYFUNCTION("""COMPUTED_VALUE"""),2018)</f>
        <v>2018</v>
      </c>
      <c r="D227" s="4" t="str">
        <f ca="1">IFERROR(__xludf.DUMMYFUNCTION("""COMPUTED_VALUE"""),"Ciências Humanas")</f>
        <v>Ciências Humanas</v>
      </c>
      <c r="E227" s="4" t="str">
        <f ca="1">IFERROR(__xludf.DUMMYFUNCTION("""COMPUTED_VALUE"""),"História")</f>
        <v>História</v>
      </c>
      <c r="F227" s="4" t="str">
        <f ca="1">IFERROR(__xludf.DUMMYFUNCTION("""COMPUTED_VALUE"""),"História do Brasil")</f>
        <v>História do Brasil</v>
      </c>
      <c r="G227" s="4"/>
      <c r="H227" s="4"/>
      <c r="I227" s="4" t="str">
        <f ca="1">IFERROR(__xludf.DUMMYFUNCTION("""COMPUTED_VALUE"""),"Azul")</f>
        <v>Azul</v>
      </c>
      <c r="J227" s="4">
        <f ca="1">IFERROR(__xludf.DUMMYFUNCTION("""COMPUTED_VALUE"""),78)</f>
        <v>78</v>
      </c>
      <c r="K227" s="4" t="str">
        <f ca="1">IFERROR(__xludf.DUMMYFUNCTION("""COMPUTED_VALUE"""),"E")</f>
        <v>E</v>
      </c>
      <c r="L227" s="4" t="str">
        <f ca="1">IFERROR(__xludf.DUMMYFUNCTION("""COMPUTED_VALUE"""),"O marco inicial das discussões parlamentares em torno do direito do voto feminino são os debates que antecederam a Constituição de 1824, que não
trazia qualquer impedimento ao exercício dos direitos políticos por mulheres, mas, por outro lado, também não "&amp;"era explícita quanto à possibilidade desse exercício. Foi somente em 1932, dois anos antes de estabelecido o voto aos 18 anos, que as mulheres obtiveram o direito de votar, o que veio a se concretizar
no ano seguinte. Isso ocorreu a partir da aprovação do"&amp;" Código Eleitoral de 1932.
Disponível em: http://tse.jusbrasil.com.br. Acesso em: 14 maio 2018.
Um dos fatores que contribuíram para a efetivação da medida mencionada no texto foi a
")</f>
        <v xml:space="preserve">O marco inicial das discussões parlamentares em torno do direito do voto feminino são os debates que antecederam a Constituição de 1824, que não
trazia qualquer impedimento ao exercício dos direitos políticos por mulheres, mas, por outro lado, também não era explícita quanto à possibilidade desse exercício. Foi somente em 1932, dois anos antes de estabelecido o voto aos 18 anos, que as mulheres obtiveram o direito de votar, o que veio a se concretizar
no ano seguinte. Isso ocorreu a partir da aprovação do Código Eleitoral de 1932.
Disponível em: http://tse.jusbrasil.com.br. Acesso em: 14 maio 2018.
Um dos fatores que contribuíram para a efetivação da medida mencionada no texto foi a
</v>
      </c>
      <c r="M227" s="4" t="str">
        <f ca="1">IFERROR(__xludf.DUMMYFUNCTION("""COMPUTED_VALUE"""),"superação da cultura patriarcal.
")</f>
        <v xml:space="preserve">superação da cultura patriarcal.
</v>
      </c>
      <c r="N227" s="4" t="str">
        <f ca="1">IFERROR(__xludf.DUMMYFUNCTION("""COMPUTED_VALUE"""),"influência de igrejas protestantes.
")</f>
        <v xml:space="preserve">influência de igrejas protestantes.
</v>
      </c>
      <c r="O227" s="4" t="str">
        <f ca="1">IFERROR(__xludf.DUMMYFUNCTION("""COMPUTED_VALUE"""),"pressão do governo revolucionário.
")</f>
        <v xml:space="preserve">pressão do governo revolucionário.
</v>
      </c>
      <c r="P227" s="4" t="str">
        <f ca="1">IFERROR(__xludf.DUMMYFUNCTION("""COMPUTED_VALUE"""),"fragilidade das oligarquias regionais.
")</f>
        <v xml:space="preserve">fragilidade das oligarquias regionais.
</v>
      </c>
      <c r="Q227" s="4" t="str">
        <f ca="1">IFERROR(__xludf.DUMMYFUNCTION("""COMPUTED_VALUE"""),"campanha de extensão da cidadania.
")</f>
        <v xml:space="preserve">campanha de extensão da cidadania.
</v>
      </c>
      <c r="R227" s="4"/>
      <c r="S227" s="4"/>
      <c r="T227" s="4"/>
      <c r="U227" s="4"/>
      <c r="V227" s="4"/>
      <c r="W227" s="4"/>
      <c r="X227" s="4"/>
      <c r="Y227" s="4"/>
      <c r="Z227" s="4"/>
    </row>
    <row r="228" spans="1:26" x14ac:dyDescent="0.25">
      <c r="A228" s="3" t="str">
        <f ca="1">IFERROR(__xludf.DUMMYFUNCTION("""COMPUTED_VALUE"""),"https://drive.google.com/open?id=18xFXfEzTX5WS88qX9LZ21_y2en6ojKzF")</f>
        <v>https://drive.google.com/open?id=18xFXfEzTX5WS88qX9LZ21_y2en6ojKzF</v>
      </c>
      <c r="B228" s="4" t="str">
        <f ca="1">IFERROR(__xludf.DUMMYFUNCTION("""COMPUTED_VALUE"""),"Enem")</f>
        <v>Enem</v>
      </c>
      <c r="C228" s="4">
        <f ca="1">IFERROR(__xludf.DUMMYFUNCTION("""COMPUTED_VALUE"""),2018)</f>
        <v>2018</v>
      </c>
      <c r="D228" s="4" t="str">
        <f ca="1">IFERROR(__xludf.DUMMYFUNCTION("""COMPUTED_VALUE"""),"Ciências Humanas")</f>
        <v>Ciências Humanas</v>
      </c>
      <c r="E228" s="4" t="str">
        <f ca="1">IFERROR(__xludf.DUMMYFUNCTION("""COMPUTED_VALUE"""),"História")</f>
        <v>História</v>
      </c>
      <c r="F228" s="4" t="str">
        <f ca="1">IFERROR(__xludf.DUMMYFUNCTION("""COMPUTED_VALUE"""),"História do Brasil")</f>
        <v>História do Brasil</v>
      </c>
      <c r="G228" s="4"/>
      <c r="H228" s="4"/>
      <c r="I228" s="4" t="str">
        <f ca="1">IFERROR(__xludf.DUMMYFUNCTION("""COMPUTED_VALUE"""),"Azul")</f>
        <v>Azul</v>
      </c>
      <c r="J228" s="4">
        <f ca="1">IFERROR(__xludf.DUMMYFUNCTION("""COMPUTED_VALUE"""),84)</f>
        <v>84</v>
      </c>
      <c r="K228" s="4" t="str">
        <f ca="1">IFERROR(__xludf.DUMMYFUNCTION("""COMPUTED_VALUE"""),"C")</f>
        <v>C</v>
      </c>
      <c r="L228" s="4" t="str">
        <f ca="1">IFERROR(__xludf.DUMMYFUNCTION("""COMPUTED_VALUE"""),"Rodrigo havia sido indicado pela oposição para fiscal duma das mesas eleitorais. Pôs o revólver na cintura, uma caixa de balas no bolso e encaminhou-se para seu posto. A chamada dos eleitores começou às sete da manhã. Plantados junto da porta, os capangas"&amp;" do Trindade ofereciam cédulas com o nome dos candidatos oficiais a todos os eleitores que entravam. Estes, em sua quase totalidade, tomavam docilmente dos papeluchos e depositavam-nos na urna, depois de assinar a autêntica. Os que se recusavam a isso tin"&amp;"ham seus nomes acintosamente anotados.
VERÍSSIMO, E. O tempo e o vento. São Paulo: Globo, 2003 (adaptado).
Erico Veríssimo tematiza em obra ficcional o seguinte aspecto característico da vida política durante a Primeira República:")</f>
        <v>Rodrigo havia sido indicado pela oposição para fiscal duma das mesas eleitorais. Pôs o revólver na cintura, uma caixa de balas no bolso e encaminhou-se para seu posto. A chamada dos eleitores começou às sete da manhã. Plantados junto da porta, os capangas do Trindade ofereciam cédulas com o nome dos candidatos oficiais a todos os eleitores que entravam. Estes, em sua quase totalidade, tomavam docilmente dos papeluchos e depositavam-nos na urna, depois de assinar a autêntica. Os que se recusavam a isso tinham seus nomes acintosamente anotados.
VERÍSSIMO, E. O tempo e o vento. São Paulo: Globo, 2003 (adaptado).
Erico Veríssimo tematiza em obra ficcional o seguinte aspecto característico da vida política durante a Primeira República:</v>
      </c>
      <c r="M228" s="4" t="str">
        <f ca="1">IFERROR(__xludf.DUMMYFUNCTION("""COMPUTED_VALUE"""),"Identificação forçada de homens analfabetos.")</f>
        <v>Identificação forçada de homens analfabetos.</v>
      </c>
      <c r="N228" s="4" t="str">
        <f ca="1">IFERROR(__xludf.DUMMYFUNCTION("""COMPUTED_VALUE"""),"Coação de eleitores a mando de um poderoso local.")</f>
        <v>Coação de eleitores a mando de um poderoso local.</v>
      </c>
      <c r="O228" s="4" t="str">
        <f ca="1">IFERROR(__xludf.DUMMYFUNCTION("""COMPUTED_VALUE"""),"Monitoramento legal dos pleitos legislativos.")</f>
        <v>Monitoramento legal dos pleitos legislativos.</v>
      </c>
      <c r="P228" s="4" t="str">
        <f ca="1">IFERROR(__xludf.DUMMYFUNCTION("""COMPUTED_VALUE"""),"Propaganda direcionada à população do campo.")</f>
        <v>Propaganda direcionada à população do campo.</v>
      </c>
      <c r="Q228" s="4" t="str">
        <f ca="1">IFERROR(__xludf.DUMMYFUNCTION("""COMPUTED_VALUE"""),"Cerceamento policial dos operários sindicalizados.")</f>
        <v>Cerceamento policial dos operários sindicalizados.</v>
      </c>
      <c r="R228" s="4"/>
      <c r="S228" s="4"/>
      <c r="T228" s="4"/>
      <c r="U228" s="4"/>
      <c r="V228" s="4"/>
      <c r="W228" s="4"/>
      <c r="X228" s="4"/>
      <c r="Y228" s="4"/>
      <c r="Z228" s="4"/>
    </row>
    <row r="229" spans="1:26" x14ac:dyDescent="0.25">
      <c r="A229" s="3" t="str">
        <f ca="1">IFERROR(__xludf.DUMMYFUNCTION("""COMPUTED_VALUE"""),"https://drive.google.com/open?id=1H8G69Umq1or4bjIynNXEULej2i-_Q6FN")</f>
        <v>https://drive.google.com/open?id=1H8G69Umq1or4bjIynNXEULej2i-_Q6FN</v>
      </c>
      <c r="B229" s="4" t="str">
        <f ca="1">IFERROR(__xludf.DUMMYFUNCTION("""COMPUTED_VALUE"""),"Enem")</f>
        <v>Enem</v>
      </c>
      <c r="C229" s="4">
        <f ca="1">IFERROR(__xludf.DUMMYFUNCTION("""COMPUTED_VALUE"""),2018)</f>
        <v>2018</v>
      </c>
      <c r="D229" s="4" t="str">
        <f ca="1">IFERROR(__xludf.DUMMYFUNCTION("""COMPUTED_VALUE"""),"Ciências Humanas")</f>
        <v>Ciências Humanas</v>
      </c>
      <c r="E229" s="4" t="str">
        <f ca="1">IFERROR(__xludf.DUMMYFUNCTION("""COMPUTED_VALUE"""),"História")</f>
        <v>História</v>
      </c>
      <c r="F229" s="4" t="str">
        <f ca="1">IFERROR(__xludf.DUMMYFUNCTION("""COMPUTED_VALUE"""),"História Geral")</f>
        <v>História Geral</v>
      </c>
      <c r="G229" s="4"/>
      <c r="H229" s="4"/>
      <c r="I229" s="4" t="str">
        <f ca="1">IFERROR(__xludf.DUMMYFUNCTION("""COMPUTED_VALUE"""),"Azul")</f>
        <v>Azul</v>
      </c>
      <c r="J229" s="4">
        <f ca="1">IFERROR(__xludf.DUMMYFUNCTION("""COMPUTED_VALUE"""),85)</f>
        <v>85</v>
      </c>
      <c r="K229" s="4" t="str">
        <f ca="1">IFERROR(__xludf.DUMMYFUNCTION("""COMPUTED_VALUE"""),"A")</f>
        <v>A</v>
      </c>
      <c r="L229" s="4" t="str">
        <f ca="1">IFERROR(__xludf.DUMMYFUNCTION("""COMPUTED_VALUE"""),"Então disse: “Este é o local onde construirei. Tudo pode chegar aqui pelo Eufrates, o Tigre e uma rede de canais. Só um lugar como este sustentará o exército e a população geral”. Assim ele traçou e destinou as verbas para a sua construção, e deitou o pri"&amp;"meiro tijolo com sua própria mão, dizendo: “Em nome de Deus, e em louvor a Ele. Construí, e que Deus vos abençoe”.
AL-TABARI, M. Uma história dos povos árabes. São Paulo: Cia. das Letras, 1995 (adaptado).
A decisão do califa Al-Mansur (754-775) de const"&amp;"ruir Bagdá nesse local orientou-se pela
")</f>
        <v xml:space="preserve">Então disse: “Este é o local onde construirei. Tudo pode chegar aqui pelo Eufrates, o Tigre e uma rede de canais. Só um lugar como este sustentará o exército e a população geral”. Assim ele traçou e destinou as verbas para a sua construção, e deitou o primeiro tijolo com sua própria mão, dizendo: “Em nome de Deus, e em louvor a Ele. Construí, e que Deus vos abençoe”.
AL-TABARI, M. Uma história dos povos árabes. São Paulo: Cia. das Letras, 1995 (adaptado).
A decisão do califa Al-Mansur (754-775) de construir Bagdá nesse local orientou-se pela
</v>
      </c>
      <c r="M229" s="4" t="str">
        <f ca="1">IFERROR(__xludf.DUMMYFUNCTION("""COMPUTED_VALUE"""),"disponibilidade de rotas e terras férteis como base da dominação política.
")</f>
        <v xml:space="preserve">disponibilidade de rotas e terras férteis como base da dominação política.
</v>
      </c>
      <c r="N229" s="4" t="str">
        <f ca="1">IFERROR(__xludf.DUMMYFUNCTION("""COMPUTED_VALUE"""),"proximidade de áreas populosas como afirmação da superioridade bélica.
")</f>
        <v xml:space="preserve">proximidade de áreas populosas como afirmação da superioridade bélica.
</v>
      </c>
      <c r="O229" s="4" t="str">
        <f ca="1">IFERROR(__xludf.DUMMYFUNCTION("""COMPUTED_VALUE"""),"submissão à hierarquia e à lei islâmica como controle do poder real.
")</f>
        <v xml:space="preserve">submissão à hierarquia e à lei islâmica como controle do poder real.
</v>
      </c>
      <c r="P229" s="4" t="str">
        <f ca="1">IFERROR(__xludf.DUMMYFUNCTION("""COMPUTED_VALUE"""),"fuga da península arábica como afastamento dos conflitos sucessórios.
")</f>
        <v xml:space="preserve">fuga da península arábica como afastamento dos conflitos sucessórios.
</v>
      </c>
      <c r="Q229" s="4" t="str">
        <f ca="1">IFERROR(__xludf.DUMMYFUNCTION("""COMPUTED_VALUE"""),"ocupação de região fronteiriça como contenção do avanço mongol.
")</f>
        <v xml:space="preserve">ocupação de região fronteiriça como contenção do avanço mongol.
</v>
      </c>
      <c r="R229" s="4"/>
      <c r="S229" s="4"/>
      <c r="T229" s="4"/>
      <c r="U229" s="4"/>
      <c r="V229" s="4"/>
      <c r="W229" s="4"/>
      <c r="X229" s="4"/>
      <c r="Y229" s="4"/>
      <c r="Z229" s="4"/>
    </row>
    <row r="230" spans="1:26" x14ac:dyDescent="0.25">
      <c r="A230" s="3" t="str">
        <f ca="1">IFERROR(__xludf.DUMMYFUNCTION("""COMPUTED_VALUE"""),"https://drive.google.com/open?id=1M1F1OjCtrHInEt5tADTxHyqRwp4JZKBJ")</f>
        <v>https://drive.google.com/open?id=1M1F1OjCtrHInEt5tADTxHyqRwp4JZKBJ</v>
      </c>
      <c r="B230" s="4" t="str">
        <f ca="1">IFERROR(__xludf.DUMMYFUNCTION("""COMPUTED_VALUE"""),"Enem")</f>
        <v>Enem</v>
      </c>
      <c r="C230" s="4">
        <f ca="1">IFERROR(__xludf.DUMMYFUNCTION("""COMPUTED_VALUE"""),2018)</f>
        <v>2018</v>
      </c>
      <c r="D230" s="4" t="str">
        <f ca="1">IFERROR(__xludf.DUMMYFUNCTION("""COMPUTED_VALUE"""),"Matemática")</f>
        <v>Matemática</v>
      </c>
      <c r="E230" s="4" t="str">
        <f ca="1">IFERROR(__xludf.DUMMYFUNCTION("""COMPUTED_VALUE"""),"Matemática")</f>
        <v>Matemática</v>
      </c>
      <c r="F230" s="4" t="str">
        <f ca="1">IFERROR(__xludf.DUMMYFUNCTION("""COMPUTED_VALUE"""),"Geometria")</f>
        <v>Geometria</v>
      </c>
      <c r="G230" s="4"/>
      <c r="H230" s="4"/>
      <c r="I230" s="4" t="str">
        <f ca="1">IFERROR(__xludf.DUMMYFUNCTION("""COMPUTED_VALUE"""),"Amarelo")</f>
        <v>Amarelo</v>
      </c>
      <c r="J230" s="4">
        <f ca="1">IFERROR(__xludf.DUMMYFUNCTION("""COMPUTED_VALUE"""),146)</f>
        <v>146</v>
      </c>
      <c r="K230" s="4" t="str">
        <f ca="1">IFERROR(__xludf.DUMMYFUNCTION("""COMPUTED_VALUE"""),"A")</f>
        <v>A</v>
      </c>
      <c r="L230" s="4" t="str">
        <f ca="1">IFERROR(__xludf.DUMMYFUNCTION("""COMPUTED_VALUE"""),"Minecraft é um jogo virtual que pode auxiliar no desenvolvimento de conhecimentos 
relacionados a espaço e forma. É possível criar casas, edifícios, monumentos e até 
naves espaciais, tudo em escala real, através do empilhamento de cubinhos.
Um jogador de"&amp;"seja construir um cubo com dimensões 4 u 4 u 4. Ele já empilhou 
alguns dos cubinhos necessários, conforme a figura.
[IMAGEM CONTIDA NO ARQUIVO]
Os cubinhos que ainda faltam empilhar para finalizar a construção do cubo, juntos, formam uma peça única, capa"&amp;"z de completar a tarefa.
O formato da peça capaz de completar o cubo 4 X 4 X 4 é:")</f>
        <v>Minecraft é um jogo virtual que pode auxiliar no desenvolvimento de conhecimentos 
relacionados a espaço e forma. É possível criar casas, edifícios, monumentos e até 
naves espaciais, tudo em escala real, através do empilhamento de cubinhos.
Um jogador deseja construir um cubo com dimensões 4 u 4 u 4. Ele já empilhou 
alguns dos cubinhos necessários, conforme a figura.
[IMAGEM CONTIDA NO ARQUIVO]
Os cubinhos que ainda faltam empilhar para finalizar a construção do cubo, juntos, formam uma peça única, capaz de completar a tarefa.
O formato da peça capaz de completar o cubo 4 X 4 X 4 é:</v>
      </c>
      <c r="M230" s="4" t="str">
        <f ca="1">IFERROR(__xludf.DUMMYFUNCTION("""COMPUTED_VALUE"""),"[IMAGEM CONTIDA NO ARQUIVO]")</f>
        <v>[IMAGEM CONTIDA NO ARQUIVO]</v>
      </c>
      <c r="N230" s="4" t="str">
        <f ca="1">IFERROR(__xludf.DUMMYFUNCTION("""COMPUTED_VALUE"""),"[IMAGEM CONTIDA NO ARQUIVO]")</f>
        <v>[IMAGEM CONTIDA NO ARQUIVO]</v>
      </c>
      <c r="O230" s="4" t="str">
        <f ca="1">IFERROR(__xludf.DUMMYFUNCTION("""COMPUTED_VALUE"""),"[IMAGEM CONTIDA NO ARQUIVO]")</f>
        <v>[IMAGEM CONTIDA NO ARQUIVO]</v>
      </c>
      <c r="P230" s="4" t="str">
        <f ca="1">IFERROR(__xludf.DUMMYFUNCTION("""COMPUTED_VALUE"""),"[IMAGEM CONTIDA NO ARQUIVO]")</f>
        <v>[IMAGEM CONTIDA NO ARQUIVO]</v>
      </c>
      <c r="Q230" s="4" t="str">
        <f ca="1">IFERROR(__xludf.DUMMYFUNCTION("""COMPUTED_VALUE"""),"[IMAGEM CONTIDA NO ARQUIVO]")</f>
        <v>[IMAGEM CONTIDA NO ARQUIVO]</v>
      </c>
      <c r="R230" s="4"/>
      <c r="S230" s="4"/>
      <c r="T230" s="4"/>
      <c r="U230" s="4"/>
      <c r="V230" s="4"/>
      <c r="W230" s="4"/>
      <c r="X230" s="4"/>
      <c r="Y230" s="4"/>
      <c r="Z230" s="4"/>
    </row>
    <row r="231" spans="1:26" x14ac:dyDescent="0.25">
      <c r="A231" s="3" t="str">
        <f ca="1">IFERROR(__xludf.DUMMYFUNCTION("""COMPUTED_VALUE"""),"https://drive.google.com/open?id=1etxKDhUwTi__KD2CLFibMaTM36cc4m4B")</f>
        <v>https://drive.google.com/open?id=1etxKDhUwTi__KD2CLFibMaTM36cc4m4B</v>
      </c>
      <c r="B231" s="4" t="str">
        <f ca="1">IFERROR(__xludf.DUMMYFUNCTION("""COMPUTED_VALUE"""),"Enem")</f>
        <v>Enem</v>
      </c>
      <c r="C231" s="4">
        <f ca="1">IFERROR(__xludf.DUMMYFUNCTION("""COMPUTED_VALUE"""),2018)</f>
        <v>2018</v>
      </c>
      <c r="D231" s="4" t="str">
        <f ca="1">IFERROR(__xludf.DUMMYFUNCTION("""COMPUTED_VALUE"""),"Matemática")</f>
        <v>Matemática</v>
      </c>
      <c r="E231" s="4" t="str">
        <f ca="1">IFERROR(__xludf.DUMMYFUNCTION("""COMPUTED_VALUE"""),"Matemática")</f>
        <v>Matemática</v>
      </c>
      <c r="F231" s="4" t="str">
        <f ca="1">IFERROR(__xludf.DUMMYFUNCTION("""COMPUTED_VALUE"""),"Aritmética e Algebra")</f>
        <v>Aritmética e Algebra</v>
      </c>
      <c r="G231" s="4"/>
      <c r="H231" s="4"/>
      <c r="I231" s="4" t="str">
        <f ca="1">IFERROR(__xludf.DUMMYFUNCTION("""COMPUTED_VALUE"""),"Amarelo")</f>
        <v>Amarelo</v>
      </c>
      <c r="J231" s="4">
        <f ca="1">IFERROR(__xludf.DUMMYFUNCTION("""COMPUTED_VALUE"""),147)</f>
        <v>147</v>
      </c>
      <c r="K231" s="4" t="str">
        <f ca="1">IFERROR(__xludf.DUMMYFUNCTION("""COMPUTED_VALUE"""),"D")</f>
        <v>D</v>
      </c>
      <c r="L231" s="4" t="str">
        <f ca="1">IFERROR(__xludf.DUMMYFUNCTION("""COMPUTED_VALUE"""),"De acordo com um relatório recente da Agência Internacional de Energia (AIE),
o mercado de veículos elétricos atingiu um novo marco em 2016, quando foram vendidos 
mais de 750 mil automóveis da categoria.Com isso, o total de carros elétricos vendidos 
no "&amp;"mundo alcançou a marca de 2 milhões de unidades desde que os primeiros modelos 
começaram a ser comercializados em 2011.
No Brasil, a expansão das vendas também se verifica. A marca A, por exemplo, expandiu suas vendas no ano de 2016, superando em 360 uni"&amp;"dades as vendas de 2015, conforme representado no gráfico.
[IMAGEM CONTIDA NO ARQUIVO]
A média anual do número de carros vendidos pela marca A, nos anos representados no 
gráfico, foi de:")</f>
        <v>De acordo com um relatório recente da Agência Internacional de Energia (AIE),
o mercado de veículos elétricos atingiu um novo marco em 2016, quando foram vendidos 
mais de 750 mil automóveis da categoria.Com isso, o total de carros elétricos vendidos 
no mundo alcançou a marca de 2 milhões de unidades desde que os primeiros modelos 
começaram a ser comercializados em 2011.
No Brasil, a expansão das vendas também se verifica. A marca A, por exemplo, expandiu suas vendas no ano de 2016, superando em 360 unidades as vendas de 2015, conforme representado no gráfico.
[IMAGEM CONTIDA NO ARQUIVO]
A média anual do número de carros vendidos pela marca A, nos anos representados no 
gráfico, foi de:</v>
      </c>
      <c r="M231" s="4" t="str">
        <f ca="1">IFERROR(__xludf.DUMMYFUNCTION("""COMPUTED_VALUE"""),"192")</f>
        <v>192</v>
      </c>
      <c r="N231" s="4" t="str">
        <f ca="1">IFERROR(__xludf.DUMMYFUNCTION("""COMPUTED_VALUE"""),"240")</f>
        <v>240</v>
      </c>
      <c r="O231" s="4" t="str">
        <f ca="1">IFERROR(__xludf.DUMMYFUNCTION("""COMPUTED_VALUE"""),"252")</f>
        <v>252</v>
      </c>
      <c r="P231" s="4" t="str">
        <f ca="1">IFERROR(__xludf.DUMMYFUNCTION("""COMPUTED_VALUE"""),"320")</f>
        <v>320</v>
      </c>
      <c r="Q231" s="4" t="str">
        <f ca="1">IFERROR(__xludf.DUMMYFUNCTION("""COMPUTED_VALUE"""),"420")</f>
        <v>420</v>
      </c>
      <c r="R231" s="4"/>
      <c r="S231" s="4"/>
      <c r="T231" s="4"/>
      <c r="U231" s="4"/>
      <c r="V231" s="4"/>
      <c r="W231" s="4"/>
      <c r="X231" s="4"/>
      <c r="Y231" s="4"/>
      <c r="Z231" s="4"/>
    </row>
    <row r="232" spans="1:26" x14ac:dyDescent="0.25">
      <c r="A232" s="3" t="str">
        <f ca="1">IFERROR(__xludf.DUMMYFUNCTION("""COMPUTED_VALUE"""),"https://drive.google.com/open?id=12OmEqMtuYrbXpmfLeXEKn-zP2uc5R3QX")</f>
        <v>https://drive.google.com/open?id=12OmEqMtuYrbXpmfLeXEKn-zP2uc5R3QX</v>
      </c>
      <c r="B232" s="4" t="str">
        <f ca="1">IFERROR(__xludf.DUMMYFUNCTION("""COMPUTED_VALUE"""),"Enem")</f>
        <v>Enem</v>
      </c>
      <c r="C232" s="4">
        <f ca="1">IFERROR(__xludf.DUMMYFUNCTION("""COMPUTED_VALUE"""),2018)</f>
        <v>2018</v>
      </c>
      <c r="D232" s="4" t="str">
        <f ca="1">IFERROR(__xludf.DUMMYFUNCTION("""COMPUTED_VALUE"""),"Matemática")</f>
        <v>Matemática</v>
      </c>
      <c r="E232" s="4" t="str">
        <f ca="1">IFERROR(__xludf.DUMMYFUNCTION("""COMPUTED_VALUE"""),"Matemática")</f>
        <v>Matemática</v>
      </c>
      <c r="F232" s="4" t="str">
        <f ca="1">IFERROR(__xludf.DUMMYFUNCTION("""COMPUTED_VALUE"""),"Aritmética e Algebra")</f>
        <v>Aritmética e Algebra</v>
      </c>
      <c r="G232" s="4"/>
      <c r="H232" s="4"/>
      <c r="I232" s="4" t="str">
        <f ca="1">IFERROR(__xludf.DUMMYFUNCTION("""COMPUTED_VALUE"""),"Amarelo")</f>
        <v>Amarelo</v>
      </c>
      <c r="J232" s="4">
        <f ca="1">IFERROR(__xludf.DUMMYFUNCTION("""COMPUTED_VALUE"""),148)</f>
        <v>148</v>
      </c>
      <c r="K232" s="4" t="str">
        <f ca="1">IFERROR(__xludf.DUMMYFUNCTION("""COMPUTED_VALUE"""),"B")</f>
        <v>B</v>
      </c>
      <c r="L232" s="4" t="str">
        <f ca="1">IFERROR(__xludf.DUMMYFUNCTION("""COMPUTED_VALUE"""),"Para apagar os focos A e B de um incêndio, que estavam a uma distância de 30 m um 
do outro, os bombeiros de um quartel decidiram se posicionar de modo que a distância de 
um bombeiro ao foco A, de temperatura mais elevada, fosse sempre o dobro da distânc"&amp;"ia 
desse bombeiro ao foco B, de temperatura menos elevada.
Nestas condições, a maior distância, em metro, que dois bombeiros poderiam ter entre 
eles é:")</f>
        <v>Para apagar os focos A e B de um incêndio, que estavam a uma distância de 30 m um 
do outro, os bombeiros de um quartel decidiram se posicionar de modo que a distância de 
um bombeiro ao foco A, de temperatura mais elevada, fosse sempre o dobro da distância 
desse bombeiro ao foco B, de temperatura menos elevada.
Nestas condições, a maior distância, em metro, que dois bombeiros poderiam ter entre 
eles é:</v>
      </c>
      <c r="M232" s="4" t="str">
        <f ca="1">IFERROR(__xludf.DUMMYFUNCTION("""COMPUTED_VALUE"""),"30.")</f>
        <v>30.</v>
      </c>
      <c r="N232" s="4" t="str">
        <f ca="1">IFERROR(__xludf.DUMMYFUNCTION("""COMPUTED_VALUE"""),"40.")</f>
        <v>40.</v>
      </c>
      <c r="O232" s="4" t="str">
        <f ca="1">IFERROR(__xludf.DUMMYFUNCTION("""COMPUTED_VALUE"""),"45.")</f>
        <v>45.</v>
      </c>
      <c r="P232" s="4" t="str">
        <f ca="1">IFERROR(__xludf.DUMMYFUNCTION("""COMPUTED_VALUE"""),"60.")</f>
        <v>60.</v>
      </c>
      <c r="Q232" s="4" t="str">
        <f ca="1">IFERROR(__xludf.DUMMYFUNCTION("""COMPUTED_VALUE"""),"68.")</f>
        <v>68.</v>
      </c>
      <c r="R232" s="4"/>
      <c r="S232" s="4"/>
      <c r="T232" s="4"/>
      <c r="U232" s="4"/>
      <c r="V232" s="4"/>
      <c r="W232" s="4"/>
      <c r="X232" s="4"/>
      <c r="Y232" s="4"/>
      <c r="Z232" s="4"/>
    </row>
    <row r="233" spans="1:26" x14ac:dyDescent="0.25">
      <c r="A233" s="3" t="str">
        <f ca="1">IFERROR(__xludf.DUMMYFUNCTION("""COMPUTED_VALUE"""),"https://drive.google.com/open?id=18e4SIOMb8NNveNs3pypqLpKZ-wWDV63-")</f>
        <v>https://drive.google.com/open?id=18e4SIOMb8NNveNs3pypqLpKZ-wWDV63-</v>
      </c>
      <c r="B233" s="4" t="str">
        <f ca="1">IFERROR(__xludf.DUMMYFUNCTION("""COMPUTED_VALUE"""),"Enem")</f>
        <v>Enem</v>
      </c>
      <c r="C233" s="4">
        <f ca="1">IFERROR(__xludf.DUMMYFUNCTION("""COMPUTED_VALUE"""),2018)</f>
        <v>2018</v>
      </c>
      <c r="D233" s="4" t="str">
        <f ca="1">IFERROR(__xludf.DUMMYFUNCTION("""COMPUTED_VALUE"""),"Matemática")</f>
        <v>Matemática</v>
      </c>
      <c r="E233" s="4" t="str">
        <f ca="1">IFERROR(__xludf.DUMMYFUNCTION("""COMPUTED_VALUE"""),"Matemática")</f>
        <v>Matemática</v>
      </c>
      <c r="F233" s="4" t="str">
        <f ca="1">IFERROR(__xludf.DUMMYFUNCTION("""COMPUTED_VALUE"""),"Aritmética e Algebra")</f>
        <v>Aritmética e Algebra</v>
      </c>
      <c r="G233" s="4"/>
      <c r="H233" s="4"/>
      <c r="I233" s="4" t="str">
        <f ca="1">IFERROR(__xludf.DUMMYFUNCTION("""COMPUTED_VALUE"""),"Amarelo")</f>
        <v>Amarelo</v>
      </c>
      <c r="J233" s="4">
        <f ca="1">IFERROR(__xludf.DUMMYFUNCTION("""COMPUTED_VALUE"""),149)</f>
        <v>149</v>
      </c>
      <c r="K233" s="4" t="str">
        <f ca="1">IFERROR(__xludf.DUMMYFUNCTION("""COMPUTED_VALUE"""),"E")</f>
        <v>E</v>
      </c>
      <c r="L233" s="4" t="str">
        <f ca="1">IFERROR(__xludf.DUMMYFUNCTION("""COMPUTED_VALUE"""),"Torneios de tênis, em geral, são disputados em sistema de eliminatória simples. 
Nesse sistema, são disputadas partidas entre dois competidores, com a eliminação do 
perdedor e promoção do vencedor para a fase seguinte. Dessa forma, se na 1a
 fase o 
torn"&amp;"eio conta com 2n competidores, então na 2a fase restarão n competidores, e assim sucessivamente até a partida final.
Em um torneio de tênis, disputado nesse sistema, participam 128 tenistas.
Para se definir o campeão desse torneio, o número de partidas ne"&amp;"cessárias é dado por:")</f>
        <v>Torneios de tênis, em geral, são disputados em sistema de eliminatória simples. 
Nesse sistema, são disputadas partidas entre dois competidores, com a eliminação do 
perdedor e promoção do vencedor para a fase seguinte. Dessa forma, se na 1a
 fase o 
torneio conta com 2n competidores, então na 2a fase restarão n competidores, e assim sucessivamente até a partida final.
Em um torneio de tênis, disputado nesse sistema, participam 128 tenistas.
Para se definir o campeão desse torneio, o número de partidas necessárias é dado por:</v>
      </c>
      <c r="M233" s="4" t="str">
        <f ca="1">IFERROR(__xludf.DUMMYFUNCTION("""COMPUTED_VALUE"""),"2 X 128")</f>
        <v>2 X 128</v>
      </c>
      <c r="N233" s="4" t="str">
        <f ca="1">IFERROR(__xludf.DUMMYFUNCTION("""COMPUTED_VALUE"""),"64 + 32 + 16 + 8 + 4 + 2")</f>
        <v>64 + 32 + 16 + 8 + 4 + 2</v>
      </c>
      <c r="O233" s="4" t="str">
        <f ca="1">IFERROR(__xludf.DUMMYFUNCTION("""COMPUTED_VALUE""")," 128 + 64 + 32 + 16 + 8 + 4 + 2 + 1")</f>
        <v xml:space="preserve"> 128 + 64 + 32 + 16 + 8 + 4 + 2 + 1</v>
      </c>
      <c r="P233" s="4" t="str">
        <f ca="1">IFERROR(__xludf.DUMMYFUNCTION("""COMPUTED_VALUE""")," 128 + 64 + 32 + 16 + 8 + 4 + 2")</f>
        <v xml:space="preserve"> 128 + 64 + 32 + 16 + 8 + 4 + 2</v>
      </c>
      <c r="Q233" s="4" t="str">
        <f ca="1">IFERROR(__xludf.DUMMYFUNCTION("""COMPUTED_VALUE""")," 64 + 32 + 16 + 8 + 4 + 2 + 1")</f>
        <v xml:space="preserve"> 64 + 32 + 16 + 8 + 4 + 2 + 1</v>
      </c>
      <c r="R233" s="4"/>
      <c r="S233" s="4"/>
      <c r="T233" s="4"/>
      <c r="U233" s="4"/>
      <c r="V233" s="4"/>
      <c r="W233" s="4"/>
      <c r="X233" s="4"/>
      <c r="Y233" s="4"/>
      <c r="Z233" s="4"/>
    </row>
    <row r="234" spans="1:26" x14ac:dyDescent="0.25">
      <c r="A234" s="3" t="str">
        <f ca="1">IFERROR(__xludf.DUMMYFUNCTION("""COMPUTED_VALUE"""),"https://drive.google.com/open?id=1DPbLakWjNCwHrmLj7ZChKEiGoG5TxkKu")</f>
        <v>https://drive.google.com/open?id=1DPbLakWjNCwHrmLj7ZChKEiGoG5TxkKu</v>
      </c>
      <c r="B234" s="4" t="str">
        <f ca="1">IFERROR(__xludf.DUMMYFUNCTION("""COMPUTED_VALUE"""),"Enem")</f>
        <v>Enem</v>
      </c>
      <c r="C234" s="4">
        <f ca="1">IFERROR(__xludf.DUMMYFUNCTION("""COMPUTED_VALUE"""),2018)</f>
        <v>2018</v>
      </c>
      <c r="D234" s="4" t="str">
        <f ca="1">IFERROR(__xludf.DUMMYFUNCTION("""COMPUTED_VALUE"""),"Matemática")</f>
        <v>Matemática</v>
      </c>
      <c r="E234" s="4" t="str">
        <f ca="1">IFERROR(__xludf.DUMMYFUNCTION("""COMPUTED_VALUE"""),"Matemática")</f>
        <v>Matemática</v>
      </c>
      <c r="F234" s="4" t="str">
        <f ca="1">IFERROR(__xludf.DUMMYFUNCTION("""COMPUTED_VALUE"""),"Aritmética e Algebra")</f>
        <v>Aritmética e Algebra</v>
      </c>
      <c r="G234" s="4"/>
      <c r="H234" s="4"/>
      <c r="I234" s="4" t="str">
        <f ca="1">IFERROR(__xludf.DUMMYFUNCTION("""COMPUTED_VALUE"""),"Amarelo")</f>
        <v>Amarelo</v>
      </c>
      <c r="J234" s="4">
        <f ca="1">IFERROR(__xludf.DUMMYFUNCTION("""COMPUTED_VALUE"""),150)</f>
        <v>150</v>
      </c>
      <c r="K234" s="4" t="str">
        <f ca="1">IFERROR(__xludf.DUMMYFUNCTION("""COMPUTED_VALUE"""),"E")</f>
        <v>E</v>
      </c>
      <c r="L234" s="4" t="str">
        <f ca="1">IFERROR(__xludf.DUMMYFUNCTION("""COMPUTED_VALUE"""),"O artigo 33 da lei brasileira sobre drogas prevê a pena de reclusão de 5 a 15 anos 
para qualquer pessoa que seja condenada por tráfico ilícito ou produção não autorizada
de drogas. Entretanto, caso o condenado seja réu primário, com bons antecedentes 
cr"&amp;"iminais, essa pena pode sofrer uma redução de um sexto a dois terços.
Suponha que um réu primário, com bons antecedentes criminais, foi condenado pelo 
artigo 33 da lei brasileira sobre drogas.
Após o benefício da redução de pena, sua pena poderá variar d"&amp;"e:")</f>
        <v>O artigo 33 da lei brasileira sobre drogas prevê a pena de reclusão de 5 a 15 anos 
para qualquer pessoa que seja condenada por tráfico ilícito ou produção não autorizada
de drogas. Entretanto, caso o condenado seja réu primário, com bons antecedentes 
criminais, essa pena pode sofrer uma redução de um sexto a dois terços.
Suponha que um réu primário, com bons antecedentes criminais, foi condenado pelo 
artigo 33 da lei brasileira sobre drogas.
Após o benefício da redução de pena, sua pena poderá variar de:</v>
      </c>
      <c r="M234" s="4" t="str">
        <f ca="1">IFERROR(__xludf.DUMMYFUNCTION("""COMPUTED_VALUE"""),"1 ano e 8 meses a 12 anos e 6 meses.")</f>
        <v>1 ano e 8 meses a 12 anos e 6 meses.</v>
      </c>
      <c r="N234" s="4" t="str">
        <f ca="1">IFERROR(__xludf.DUMMYFUNCTION("""COMPUTED_VALUE"""),"1 ano e 8 meses a 5 anos.")</f>
        <v>1 ano e 8 meses a 5 anos.</v>
      </c>
      <c r="O234" s="4" t="str">
        <f ca="1">IFERROR(__xludf.DUMMYFUNCTION("""COMPUTED_VALUE"""),"3 anos e 4 meses a 10 anos.")</f>
        <v>3 anos e 4 meses a 10 anos.</v>
      </c>
      <c r="P234" s="4" t="str">
        <f ca="1">IFERROR(__xludf.DUMMYFUNCTION("""COMPUTED_VALUE"""),"4 anos e 2 meses a 5 anos.")</f>
        <v>4 anos e 2 meses a 5 anos.</v>
      </c>
      <c r="Q234" s="4" t="str">
        <f ca="1">IFERROR(__xludf.DUMMYFUNCTION("""COMPUTED_VALUE"""),"4 anos e 2 meses a 12 anos e 6 meses.")</f>
        <v>4 anos e 2 meses a 12 anos e 6 meses.</v>
      </c>
      <c r="R234" s="4"/>
      <c r="S234" s="4"/>
      <c r="T234" s="4"/>
      <c r="U234" s="4"/>
      <c r="V234" s="4"/>
      <c r="W234" s="4"/>
      <c r="X234" s="4"/>
      <c r="Y234" s="4"/>
      <c r="Z234" s="4"/>
    </row>
    <row r="235" spans="1:26" x14ac:dyDescent="0.25">
      <c r="A235" s="3" t="str">
        <f ca="1">IFERROR(__xludf.DUMMYFUNCTION("""COMPUTED_VALUE"""),"https://drive.google.com/open?id=1U49CwkQkyrK4PlqSdTqIiUjKrpEg0RNn")</f>
        <v>https://drive.google.com/open?id=1U49CwkQkyrK4PlqSdTqIiUjKrpEg0RNn</v>
      </c>
      <c r="B235" s="4" t="str">
        <f ca="1">IFERROR(__xludf.DUMMYFUNCTION("""COMPUTED_VALUE"""),"Enem")</f>
        <v>Enem</v>
      </c>
      <c r="C235" s="4">
        <f ca="1">IFERROR(__xludf.DUMMYFUNCTION("""COMPUTED_VALUE"""),2019)</f>
        <v>2019</v>
      </c>
      <c r="D235" s="4" t="str">
        <f ca="1">IFERROR(__xludf.DUMMYFUNCTION("""COMPUTED_VALUE"""),"Ciências Humanas")</f>
        <v>Ciências Humanas</v>
      </c>
      <c r="E235" s="4" t="str">
        <f ca="1">IFERROR(__xludf.DUMMYFUNCTION("""COMPUTED_VALUE"""),"História")</f>
        <v>História</v>
      </c>
      <c r="F235" s="4" t="str">
        <f ca="1">IFERROR(__xludf.DUMMYFUNCTION("""COMPUTED_VALUE"""),"História do Brasil")</f>
        <v>História do Brasil</v>
      </c>
      <c r="G235" s="4"/>
      <c r="H235" s="4"/>
      <c r="I235" s="4" t="str">
        <f ca="1">IFERROR(__xludf.DUMMYFUNCTION("""COMPUTED_VALUE"""),"Amarelo")</f>
        <v>Amarelo</v>
      </c>
      <c r="J235" s="4">
        <f ca="1">IFERROR(__xludf.DUMMYFUNCTION("""COMPUTED_VALUE"""),48)</f>
        <v>48</v>
      </c>
      <c r="K235" s="4" t="str">
        <f ca="1">IFERROR(__xludf.DUMMYFUNCTION("""COMPUTED_VALUE"""),"A")</f>
        <v>A</v>
      </c>
      <c r="L235" s="4" t="str">
        <f ca="1">IFERROR(__xludf.DUMMYFUNCTION("""COMPUTED_VALUE"""),"O processamento da mandioca era uma atividade já realizada pelos nativos que viviam no Brasil antes da chegada de portugueses e africanos. Entretanto, ao longo do processo de colonização portuguesa, a produção da farinha foi aperfeiçoada e ampliada, torna"&amp;"ndo-se lugar comum em todo o território da colônia portuguesa na América. Com a consolidação do comércio atlântico em suas diferentes conexões, a farinha atravessou os mares e chegou aos mercados africanos.
BEZERRA, N. R. Escravidão, farinha e tráfico at"&amp;"lântico: um novo olhar sobre as relações entre o Rio de Janeiro e Benguela (1790-1830). Disponível em: www.bn.br. Acesso em: 20 ago. 2014 (adaptado)
Considerando a formação do espaço atlântico, esse produto exemplifica historicamente a")</f>
        <v>O processamento da mandioca era uma atividade já realizada pelos nativos que viviam no Brasil antes da chegada de portugueses e africanos. Entretanto, ao longo do processo de colonização portuguesa, a produção da farinha foi aperfeiçoada e ampliada, tornando-se lugar comum em todo o território da colônia portuguesa na América. Com a consolidação do comércio atlântico em suas diferentes conexões, a farinha atravessou os mares e chegou aos mercados africanos.
BEZERRA, N. R. Escravidão, farinha e tráfico atlântico: um novo olhar sobre as relações entre o Rio de Janeiro e Benguela (1790-1830). Disponível em: www.bn.br. Acesso em: 20 ago. 2014 (adaptado)
Considerando a formação do espaço atlântico, esse produto exemplifica historicamente a</v>
      </c>
      <c r="M235" s="4" t="str">
        <f ca="1">IFERROR(__xludf.DUMMYFUNCTION("""COMPUTED_VALUE"""),"difusão de hábitos alimentares.
")</f>
        <v xml:space="preserve">difusão de hábitos alimentares.
</v>
      </c>
      <c r="N235" s="4" t="str">
        <f ca="1">IFERROR(__xludf.DUMMYFUNCTION("""COMPUTED_VALUE"""),"disseminação de rituais festivos.
")</f>
        <v xml:space="preserve">disseminação de rituais festivos.
</v>
      </c>
      <c r="O235" s="4" t="str">
        <f ca="1">IFERROR(__xludf.DUMMYFUNCTION("""COMPUTED_VALUE"""),"ampliação dos saberes autóctones.
")</f>
        <v xml:space="preserve">ampliação dos saberes autóctones.
</v>
      </c>
      <c r="P235" s="4" t="str">
        <f ca="1">IFERROR(__xludf.DUMMYFUNCTION("""COMPUTED_VALUE"""),"apropriação de costumes guerreiros.
")</f>
        <v xml:space="preserve">apropriação de costumes guerreiros.
</v>
      </c>
      <c r="Q235" s="4" t="str">
        <f ca="1">IFERROR(__xludf.DUMMYFUNCTION("""COMPUTED_VALUE"""),"diversificação de oferendas religiosas.
")</f>
        <v xml:space="preserve">diversificação de oferendas religiosas.
</v>
      </c>
      <c r="R235" s="4"/>
      <c r="S235" s="4"/>
      <c r="T235" s="4"/>
      <c r="U235" s="4"/>
      <c r="V235" s="4"/>
      <c r="W235" s="4"/>
      <c r="X235" s="4"/>
      <c r="Y235" s="4"/>
      <c r="Z235" s="4"/>
    </row>
    <row r="236" spans="1:26" x14ac:dyDescent="0.25">
      <c r="A236" s="3" t="str">
        <f ca="1">IFERROR(__xludf.DUMMYFUNCTION("""COMPUTED_VALUE"""),"https://drive.google.com/open?id=13g_liksEzYoZh2gxQ2O33xRWDRw7WWw-")</f>
        <v>https://drive.google.com/open?id=13g_liksEzYoZh2gxQ2O33xRWDRw7WWw-</v>
      </c>
      <c r="B236" s="4" t="str">
        <f ca="1">IFERROR(__xludf.DUMMYFUNCTION("""COMPUTED_VALUE"""),"Enem")</f>
        <v>Enem</v>
      </c>
      <c r="C236" s="4">
        <f ca="1">IFERROR(__xludf.DUMMYFUNCTION("""COMPUTED_VALUE"""),2019)</f>
        <v>2019</v>
      </c>
      <c r="D236" s="4" t="str">
        <f ca="1">IFERROR(__xludf.DUMMYFUNCTION("""COMPUTED_VALUE"""),"Ciências Humanas")</f>
        <v>Ciências Humanas</v>
      </c>
      <c r="E236" s="4" t="str">
        <f ca="1">IFERROR(__xludf.DUMMYFUNCTION("""COMPUTED_VALUE"""),"História")</f>
        <v>História</v>
      </c>
      <c r="F236" s="4" t="str">
        <f ca="1">IFERROR(__xludf.DUMMYFUNCTION("""COMPUTED_VALUE"""),"História Geral")</f>
        <v>História Geral</v>
      </c>
      <c r="G236" s="4"/>
      <c r="H236" s="4"/>
      <c r="I236" s="4" t="str">
        <f ca="1">IFERROR(__xludf.DUMMYFUNCTION("""COMPUTED_VALUE"""),"Amarelo")</f>
        <v>Amarelo</v>
      </c>
      <c r="J236" s="4">
        <f ca="1">IFERROR(__xludf.DUMMYFUNCTION("""COMPUTED_VALUE"""),49)</f>
        <v>49</v>
      </c>
      <c r="K236" s="4" t="str">
        <f ca="1">IFERROR(__xludf.DUMMYFUNCTION("""COMPUTED_VALUE"""),"B")</f>
        <v>B</v>
      </c>
      <c r="L236" s="4" t="str">
        <f ca="1">IFERROR(__xludf.DUMMYFUNCTION("""COMPUTED_VALUE"""),"Brasil, Alemanha, Japão e Índia pedem reforma do Conselho de Segurança
     Os representantes do G4 (Brasil, Alemanha, Índia e Japão) reiteraram, em setembro de 2018, a defesa pela ampliação do Conselho de Segurança da Organização das Nações Unidas (ONU)"&amp;" durante reunião em Nova York (Estados Unidos). Em declaração conjunta, de dez itens, os chanceleres destacaram que o órgão, no formato em que está, com apenas cinco membros permanentes e dez rotativos, não reflete o século 21. “A reforma do Conselho de S"&amp;"egurança é essencial para enfrentar os desafios complexos de hoje. Como aspirantes a novos membros permanentes de um conselho reformado, os ministros reiteraram seu compromisso de trabalhar para fortalecer o funcionamento da ONU e da ordem multilateral gl"&amp;"obal, bem como seu apoio às respectivas candidaturas”, afirma a declaração conjunta.
Disponível em: http://agenciabrasil.ebc.com.br. Acesso em: 7 dez. 2018 (adaptado).
Os países mencionados no texto justificam sua pretensão com base na seguinte carac"&amp;"terística comum:")</f>
        <v>Brasil, Alemanha, Japão e Índia pedem reforma do Conselho de Segurança
     Os representantes do G4 (Brasil, Alemanha, Índia e Japão) reiteraram, em setembro de 2018, a defesa pela ampliação do Conselho de Segurança da Organização das Nações Unidas (ONU) durante reunião em Nova York (Estados Unidos). Em declaração conjunta, de dez itens, os chanceleres destacaram que o órgão, no formato em que está, com apenas cinco membros permanentes e dez rotativos, não reflete o século 21. “A reforma do Conselho de Segurança é essencial para enfrentar os desafios complexos de hoje. Como aspirantes a novos membros permanentes de um conselho reformado, os ministros reiteraram seu compromisso de trabalhar para fortalecer o funcionamento da ONU e da ordem multilateral global, bem como seu apoio às respectivas candidaturas”, afirma a declaração conjunta.
Disponível em: http://agenciabrasil.ebc.com.br. Acesso em: 7 dez. 2018 (adaptado).
Os países mencionados no texto justificam sua pretensão com base na seguinte característica comum:</v>
      </c>
      <c r="M236" s="4" t="str">
        <f ca="1">IFERROR(__xludf.DUMMYFUNCTION("""COMPUTED_VALUE"""),"Extensividade de área territorial.
")</f>
        <v xml:space="preserve">Extensividade de área territorial.
</v>
      </c>
      <c r="N236" s="4" t="str">
        <f ca="1">IFERROR(__xludf.DUMMYFUNCTION("""COMPUTED_VALUE"""),"Protagonismo em escala regional.
")</f>
        <v xml:space="preserve">Protagonismo em escala regional.
</v>
      </c>
      <c r="O236" s="4" t="str">
        <f ca="1">IFERROR(__xludf.DUMMYFUNCTION("""COMPUTED_VALUE"""),"Investimento em tecnologia militar.
")</f>
        <v xml:space="preserve">Investimento em tecnologia militar.
</v>
      </c>
      <c r="P236" s="4" t="str">
        <f ca="1">IFERROR(__xludf.DUMMYFUNCTION("""COMPUTED_VALUE"""),"Desenvolvimento de energia nuclear.
")</f>
        <v xml:space="preserve">Desenvolvimento de energia nuclear.
</v>
      </c>
      <c r="Q236" s="4" t="str">
        <f ca="1">IFERROR(__xludf.DUMMYFUNCTION("""COMPUTED_VALUE"""),"Disponibilidade de recursos minerais.
")</f>
        <v xml:space="preserve">Disponibilidade de recursos minerais.
</v>
      </c>
      <c r="R236" s="4"/>
      <c r="S236" s="4"/>
      <c r="T236" s="4"/>
      <c r="U236" s="4"/>
      <c r="V236" s="4"/>
      <c r="W236" s="4"/>
      <c r="X236" s="4"/>
      <c r="Y236" s="4"/>
      <c r="Z236" s="4"/>
    </row>
    <row r="237" spans="1:26" x14ac:dyDescent="0.25">
      <c r="A237" s="3" t="str">
        <f ca="1">IFERROR(__xludf.DUMMYFUNCTION("""COMPUTED_VALUE"""),"https://drive.google.com/open?id=1lmo31LX7AApu4frVE3oWZWWT8JBDrwhr")</f>
        <v>https://drive.google.com/open?id=1lmo31LX7AApu4frVE3oWZWWT8JBDrwhr</v>
      </c>
      <c r="B237" s="4" t="str">
        <f ca="1">IFERROR(__xludf.DUMMYFUNCTION("""COMPUTED_VALUE"""),"Enem")</f>
        <v>Enem</v>
      </c>
      <c r="C237" s="4">
        <f ca="1">IFERROR(__xludf.DUMMYFUNCTION("""COMPUTED_VALUE"""),2018)</f>
        <v>2018</v>
      </c>
      <c r="D237" s="4" t="str">
        <f ca="1">IFERROR(__xludf.DUMMYFUNCTION("""COMPUTED_VALUE"""),"Matemática")</f>
        <v>Matemática</v>
      </c>
      <c r="E237" s="4" t="str">
        <f ca="1">IFERROR(__xludf.DUMMYFUNCTION("""COMPUTED_VALUE"""),"Matemática")</f>
        <v>Matemática</v>
      </c>
      <c r="F237" s="4" t="str">
        <f ca="1">IFERROR(__xludf.DUMMYFUNCTION("""COMPUTED_VALUE"""),"Aritmética e Algebra")</f>
        <v>Aritmética e Algebra</v>
      </c>
      <c r="G237" s="4"/>
      <c r="H237" s="4"/>
      <c r="I237" s="4" t="str">
        <f ca="1">IFERROR(__xludf.DUMMYFUNCTION("""COMPUTED_VALUE"""),"Amarelo")</f>
        <v>Amarelo</v>
      </c>
      <c r="J237" s="4">
        <f ca="1">IFERROR(__xludf.DUMMYFUNCTION("""COMPUTED_VALUE"""),151)</f>
        <v>151</v>
      </c>
      <c r="K237" s="4" t="str">
        <f ca="1">IFERROR(__xludf.DUMMYFUNCTION("""COMPUTED_VALUE"""),"E")</f>
        <v>E</v>
      </c>
      <c r="L237" s="4" t="str">
        <f ca="1">IFERROR(__xludf.DUMMYFUNCTION("""COMPUTED_VALUE"""),"De acordo com a Lei Universal da Gravitação, proposta por Isaac Newton, a 
intensidade da força gravitacional F que a Terra exerce sobre um satélite em órbita 
circular é proporcional à massa m do satélite e inversamente proporcional ao quadrado 
do raio "&amp;"r da órbita, ou seja,
[IMAGEM CONTIDA NO ARQUIVO]
No plano cartesiano, três satélites, A, B e C, estão representados, cada um, por um 
ponto (m ; r) cujas coordenadas são, respectivamente, a massa do satélite e o raio da 
sua órbita em torno da Terra.
[IM"&amp;"AGEM CONTIDA NO ARQUIVO]
Com base nas posições relativas dos pontos no gráfico, deseja-se comparar as intensidades FA, FB e FC da força gravitacional que a Terra exerce sobre os satélites 
A, B e C, respectivamente.
As intensidades FA, FB e FC expressas n"&amp;"o gráfico satisfazem a relação:")</f>
        <v>De acordo com a Lei Universal da Gravitação, proposta por Isaac Newton, a 
intensidade da força gravitacional F que a Terra exerce sobre um satélite em órbita 
circular é proporcional à massa m do satélite e inversamente proporcional ao quadrado 
do raio r da órbita, ou seja,
[IMAGEM CONTIDA NO ARQUIVO]
No plano cartesiano, três satélites, A, B e C, estão representados, cada um, por um 
ponto (m ; r) cujas coordenadas são, respectivamente, a massa do satélite e o raio da 
sua órbita em torno da Terra.
[IMAGEM CONTIDA NO ARQUIVO]
Com base nas posições relativas dos pontos no gráfico, deseja-se comparar as intensidades FA, FB e FC da força gravitacional que a Terra exerce sobre os satélites 
A, B e C, respectivamente.
As intensidades FA, FB e FC expressas no gráfico satisfazem a relação:</v>
      </c>
      <c r="M237" s="4" t="str">
        <f ca="1">IFERROR(__xludf.DUMMYFUNCTION("""COMPUTED_VALUE"""),"FC = FA &lt; FB")</f>
        <v>FC = FA &lt; FB</v>
      </c>
      <c r="N237" s="4" t="str">
        <f ca="1">IFERROR(__xludf.DUMMYFUNCTION("""COMPUTED_VALUE"""),"FA = FB &lt; FC")</f>
        <v>FA = FB &lt; FC</v>
      </c>
      <c r="O237" s="4" t="str">
        <f ca="1">IFERROR(__xludf.DUMMYFUNCTION("""COMPUTED_VALUE"""),"FA &lt; FB &lt; FC")</f>
        <v>FA &lt; FB &lt; FC</v>
      </c>
      <c r="P237" s="4" t="str">
        <f ca="1">IFERROR(__xludf.DUMMYFUNCTION("""COMPUTED_VALUE"""),"FA &lt; FC &lt; FB")</f>
        <v>FA &lt; FC &lt; FB</v>
      </c>
      <c r="Q237" s="4" t="str">
        <f ca="1">IFERROR(__xludf.DUMMYFUNCTION("""COMPUTED_VALUE"""),"FC &lt; FA &lt; FB")</f>
        <v>FC &lt; FA &lt; FB</v>
      </c>
      <c r="R237" s="4"/>
      <c r="S237" s="4"/>
      <c r="T237" s="4"/>
      <c r="U237" s="4"/>
      <c r="V237" s="4"/>
      <c r="W237" s="4"/>
      <c r="X237" s="4"/>
      <c r="Y237" s="4"/>
      <c r="Z237" s="4"/>
    </row>
    <row r="238" spans="1:26" x14ac:dyDescent="0.25">
      <c r="A238" s="3" t="str">
        <f ca="1">IFERROR(__xludf.DUMMYFUNCTION("""COMPUTED_VALUE"""),"https://drive.google.com/open?id=1n7aySAlp9n8FCNW1lZm3HDq475FTT6JV")</f>
        <v>https://drive.google.com/open?id=1n7aySAlp9n8FCNW1lZm3HDq475FTT6JV</v>
      </c>
      <c r="B238" s="4" t="str">
        <f ca="1">IFERROR(__xludf.DUMMYFUNCTION("""COMPUTED_VALUE"""),"Enem")</f>
        <v>Enem</v>
      </c>
      <c r="C238" s="4">
        <f ca="1">IFERROR(__xludf.DUMMYFUNCTION("""COMPUTED_VALUE"""),2019)</f>
        <v>2019</v>
      </c>
      <c r="D238" s="4" t="str">
        <f ca="1">IFERROR(__xludf.DUMMYFUNCTION("""COMPUTED_VALUE"""),"Ciências Humanas")</f>
        <v>Ciências Humanas</v>
      </c>
      <c r="E238" s="4" t="str">
        <f ca="1">IFERROR(__xludf.DUMMYFUNCTION("""COMPUTED_VALUE"""),"História")</f>
        <v>História</v>
      </c>
      <c r="F238" s="4" t="str">
        <f ca="1">IFERROR(__xludf.DUMMYFUNCTION("""COMPUTED_VALUE"""),"História do Brasil")</f>
        <v>História do Brasil</v>
      </c>
      <c r="G238" s="4"/>
      <c r="H238" s="4"/>
      <c r="I238" s="4" t="str">
        <f ca="1">IFERROR(__xludf.DUMMYFUNCTION("""COMPUTED_VALUE"""),"Amarelo")</f>
        <v>Amarelo</v>
      </c>
      <c r="J238" s="4">
        <f ca="1">IFERROR(__xludf.DUMMYFUNCTION("""COMPUTED_VALUE"""),50)</f>
        <v>50</v>
      </c>
      <c r="K238" s="4" t="str">
        <f ca="1">IFERROR(__xludf.DUMMYFUNCTION("""COMPUTED_VALUE"""),"A")</f>
        <v>A</v>
      </c>
      <c r="L238" s="4" t="str">
        <f ca="1">IFERROR(__xludf.DUMMYFUNCTION("""COMPUTED_VALUE"""),"Tratava-se agora de construir: e construir um ritmo novo. Para tanto, era necessário convocar todas as forças vivas da Nação, todos os homens que, com vontade de trabalhar e confiança no futuro, pudessem erguer, num tempo novo, um novo Tempo. E, à grande "&amp;"convocação que conclamava o povo para a gigantesca tarefa, começaram a chegar de todos os cantos da imensa pátria os trabalhadores: os homens simples e quietos, com pés de raiz, rostos de couro e mãos de pedra, e que, no calcanho, em carro de boi, em lomb"&amp;"o de burro, em paus-de-arara, por todas as formas possíveis e imagináveis, em sua mudez cheia de esperança, muitas vezes deixando para trás mulheres e filhos a aguardar suas promessas de melhores dias; foram chegando de tantos povoados, tantas cidades cuj"&amp;"os nomes pareciam cantar saudades aos seus ouvidos, dentro dos antigos ritmos da imensa pátria… Terra de sol, Terra de luz… Brasil! Brasil! Brasil!
MORAES, V.; JOBIM, A. C. Brasília, sinfonia da alvorada. III – A chegada dos candangos. Disponível em: www"&amp;".viniciusdemoraes.com.br. Acesso em: 14 ago. 2012 (adaptado).
No texto, a narrativa produzida sobre a construção de Brasília articula os elementos políticos e socioeconômicos indicados, respectivamente, em:")</f>
        <v>Tratava-se agora de construir: e construir um ritmo novo. Para tanto, era necessário convocar todas as forças vivas da Nação, todos os homens que, com vontade de trabalhar e confiança no futuro, pudessem erguer, num tempo novo, um novo Tempo. E, à grande convocação que conclamava o povo para a gigantesca tarefa, começaram a chegar de todos os cantos da imensa pátria os trabalhadores: os homens simples e quietos, com pés de raiz, rostos de couro e mãos de pedra, e que, no calcanho, em carro de boi, em lombo de burro, em paus-de-arara, por todas as formas possíveis e imagináveis, em sua mudez cheia de esperança, muitas vezes deixando para trás mulheres e filhos a aguardar suas promessas de melhores dias; foram chegando de tantos povoados, tantas cidades cujos nomes pareciam cantar saudades aos seus ouvidos, dentro dos antigos ritmos da imensa pátria… Terra de sol, Terra de luz… Brasil! Brasil! Brasil!
MORAES, V.; JOBIM, A. C. Brasília, sinfonia da alvorada. III – A chegada dos candangos. Disponível em: www.viniciusdemoraes.com.br. Acesso em: 14 ago. 2012 (adaptado).
No texto, a narrativa produzida sobre a construção de Brasília articula os elementos políticos e socioeconômicos indicados, respectivamente, em:</v>
      </c>
      <c r="M238" s="4" t="str">
        <f ca="1">IFERROR(__xludf.DUMMYFUNCTION("""COMPUTED_VALUE"""),"Apelo simbólico e migração inter-regional.
")</f>
        <v xml:space="preserve">Apelo simbólico e migração inter-regional.
</v>
      </c>
      <c r="N238" s="4" t="str">
        <f ca="1">IFERROR(__xludf.DUMMYFUNCTION("""COMPUTED_VALUE"""),"Organização sindical e expansão do capital.
")</f>
        <v xml:space="preserve">Organização sindical e expansão do capital.
</v>
      </c>
      <c r="O238" s="4" t="str">
        <f ca="1">IFERROR(__xludf.DUMMYFUNCTION("""COMPUTED_VALUE"""),"Segurança territorial e estabilidade financeira.
")</f>
        <v xml:space="preserve">Segurança territorial e estabilidade financeira.
</v>
      </c>
      <c r="P238" s="4" t="str">
        <f ca="1">IFERROR(__xludf.DUMMYFUNCTION("""COMPUTED_VALUE"""),"Consenso partidário e modernização rodoviária.
")</f>
        <v xml:space="preserve">Consenso partidário e modernização rodoviária.
</v>
      </c>
      <c r="Q238" s="4" t="str">
        <f ca="1">IFERROR(__xludf.DUMMYFUNCTION("""COMPUTED_VALUE"""),"Perspectiva democrática e eficácia dos transportes.
")</f>
        <v xml:space="preserve">Perspectiva democrática e eficácia dos transportes.
</v>
      </c>
      <c r="R238" s="4"/>
      <c r="S238" s="4"/>
      <c r="T238" s="4"/>
      <c r="U238" s="4"/>
      <c r="V238" s="4"/>
      <c r="W238" s="4"/>
      <c r="X238" s="4"/>
      <c r="Y238" s="4"/>
      <c r="Z238" s="4"/>
    </row>
    <row r="239" spans="1:26" x14ac:dyDescent="0.25">
      <c r="A239" s="3" t="str">
        <f ca="1">IFERROR(__xludf.DUMMYFUNCTION("""COMPUTED_VALUE"""),"https://drive.google.com/open?id=1a6JC4fvFHPwOJV2OKa3ThradS73PElFf")</f>
        <v>https://drive.google.com/open?id=1a6JC4fvFHPwOJV2OKa3ThradS73PElFf</v>
      </c>
      <c r="B239" s="4" t="str">
        <f ca="1">IFERROR(__xludf.DUMMYFUNCTION("""COMPUTED_VALUE"""),"Enem")</f>
        <v>Enem</v>
      </c>
      <c r="C239" s="4">
        <f ca="1">IFERROR(__xludf.DUMMYFUNCTION("""COMPUTED_VALUE"""),2019)</f>
        <v>2019</v>
      </c>
      <c r="D239" s="4" t="str">
        <f ca="1">IFERROR(__xludf.DUMMYFUNCTION("""COMPUTED_VALUE"""),"Ciências Humanas")</f>
        <v>Ciências Humanas</v>
      </c>
      <c r="E239" s="4" t="str">
        <f ca="1">IFERROR(__xludf.DUMMYFUNCTION("""COMPUTED_VALUE"""),"História")</f>
        <v>História</v>
      </c>
      <c r="F239" s="4" t="str">
        <f ca="1">IFERROR(__xludf.DUMMYFUNCTION("""COMPUTED_VALUE"""),"História Geral")</f>
        <v>História Geral</v>
      </c>
      <c r="G239" s="4"/>
      <c r="H239" s="4"/>
      <c r="I239" s="4" t="str">
        <f ca="1">IFERROR(__xludf.DUMMYFUNCTION("""COMPUTED_VALUE"""),"Amarelo")</f>
        <v>Amarelo</v>
      </c>
      <c r="J239" s="4">
        <f ca="1">IFERROR(__xludf.DUMMYFUNCTION("""COMPUTED_VALUE"""),51)</f>
        <v>51</v>
      </c>
      <c r="K239" s="4" t="str">
        <f ca="1">IFERROR(__xludf.DUMMYFUNCTION("""COMPUTED_VALUE"""),"D")</f>
        <v>D</v>
      </c>
      <c r="L239" s="4" t="str">
        <f ca="1">IFERROR(__xludf.DUMMYFUNCTION("""COMPUTED_VALUE"""),"Saudado por centenas de militantes de movimentos sociais de 40 países, o Papa Francisco encerrou no dia 09/07/2018 o 2.º Encontro Mundial dos Movimentos Populares, em Santa Cruz de La Sierra, na Bolívia. Segundo ele, “a globalização da esperança, que nasc"&amp;"e dos povos e cresce entre os pobres, deve substituir esta globalização da exclusão e da indiferença”.
Disponível em: http://cartamaior.com.br. Acesso em: 15 jul. 2015 (adaptado).
No texto há uma crítica ao seguinte aspecto do mundo globalizado:")</f>
        <v>Saudado por centenas de militantes de movimentos sociais de 40 países, o Papa Francisco encerrou no dia 09/07/2018 o 2.º Encontro Mundial dos Movimentos Populares, em Santa Cruz de La Sierra, na Bolívia. Segundo ele, “a globalização da esperança, que nasce dos povos e cresce entre os pobres, deve substituir esta globalização da exclusão e da indiferença”.
Disponível em: http://cartamaior.com.br. Acesso em: 15 jul. 2015 (adaptado).
No texto há uma crítica ao seguinte aspecto do mundo globalizado:</v>
      </c>
      <c r="M239" s="4" t="str">
        <f ca="1">IFERROR(__xludf.DUMMYFUNCTION("""COMPUTED_VALUE"""),"Liberdade política.
")</f>
        <v xml:space="preserve">Liberdade política.
</v>
      </c>
      <c r="N239" s="4" t="str">
        <f ca="1">IFERROR(__xludf.DUMMYFUNCTION("""COMPUTED_VALUE"""),"Mobilidade humana.
")</f>
        <v xml:space="preserve">Mobilidade humana.
</v>
      </c>
      <c r="O239" s="4" t="str">
        <f ca="1">IFERROR(__xludf.DUMMYFUNCTION("""COMPUTED_VALUE"""),"Conectividade cultural.
")</f>
        <v xml:space="preserve">Conectividade cultural.
</v>
      </c>
      <c r="P239" s="4" t="str">
        <f ca="1">IFERROR(__xludf.DUMMYFUNCTION("""COMPUTED_VALUE"""),"Disparidade econômica.
")</f>
        <v xml:space="preserve">Disparidade econômica.
</v>
      </c>
      <c r="Q239" s="4" t="str">
        <f ca="1">IFERROR(__xludf.DUMMYFUNCTION("""COMPUTED_VALUE"""),"Complementaridade comercial.
")</f>
        <v xml:space="preserve">Complementaridade comercial.
</v>
      </c>
      <c r="R239" s="4"/>
      <c r="S239" s="4"/>
      <c r="T239" s="4"/>
      <c r="U239" s="4"/>
      <c r="V239" s="4"/>
      <c r="W239" s="4"/>
      <c r="X239" s="4"/>
      <c r="Y239" s="4"/>
      <c r="Z239" s="4"/>
    </row>
    <row r="240" spans="1:26" x14ac:dyDescent="0.25">
      <c r="A240" s="3" t="str">
        <f ca="1">IFERROR(__xludf.DUMMYFUNCTION("""COMPUTED_VALUE"""),"https://drive.google.com/open?id=1ac1gccQ-nDYzmab5XLg-IYr0euvj8Xqk")</f>
        <v>https://drive.google.com/open?id=1ac1gccQ-nDYzmab5XLg-IYr0euvj8Xqk</v>
      </c>
      <c r="B240" s="4" t="str">
        <f ca="1">IFERROR(__xludf.DUMMYFUNCTION("""COMPUTED_VALUE"""),"Enem")</f>
        <v>Enem</v>
      </c>
      <c r="C240" s="4">
        <f ca="1">IFERROR(__xludf.DUMMYFUNCTION("""COMPUTED_VALUE"""),2019)</f>
        <v>2019</v>
      </c>
      <c r="D240" s="4" t="str">
        <f ca="1">IFERROR(__xludf.DUMMYFUNCTION("""COMPUTED_VALUE"""),"Ciências Humanas")</f>
        <v>Ciências Humanas</v>
      </c>
      <c r="E240" s="4" t="str">
        <f ca="1">IFERROR(__xludf.DUMMYFUNCTION("""COMPUTED_VALUE"""),"História")</f>
        <v>História</v>
      </c>
      <c r="F240" s="4" t="str">
        <f ca="1">IFERROR(__xludf.DUMMYFUNCTION("""COMPUTED_VALUE"""),"História Geral")</f>
        <v>História Geral</v>
      </c>
      <c r="G240" s="4"/>
      <c r="H240" s="4"/>
      <c r="I240" s="4" t="str">
        <f ca="1">IFERROR(__xludf.DUMMYFUNCTION("""COMPUTED_VALUE"""),"Amarelo")</f>
        <v>Amarelo</v>
      </c>
      <c r="J240" s="4">
        <f ca="1">IFERROR(__xludf.DUMMYFUNCTION("""COMPUTED_VALUE"""),52)</f>
        <v>52</v>
      </c>
      <c r="K240" s="4" t="str">
        <f ca="1">IFERROR(__xludf.DUMMYFUNCTION("""COMPUTED_VALUE"""),"B")</f>
        <v>B</v>
      </c>
      <c r="L240" s="4" t="str">
        <f ca="1">IFERROR(__xludf.DUMMYFUNCTION("""COMPUTED_VALUE"""),"A Declaração Universal dos Direitos Humanos, adotada e proclamada pela Assembleia Geral da ONU na Resolução 217-A, de 10 de dezembro de 1948, foi um acontecimento histórico de grande relevância. Ao afirmar, pela primeira vez em escala planetária, o papel "&amp;"dos direitos humanos na convivência coletiva, pode ser considerada um evento inaugural de uma nova concepção de vida internacional.
LAFER, C. Declaração Universal dos Direitos Humanos (1948). In: MAGNOLI, D. (Org.) História da paz. São Paulo: Contexto, 2"&amp;"008.
A declaração citada no texto introduziu uma nova concepção nas relações internacionais ao possibilitar a")</f>
        <v>A Declaração Universal dos Direitos Humanos, adotada e proclamada pela Assembleia Geral da ONU na Resolução 217-A, de 10 de dezembro de 1948, foi um acontecimento histórico de grande relevância. Ao afirmar, pela primeira vez em escala planetária, o papel dos direitos humanos na convivência coletiva, pode ser considerada um evento inaugural de uma nova concepção de vida internacional.
LAFER, C. Declaração Universal dos Direitos Humanos (1948). In: MAGNOLI, D. (Org.) História da paz. São Paulo: Contexto, 2008.
A declaração citada no texto introduziu uma nova concepção nas relações internacionais ao possibilitar a</v>
      </c>
      <c r="M240" s="4" t="str">
        <f ca="1">IFERROR(__xludf.DUMMYFUNCTION("""COMPUTED_VALUE"""),"superação da soberania estatal.
")</f>
        <v xml:space="preserve">superação da soberania estatal.
</v>
      </c>
      <c r="N240" s="4" t="str">
        <f ca="1">IFERROR(__xludf.DUMMYFUNCTION("""COMPUTED_VALUE"""),"defesa dos grupos vulneráveis.
")</f>
        <v xml:space="preserve">defesa dos grupos vulneráveis.
</v>
      </c>
      <c r="O240" s="4" t="str">
        <f ca="1">IFERROR(__xludf.DUMMYFUNCTION("""COMPUTED_VALUE"""),"redução da truculência belicista.
")</f>
        <v xml:space="preserve">redução da truculência belicista.
</v>
      </c>
      <c r="P240" s="4" t="str">
        <f ca="1">IFERROR(__xludf.DUMMYFUNCTION("""COMPUTED_VALUE"""),"impunidade dos atos criminosos.
")</f>
        <v xml:space="preserve">impunidade dos atos criminosos.
</v>
      </c>
      <c r="Q240" s="4" t="str">
        <f ca="1">IFERROR(__xludf.DUMMYFUNCTION("""COMPUTED_VALUE"""),"inibição dos choques civilizacionais.
")</f>
        <v xml:space="preserve">inibição dos choques civilizacionais.
</v>
      </c>
      <c r="R240" s="4"/>
      <c r="S240" s="4"/>
      <c r="T240" s="4"/>
      <c r="U240" s="4"/>
      <c r="V240" s="4"/>
      <c r="W240" s="4"/>
      <c r="X240" s="4"/>
      <c r="Y240" s="4"/>
      <c r="Z240" s="4"/>
    </row>
    <row r="241" spans="1:26" x14ac:dyDescent="0.25">
      <c r="A241" s="3" t="str">
        <f ca="1">IFERROR(__xludf.DUMMYFUNCTION("""COMPUTED_VALUE"""),"https://drive.google.com/open?id=108DWKo5FTcxRDvKtvLnXrGxy2Il0-E2h")</f>
        <v>https://drive.google.com/open?id=108DWKo5FTcxRDvKtvLnXrGxy2Il0-E2h</v>
      </c>
      <c r="B241" s="4" t="str">
        <f ca="1">IFERROR(__xludf.DUMMYFUNCTION("""COMPUTED_VALUE"""),"Enem")</f>
        <v>Enem</v>
      </c>
      <c r="C241" s="4">
        <f ca="1">IFERROR(__xludf.DUMMYFUNCTION("""COMPUTED_VALUE"""),2019)</f>
        <v>2019</v>
      </c>
      <c r="D241" s="4" t="str">
        <f ca="1">IFERROR(__xludf.DUMMYFUNCTION("""COMPUTED_VALUE"""),"Ciências Humanas")</f>
        <v>Ciências Humanas</v>
      </c>
      <c r="E241" s="4" t="str">
        <f ca="1">IFERROR(__xludf.DUMMYFUNCTION("""COMPUTED_VALUE"""),"História")</f>
        <v>História</v>
      </c>
      <c r="F241" s="4" t="str">
        <f ca="1">IFERROR(__xludf.DUMMYFUNCTION("""COMPUTED_VALUE"""),"História Geral")</f>
        <v>História Geral</v>
      </c>
      <c r="G241" s="4"/>
      <c r="H241" s="4"/>
      <c r="I241" s="4" t="str">
        <f ca="1">IFERROR(__xludf.DUMMYFUNCTION("""COMPUTED_VALUE"""),"Amarelo")</f>
        <v>Amarelo</v>
      </c>
      <c r="J241" s="4">
        <f ca="1">IFERROR(__xludf.DUMMYFUNCTION("""COMPUTED_VALUE"""),53)</f>
        <v>53</v>
      </c>
      <c r="K241" s="4" t="str">
        <f ca="1">IFERROR(__xludf.DUMMYFUNCTION("""COMPUTED_VALUE"""),"B")</f>
        <v>B</v>
      </c>
      <c r="L241" s="4" t="str">
        <f ca="1">IFERROR(__xludf.DUMMYFUNCTION("""COMPUTED_VALUE"""),"“Nossa cultura não cabe nos seus museus”.
TOLENTINO, A. B. Patrimônio cultural e discursos museológicos. Midas, n. 6, 2016.
Produzida no Chile, no final da década de 1970, a imagem expressa um conflito entre culturas e sua presença em museus decorrente "&amp;"da:")</f>
        <v>“Nossa cultura não cabe nos seus museus”.
TOLENTINO, A. B. Patrimônio cultural e discursos museológicos. Midas, n. 6, 2016.
Produzida no Chile, no final da década de 1970, a imagem expressa um conflito entre culturas e sua presença em museus decorrente da:</v>
      </c>
      <c r="M241" s="4" t="str">
        <f ca="1">IFERROR(__xludf.DUMMYFUNCTION("""COMPUTED_VALUE"""),"valorização do mercado das obras de arte.
")</f>
        <v xml:space="preserve">valorização do mercado das obras de arte.
</v>
      </c>
      <c r="N241" s="4" t="str">
        <f ca="1">IFERROR(__xludf.DUMMYFUNCTION("""COMPUTED_VALUE"""),"definição dos critérios de criação de acervos.
")</f>
        <v xml:space="preserve">definição dos critérios de criação de acervos.
</v>
      </c>
      <c r="O241" s="4" t="str">
        <f ca="1">IFERROR(__xludf.DUMMYFUNCTION("""COMPUTED_VALUE"""),"ampliação da rede de instituições de memória.
")</f>
        <v xml:space="preserve">ampliação da rede de instituições de memória.
</v>
      </c>
      <c r="P241" s="4" t="str">
        <f ca="1">IFERROR(__xludf.DUMMYFUNCTION("""COMPUTED_VALUE"""),"burocratização do acesso dos espaços expositivos.
")</f>
        <v xml:space="preserve">burocratização do acesso dos espaços expositivos.
</v>
      </c>
      <c r="Q241" s="4" t="str">
        <f ca="1">IFERROR(__xludf.DUMMYFUNCTION("""COMPUTED_VALUE"""),"fragmentação dos territórios das comunidades representadas.
")</f>
        <v xml:space="preserve">fragmentação dos territórios das comunidades representadas.
</v>
      </c>
      <c r="R241" s="4"/>
      <c r="S241" s="4"/>
      <c r="T241" s="4"/>
      <c r="U241" s="4"/>
      <c r="V241" s="4"/>
      <c r="W241" s="4"/>
      <c r="X241" s="4"/>
      <c r="Y241" s="4"/>
      <c r="Z241" s="4"/>
    </row>
    <row r="242" spans="1:26" x14ac:dyDescent="0.25">
      <c r="A242" s="3" t="str">
        <f ca="1">IFERROR(__xludf.DUMMYFUNCTION("""COMPUTED_VALUE"""),"https://drive.google.com/open?id=1HGpgWIwD21kNK1yFQmmINrtyyEv6dWAt")</f>
        <v>https://drive.google.com/open?id=1HGpgWIwD21kNK1yFQmmINrtyyEv6dWAt</v>
      </c>
      <c r="B242" s="4" t="str">
        <f ca="1">IFERROR(__xludf.DUMMYFUNCTION("""COMPUTED_VALUE"""),"Enem")</f>
        <v>Enem</v>
      </c>
      <c r="C242" s="4">
        <f ca="1">IFERROR(__xludf.DUMMYFUNCTION("""COMPUTED_VALUE"""),2019)</f>
        <v>2019</v>
      </c>
      <c r="D242" s="4" t="str">
        <f ca="1">IFERROR(__xludf.DUMMYFUNCTION("""COMPUTED_VALUE"""),"Ciências Humanas")</f>
        <v>Ciências Humanas</v>
      </c>
      <c r="E242" s="4" t="str">
        <f ca="1">IFERROR(__xludf.DUMMYFUNCTION("""COMPUTED_VALUE"""),"História")</f>
        <v>História</v>
      </c>
      <c r="F242" s="4" t="str">
        <f ca="1">IFERROR(__xludf.DUMMYFUNCTION("""COMPUTED_VALUE"""),"História Geral")</f>
        <v>História Geral</v>
      </c>
      <c r="G242" s="4"/>
      <c r="H242" s="4"/>
      <c r="I242" s="4" t="str">
        <f ca="1">IFERROR(__xludf.DUMMYFUNCTION("""COMPUTED_VALUE"""),"Amarelo")</f>
        <v>Amarelo</v>
      </c>
      <c r="J242" s="4">
        <f ca="1">IFERROR(__xludf.DUMMYFUNCTION("""COMPUTED_VALUE"""),57)</f>
        <v>57</v>
      </c>
      <c r="K242" s="4" t="str">
        <f ca="1">IFERROR(__xludf.DUMMYFUNCTION("""COMPUTED_VALUE"""),"E")</f>
        <v>E</v>
      </c>
      <c r="L242" s="4" t="str">
        <f ca="1">IFERROR(__xludf.DUMMYFUNCTION("""COMPUTED_VALUE"""),"A maior parte das agressões e manifestações discriminatórias contra as religiões de matrizes africanas ocorrem em locais públicos (57%). É na rua, na via pública, que tiveram lugar mais de 2/3 das agressões, geralmente em locais próximos às casas de culto"&amp;" dessas religiões. O transporte público também é apontado como um local em que os adeptos das religiões de matrizes africanas são discriminados, geralmente quando se encontram paramentados por conta dos preceitos religiosos.
REGO, L. F.; FONSECA, D. P. R"&amp;".; GIACOMINI, S. M. Cartografia social de terreiros no Rio de Janeiro. Rio de Janeiro: PUC-Rio, 2014.
As práticas descritas no texto são incompatíveis com a dinâmica de uma sociedade laica e democrática porque:")</f>
        <v>A maior parte das agressões e manifestações discriminatórias contra as religiões de matrizes africanas ocorrem em locais públicos (57%). É na rua, na via pública, que tiveram lugar mais de 2/3 das agressões, geralmente em locais próximos às casas de culto dessas religiões. O transporte público também é apontado como um local em que os adeptos das religiões de matrizes africanas são discriminados, geralmente quando se encontram paramentados por conta dos preceitos religiosos.
REGO, L. F.; FONSECA, D. P. R.; GIACOMINI, S. M. Cartografia social de terreiros no Rio de Janeiro. Rio de Janeiro: PUC-Rio, 2014.
As práticas descritas no texto são incompatíveis com a dinâmica de uma sociedade laica e democrática porque:</v>
      </c>
      <c r="M242" s="4" t="str">
        <f ca="1">IFERROR(__xludf.DUMMYFUNCTION("""COMPUTED_VALUE"""),"asseguram as expressões multiculturais.
")</f>
        <v xml:space="preserve">asseguram as expressões multiculturais.
</v>
      </c>
      <c r="N242" s="4" t="str">
        <f ca="1">IFERROR(__xludf.DUMMYFUNCTION("""COMPUTED_VALUE"""),"promovem a diversidade de etnias.
")</f>
        <v xml:space="preserve">promovem a diversidade de etnias.
</v>
      </c>
      <c r="O242" s="4" t="str">
        <f ca="1">IFERROR(__xludf.DUMMYFUNCTION("""COMPUTED_VALUE"""),"falseiam os dogmas teológicos.
")</f>
        <v xml:space="preserve">falseiam os dogmas teológicos.
</v>
      </c>
      <c r="P242" s="4" t="str">
        <f ca="1">IFERROR(__xludf.DUMMYFUNCTION("""COMPUTED_VALUE"""),"estimulam os rituais sincréticos.
")</f>
        <v xml:space="preserve">estimulam os rituais sincréticos.
</v>
      </c>
      <c r="Q242" s="4" t="str">
        <f ca="1">IFERROR(__xludf.DUMMYFUNCTION("""COMPUTED_VALUE"""),"restringem a liberdade de credo.
")</f>
        <v xml:space="preserve">restringem a liberdade de credo.
</v>
      </c>
      <c r="R242" s="4"/>
      <c r="S242" s="4"/>
      <c r="T242" s="4"/>
      <c r="U242" s="4"/>
      <c r="V242" s="4"/>
      <c r="W242" s="4"/>
      <c r="X242" s="4"/>
      <c r="Y242" s="4"/>
      <c r="Z242" s="4"/>
    </row>
    <row r="243" spans="1:26" x14ac:dyDescent="0.25">
      <c r="A243" s="3" t="str">
        <f ca="1">IFERROR(__xludf.DUMMYFUNCTION("""COMPUTED_VALUE"""),"https://drive.google.com/open?id=1N7hhP5oN9Ki6mKbxRCOMhutlkU1O8EtC")</f>
        <v>https://drive.google.com/open?id=1N7hhP5oN9Ki6mKbxRCOMhutlkU1O8EtC</v>
      </c>
      <c r="B243" s="4" t="str">
        <f ca="1">IFERROR(__xludf.DUMMYFUNCTION("""COMPUTED_VALUE"""),"Enem")</f>
        <v>Enem</v>
      </c>
      <c r="C243" s="4">
        <f ca="1">IFERROR(__xludf.DUMMYFUNCTION("""COMPUTED_VALUE"""),2019)</f>
        <v>2019</v>
      </c>
      <c r="D243" s="4" t="str">
        <f ca="1">IFERROR(__xludf.DUMMYFUNCTION("""COMPUTED_VALUE"""),"Ciências Humanas")</f>
        <v>Ciências Humanas</v>
      </c>
      <c r="E243" s="4" t="str">
        <f ca="1">IFERROR(__xludf.DUMMYFUNCTION("""COMPUTED_VALUE"""),"História")</f>
        <v>História</v>
      </c>
      <c r="F243" s="4" t="str">
        <f ca="1">IFERROR(__xludf.DUMMYFUNCTION("""COMPUTED_VALUE"""),"História Geral")</f>
        <v>História Geral</v>
      </c>
      <c r="G243" s="4"/>
      <c r="H243" s="4"/>
      <c r="I243" s="4" t="str">
        <f ca="1">IFERROR(__xludf.DUMMYFUNCTION("""COMPUTED_VALUE"""),"Amarelo")</f>
        <v>Amarelo</v>
      </c>
      <c r="J243" s="4">
        <f ca="1">IFERROR(__xludf.DUMMYFUNCTION("""COMPUTED_VALUE"""),58)</f>
        <v>58</v>
      </c>
      <c r="K243" s="4" t="str">
        <f ca="1">IFERROR(__xludf.DUMMYFUNCTION("""COMPUTED_VALUE"""),"B")</f>
        <v>B</v>
      </c>
      <c r="L243" s="4" t="str">
        <f ca="1">IFERROR(__xludf.DUMMYFUNCTION("""COMPUTED_VALUE"""),"TEXTO I
A centralização econômica, o protecionismo e a expansão ultramarina engrandeceram o Estado, embora beneficias sem a burguesia incipiente.
ANDERSON, P. In: DEYON, P. O mercantilismo. Lisboa: Gradiva, 1989 (adaptado).
TEXTO II
As interferências "&amp;"da legislação e das práticas exclusivistas restringem a operação benéfica da lei natural na esfera das relações econômicas.
SMITH, A. A riqueza das Nações. São Paulo: Abril Cultural, 1983 (adaptado).
Entre os séculos XVI e XIX, diferentes concepções sob"&amp;"re as relações entre Estado e economia foram formuladas. Tais concepções, associadas a cada um dos textos, confrontam-se, respectivamente, na oposição entre as práticas de:")</f>
        <v>TEXTO I
A centralização econômica, o protecionismo e a expansão ultramarina engrandeceram o Estado, embora beneficias sem a burguesia incipiente.
ANDERSON, P. In: DEYON, P. O mercantilismo. Lisboa: Gradiva, 1989 (adaptado).
TEXTO II
As interferências da legislação e das práticas exclusivistas restringem a operação benéfica da lei natural na esfera das relações econômicas.
SMITH, A. A riqueza das Nações. São Paulo: Abril Cultural, 1983 (adaptado).
Entre os séculos XVI e XIX, diferentes concepções sobre as relações entre Estado e economia foram formuladas. Tais concepções, associadas a cada um dos textos, confrontam-se, respectivamente, na oposição entre as práticas de:</v>
      </c>
      <c r="M243" s="4" t="str">
        <f ca="1">IFERROR(__xludf.DUMMYFUNCTION("""COMPUTED_VALUE"""),"valorização do pacto colonial — combate à livre-iniciativa.
")</f>
        <v xml:space="preserve">valorização do pacto colonial — combate à livre-iniciativa.
</v>
      </c>
      <c r="N243" s="4" t="str">
        <f ca="1">IFERROR(__xludf.DUMMYFUNCTION("""COMPUTED_VALUE"""),"defesa dos monopólios régios — apoio à livre concorrência.
")</f>
        <v xml:space="preserve">defesa dos monopólios régios — apoio à livre concorrência.
</v>
      </c>
      <c r="O243" s="4" t="str">
        <f ca="1">IFERROR(__xludf.DUMMYFUNCTION("""COMPUTED_VALUE"""),"formação do sistema metropolitano — crítica à livre navegação.
")</f>
        <v xml:space="preserve">formação do sistema metropolitano — crítica à livre navegação.
</v>
      </c>
      <c r="P243" s="4" t="str">
        <f ca="1">IFERROR(__xludf.DUMMYFUNCTION("""COMPUTED_VALUE"""),"abandono da acumulação metalista — estímulo ao livre-comércio.
")</f>
        <v xml:space="preserve">abandono da acumulação metalista — estímulo ao livre-comércio.
</v>
      </c>
      <c r="Q243" s="4" t="str">
        <f ca="1">IFERROR(__xludf.DUMMYFUNCTION("""COMPUTED_VALUE"""),"eliminação das tarifas alfandegárias — incentivo ao livre-cambismo.
")</f>
        <v xml:space="preserve">eliminação das tarifas alfandegárias — incentivo ao livre-cambismo.
</v>
      </c>
      <c r="R243" s="4"/>
      <c r="S243" s="4"/>
      <c r="T243" s="4"/>
      <c r="U243" s="4"/>
      <c r="V243" s="4"/>
      <c r="W243" s="4"/>
      <c r="X243" s="4"/>
      <c r="Y243" s="4"/>
      <c r="Z243" s="4"/>
    </row>
    <row r="244" spans="1:26" x14ac:dyDescent="0.25">
      <c r="A244" s="3" t="str">
        <f ca="1">IFERROR(__xludf.DUMMYFUNCTION("""COMPUTED_VALUE"""),"https://drive.google.com/open?id=1viLRXWzr1FbdC4YKub-5vUrlGUns56Nz")</f>
        <v>https://drive.google.com/open?id=1viLRXWzr1FbdC4YKub-5vUrlGUns56Nz</v>
      </c>
      <c r="B244" s="4" t="str">
        <f ca="1">IFERROR(__xludf.DUMMYFUNCTION("""COMPUTED_VALUE"""),"Enem")</f>
        <v>Enem</v>
      </c>
      <c r="C244" s="4">
        <f ca="1">IFERROR(__xludf.DUMMYFUNCTION("""COMPUTED_VALUE"""),2019)</f>
        <v>2019</v>
      </c>
      <c r="D244" s="4" t="str">
        <f ca="1">IFERROR(__xludf.DUMMYFUNCTION("""COMPUTED_VALUE"""),"Ciências Humanas")</f>
        <v>Ciências Humanas</v>
      </c>
      <c r="E244" s="4" t="str">
        <f ca="1">IFERROR(__xludf.DUMMYFUNCTION("""COMPUTED_VALUE"""),"História")</f>
        <v>História</v>
      </c>
      <c r="F244" s="4" t="str">
        <f ca="1">IFERROR(__xludf.DUMMYFUNCTION("""COMPUTED_VALUE"""),"História Geral")</f>
        <v>História Geral</v>
      </c>
      <c r="G244" s="4"/>
      <c r="H244" s="4"/>
      <c r="I244" s="4" t="str">
        <f ca="1">IFERROR(__xludf.DUMMYFUNCTION("""COMPUTED_VALUE"""),"Amarelo")</f>
        <v>Amarelo</v>
      </c>
      <c r="J244" s="4">
        <f ca="1">IFERROR(__xludf.DUMMYFUNCTION("""COMPUTED_VALUE"""),60)</f>
        <v>60</v>
      </c>
      <c r="K244" s="4" t="str">
        <f ca="1">IFERROR(__xludf.DUMMYFUNCTION("""COMPUTED_VALUE"""),"B")</f>
        <v>B</v>
      </c>
      <c r="L244" s="4" t="str">
        <f ca="1">IFERROR(__xludf.DUMMYFUNCTION("""COMPUTED_VALUE"""),"Dificilmente passa-se uma noite sem que algum sitiante tenha seu celeiro ou sua pilha de cereais destruídos pelo fogo. Vários trabalhadores não diretamente envolvidos nos ataques pareciam apoiá-los, como se vê neste depoimento ao The Times: “deixa queimar"&amp;", pena que não foi a casa”; “podemos nos aquecer agora”; “nós só queríamos algumas batatas; há um fogo ótimo para cozinhá-las”.
HOBSBAWM, E.; RUDÉ, G. Capitão Swing. Rio de Janeiro: Francisco Alves, 1982 (adaptado).
A revolta descrita no texto, ocorrida"&amp;" na Inglaterra no século XIX, foi uma reação ao seguinte processo socioespacial:")</f>
        <v>Dificilmente passa-se uma noite sem que algum sitiante tenha seu celeiro ou sua pilha de cereais destruídos pelo fogo. Vários trabalhadores não diretamente envolvidos nos ataques pareciam apoiá-los, como se vê neste depoimento ao The Times: “deixa queimar, pena que não foi a casa”; “podemos nos aquecer agora”; “nós só queríamos algumas batatas; há um fogo ótimo para cozinhá-las”.
HOBSBAWM, E.; RUDÉ, G. Capitão Swing. Rio de Janeiro: Francisco Alves, 1982 (adaptado).
A revolta descrita no texto, ocorrida na Inglaterra no século XIX, foi uma reação ao seguinte processo socioespacial:</v>
      </c>
      <c r="M244" s="4" t="str">
        <f ca="1">IFERROR(__xludf.DUMMYFUNCTION("""COMPUTED_VALUE"""),"Restrição da propriedade privada.
")</f>
        <v xml:space="preserve">Restrição da propriedade privada.
</v>
      </c>
      <c r="N244" s="4" t="str">
        <f ca="1">IFERROR(__xludf.DUMMYFUNCTION("""COMPUTED_VALUE"""),"Expropriação das terras comunais.
")</f>
        <v xml:space="preserve">Expropriação das terras comunais.
</v>
      </c>
      <c r="O244" s="4" t="str">
        <f ca="1">IFERROR(__xludf.DUMMYFUNCTION("""COMPUTED_VALUE"""),"Imposição da estatização fundiária.
")</f>
        <v xml:space="preserve">Imposição da estatização fundiária.
</v>
      </c>
      <c r="P244" s="4" t="str">
        <f ca="1">IFERROR(__xludf.DUMMYFUNCTION("""COMPUTED_VALUE"""),"Redução da produção monocultora.
")</f>
        <v xml:space="preserve">Redução da produção monocultora.
</v>
      </c>
      <c r="Q244" s="4" t="str">
        <f ca="1">IFERROR(__xludf.DUMMYFUNCTION("""COMPUTED_VALUE"""),"Proibição das atividades artesanais.
")</f>
        <v xml:space="preserve">Proibição das atividades artesanais.
</v>
      </c>
      <c r="R244" s="4"/>
      <c r="S244" s="4"/>
      <c r="T244" s="4"/>
      <c r="U244" s="4"/>
      <c r="V244" s="4"/>
      <c r="W244" s="4"/>
      <c r="X244" s="4"/>
      <c r="Y244" s="4"/>
      <c r="Z244" s="4"/>
    </row>
    <row r="245" spans="1:26" x14ac:dyDescent="0.25">
      <c r="A245" s="3" t="str">
        <f ca="1">IFERROR(__xludf.DUMMYFUNCTION("""COMPUTED_VALUE"""),"https://drive.google.com/open?id=1k7yuKyg_gNu4rZnmfJyLYowcPKKg6Q0x")</f>
        <v>https://drive.google.com/open?id=1k7yuKyg_gNu4rZnmfJyLYowcPKKg6Q0x</v>
      </c>
      <c r="B245" s="4" t="str">
        <f ca="1">IFERROR(__xludf.DUMMYFUNCTION("""COMPUTED_VALUE"""),"Enem")</f>
        <v>Enem</v>
      </c>
      <c r="C245" s="4">
        <f ca="1">IFERROR(__xludf.DUMMYFUNCTION("""COMPUTED_VALUE"""),2019)</f>
        <v>2019</v>
      </c>
      <c r="D245" s="4" t="str">
        <f ca="1">IFERROR(__xludf.DUMMYFUNCTION("""COMPUTED_VALUE"""),"Ciências Humanas")</f>
        <v>Ciências Humanas</v>
      </c>
      <c r="E245" s="4" t="str">
        <f ca="1">IFERROR(__xludf.DUMMYFUNCTION("""COMPUTED_VALUE"""),"História")</f>
        <v>História</v>
      </c>
      <c r="F245" s="4" t="str">
        <f ca="1">IFERROR(__xludf.DUMMYFUNCTION("""COMPUTED_VALUE"""),"História do Brasil")</f>
        <v>História do Brasil</v>
      </c>
      <c r="G245" s="4"/>
      <c r="H245" s="4"/>
      <c r="I245" s="4" t="str">
        <f ca="1">IFERROR(__xludf.DUMMYFUNCTION("""COMPUTED_VALUE"""),"Amarelo")</f>
        <v>Amarelo</v>
      </c>
      <c r="J245" s="4">
        <f ca="1">IFERROR(__xludf.DUMMYFUNCTION("""COMPUTED_VALUE"""),61)</f>
        <v>61</v>
      </c>
      <c r="K245" s="4" t="str">
        <f ca="1">IFERROR(__xludf.DUMMYFUNCTION("""COMPUTED_VALUE"""),"A")</f>
        <v>A</v>
      </c>
      <c r="L245" s="4" t="str">
        <f ca="1">IFERROR(__xludf.DUMMYFUNCTION("""COMPUTED_VALUE"""),"Entre os combatentes estava a mais famosa heroína da Independência. Nascida em Feira de Santana, filha de lavradores pobres, Maria Quitéria de Jesus tinha trinta anos quando a Bahia começou a pegar em armas contra os portugueses. Apesar da proibição de mu"&amp;"lheres nos batalhões de voluntários, decidiu se alistar às escondidas. Cortou os cabelos, amarrou os seios, vestiu-se de homem e incorporou-se às fileiras brasileiras com o nome de Soldado Medeiros.
GOMES, L. 1822. Rio de Janeiro: Nova Fronteira, 2010.
"&amp;"No processo de Independência do Brasil, o caso mencionado é emblemático porque evidencia a")</f>
        <v>Entre os combatentes estava a mais famosa heroína da Independência. Nascida em Feira de Santana, filha de lavradores pobres, Maria Quitéria de Jesus tinha trinta anos quando a Bahia começou a pegar em armas contra os portugueses. Apesar da proibição de mulheres nos batalhões de voluntários, decidiu se alistar às escondidas. Cortou os cabelos, amarrou os seios, vestiu-se de homem e incorporou-se às fileiras brasileiras com o nome de Soldado Medeiros.
GOMES, L. 1822. Rio de Janeiro: Nova Fronteira, 2010.
No processo de Independência do Brasil, o caso mencionado é emblemático porque evidencia a</v>
      </c>
      <c r="M245" s="4" t="str">
        <f ca="1">IFERROR(__xludf.DUMMYFUNCTION("""COMPUTED_VALUE"""),"rigidez hierárquica da estrutura social.
")</f>
        <v xml:space="preserve">rigidez hierárquica da estrutura social.
</v>
      </c>
      <c r="N245" s="4" t="str">
        <f ca="1">IFERROR(__xludf.DUMMYFUNCTION("""COMPUTED_VALUE"""),"inserção feminina nos ofícios militares.
")</f>
        <v xml:space="preserve">inserção feminina nos ofícios militares.
</v>
      </c>
      <c r="O245" s="4" t="str">
        <f ca="1">IFERROR(__xludf.DUMMYFUNCTION("""COMPUTED_VALUE"""),"adesão pública dos imigrantes portugueses.
")</f>
        <v xml:space="preserve">adesão pública dos imigrantes portugueses.
</v>
      </c>
      <c r="P245" s="4" t="str">
        <f ca="1">IFERROR(__xludf.DUMMYFUNCTION("""COMPUTED_VALUE"""),"flexibilidade administrativa do governo imperial.
")</f>
        <v xml:space="preserve">flexibilidade administrativa do governo imperial.
</v>
      </c>
      <c r="Q245" s="4" t="str">
        <f ca="1">IFERROR(__xludf.DUMMYFUNCTION("""COMPUTED_VALUE"""),"receptividade metropolitana aos ideais emancipatórios.
")</f>
        <v xml:space="preserve">receptividade metropolitana aos ideais emancipatórios.
</v>
      </c>
      <c r="R245" s="4"/>
      <c r="S245" s="4"/>
      <c r="T245" s="4"/>
      <c r="U245" s="4"/>
      <c r="V245" s="4"/>
      <c r="W245" s="4"/>
      <c r="X245" s="4"/>
      <c r="Y245" s="4"/>
      <c r="Z245" s="4"/>
    </row>
    <row r="246" spans="1:26" x14ac:dyDescent="0.25">
      <c r="A246" s="3" t="str">
        <f ca="1">IFERROR(__xludf.DUMMYFUNCTION("""COMPUTED_VALUE"""),"https://drive.google.com/open?id=1XXbHM30Y92bHx6Le7BCCKf-AbEBukpzK")</f>
        <v>https://drive.google.com/open?id=1XXbHM30Y92bHx6Le7BCCKf-AbEBukpzK</v>
      </c>
      <c r="B246" s="4" t="str">
        <f ca="1">IFERROR(__xludf.DUMMYFUNCTION("""COMPUTED_VALUE"""),"Enem")</f>
        <v>Enem</v>
      </c>
      <c r="C246" s="4">
        <f ca="1">IFERROR(__xludf.DUMMYFUNCTION("""COMPUTED_VALUE"""),2019)</f>
        <v>2019</v>
      </c>
      <c r="D246" s="4" t="str">
        <f ca="1">IFERROR(__xludf.DUMMYFUNCTION("""COMPUTED_VALUE"""),"Ciências Humanas")</f>
        <v>Ciências Humanas</v>
      </c>
      <c r="E246" s="4" t="str">
        <f ca="1">IFERROR(__xludf.DUMMYFUNCTION("""COMPUTED_VALUE"""),"História")</f>
        <v>História</v>
      </c>
      <c r="F246" s="4" t="str">
        <f ca="1">IFERROR(__xludf.DUMMYFUNCTION("""COMPUTED_VALUE"""),"História Geral")</f>
        <v>História Geral</v>
      </c>
      <c r="G246" s="4"/>
      <c r="H246" s="4"/>
      <c r="I246" s="4" t="str">
        <f ca="1">IFERROR(__xludf.DUMMYFUNCTION("""COMPUTED_VALUE"""),"Amarelo")</f>
        <v>Amarelo</v>
      </c>
      <c r="J246" s="4">
        <f ca="1">IFERROR(__xludf.DUMMYFUNCTION("""COMPUTED_VALUE"""),67)</f>
        <v>67</v>
      </c>
      <c r="K246" s="4" t="str">
        <f ca="1">IFERROR(__xludf.DUMMYFUNCTION("""COMPUTED_VALUE"""),"D")</f>
        <v>D</v>
      </c>
      <c r="L246" s="4" t="str">
        <f ca="1">IFERROR(__xludf.DUMMYFUNCTION("""COMPUTED_VALUE"""),"No sistema capitalista, as muitas manifestações de crise criam condições que forçam a algum tipo de racionalização. Em geral, essas crises periódicas têm o efeito de expandir a capacidade produtiva e de renovar as condições de acumulação. Podemos conceb"&amp;"er cada crise como uma mudança do processo de acumulação para um nível novo e superior.
HARVEY, D. A produção capitalista do espaço. São Paulo: Annablume, 2005 (adaptado).
A condição para a inclusão dos trabalhadores no novo processo produtivo descrito "&amp;"no texto é a")</f>
        <v>No sistema capitalista, as muitas manifestações de crise criam condições que forçam a algum tipo de racionalização. Em geral, essas crises periódicas têm o efeito de expandir a capacidade produtiva e de renovar as condições de acumulação. Podemos conceber cada crise como uma mudança do processo de acumulação para um nível novo e superior.
HARVEY, D. A produção capitalista do espaço. São Paulo: Annablume, 2005 (adaptado).
A condição para a inclusão dos trabalhadores no novo processo produtivo descrito no texto é a</v>
      </c>
      <c r="M246" s="4" t="str">
        <f ca="1">IFERROR(__xludf.DUMMYFUNCTION("""COMPUTED_VALUE"""),"associação sindical.
")</f>
        <v xml:space="preserve">associação sindical.
</v>
      </c>
      <c r="N246" s="4" t="str">
        <f ca="1">IFERROR(__xludf.DUMMYFUNCTION("""COMPUTED_VALUE"""),"participação eleitoral.
")</f>
        <v xml:space="preserve">participação eleitoral.
</v>
      </c>
      <c r="O246" s="4" t="str">
        <f ca="1">IFERROR(__xludf.DUMMYFUNCTION("""COMPUTED_VALUE"""),"migração internacional.
")</f>
        <v xml:space="preserve">migração internacional.
</v>
      </c>
      <c r="P246" s="4" t="str">
        <f ca="1">IFERROR(__xludf.DUMMYFUNCTION("""COMPUTED_VALUE"""),"qualificação profissional.
")</f>
        <v xml:space="preserve">qualificação profissional.
</v>
      </c>
      <c r="Q246" s="4" t="str">
        <f ca="1">IFERROR(__xludf.DUMMYFUNCTION("""COMPUTED_VALUE"""),"regulamentação funcional.
")</f>
        <v xml:space="preserve">regulamentação funcional.
</v>
      </c>
      <c r="R246" s="4"/>
      <c r="S246" s="4"/>
      <c r="T246" s="4"/>
      <c r="U246" s="4"/>
      <c r="V246" s="4"/>
      <c r="W246" s="4"/>
      <c r="X246" s="4"/>
      <c r="Y246" s="4"/>
      <c r="Z246" s="4"/>
    </row>
    <row r="247" spans="1:26" x14ac:dyDescent="0.25">
      <c r="A247" s="3" t="str">
        <f ca="1">IFERROR(__xludf.DUMMYFUNCTION("""COMPUTED_VALUE"""),"https://drive.google.com/open?id=1xXse0koQTztlNSItMAJlhgc1RsAdNPCx")</f>
        <v>https://drive.google.com/open?id=1xXse0koQTztlNSItMAJlhgc1RsAdNPCx</v>
      </c>
      <c r="B247" s="4" t="str">
        <f ca="1">IFERROR(__xludf.DUMMYFUNCTION("""COMPUTED_VALUE"""),"Enem")</f>
        <v>Enem</v>
      </c>
      <c r="C247" s="4">
        <f ca="1">IFERROR(__xludf.DUMMYFUNCTION("""COMPUTED_VALUE"""),2019)</f>
        <v>2019</v>
      </c>
      <c r="D247" s="4" t="str">
        <f ca="1">IFERROR(__xludf.DUMMYFUNCTION("""COMPUTED_VALUE"""),"Ciências Humanas")</f>
        <v>Ciências Humanas</v>
      </c>
      <c r="E247" s="4" t="str">
        <f ca="1">IFERROR(__xludf.DUMMYFUNCTION("""COMPUTED_VALUE"""),"História")</f>
        <v>História</v>
      </c>
      <c r="F247" s="4" t="str">
        <f ca="1">IFERROR(__xludf.DUMMYFUNCTION("""COMPUTED_VALUE"""),"História do Brasil")</f>
        <v>História do Brasil</v>
      </c>
      <c r="G247" s="4"/>
      <c r="H247" s="4"/>
      <c r="I247" s="4" t="str">
        <f ca="1">IFERROR(__xludf.DUMMYFUNCTION("""COMPUTED_VALUE"""),"Amarelo")</f>
        <v>Amarelo</v>
      </c>
      <c r="J247" s="4">
        <f ca="1">IFERROR(__xludf.DUMMYFUNCTION("""COMPUTED_VALUE"""),68)</f>
        <v>68</v>
      </c>
      <c r="K247" s="4" t="str">
        <f ca="1">IFERROR(__xludf.DUMMYFUNCTION("""COMPUTED_VALUE"""),"B")</f>
        <v>B</v>
      </c>
      <c r="L247" s="4" t="str">
        <f ca="1">IFERROR(__xludf.DUMMYFUNCTION("""COMPUTED_VALUE"""),"Art. 90. As nomeações dos deputados e senadores para a Assembleia Geral, e dos membros dos Conselhos Gerais das províncias, serão feitas por eleições, elegendo a massa dos cidadãos ativos em assembleias paroquiais, os eleitores de província, e estes, os r"&amp;"epresentantes da nação e província.
Art. 92. São excluídos de votar nas assembleias paroquiais:
I. Os menores de vinte e cinco anos, nos quais se não compreendem os casados, os oficiais militares, que forem maiores de vinte e um anos, os bacharéis forma"&amp;"dos e os clérigos de ordens sacras.
II. Os filhos de famílias, que estiverem na companhia de seus pais, salvo se servirem a ofícios públicos.
III. Os criados de servir, em cuja classe não entram os guarda-livros, e primeiros caixeiros das casas de comér"&amp;"cio, os criados da Casa Imperial, que não forem de galão branco, e os administradores das fazendas rurais e fábricas.
IV. Os religiosos e quaisquer que vivam em comunidade claustral.
V. Os que não tiverem de renda líquida anual cem mil réis por bens de "&amp;"raiz, indústria, comércio, ou emprego.
BRASIL. Constituição de 1824. Disponível em: www.planalto.gov.br. Acesso em: 4 abr. 2015 (adaptado).
De acordo com os artigos do dispositivo legal apresentado, o sistema eleitoral instituído no início do Império é "&amp;"marcado pelo(a):")</f>
        <v>Art. 90. As nomeações dos deputados e senadores para a Assembleia Geral, e dos membros dos Conselhos Gerais das províncias, serão feitas por eleições, elegendo a massa dos cidadãos ativos em assembleias paroquiais, os eleitores de província, e estes, os representantes da nação e província.
Art. 92. São excluídos de votar nas assembleias paroquiais:
I. Os menores de vinte e cinco anos, nos quais se não compreendem os casados, os oficiais militares, que forem maiores de vinte e um anos, os bacharéis formados e os clérigos de ordens sacras.
II. Os filhos de famílias, que estiverem na companhia de seus pais, salvo se servirem a ofícios públicos.
III. Os criados de servir, em cuja classe não entram os guarda-livros, e primeiros caixeiros das casas de comércio, os criados da Casa Imperial, que não forem de galão branco, e os administradores das fazendas rurais e fábricas.
IV. Os religiosos e quaisquer que vivam em comunidade claustral.
V. Os que não tiverem de renda líquida anual cem mil réis por bens de raiz, indústria, comércio, ou emprego.
BRASIL. Constituição de 1824. Disponível em: www.planalto.gov.br. Acesso em: 4 abr. 2015 (adaptado).
De acordo com os artigos do dispositivo legal apresentado, o sistema eleitoral instituído no início do Império é marcado pelo(a):</v>
      </c>
      <c r="M247" s="4" t="str">
        <f ca="1">IFERROR(__xludf.DUMMYFUNCTION("""COMPUTED_VALUE"""),"representação popular e sigilo individual.
")</f>
        <v xml:space="preserve">representação popular e sigilo individual.
</v>
      </c>
      <c r="N247" s="4" t="str">
        <f ca="1">IFERROR(__xludf.DUMMYFUNCTION("""COMPUTED_VALUE"""),"voto indireto e perfil censitário.
")</f>
        <v xml:space="preserve">voto indireto e perfil censitário.
</v>
      </c>
      <c r="O247" s="4" t="str">
        <f ca="1">IFERROR(__xludf.DUMMYFUNCTION("""COMPUTED_VALUE"""),"liberdade pública e abertura política.
")</f>
        <v xml:space="preserve">liberdade pública e abertura política.
</v>
      </c>
      <c r="P247" s="4" t="str">
        <f ca="1">IFERROR(__xludf.DUMMYFUNCTION("""COMPUTED_VALUE"""),"ética partidária e supervisão estatal.
")</f>
        <v xml:space="preserve">ética partidária e supervisão estatal.
</v>
      </c>
      <c r="Q247" s="4" t="str">
        <f ca="1">IFERROR(__xludf.DUMMYFUNCTION("""COMPUTED_VALUE"""),"caráter liberal e sistema parlamentar.
")</f>
        <v xml:space="preserve">caráter liberal e sistema parlamentar.
</v>
      </c>
      <c r="R247" s="4"/>
      <c r="S247" s="4"/>
      <c r="T247" s="4"/>
      <c r="U247" s="4"/>
      <c r="V247" s="4"/>
      <c r="W247" s="4"/>
      <c r="X247" s="4"/>
      <c r="Y247" s="4"/>
      <c r="Z247" s="4"/>
    </row>
    <row r="248" spans="1:26" x14ac:dyDescent="0.25">
      <c r="A248" s="3" t="str">
        <f ca="1">IFERROR(__xludf.DUMMYFUNCTION("""COMPUTED_VALUE"""),"https://drive.google.com/open?id=1VCWpZvjEgCZFjEaEtxkYrSZyFIV6kNfb")</f>
        <v>https://drive.google.com/open?id=1VCWpZvjEgCZFjEaEtxkYrSZyFIV6kNfb</v>
      </c>
      <c r="B248" s="4" t="str">
        <f ca="1">IFERROR(__xludf.DUMMYFUNCTION("""COMPUTED_VALUE"""),"Enem")</f>
        <v>Enem</v>
      </c>
      <c r="C248" s="4">
        <f ca="1">IFERROR(__xludf.DUMMYFUNCTION("""COMPUTED_VALUE"""),2019)</f>
        <v>2019</v>
      </c>
      <c r="D248" s="4" t="str">
        <f ca="1">IFERROR(__xludf.DUMMYFUNCTION("""COMPUTED_VALUE"""),"Ciências Humanas")</f>
        <v>Ciências Humanas</v>
      </c>
      <c r="E248" s="4" t="str">
        <f ca="1">IFERROR(__xludf.DUMMYFUNCTION("""COMPUTED_VALUE"""),"História")</f>
        <v>História</v>
      </c>
      <c r="F248" s="4" t="str">
        <f ca="1">IFERROR(__xludf.DUMMYFUNCTION("""COMPUTED_VALUE"""),"História Geral")</f>
        <v>História Geral</v>
      </c>
      <c r="G248" s="4"/>
      <c r="H248" s="4"/>
      <c r="I248" s="4" t="str">
        <f ca="1">IFERROR(__xludf.DUMMYFUNCTION("""COMPUTED_VALUE"""),"Amarelo")</f>
        <v>Amarelo</v>
      </c>
      <c r="J248" s="4">
        <f ca="1">IFERROR(__xludf.DUMMYFUNCTION("""COMPUTED_VALUE"""),71)</f>
        <v>71</v>
      </c>
      <c r="K248" s="4" t="str">
        <f ca="1">IFERROR(__xludf.DUMMYFUNCTION("""COMPUTED_VALUE"""),"A")</f>
        <v>A</v>
      </c>
      <c r="L248" s="4" t="str">
        <f ca="1">IFERROR(__xludf.DUMMYFUNCTION("""COMPUTED_VALUE"""),"A soberania dos cidadãos dotados de plenos direitos era imprescindível para a existência da cidade-estado. Segundo os regimes políticos, a proporção desses cidadãos em relação à população total dos homens livres podia variar muito, sendo bastante pequena "&amp;"nas aristocracias e oligarquias e maior nas democracias.
CARDOSO, C. F. A cidade-estado clássica. São Paulo: Ática, 1985.
Nas cidades-estado da Antiguidade Clássica, a proporção de cidadãos descrita no texto é explicada pela adoção do seguinte critério "&amp;"para a participação política:")</f>
        <v>A soberania dos cidadãos dotados de plenos direitos era imprescindível para a existência da cidade-estado. Segundo os regimes políticos, a proporção desses cidadãos em relação à população total dos homens livres podia variar muito, sendo bastante pequena nas aristocracias e oligarquias e maior nas democracias.
CARDOSO, C. F. A cidade-estado clássica. São Paulo: Ática, 1985.
Nas cidades-estado da Antiguidade Clássica, a proporção de cidadãos descrita no texto é explicada pela adoção do seguinte critério para a participação política:</v>
      </c>
      <c r="M248" s="4" t="str">
        <f ca="1">IFERROR(__xludf.DUMMYFUNCTION("""COMPUTED_VALUE"""),"Controle da terra.
")</f>
        <v xml:space="preserve">Controle da terra.
</v>
      </c>
      <c r="N248" s="4" t="str">
        <f ca="1">IFERROR(__xludf.DUMMYFUNCTION("""COMPUTED_VALUE"""),"Liberdade de culto.
")</f>
        <v xml:space="preserve">Liberdade de culto.
</v>
      </c>
      <c r="O248" s="4" t="str">
        <f ca="1">IFERROR(__xludf.DUMMYFUNCTION("""COMPUTED_VALUE"""),"Igualdade de gênero.
")</f>
        <v xml:space="preserve">Igualdade de gênero.
</v>
      </c>
      <c r="P248" s="4" t="str">
        <f ca="1">IFERROR(__xludf.DUMMYFUNCTION("""COMPUTED_VALUE"""),"Exclusão dos militares.
")</f>
        <v xml:space="preserve">Exclusão dos militares.
</v>
      </c>
      <c r="Q248" s="4" t="str">
        <f ca="1">IFERROR(__xludf.DUMMYFUNCTION("""COMPUTED_VALUE"""),"Exigência da alfabetização.
")</f>
        <v xml:space="preserve">Exigência da alfabetização.
</v>
      </c>
      <c r="R248" s="4"/>
      <c r="S248" s="4"/>
      <c r="T248" s="4"/>
      <c r="U248" s="4"/>
      <c r="V248" s="4"/>
      <c r="W248" s="4"/>
      <c r="X248" s="4"/>
      <c r="Y248" s="4"/>
      <c r="Z248" s="4"/>
    </row>
    <row r="249" spans="1:26" x14ac:dyDescent="0.25">
      <c r="A249" s="3" t="str">
        <f ca="1">IFERROR(__xludf.DUMMYFUNCTION("""COMPUTED_VALUE"""),"https://drive.google.com/open?id=1pD3COL79dFhDFEwDVOzl0YkQBoonVI1t")</f>
        <v>https://drive.google.com/open?id=1pD3COL79dFhDFEwDVOzl0YkQBoonVI1t</v>
      </c>
      <c r="B249" s="4" t="str">
        <f ca="1">IFERROR(__xludf.DUMMYFUNCTION("""COMPUTED_VALUE"""),"Enem")</f>
        <v>Enem</v>
      </c>
      <c r="C249" s="4">
        <f ca="1">IFERROR(__xludf.DUMMYFUNCTION("""COMPUTED_VALUE"""),2019)</f>
        <v>2019</v>
      </c>
      <c r="D249" s="4" t="str">
        <f ca="1">IFERROR(__xludf.DUMMYFUNCTION("""COMPUTED_VALUE"""),"Ciências Humanas")</f>
        <v>Ciências Humanas</v>
      </c>
      <c r="E249" s="4" t="str">
        <f ca="1">IFERROR(__xludf.DUMMYFUNCTION("""COMPUTED_VALUE"""),"História")</f>
        <v>História</v>
      </c>
      <c r="F249" s="4" t="str">
        <f ca="1">IFERROR(__xludf.DUMMYFUNCTION("""COMPUTED_VALUE"""),"História do Brasil")</f>
        <v>História do Brasil</v>
      </c>
      <c r="G249" s="4"/>
      <c r="H249" s="4"/>
      <c r="I249" s="4" t="str">
        <f ca="1">IFERROR(__xludf.DUMMYFUNCTION("""COMPUTED_VALUE"""),"Amarelo")</f>
        <v>Amarelo</v>
      </c>
      <c r="J249" s="4">
        <f ca="1">IFERROR(__xludf.DUMMYFUNCTION("""COMPUTED_VALUE"""),72)</f>
        <v>72</v>
      </c>
      <c r="K249" s="4" t="str">
        <f ca="1">IFERROR(__xludf.DUMMYFUNCTION("""COMPUTED_VALUE"""),"D")</f>
        <v>D</v>
      </c>
      <c r="L249" s="4" t="str">
        <f ca="1">IFERROR(__xludf.DUMMYFUNCTION("""COMPUTED_VALUE"""),"A Revolta da Vacina (1904) mostrou claramente o aspecto defensivo, desorganizado, fragmentado da ação popular. Não se negava o Estado, não se reivindicava participação nas decisões políticas; defendiam-se valores e direitos considerados acima da intervenç"&amp;"ão do Estado.
CARVALHO, J. M. Os bestializados: o Rio de Janeiro e a República que não foi. São Paulo: Cia. das Letras, 1987 (adaptado).
A mobilização analisada representou um alerta, na medida em que a ação popular questionava:
")</f>
        <v xml:space="preserve">A Revolta da Vacina (1904) mostrou claramente o aspecto defensivo, desorganizado, fragmentado da ação popular. Não se negava o Estado, não se reivindicava participação nas decisões políticas; defendiam-se valores e direitos considerados acima da intervenção do Estado.
CARVALHO, J. M. Os bestializados: o Rio de Janeiro e a República que não foi. São Paulo: Cia. das Letras, 1987 (adaptado).
A mobilização analisada representou um alerta, na medida em que a ação popular questionava:
</v>
      </c>
      <c r="M249" s="4" t="str">
        <f ca="1">IFERROR(__xludf.DUMMYFUNCTION("""COMPUTED_VALUE"""),"a alta de preços.
")</f>
        <v xml:space="preserve">a alta de preços.
</v>
      </c>
      <c r="N249" s="4" t="str">
        <f ca="1">IFERROR(__xludf.DUMMYFUNCTION("""COMPUTED_VALUE"""),"a política clientelista.
")</f>
        <v xml:space="preserve">a política clientelista.
</v>
      </c>
      <c r="O249" s="4" t="str">
        <f ca="1">IFERROR(__xludf.DUMMYFUNCTION("""COMPUTED_VALUE"""),"as reformas urbanas.
")</f>
        <v xml:space="preserve">as reformas urbanas.
</v>
      </c>
      <c r="P249" s="4" t="str">
        <f ca="1">IFERROR(__xludf.DUMMYFUNCTION("""COMPUTED_VALUE"""),"o arbítrio governamental.
")</f>
        <v xml:space="preserve">o arbítrio governamental.
</v>
      </c>
      <c r="Q249" s="4" t="str">
        <f ca="1">IFERROR(__xludf.DUMMYFUNCTION("""COMPUTED_VALUE"""),"as práticas eleitorais.
")</f>
        <v xml:space="preserve">as práticas eleitorais.
</v>
      </c>
      <c r="R249" s="4"/>
      <c r="S249" s="4"/>
      <c r="T249" s="4"/>
      <c r="U249" s="4"/>
      <c r="V249" s="4"/>
      <c r="W249" s="4"/>
      <c r="X249" s="4"/>
      <c r="Y249" s="4"/>
      <c r="Z249" s="4"/>
    </row>
    <row r="250" spans="1:26" x14ac:dyDescent="0.25">
      <c r="A250" s="3" t="str">
        <f ca="1">IFERROR(__xludf.DUMMYFUNCTION("""COMPUTED_VALUE"""),"https://drive.google.com/open?id=1JOJ5XaaF6P8YWG-0OLVrsES08Njg5ur_")</f>
        <v>https://drive.google.com/open?id=1JOJ5XaaF6P8YWG-0OLVrsES08Njg5ur_</v>
      </c>
      <c r="B250" s="4" t="str">
        <f ca="1">IFERROR(__xludf.DUMMYFUNCTION("""COMPUTED_VALUE"""),"Enem")</f>
        <v>Enem</v>
      </c>
      <c r="C250" s="4">
        <f ca="1">IFERROR(__xludf.DUMMYFUNCTION("""COMPUTED_VALUE"""),2019)</f>
        <v>2019</v>
      </c>
      <c r="D250" s="4" t="str">
        <f ca="1">IFERROR(__xludf.DUMMYFUNCTION("""COMPUTED_VALUE"""),"Ciências Humanas")</f>
        <v>Ciências Humanas</v>
      </c>
      <c r="E250" s="4" t="str">
        <f ca="1">IFERROR(__xludf.DUMMYFUNCTION("""COMPUTED_VALUE"""),"História")</f>
        <v>História</v>
      </c>
      <c r="F250" s="4" t="str">
        <f ca="1">IFERROR(__xludf.DUMMYFUNCTION("""COMPUTED_VALUE"""),"História do Brasil")</f>
        <v>História do Brasil</v>
      </c>
      <c r="G250" s="4" t="str">
        <f ca="1">IFERROR(__xludf.DUMMYFUNCTION("""COMPUTED_VALUE"""),"História Geral")</f>
        <v>História Geral</v>
      </c>
      <c r="H250" s="4"/>
      <c r="I250" s="4" t="str">
        <f ca="1">IFERROR(__xludf.DUMMYFUNCTION("""COMPUTED_VALUE"""),"Amarelo")</f>
        <v>Amarelo</v>
      </c>
      <c r="J250" s="4">
        <f ca="1">IFERROR(__xludf.DUMMYFUNCTION("""COMPUTED_VALUE"""),73)</f>
        <v>73</v>
      </c>
      <c r="K250" s="4" t="str">
        <f ca="1">IFERROR(__xludf.DUMMYFUNCTION("""COMPUTED_VALUE"""),"B")</f>
        <v>B</v>
      </c>
      <c r="L250" s="4" t="str">
        <f ca="1">IFERROR(__xludf.DUMMYFUNCTION("""COMPUTED_VALUE"""),"A partir da segunda metade do século XVII, o número de escravos recém-chegados cresce no Rio e se estabiliza na Bahia. Nenhum lugar servia tão bem à recepção de escravos quanto o Rio de Janeiro.
FRANÇA, R. O tamanho real da escravidão. O Globo, 5 abr. 20"&amp;"15 (adaptado).
Na matéria, o jornalista informa uma mudança na dinâmica do tráfico atlântico que está relacionada à seguinte atividade:")</f>
        <v>A partir da segunda metade do século XVII, o número de escravos recém-chegados cresce no Rio e se estabiliza na Bahia. Nenhum lugar servia tão bem à recepção de escravos quanto o Rio de Janeiro.
FRANÇA, R. O tamanho real da escravidão. O Globo, 5 abr. 2015 (adaptado).
Na matéria, o jornalista informa uma mudança na dinâmica do tráfico atlântico que está relacionada à seguinte atividade:</v>
      </c>
      <c r="M250" s="4" t="str">
        <f ca="1">IFERROR(__xludf.DUMMYFUNCTION("""COMPUTED_VALUE"""),"Coleta de drogas do sertão.
")</f>
        <v xml:space="preserve">Coleta de drogas do sertão.
</v>
      </c>
      <c r="N250" s="4" t="str">
        <f ca="1">IFERROR(__xludf.DUMMYFUNCTION("""COMPUTED_VALUE"""),"Extração de metais preciosos.
")</f>
        <v xml:space="preserve">Extração de metais preciosos.
</v>
      </c>
      <c r="O250" s="4" t="str">
        <f ca="1">IFERROR(__xludf.DUMMYFUNCTION("""COMPUTED_VALUE"""),"Adoção da pecuária extensiva.
")</f>
        <v xml:space="preserve">Adoção da pecuária extensiva.
</v>
      </c>
      <c r="P250" s="4" t="str">
        <f ca="1">IFERROR(__xludf.DUMMYFUNCTION("""COMPUTED_VALUE"""),"Retirada de madeira do litoral.
")</f>
        <v xml:space="preserve">Retirada de madeira do litoral.
</v>
      </c>
      <c r="Q250" s="4" t="str">
        <f ca="1">IFERROR(__xludf.DUMMYFUNCTION("""COMPUTED_VALUE"""),"Exploração da lavoura de tabaco.
")</f>
        <v xml:space="preserve">Exploração da lavoura de tabaco.
</v>
      </c>
      <c r="R250" s="4"/>
      <c r="S250" s="4"/>
      <c r="T250" s="4"/>
      <c r="U250" s="4"/>
      <c r="V250" s="4"/>
      <c r="W250" s="4"/>
      <c r="X250" s="4"/>
      <c r="Y250" s="4"/>
      <c r="Z250" s="4"/>
    </row>
    <row r="251" spans="1:26" x14ac:dyDescent="0.25">
      <c r="A251" s="3" t="str">
        <f ca="1">IFERROR(__xludf.DUMMYFUNCTION("""COMPUTED_VALUE"""),"https://drive.google.com/open?id=1e5uwe_Lw6L_hVtqKLTRMB3ecTeoRxqEr")</f>
        <v>https://drive.google.com/open?id=1e5uwe_Lw6L_hVtqKLTRMB3ecTeoRxqEr</v>
      </c>
      <c r="B251" s="4" t="str">
        <f ca="1">IFERROR(__xludf.DUMMYFUNCTION("""COMPUTED_VALUE"""),"Enem")</f>
        <v>Enem</v>
      </c>
      <c r="C251" s="4">
        <f ca="1">IFERROR(__xludf.DUMMYFUNCTION("""COMPUTED_VALUE"""),2019)</f>
        <v>2019</v>
      </c>
      <c r="D251" s="4" t="str">
        <f ca="1">IFERROR(__xludf.DUMMYFUNCTION("""COMPUTED_VALUE"""),"Ciências Humanas")</f>
        <v>Ciências Humanas</v>
      </c>
      <c r="E251" s="4" t="str">
        <f ca="1">IFERROR(__xludf.DUMMYFUNCTION("""COMPUTED_VALUE"""),"História")</f>
        <v>História</v>
      </c>
      <c r="F251" s="4" t="str">
        <f ca="1">IFERROR(__xludf.DUMMYFUNCTION("""COMPUTED_VALUE"""),"História Geral")</f>
        <v>História Geral</v>
      </c>
      <c r="G251" s="4"/>
      <c r="H251" s="4"/>
      <c r="I251" s="4" t="str">
        <f ca="1">IFERROR(__xludf.DUMMYFUNCTION("""COMPUTED_VALUE"""),"Amarelo")</f>
        <v>Amarelo</v>
      </c>
      <c r="J251" s="4">
        <f ca="1">IFERROR(__xludf.DUMMYFUNCTION("""COMPUTED_VALUE"""),74)</f>
        <v>74</v>
      </c>
      <c r="K251" s="4" t="str">
        <f ca="1">IFERROR(__xludf.DUMMYFUNCTION("""COMPUTED_VALUE"""),"B")</f>
        <v>B</v>
      </c>
      <c r="L251" s="4" t="str">
        <f ca="1">IFERROR(__xludf.DUMMYFUNCTION("""COMPUTED_VALUE"""),"A ocasião fez o ladrão: Francis Drake travava sua guerra de pirataria contra a Espanha papista quando roubou as tropas de mulas que levavam o ouro do Peru para o Panamá. Graças à cumplicidade da rainha Elizabeth I, ele reincide e saqueia as costas do Chil"&amp;"e e do Peru antes de regressar pelo Oceano Pacífico, e depois pelo Índico. Ora, em Ternate ele oferece sua proteção a um sultão revoltado com os portugueses; assim nasce o primeiro entreposto inglês ultramarino.
FERRO, M. História das colonizações. Das c"&amp;"olonizações às independências. Séculos XIII a XX. São Paulo: Cia. das Letras, 1996.
A tática adotada pela Inglaterra do século XVI, conforme citada no texto, foi o meio encontrado para:")</f>
        <v>A ocasião fez o ladrão: Francis Drake travava sua guerra de pirataria contra a Espanha papista quando roubou as tropas de mulas que levavam o ouro do Peru para o Panamá. Graças à cumplicidade da rainha Elizabeth I, ele reincide e saqueia as costas do Chile e do Peru antes de regressar pelo Oceano Pacífico, e depois pelo Índico. Ora, em Ternate ele oferece sua proteção a um sultão revoltado com os portugueses; assim nasce o primeiro entreposto inglês ultramarino.
FERRO, M. História das colonizações. Das colonizações às independências. Séculos XIII a XX. São Paulo: Cia. das Letras, 1996.
A tática adotada pela Inglaterra do século XVI, conforme citada no texto, foi o meio encontrado para:</v>
      </c>
      <c r="M251" s="4" t="str">
        <f ca="1">IFERROR(__xludf.DUMMYFUNCTION("""COMPUTED_VALUE"""),"restabelecer o crescimento da economia mercantil.
")</f>
        <v xml:space="preserve">restabelecer o crescimento da economia mercantil.
</v>
      </c>
      <c r="N251" s="4" t="str">
        <f ca="1">IFERROR(__xludf.DUMMYFUNCTION("""COMPUTED_VALUE"""),"conquistar as riquezas dos territórios americanos.
")</f>
        <v xml:space="preserve">conquistar as riquezas dos territórios americanos.
</v>
      </c>
      <c r="O251" s="4" t="str">
        <f ca="1">IFERROR(__xludf.DUMMYFUNCTION("""COMPUTED_VALUE"""),"legalizar a ocupação de possessões ibéricas.
")</f>
        <v xml:space="preserve">legalizar a ocupação de possessões ibéricas.
</v>
      </c>
      <c r="P251" s="4" t="str">
        <f ca="1">IFERROR(__xludf.DUMMYFUNCTION("""COMPUTED_VALUE"""),"ganhar a adesão das potências europeias.
")</f>
        <v xml:space="preserve">ganhar a adesão das potências europeias.
</v>
      </c>
      <c r="Q251" s="4" t="str">
        <f ca="1">IFERROR(__xludf.DUMMYFUNCTION("""COMPUTED_VALUE"""),"fortalecer as rotas do comércio marítimo.
")</f>
        <v xml:space="preserve">fortalecer as rotas do comércio marítimo.
</v>
      </c>
      <c r="R251" s="4"/>
      <c r="S251" s="4"/>
      <c r="T251" s="4"/>
      <c r="U251" s="4"/>
      <c r="V251" s="4"/>
      <c r="W251" s="4"/>
      <c r="X251" s="4"/>
      <c r="Y251" s="4"/>
      <c r="Z251" s="4"/>
    </row>
    <row r="252" spans="1:26" x14ac:dyDescent="0.25">
      <c r="A252" s="3" t="str">
        <f ca="1">IFERROR(__xludf.DUMMYFUNCTION("""COMPUTED_VALUE"""),"https://drive.google.com/open?id=1FbNw78Xu5MAlmzl3l2YelBav4vnCPEwI")</f>
        <v>https://drive.google.com/open?id=1FbNw78Xu5MAlmzl3l2YelBav4vnCPEwI</v>
      </c>
      <c r="B252" s="4" t="str">
        <f ca="1">IFERROR(__xludf.DUMMYFUNCTION("""COMPUTED_VALUE"""),"Enem")</f>
        <v>Enem</v>
      </c>
      <c r="C252" s="4">
        <f ca="1">IFERROR(__xludf.DUMMYFUNCTION("""COMPUTED_VALUE"""),2019)</f>
        <v>2019</v>
      </c>
      <c r="D252" s="4" t="str">
        <f ca="1">IFERROR(__xludf.DUMMYFUNCTION("""COMPUTED_VALUE"""),"Ciências Humanas")</f>
        <v>Ciências Humanas</v>
      </c>
      <c r="E252" s="4" t="str">
        <f ca="1">IFERROR(__xludf.DUMMYFUNCTION("""COMPUTED_VALUE"""),"História")</f>
        <v>História</v>
      </c>
      <c r="F252" s="4" t="str">
        <f ca="1">IFERROR(__xludf.DUMMYFUNCTION("""COMPUTED_VALUE"""),"História do Brasil")</f>
        <v>História do Brasil</v>
      </c>
      <c r="G252" s="4" t="str">
        <f ca="1">IFERROR(__xludf.DUMMYFUNCTION("""COMPUTED_VALUE"""),"Sociologia")</f>
        <v>Sociologia</v>
      </c>
      <c r="H252" s="4"/>
      <c r="I252" s="4" t="str">
        <f ca="1">IFERROR(__xludf.DUMMYFUNCTION("""COMPUTED_VALUE"""),"Amarelo")</f>
        <v>Amarelo</v>
      </c>
      <c r="J252" s="4">
        <f ca="1">IFERROR(__xludf.DUMMYFUNCTION("""COMPUTED_VALUE"""),75)</f>
        <v>75</v>
      </c>
      <c r="K252" s="4" t="str">
        <f ca="1">IFERROR(__xludf.DUMMYFUNCTION("""COMPUTED_VALUE"""),"A")</f>
        <v>A</v>
      </c>
      <c r="L252" s="4" t="str">
        <f ca="1">IFERROR(__xludf.DUMMYFUNCTION("""COMPUTED_VALUE"""),"O Ministério do Trabalho e Emprego (MTE) realizou 248 ações fiscais e resgatou um total de 1590 trabalhadores da situação análoga à de escravo, em 2014, em todo o país. A análise do enfrentamento do trabalho em condições análogas às de escravo materializa"&amp;" a efetivação de parcerias inéditas no trato da questão, podendo ser referenciadas ações fiscais realizadas com o Ministério da Defesa, Exército Brasileiro, Instituto Brasileiro do Meio Ambiente e dos Recursos Naturais Renováveis (Ibama) e Instituto Chico"&amp;" Mendes de Conservação da Biodiversidade (ICMBio).
Disponível em: http://portal.mte.gov.br. Acesso em: 4 fev. 2015 (adaptado).
A estratégia defendida no texto para reduzir o problema social apontado consiste em:
")</f>
        <v xml:space="preserve">O Ministério do Trabalho e Emprego (MTE) realizou 248 ações fiscais e resgatou um total de 1590 trabalhadores da situação análoga à de escravo, em 2014, em todo o país. A análise do enfrentamento do trabalho em condições análogas às de escravo materializa a efetivação de parcerias inéditas no trato da questão, podendo ser referenciadas ações fiscais realizadas com o Ministério da Defesa, Exército Brasileiro, Instituto Brasileiro do Meio Ambiente e dos Recursos Naturais Renováveis (Ibama) e Instituto Chico Mendes de Conservação da Biodiversidade (ICMBio).
Disponível em: http://portal.mte.gov.br. Acesso em: 4 fev. 2015 (adaptado).
A estratégia defendida no texto para reduzir o problema social apontado consiste em:
</v>
      </c>
      <c r="M252" s="4" t="str">
        <f ca="1">IFERROR(__xludf.DUMMYFUNCTION("""COMPUTED_VALUE"""),"Articular os órgãos públicos.
")</f>
        <v xml:space="preserve">Articular os órgãos públicos.
</v>
      </c>
      <c r="N252" s="4" t="str">
        <f ca="1">IFERROR(__xludf.DUMMYFUNCTION("""COMPUTED_VALUE"""),"Pressionar o Poder Legislativo.
")</f>
        <v xml:space="preserve">Pressionar o Poder Legislativo.
</v>
      </c>
      <c r="O252" s="4" t="str">
        <f ca="1">IFERROR(__xludf.DUMMYFUNCTION("""COMPUTED_VALUE"""),"Ampliar a emissão das multas.
")</f>
        <v xml:space="preserve">Ampliar a emissão das multas.
</v>
      </c>
      <c r="P252" s="4" t="str">
        <f ca="1">IFERROR(__xludf.DUMMYFUNCTION("""COMPUTED_VALUE"""),"Limitar a autonomia das empresas.
")</f>
        <v xml:space="preserve">Limitar a autonomia das empresas.
</v>
      </c>
      <c r="Q252" s="4" t="str">
        <f ca="1">IFERROR(__xludf.DUMMYFUNCTION("""COMPUTED_VALUE"""),"Financiar as pesquisas acadêmicas.
")</f>
        <v xml:space="preserve">Financiar as pesquisas acadêmicas.
</v>
      </c>
      <c r="R252" s="4"/>
      <c r="S252" s="4"/>
      <c r="T252" s="4"/>
      <c r="U252" s="4"/>
      <c r="V252" s="4"/>
      <c r="W252" s="4"/>
      <c r="X252" s="4"/>
      <c r="Y252" s="4"/>
      <c r="Z252" s="4"/>
    </row>
    <row r="253" spans="1:26" x14ac:dyDescent="0.25">
      <c r="A253" s="3" t="str">
        <f ca="1">IFERROR(__xludf.DUMMYFUNCTION("""COMPUTED_VALUE"""),"https://drive.google.com/open?id=1MqIIBaVKt3HUGzuA6MUuKkB5n8myHGdg")</f>
        <v>https://drive.google.com/open?id=1MqIIBaVKt3HUGzuA6MUuKkB5n8myHGdg</v>
      </c>
      <c r="B253" s="4" t="str">
        <f ca="1">IFERROR(__xludf.DUMMYFUNCTION("""COMPUTED_VALUE"""),"Enem")</f>
        <v>Enem</v>
      </c>
      <c r="C253" s="4">
        <f ca="1">IFERROR(__xludf.DUMMYFUNCTION("""COMPUTED_VALUE"""),2019)</f>
        <v>2019</v>
      </c>
      <c r="D253" s="4" t="str">
        <f ca="1">IFERROR(__xludf.DUMMYFUNCTION("""COMPUTED_VALUE"""),"Ciências Humanas")</f>
        <v>Ciências Humanas</v>
      </c>
      <c r="E253" s="4" t="str">
        <f ca="1">IFERROR(__xludf.DUMMYFUNCTION("""COMPUTED_VALUE"""),"História")</f>
        <v>História</v>
      </c>
      <c r="F253" s="4" t="str">
        <f ca="1">IFERROR(__xludf.DUMMYFUNCTION("""COMPUTED_VALUE"""),"História Geral")</f>
        <v>História Geral</v>
      </c>
      <c r="G253" s="4"/>
      <c r="H253" s="4"/>
      <c r="I253" s="4" t="str">
        <f ca="1">IFERROR(__xludf.DUMMYFUNCTION("""COMPUTED_VALUE"""),"Amarelo")</f>
        <v>Amarelo</v>
      </c>
      <c r="J253" s="4">
        <f ca="1">IFERROR(__xludf.DUMMYFUNCTION("""COMPUTED_VALUE"""),83)</f>
        <v>83</v>
      </c>
      <c r="K253" s="4" t="str">
        <f ca="1">IFERROR(__xludf.DUMMYFUNCTION("""COMPUTED_VALUE"""),"C")</f>
        <v>C</v>
      </c>
      <c r="L253" s="4" t="str">
        <f ca="1">IFERROR(__xludf.DUMMYFUNCTION("""COMPUTED_VALUE"""),"O cristianismo incorporou antigas práticas relativas ao fogo para criar uma festa sincrética. A igreja retomou a distância de seis meses entre os nascimentos de Jesus Cristo e João Batista e instituiu a data de comemoração a este último de tal maneira que"&amp;" as festas do solstício de verão europeu com suas tradicionais fogueiras se tornaram “fogueiras de São João”. A festa do fogo e da luz no entanto não foi imediatamente associada a São João Batista. Na Baixa Idade Média, algumas práticas tradicionais da fe"&amp;"sta (como banhos, danças e cantos) foram perseguidas por monges e bispos. A partir do Concílio de Trento (1545-1563), a Igreja resolveu adotar celebrações em torno do fogo e associá-las à doutrina cristã.
CHIANCA, L. Devoção e diversão: expressões contem"&amp;"porâneas de festas e santos católicos. Revista Anthropológicas, n. 18, 2007 (adaptado).
Com o objetivo de se fortalecer, a instituição mencionada no texto adotou as práticas descritas, que consistem em:")</f>
        <v>O cristianismo incorporou antigas práticas relativas ao fogo para criar uma festa sincrética. A igreja retomou a distância de seis meses entre os nascimentos de Jesus Cristo e João Batista e instituiu a data de comemoração a este último de tal maneira que as festas do solstício de verão europeu com suas tradicionais fogueiras se tornaram “fogueiras de São João”. A festa do fogo e da luz no entanto não foi imediatamente associada a São João Batista. Na Baixa Idade Média, algumas práticas tradicionais da festa (como banhos, danças e cantos) foram perseguidas por monges e bispos. A partir do Concílio de Trento (1545-1563), a Igreja resolveu adotar celebrações em torno do fogo e associá-las à doutrina cristã.
CHIANCA, L. Devoção e diversão: expressões contemporâneas de festas e santos católicos. Revista Anthropológicas, n. 18, 2007 (adaptado).
Com o objetivo de se fortalecer, a instituição mencionada no texto adotou as práticas descritas, que consistem em:</v>
      </c>
      <c r="M253" s="4" t="str">
        <f ca="1">IFERROR(__xludf.DUMMYFUNCTION("""COMPUTED_VALUE"""),"promoção de atos ecumênicos.
")</f>
        <v xml:space="preserve">promoção de atos ecumênicos.
</v>
      </c>
      <c r="N253" s="4" t="str">
        <f ca="1">IFERROR(__xludf.DUMMYFUNCTION("""COMPUTED_VALUE"""),"fomento de orientação bíblicas.
")</f>
        <v xml:space="preserve">fomento de orientação bíblicas.
</v>
      </c>
      <c r="O253" s="4" t="str">
        <f ca="1">IFERROR(__xludf.DUMMYFUNCTION("""COMPUTED_VALUE"""),"apropriação de cerimônias seculares.
")</f>
        <v xml:space="preserve">apropriação de cerimônias seculares.
</v>
      </c>
      <c r="P253" s="4" t="str">
        <f ca="1">IFERROR(__xludf.DUMMYFUNCTION("""COMPUTED_VALUE"""),"retomada de ensinamentos apostólicos.
")</f>
        <v xml:space="preserve">retomada de ensinamentos apostólicos.
</v>
      </c>
      <c r="Q253" s="4" t="str">
        <f ca="1">IFERROR(__xludf.DUMMYFUNCTION("""COMPUTED_VALUE"""),"ressignificação de rituais fundamentalistas.
")</f>
        <v xml:space="preserve">ressignificação de rituais fundamentalistas.
</v>
      </c>
      <c r="R253" s="4"/>
      <c r="S253" s="4"/>
      <c r="T253" s="4"/>
      <c r="U253" s="4"/>
      <c r="V253" s="4"/>
      <c r="W253" s="4"/>
      <c r="X253" s="4"/>
      <c r="Y253" s="4"/>
      <c r="Z253" s="4"/>
    </row>
    <row r="254" spans="1:26" x14ac:dyDescent="0.25">
      <c r="A254" s="3" t="str">
        <f ca="1">IFERROR(__xludf.DUMMYFUNCTION("""COMPUTED_VALUE"""),"https://drive.google.com/open?id=1cDN9i5BBo-279iTmJxlhQM5e1QMtVe7d")</f>
        <v>https://drive.google.com/open?id=1cDN9i5BBo-279iTmJxlhQM5e1QMtVe7d</v>
      </c>
      <c r="B254" s="4" t="str">
        <f ca="1">IFERROR(__xludf.DUMMYFUNCTION("""COMPUTED_VALUE"""),"Enem")</f>
        <v>Enem</v>
      </c>
      <c r="C254" s="4">
        <f ca="1">IFERROR(__xludf.DUMMYFUNCTION("""COMPUTED_VALUE"""),2019)</f>
        <v>2019</v>
      </c>
      <c r="D254" s="4" t="str">
        <f ca="1">IFERROR(__xludf.DUMMYFUNCTION("""COMPUTED_VALUE"""),"Ciências Humanas")</f>
        <v>Ciências Humanas</v>
      </c>
      <c r="E254" s="4" t="str">
        <f ca="1">IFERROR(__xludf.DUMMYFUNCTION("""COMPUTED_VALUE"""),"História")</f>
        <v>História</v>
      </c>
      <c r="F254" s="4" t="str">
        <f ca="1">IFERROR(__xludf.DUMMYFUNCTION("""COMPUTED_VALUE"""),"História do Brasil")</f>
        <v>História do Brasil</v>
      </c>
      <c r="G254" s="4" t="str">
        <f ca="1">IFERROR(__xludf.DUMMYFUNCTION("""COMPUTED_VALUE"""),"Atualidade")</f>
        <v>Atualidade</v>
      </c>
      <c r="H254" s="4"/>
      <c r="I254" s="4" t="str">
        <f ca="1">IFERROR(__xludf.DUMMYFUNCTION("""COMPUTED_VALUE"""),"Amarelo")</f>
        <v>Amarelo</v>
      </c>
      <c r="J254" s="4">
        <f ca="1">IFERROR(__xludf.DUMMYFUNCTION("""COMPUTED_VALUE"""),88)</f>
        <v>88</v>
      </c>
      <c r="K254" s="4" t="str">
        <f ca="1">IFERROR(__xludf.DUMMYFUNCTION("""COMPUTED_VALUE"""),"C")</f>
        <v>C</v>
      </c>
      <c r="L254" s="4" t="str">
        <f ca="1">IFERROR(__xludf.DUMMYFUNCTION("""COMPUTED_VALUE"""),"A criação do Sistema Único de Saúde (SUS) como uma política para todos constitui-se uma das mais importantes conquistas da sociedade brasileira no século XX. O SUS deve ser valorizado e defendido como um marco para a cidadania e o avanço civilizatório. A "&amp;"democracia envolve um modelo de Estado no qual políticas protegem os cidadãos e reduzem as desigualdades. O SUS é uma diretriz que fortalece a cidadania e contribui para assegurar o exercício de direitos, o pluralismo político e o bem-estar como valores d"&amp;"e uma sociedade fraterna, pluralista e sem preconceitos, conforme prevê a Constituição Federal de 1988.
RIZZOTO, M. L. F. et at. Justiça social, democracia com direitos sociais e saúde: a luta do Cebes. Revista Saúde em Debate, n. 116, jan.-mar. 2018 (ad"&amp;"aptado).
Segundo o texto, duas características da concepção da política pública analisada são:
")</f>
        <v xml:space="preserve">A criação do Sistema Único de Saúde (SUS) como uma política para todos constitui-se uma das mais importantes conquistas da sociedade brasileira no século XX. O SUS deve ser valorizado e defendido como um marco para a cidadania e o avanço civilizatório. A democracia envolve um modelo de Estado no qual políticas protegem os cidadãos e reduzem as desigualdades. O SUS é uma diretriz que fortalece a cidadania e contribui para assegurar o exercício de direitos, o pluralismo político e o bem-estar como valores de uma sociedade fraterna, pluralista e sem preconceitos, conforme prevê a Constituição Federal de 1988.
RIZZOTO, M. L. F. et at. Justiça social, democracia com direitos sociais e saúde: a luta do Cebes. Revista Saúde em Debate, n. 116, jan.-mar. 2018 (adaptado).
Segundo o texto, duas características da concepção da política pública analisada são:
</v>
      </c>
      <c r="M254" s="4" t="str">
        <f ca="1">IFERROR(__xludf.DUMMYFUNCTION("""COMPUTED_VALUE"""),"Paternalismo e filantropia.
")</f>
        <v xml:space="preserve">Paternalismo e filantropia.
</v>
      </c>
      <c r="N254" s="4" t="str">
        <f ca="1">IFERROR(__xludf.DUMMYFUNCTION("""COMPUTED_VALUE"""),"Liberalismo e meritocracia.
")</f>
        <v xml:space="preserve">Liberalismo e meritocracia.
</v>
      </c>
      <c r="O254" s="4" t="str">
        <f ca="1">IFERROR(__xludf.DUMMYFUNCTION("""COMPUTED_VALUE"""),"Universalismo e igualitarismo.
")</f>
        <v xml:space="preserve">Universalismo e igualitarismo.
</v>
      </c>
      <c r="P254" s="4" t="str">
        <f ca="1">IFERROR(__xludf.DUMMYFUNCTION("""COMPUTED_VALUE"""),"Nacionalismo e individualismo.
")</f>
        <v xml:space="preserve">Nacionalismo e individualismo.
</v>
      </c>
      <c r="Q254" s="4" t="str">
        <f ca="1">IFERROR(__xludf.DUMMYFUNCTION("""COMPUTED_VALUE"""),"Revolucionarismo e coparticipação.
")</f>
        <v xml:space="preserve">Revolucionarismo e coparticipação.
</v>
      </c>
      <c r="R254" s="4"/>
      <c r="S254" s="4"/>
      <c r="T254" s="4"/>
      <c r="U254" s="4"/>
      <c r="V254" s="4"/>
      <c r="W254" s="4"/>
      <c r="X254" s="4"/>
      <c r="Y254" s="4"/>
      <c r="Z254" s="4"/>
    </row>
    <row r="255" spans="1:26" x14ac:dyDescent="0.25">
      <c r="A255" s="3" t="str">
        <f ca="1">IFERROR(__xludf.DUMMYFUNCTION("""COMPUTED_VALUE"""),"https://drive.google.com/open?id=1y2xmdO0WWSmWS8t_TTx1hS_hy_HWRzjC")</f>
        <v>https://drive.google.com/open?id=1y2xmdO0WWSmWS8t_TTx1hS_hy_HWRzjC</v>
      </c>
      <c r="B255" s="4" t="str">
        <f ca="1">IFERROR(__xludf.DUMMYFUNCTION("""COMPUTED_VALUE"""),"Enem")</f>
        <v>Enem</v>
      </c>
      <c r="C255" s="4">
        <f ca="1">IFERROR(__xludf.DUMMYFUNCTION("""COMPUTED_VALUE"""),2019)</f>
        <v>2019</v>
      </c>
      <c r="D255" s="4" t="str">
        <f ca="1">IFERROR(__xludf.DUMMYFUNCTION("""COMPUTED_VALUE"""),"Ciências Humanas")</f>
        <v>Ciências Humanas</v>
      </c>
      <c r="E255" s="4" t="str">
        <f ca="1">IFERROR(__xludf.DUMMYFUNCTION("""COMPUTED_VALUE"""),"História")</f>
        <v>História</v>
      </c>
      <c r="F255" s="4" t="str">
        <f ca="1">IFERROR(__xludf.DUMMYFUNCTION("""COMPUTED_VALUE"""),"História do Brasil")</f>
        <v>História do Brasil</v>
      </c>
      <c r="G255" s="4"/>
      <c r="H255" s="4"/>
      <c r="I255" s="4" t="str">
        <f ca="1">IFERROR(__xludf.DUMMYFUNCTION("""COMPUTED_VALUE"""),"Amarelo")</f>
        <v>Amarelo</v>
      </c>
      <c r="J255" s="4">
        <f ca="1">IFERROR(__xludf.DUMMYFUNCTION("""COMPUTED_VALUE"""),90)</f>
        <v>90</v>
      </c>
      <c r="K255" s="4" t="str">
        <f ca="1">IFERROR(__xludf.DUMMYFUNCTION("""COMPUTED_VALUE"""),"C")</f>
        <v>C</v>
      </c>
      <c r="L255" s="4" t="str">
        <f ca="1">IFERROR(__xludf.DUMMYFUNCTION("""COMPUTED_VALUE"""),"A comunidade de Mumbuca, em Minas Gerais, tem uma organização coletiva de tal forma expressiva que coopera para o abastecimento de mantimentos da cidade do Jequitinhonha, o que pode ser atestado pela feira aos sábados. Em Campinho da Independência, no Rio"&amp;" de Janeiro, o artesanato local encanta os frequentadores do litoral sul do estado, além do restaurante quilombola que atende aos turistas.
ALMEIDA, A. W. B. (Org.). Cadernos de debates nova cartografia social: Territórios quilombolas e conflitos. Manaus"&amp;": Projeto Nova Cartografia Social da Amazônia; UEA Edições, 2010 (adaptado).
No texto, as estratégias territoriais dos grupos de remanescentes de quilombo visam garantir:
")</f>
        <v xml:space="preserve">A comunidade de Mumbuca, em Minas Gerais, tem uma organização coletiva de tal forma expressiva que coopera para o abastecimento de mantimentos da cidade do Jequitinhonha, o que pode ser atestado pela feira aos sábados. Em Campinho da Independência, no Rio de Janeiro, o artesanato local encanta os frequentadores do litoral sul do estado, além do restaurante quilombola que atende aos turistas.
ALMEIDA, A. W. B. (Org.). Cadernos de debates nova cartografia social: Territórios quilombolas e conflitos. Manaus: Projeto Nova Cartografia Social da Amazônia; UEA Edições, 2010 (adaptado).
No texto, as estratégias territoriais dos grupos de remanescentes de quilombo visam garantir:
</v>
      </c>
      <c r="M255" s="4" t="str">
        <f ca="1">IFERROR(__xludf.DUMMYFUNCTION("""COMPUTED_VALUE"""),"Perdão de dívidas fiscais.
")</f>
        <v xml:space="preserve">Perdão de dívidas fiscais.
</v>
      </c>
      <c r="N255" s="4" t="str">
        <f ca="1">IFERROR(__xludf.DUMMYFUNCTION("""COMPUTED_VALUE"""),"Reserva de mercado local.
")</f>
        <v xml:space="preserve">Reserva de mercado local.
</v>
      </c>
      <c r="O255" s="4" t="str">
        <f ca="1">IFERROR(__xludf.DUMMYFUNCTION("""COMPUTED_VALUE"""),"Inserção econômica regional.
")</f>
        <v xml:space="preserve">Inserção econômica regional.
</v>
      </c>
      <c r="P255" s="4" t="str">
        <f ca="1">IFERROR(__xludf.DUMMYFUNCTION("""COMPUTED_VALUE"""),"Protecionismo comercial tarifário.
")</f>
        <v xml:space="preserve">Protecionismo comercial tarifário.
</v>
      </c>
      <c r="Q255" s="4" t="str">
        <f ca="1">IFERROR(__xludf.DUMMYFUNCTION("""COMPUTED_VALUE"""),"Benefícios assistenciais públicos.
")</f>
        <v xml:space="preserve">Benefícios assistenciais públicos.
</v>
      </c>
      <c r="R255" s="4"/>
      <c r="S255" s="4"/>
      <c r="T255" s="4"/>
      <c r="U255" s="4"/>
      <c r="V255" s="4"/>
      <c r="W255" s="4"/>
      <c r="X255" s="4"/>
      <c r="Y255" s="4"/>
      <c r="Z255" s="4"/>
    </row>
    <row r="256" spans="1:26" x14ac:dyDescent="0.25">
      <c r="A256" s="3" t="str">
        <f ca="1">IFERROR(__xludf.DUMMYFUNCTION("""COMPUTED_VALUE"""),"https://drive.google.com/open?id=1xnHOf2CasJF_VvL_IWrLiSwSs8GY53Hd")</f>
        <v>https://drive.google.com/open?id=1xnHOf2CasJF_VvL_IWrLiSwSs8GY53Hd</v>
      </c>
      <c r="B256" s="4" t="str">
        <f ca="1">IFERROR(__xludf.DUMMYFUNCTION("""COMPUTED_VALUE"""),"Enem")</f>
        <v>Enem</v>
      </c>
      <c r="C256" s="4">
        <f ca="1">IFERROR(__xludf.DUMMYFUNCTION("""COMPUTED_VALUE"""),2018)</f>
        <v>2018</v>
      </c>
      <c r="D256" s="4" t="str">
        <f ca="1">IFERROR(__xludf.DUMMYFUNCTION("""COMPUTED_VALUE"""),"Matemática")</f>
        <v>Matemática</v>
      </c>
      <c r="E256" s="4" t="str">
        <f ca="1">IFERROR(__xludf.DUMMYFUNCTION("""COMPUTED_VALUE"""),"Matemática")</f>
        <v>Matemática</v>
      </c>
      <c r="F256" s="4" t="str">
        <f ca="1">IFERROR(__xludf.DUMMYFUNCTION("""COMPUTED_VALUE"""),"Aritmética e Algebra")</f>
        <v>Aritmética e Algebra</v>
      </c>
      <c r="G256" s="4"/>
      <c r="H256" s="4"/>
      <c r="I256" s="4" t="str">
        <f ca="1">IFERROR(__xludf.DUMMYFUNCTION("""COMPUTED_VALUE"""),"Amarelo")</f>
        <v>Amarelo</v>
      </c>
      <c r="J256" s="4">
        <f ca="1">IFERROR(__xludf.DUMMYFUNCTION("""COMPUTED_VALUE"""),152)</f>
        <v>152</v>
      </c>
      <c r="K256" s="4" t="str">
        <f ca="1">IFERROR(__xludf.DUMMYFUNCTION("""COMPUTED_VALUE"""),"B")</f>
        <v>B</v>
      </c>
      <c r="L256" s="4" t="str">
        <f ca="1">IFERROR(__xludf.DUMMYFUNCTION("""COMPUTED_VALUE"""),"Os tipos de prata normalmente vendidos são 975, 950 e 925. Essa classificação é feita de acordo com a sua pureza. Por exemplo, a prata 975 é a substância constituída 
de 975 partes de prata pura e 25 partes de cobre em 1 000 partes da substância. 
Já a pr"&amp;"ata 950 é constituída de 950 partes de prata pura e 50 de cobre em 1000; e a prata 925 é constituída de 925 partes de prata pura e 75 partes de cobre em 1 000;
Um ourives possui 10 gramas de prata 925 e deseja obter 40 gramas de prata 950 para 
produção d"&amp;"e uma joia.
Nessas condições, quantos gramas de prata e de cobre, respectivamente, devem ser 
fundidos com os 10 gramas de prata 925?")</f>
        <v>Os tipos de prata normalmente vendidos são 975, 950 e 925. Essa classificação é feita de acordo com a sua pureza. Por exemplo, a prata 975 é a substância constituída 
de 975 partes de prata pura e 25 partes de cobre em 1 000 partes da substância. 
Já a prata 950 é constituída de 950 partes de prata pura e 50 de cobre em 1000; e a prata 925 é constituída de 925 partes de prata pura e 75 partes de cobre em 1 000;
Um ourives possui 10 gramas de prata 925 e deseja obter 40 gramas de prata 950 para 
produção de uma joia.
Nessas condições, quantos gramas de prata e de cobre, respectivamente, devem ser 
fundidos com os 10 gramas de prata 925?</v>
      </c>
      <c r="M256" s="4" t="str">
        <f ca="1">IFERROR(__xludf.DUMMYFUNCTION("""COMPUTED_VALUE"""),"29,25 e 0,75")</f>
        <v>29,25 e 0,75</v>
      </c>
      <c r="N256" s="4" t="str">
        <f ca="1">IFERROR(__xludf.DUMMYFUNCTION("""COMPUTED_VALUE"""),"28,75 e 1,25")</f>
        <v>28,75 e 1,25</v>
      </c>
      <c r="O256" s="4" t="str">
        <f ca="1">IFERROR(__xludf.DUMMYFUNCTION("""COMPUTED_VALUE"""),"28,50 e 1,50")</f>
        <v>28,50 e 1,50</v>
      </c>
      <c r="P256" s="4" t="str">
        <f ca="1">IFERROR(__xludf.DUMMYFUNCTION("""COMPUTED_VALUE"""),"27,75 e 2,25")</f>
        <v>27,75 e 2,25</v>
      </c>
      <c r="Q256" s="4" t="str">
        <f ca="1">IFERROR(__xludf.DUMMYFUNCTION("""COMPUTED_VALUE"""),"25,00 e 5,00")</f>
        <v>25,00 e 5,00</v>
      </c>
      <c r="R256" s="4"/>
      <c r="S256" s="4"/>
      <c r="T256" s="4"/>
      <c r="U256" s="4"/>
      <c r="V256" s="4"/>
      <c r="W256" s="4"/>
      <c r="X256" s="4"/>
      <c r="Y256" s="4"/>
      <c r="Z256" s="4"/>
    </row>
    <row r="257" spans="1:26" x14ac:dyDescent="0.25">
      <c r="A257" s="3" t="str">
        <f ca="1">IFERROR(__xludf.DUMMYFUNCTION("""COMPUTED_VALUE"""),"https://drive.google.com/open?id=1SBZ33iZERrpvopanb9NqcbeqRs1yRTzd")</f>
        <v>https://drive.google.com/open?id=1SBZ33iZERrpvopanb9NqcbeqRs1yRTzd</v>
      </c>
      <c r="B257" s="4" t="str">
        <f ca="1">IFERROR(__xludf.DUMMYFUNCTION("""COMPUTED_VALUE"""),"Enem")</f>
        <v>Enem</v>
      </c>
      <c r="C257" s="4">
        <f ca="1">IFERROR(__xludf.DUMMYFUNCTION("""COMPUTED_VALUE"""),2018)</f>
        <v>2018</v>
      </c>
      <c r="D257" s="4" t="str">
        <f ca="1">IFERROR(__xludf.DUMMYFUNCTION("""COMPUTED_VALUE"""),"Matemática")</f>
        <v>Matemática</v>
      </c>
      <c r="E257" s="4" t="str">
        <f ca="1">IFERROR(__xludf.DUMMYFUNCTION("""COMPUTED_VALUE"""),"Matemática")</f>
        <v>Matemática</v>
      </c>
      <c r="F257" s="4" t="str">
        <f ca="1">IFERROR(__xludf.DUMMYFUNCTION("""COMPUTED_VALUE"""),"Aritmética e Algebra")</f>
        <v>Aritmética e Algebra</v>
      </c>
      <c r="G257" s="4"/>
      <c r="H257" s="4"/>
      <c r="I257" s="4" t="str">
        <f ca="1">IFERROR(__xludf.DUMMYFUNCTION("""COMPUTED_VALUE"""),"Amarelo")</f>
        <v>Amarelo</v>
      </c>
      <c r="J257" s="4">
        <f ca="1">IFERROR(__xludf.DUMMYFUNCTION("""COMPUTED_VALUE"""),153)</f>
        <v>153</v>
      </c>
      <c r="K257" s="4" t="str">
        <f ca="1">IFERROR(__xludf.DUMMYFUNCTION("""COMPUTED_VALUE"""),"B")</f>
        <v>B</v>
      </c>
      <c r="L257" s="4" t="str">
        <f ca="1">IFERROR(__xludf.DUMMYFUNCTION("""COMPUTED_VALUE"""),"Em um aeroporto, os passageiros devem submeter suas bagagens a uma das cinco 
máquinas de raio-X disponíveis ao adentrarem a sala de embarque. Num dado instante, 
o tempo gasto por essas máquinas para escanear a bagagem de cada passageiro e o 
número de p"&amp;"essoas presentes em cada fila estão apresentadas em um painel, como mostrado na figura.
[IMAGEM CONTIDA NO ARQUIVO]
Um passageiro, ao chegar à sala de embarque desse aeroporto no instante indicado, 
visando esperar o menor tempo possível, deverá se dirigi"&amp;"r à máquina:")</f>
        <v>Em um aeroporto, os passageiros devem submeter suas bagagens a uma das cinco 
máquinas de raio-X disponíveis ao adentrarem a sala de embarque. Num dado instante, 
o tempo gasto por essas máquinas para escanear a bagagem de cada passageiro e o 
número de pessoas presentes em cada fila estão apresentadas em um painel, como mostrado na figura.
[IMAGEM CONTIDA NO ARQUIVO]
Um passageiro, ao chegar à sala de embarque desse aeroporto no instante indicado, 
visando esperar o menor tempo possível, deverá se dirigir à máquina:</v>
      </c>
      <c r="M257" s="4" t="str">
        <f ca="1">IFERROR(__xludf.DUMMYFUNCTION("""COMPUTED_VALUE"""),"1")</f>
        <v>1</v>
      </c>
      <c r="N257" s="4" t="str">
        <f ca="1">IFERROR(__xludf.DUMMYFUNCTION("""COMPUTED_VALUE"""),"2")</f>
        <v>2</v>
      </c>
      <c r="O257" s="4" t="str">
        <f ca="1">IFERROR(__xludf.DUMMYFUNCTION("""COMPUTED_VALUE"""),"3")</f>
        <v>3</v>
      </c>
      <c r="P257" s="4" t="str">
        <f ca="1">IFERROR(__xludf.DUMMYFUNCTION("""COMPUTED_VALUE"""),"4")</f>
        <v>4</v>
      </c>
      <c r="Q257" s="4" t="str">
        <f ca="1">IFERROR(__xludf.DUMMYFUNCTION("""COMPUTED_VALUE"""),"5")</f>
        <v>5</v>
      </c>
      <c r="R257" s="4"/>
      <c r="S257" s="4"/>
      <c r="T257" s="4"/>
      <c r="U257" s="4"/>
      <c r="V257" s="4"/>
      <c r="W257" s="4"/>
      <c r="X257" s="4"/>
      <c r="Y257" s="4"/>
      <c r="Z257" s="4"/>
    </row>
    <row r="258" spans="1:26" x14ac:dyDescent="0.25">
      <c r="A258" s="3" t="str">
        <f ca="1">IFERROR(__xludf.DUMMYFUNCTION("""COMPUTED_VALUE"""),"https://drive.google.com/open?id=1k_DbuusSfGhgmoS5pfKBRaF7dgW1FQZM")</f>
        <v>https://drive.google.com/open?id=1k_DbuusSfGhgmoS5pfKBRaF7dgW1FQZM</v>
      </c>
      <c r="B258" s="4" t="str">
        <f ca="1">IFERROR(__xludf.DUMMYFUNCTION("""COMPUTED_VALUE"""),"Enem")</f>
        <v>Enem</v>
      </c>
      <c r="C258" s="4">
        <f ca="1">IFERROR(__xludf.DUMMYFUNCTION("""COMPUTED_VALUE"""),2018)</f>
        <v>2018</v>
      </c>
      <c r="D258" s="4" t="str">
        <f ca="1">IFERROR(__xludf.DUMMYFUNCTION("""COMPUTED_VALUE"""),"Matemática")</f>
        <v>Matemática</v>
      </c>
      <c r="E258" s="4" t="str">
        <f ca="1">IFERROR(__xludf.DUMMYFUNCTION("""COMPUTED_VALUE"""),"Matemática")</f>
        <v>Matemática</v>
      </c>
      <c r="F258" s="4" t="str">
        <f ca="1">IFERROR(__xludf.DUMMYFUNCTION("""COMPUTED_VALUE"""),"Aritmética e Algebra")</f>
        <v>Aritmética e Algebra</v>
      </c>
      <c r="G258" s="4"/>
      <c r="H258" s="4"/>
      <c r="I258" s="4" t="str">
        <f ca="1">IFERROR(__xludf.DUMMYFUNCTION("""COMPUTED_VALUE"""),"Amarelo")</f>
        <v>Amarelo</v>
      </c>
      <c r="J258" s="4">
        <f ca="1">IFERROR(__xludf.DUMMYFUNCTION("""COMPUTED_VALUE"""),154)</f>
        <v>154</v>
      </c>
      <c r="K258" s="4" t="str">
        <f ca="1">IFERROR(__xludf.DUMMYFUNCTION("""COMPUTED_VALUE"""),"D")</f>
        <v>D</v>
      </c>
      <c r="L258" s="4" t="str">
        <f ca="1">IFERROR(__xludf.DUMMYFUNCTION("""COMPUTED_VALUE"""),"A Comissão Interna de Prevenção de Acidentes (CIPA) de uma empresa, 
observando os altos custos com os frequentes acidentes de trabalho ocorridos, fez, a 
pedido da diretoria, uma pesquisa do número de acidentes sofridos por funcionários. 
Essa pesquisa, "&amp;"realizada com uma amostra de 100 funcionários, norteará as ações da 
empresa na política de segurança no trabalho.
Os resultados obtidos estão no quadro.
[IMAGEM CONTIDA NO ARQUIVO]
A média do número de acidentes por funcionário na amostra que a CIPA apre"&amp;"sentará à 
diretoria da empresa é:")</f>
        <v>A Comissão Interna de Prevenção de Acidentes (CIPA) de uma empresa, 
observando os altos custos com os frequentes acidentes de trabalho ocorridos, fez, a 
pedido da diretoria, uma pesquisa do número de acidentes sofridos por funcionários. 
Essa pesquisa, realizada com uma amostra de 100 funcionários, norteará as ações da 
empresa na política de segurança no trabalho.
Os resultados obtidos estão no quadro.
[IMAGEM CONTIDA NO ARQUIVO]
A média do número de acidentes por funcionário na amostra que a CIPA apresentará à 
diretoria da empresa é:</v>
      </c>
      <c r="M258" s="4" t="str">
        <f ca="1">IFERROR(__xludf.DUMMYFUNCTION("""COMPUTED_VALUE"""),"0,15.")</f>
        <v>0,15.</v>
      </c>
      <c r="N258" s="4" t="str">
        <f ca="1">IFERROR(__xludf.DUMMYFUNCTION("""COMPUTED_VALUE"""),"0,30.")</f>
        <v>0,30.</v>
      </c>
      <c r="O258" s="4" t="str">
        <f ca="1">IFERROR(__xludf.DUMMYFUNCTION("""COMPUTED_VALUE"""),"0,50.")</f>
        <v>0,50.</v>
      </c>
      <c r="P258" s="4" t="str">
        <f ca="1">IFERROR(__xludf.DUMMYFUNCTION("""COMPUTED_VALUE"""),"1,11.")</f>
        <v>1,11.</v>
      </c>
      <c r="Q258" s="4" t="str">
        <f ca="1">IFERROR(__xludf.DUMMYFUNCTION("""COMPUTED_VALUE"""),"2,22.")</f>
        <v>2,22.</v>
      </c>
      <c r="R258" s="4"/>
      <c r="S258" s="4"/>
      <c r="T258" s="4"/>
      <c r="U258" s="4"/>
      <c r="V258" s="4"/>
      <c r="W258" s="4"/>
      <c r="X258" s="4"/>
      <c r="Y258" s="4"/>
      <c r="Z258" s="4"/>
    </row>
    <row r="259" spans="1:26" x14ac:dyDescent="0.25">
      <c r="A259" s="3" t="str">
        <f ca="1">IFERROR(__xludf.DUMMYFUNCTION("""COMPUTED_VALUE"""),"https://drive.google.com/open?id=15QyqOKQ7_CpM8gCCBRkzsza-XJIqESGD")</f>
        <v>https://drive.google.com/open?id=15QyqOKQ7_CpM8gCCBRkzsza-XJIqESGD</v>
      </c>
      <c r="B259" s="4" t="str">
        <f ca="1">IFERROR(__xludf.DUMMYFUNCTION("""COMPUTED_VALUE"""),"Enem")</f>
        <v>Enem</v>
      </c>
      <c r="C259" s="4">
        <f ca="1">IFERROR(__xludf.DUMMYFUNCTION("""COMPUTED_VALUE"""),2018)</f>
        <v>2018</v>
      </c>
      <c r="D259" s="4" t="str">
        <f ca="1">IFERROR(__xludf.DUMMYFUNCTION("""COMPUTED_VALUE"""),"Matemática")</f>
        <v>Matemática</v>
      </c>
      <c r="E259" s="4" t="str">
        <f ca="1">IFERROR(__xludf.DUMMYFUNCTION("""COMPUTED_VALUE"""),"Matemática")</f>
        <v>Matemática</v>
      </c>
      <c r="F259" s="4" t="str">
        <f ca="1">IFERROR(__xludf.DUMMYFUNCTION("""COMPUTED_VALUE"""),"Financeira e Trigonometria")</f>
        <v>Financeira e Trigonometria</v>
      </c>
      <c r="G259" s="4"/>
      <c r="H259" s="4"/>
      <c r="I259" s="4" t="str">
        <f ca="1">IFERROR(__xludf.DUMMYFUNCTION("""COMPUTED_VALUE"""),"Amarelo")</f>
        <v>Amarelo</v>
      </c>
      <c r="J259" s="4">
        <f ca="1">IFERROR(__xludf.DUMMYFUNCTION("""COMPUTED_VALUE"""),155)</f>
        <v>155</v>
      </c>
      <c r="K259" s="4" t="str">
        <f ca="1">IFERROR(__xludf.DUMMYFUNCTION("""COMPUTED_VALUE"""),"E")</f>
        <v>E</v>
      </c>
      <c r="L259" s="4" t="str">
        <f ca="1">IFERROR(__xludf.DUMMYFUNCTION("""COMPUTED_VALUE"""),"A rosa dos ventos é uma figura que representa oito sentidos, que dividem o círculo em partes iguais.
[IMAGEM CONTIDA NO ARQUIVO]
Uma câmera de vigilância está fixada no teto de um shopping e sua lente pode ser 
direcionada remotamente, através de um contr"&amp;"olador, para qualquer sentido. A lente 
da câmera está apontada inicialmente no sentido Oeste e o seu controlador efetua três 
mudanças consecutivas, a saber:
-1ª mudança: 135º no sentido anti-horário;
-2ª mudança: 60º no sentido horário;
-3ª mudança: 45º"&amp;" no sentido anti-horário.
Após a 3ª mudança, ele é orientado a reposicionar a câmera, com a menor amplitude 
possível, no sentido Noroeste (NO) devido a um movimento suspeito de um cliente.
Qual mudança de sentido o controlador deve efetuar para reposicio"&amp;"nar a câmera?
")</f>
        <v xml:space="preserve">A rosa dos ventos é uma figura que representa oito sentidos, que dividem o círculo em partes iguais.
[IMAGEM CONTIDA NO ARQUIVO]
Uma câmera de vigilância está fixada no teto de um shopping e sua lente pode ser 
direcionada remotamente, através de um controlador, para qualquer sentido. A lente 
da câmera está apontada inicialmente no sentido Oeste e o seu controlador efetua três 
mudanças consecutivas, a saber:
-1ª mudança: 135º no sentido anti-horário;
-2ª mudança: 60º no sentido horário;
-3ª mudança: 45º no sentido anti-horário.
Após a 3ª mudança, ele é orientado a reposicionar a câmera, com a menor amplitude 
possível, no sentido Noroeste (NO) devido a um movimento suspeito de um cliente.
Qual mudança de sentido o controlador deve efetuar para reposicionar a câmera?
</v>
      </c>
      <c r="M259" s="4" t="str">
        <f ca="1">IFERROR(__xludf.DUMMYFUNCTION("""COMPUTED_VALUE"""),"75º no sentido horário.")</f>
        <v>75º no sentido horário.</v>
      </c>
      <c r="N259" s="4" t="str">
        <f ca="1">IFERROR(__xludf.DUMMYFUNCTION("""COMPUTED_VALUE"""),"105º no sentido anti-horário.")</f>
        <v>105º no sentido anti-horário.</v>
      </c>
      <c r="O259" s="4" t="str">
        <f ca="1">IFERROR(__xludf.DUMMYFUNCTION("""COMPUTED_VALUE"""),"120º no sentido anti-horário.")</f>
        <v>120º no sentido anti-horário.</v>
      </c>
      <c r="P259" s="4" t="str">
        <f ca="1">IFERROR(__xludf.DUMMYFUNCTION("""COMPUTED_VALUE"""),"135º no sentido anti-horário.")</f>
        <v>135º no sentido anti-horário.</v>
      </c>
      <c r="Q259" s="4" t="str">
        <f ca="1">IFERROR(__xludf.DUMMYFUNCTION("""COMPUTED_VALUE"""),"165º no sentido horário.")</f>
        <v>165º no sentido horário.</v>
      </c>
      <c r="R259" s="4"/>
      <c r="S259" s="4"/>
      <c r="T259" s="4"/>
      <c r="U259" s="4"/>
      <c r="V259" s="4"/>
      <c r="W259" s="4"/>
      <c r="X259" s="4"/>
      <c r="Y259" s="4"/>
      <c r="Z259" s="4"/>
    </row>
    <row r="260" spans="1:26" x14ac:dyDescent="0.25">
      <c r="A260" s="3" t="str">
        <f ca="1">IFERROR(__xludf.DUMMYFUNCTION("""COMPUTED_VALUE"""),"https://drive.google.com/open?id=1cAfVmu4Id158zC4lQLedfGWp1vaL8tIb")</f>
        <v>https://drive.google.com/open?id=1cAfVmu4Id158zC4lQLedfGWp1vaL8tIb</v>
      </c>
      <c r="B260" s="4" t="str">
        <f ca="1">IFERROR(__xludf.DUMMYFUNCTION("""COMPUTED_VALUE"""),"Enem")</f>
        <v>Enem</v>
      </c>
      <c r="C260" s="4">
        <f ca="1">IFERROR(__xludf.DUMMYFUNCTION("""COMPUTED_VALUE"""),2018)</f>
        <v>2018</v>
      </c>
      <c r="D260" s="4" t="str">
        <f ca="1">IFERROR(__xludf.DUMMYFUNCTION("""COMPUTED_VALUE"""),"Matemática")</f>
        <v>Matemática</v>
      </c>
      <c r="E260" s="4" t="str">
        <f ca="1">IFERROR(__xludf.DUMMYFUNCTION("""COMPUTED_VALUE"""),"Matemática")</f>
        <v>Matemática</v>
      </c>
      <c r="F260" s="4" t="str">
        <f ca="1">IFERROR(__xludf.DUMMYFUNCTION("""COMPUTED_VALUE"""),"Aritmética e Algebra")</f>
        <v>Aritmética e Algebra</v>
      </c>
      <c r="G260" s="4"/>
      <c r="H260" s="4"/>
      <c r="I260" s="4" t="str">
        <f ca="1">IFERROR(__xludf.DUMMYFUNCTION("""COMPUTED_VALUE"""),"Amarelo")</f>
        <v>Amarelo</v>
      </c>
      <c r="J260" s="4">
        <f ca="1">IFERROR(__xludf.DUMMYFUNCTION("""COMPUTED_VALUE"""),156)</f>
        <v>156</v>
      </c>
      <c r="K260" s="4" t="str">
        <f ca="1">IFERROR(__xludf.DUMMYFUNCTION("""COMPUTED_VALUE"""),"E")</f>
        <v>E</v>
      </c>
      <c r="L260" s="4" t="str">
        <f ca="1">IFERROR(__xludf.DUMMYFUNCTION("""COMPUTED_VALUE"""),"Na teoria das eleições, o Método de Borda sugere que, em vez de escolher um 
candidato, cada juiz deve criar um ranking de sua preferência para os concorrentes 
(isto é, criar uma lista com a ordem de classificação dos concorrentes). A este ranking
é asso"&amp;"ciada uma pontuação: um ponto para o último colocado no ranking, dois pontos 
para o penúltimo, três para o antepenúltimo, e assim sucessivamente. Ao final, soma-se a pontuação atribuída a cada concorrente por cada um dos juízes.
Em uma escola houve um co"&amp;"ncurso de poesia no qual cinco alunos concorreram 
a um prêmio, sendo julgados por 25 juízes. Para a escolha da poesia vencedora foi 
utilizado o Método de Borda. Nos quadros, estão apresentados os rankings dos juízes e 
a frequência de cada ranking.
[IMA"&amp;"GEM CONTIDA NO ARQUIVO]
A poesia vencedora foi a de:")</f>
        <v>Na teoria das eleições, o Método de Borda sugere que, em vez de escolher um 
candidato, cada juiz deve criar um ranking de sua preferência para os concorrentes 
(isto é, criar uma lista com a ordem de classificação dos concorrentes). A este ranking
é associada uma pontuação: um ponto para o último colocado no ranking, dois pontos 
para o penúltimo, três para o antepenúltimo, e assim sucessivamente. Ao final, soma-se a pontuação atribuída a cada concorrente por cada um dos juízes.
Em uma escola houve um concurso de poesia no qual cinco alunos concorreram 
a um prêmio, sendo julgados por 25 juízes. Para a escolha da poesia vencedora foi 
utilizado o Método de Borda. Nos quadros, estão apresentados os rankings dos juízes e 
a frequência de cada ranking.
[IMAGEM CONTIDA NO ARQUIVO]
A poesia vencedora foi a de:</v>
      </c>
      <c r="M260" s="4" t="str">
        <f ca="1">IFERROR(__xludf.DUMMYFUNCTION("""COMPUTED_VALUE"""),"Edu.")</f>
        <v>Edu.</v>
      </c>
      <c r="N260" s="4" t="str">
        <f ca="1">IFERROR(__xludf.DUMMYFUNCTION("""COMPUTED_VALUE"""),"Dani.")</f>
        <v>Dani.</v>
      </c>
      <c r="O260" s="4" t="str">
        <f ca="1">IFERROR(__xludf.DUMMYFUNCTION("""COMPUTED_VALUE"""),"Caio.")</f>
        <v>Caio.</v>
      </c>
      <c r="P260" s="4" t="str">
        <f ca="1">IFERROR(__xludf.DUMMYFUNCTION("""COMPUTED_VALUE"""),"Bia.")</f>
        <v>Bia.</v>
      </c>
      <c r="Q260" s="4" t="str">
        <f ca="1">IFERROR(__xludf.DUMMYFUNCTION("""COMPUTED_VALUE"""),"Ana.")</f>
        <v>Ana.</v>
      </c>
      <c r="R260" s="4"/>
      <c r="S260" s="4"/>
      <c r="T260" s="4"/>
      <c r="U260" s="4"/>
      <c r="V260" s="4"/>
      <c r="W260" s="4"/>
      <c r="X260" s="4"/>
      <c r="Y260" s="4"/>
      <c r="Z260" s="4"/>
    </row>
    <row r="261" spans="1:26" x14ac:dyDescent="0.25">
      <c r="A261" s="3" t="str">
        <f ca="1">IFERROR(__xludf.DUMMYFUNCTION("""COMPUTED_VALUE"""),"https://drive.google.com/open?id=18Ngn5ppvp6KzWeSfhOLKthYOM0cM2tzN")</f>
        <v>https://drive.google.com/open?id=18Ngn5ppvp6KzWeSfhOLKthYOM0cM2tzN</v>
      </c>
      <c r="B261" s="4" t="str">
        <f ca="1">IFERROR(__xludf.DUMMYFUNCTION("""COMPUTED_VALUE"""),"Enem")</f>
        <v>Enem</v>
      </c>
      <c r="C261" s="4">
        <f ca="1">IFERROR(__xludf.DUMMYFUNCTION("""COMPUTED_VALUE"""),2019)</f>
        <v>2019</v>
      </c>
      <c r="D261" s="4" t="str">
        <f ca="1">IFERROR(__xludf.DUMMYFUNCTION("""COMPUTED_VALUE"""),"Ciências Humanas")</f>
        <v>Ciências Humanas</v>
      </c>
      <c r="E261" s="4" t="str">
        <f ca="1">IFERROR(__xludf.DUMMYFUNCTION("""COMPUTED_VALUE"""),"Geografia")</f>
        <v>Geografia</v>
      </c>
      <c r="F261" s="4" t="str">
        <f ca="1">IFERROR(__xludf.DUMMYFUNCTION("""COMPUTED_VALUE"""),"Geografia Geral")</f>
        <v>Geografia Geral</v>
      </c>
      <c r="G261" s="4"/>
      <c r="H261" s="4"/>
      <c r="I261" s="4" t="str">
        <f ca="1">IFERROR(__xludf.DUMMYFUNCTION("""COMPUTED_VALUE"""),"Azul")</f>
        <v>Azul</v>
      </c>
      <c r="J261" s="4">
        <f ca="1">IFERROR(__xludf.DUMMYFUNCTION("""COMPUTED_VALUE"""),57)</f>
        <v>57</v>
      </c>
      <c r="K261" s="4" t="str">
        <f ca="1">IFERROR(__xludf.DUMMYFUNCTION("""COMPUTED_VALUE"""),"A")</f>
        <v>A</v>
      </c>
      <c r="L261" s="4" t="str">
        <f ca="1">IFERROR(__xludf.DUMMYFUNCTION("""COMPUTED_VALUE"""),"As imagens representam fases de um conflito geopolítico
no qual as forças envolvidas buscam")</f>
        <v>As imagens representam fases de um conflito geopolítico
no qual as forças envolvidas buscam</v>
      </c>
      <c r="M261" s="4" t="str">
        <f ca="1">IFERROR(__xludf.DUMMYFUNCTION("""COMPUTED_VALUE"""),"garantir a posse territorial")</f>
        <v>garantir a posse territorial</v>
      </c>
      <c r="N261" s="4" t="str">
        <f ca="1">IFERROR(__xludf.DUMMYFUNCTION("""COMPUTED_VALUE"""),"promover a conversão religiosa.")</f>
        <v>promover a conversão religiosa.</v>
      </c>
      <c r="O261" s="4" t="str">
        <f ca="1">IFERROR(__xludf.DUMMYFUNCTION("""COMPUTED_VALUE"""),"explorar as reservas petrolíferas")</f>
        <v>explorar as reservas petrolíferas</v>
      </c>
      <c r="P261" s="4" t="str">
        <f ca="1">IFERROR(__xludf.DUMMYFUNCTION("""COMPUTED_VALUE""")," controlar os sítios arqueológicos.")</f>
        <v xml:space="preserve"> controlar os sítios arqueológicos.</v>
      </c>
      <c r="Q261" s="4" t="str">
        <f ca="1">IFERROR(__xludf.DUMMYFUNCTION("""COMPUTED_VALUE"""),"monopolizar o comércio marítimo.")</f>
        <v>monopolizar o comércio marítimo.</v>
      </c>
      <c r="R261" s="4"/>
      <c r="S261" s="4"/>
      <c r="T261" s="4"/>
      <c r="U261" s="4"/>
      <c r="V261" s="4"/>
      <c r="W261" s="4"/>
      <c r="X261" s="4"/>
      <c r="Y261" s="4"/>
      <c r="Z261" s="4"/>
    </row>
    <row r="262" spans="1:26" x14ac:dyDescent="0.25">
      <c r="A262" s="3" t="str">
        <f ca="1">IFERROR(__xludf.DUMMYFUNCTION("""COMPUTED_VALUE"""),"https://drive.google.com/open?id=1wpcFQlI9iAORr_TLAT3bAlhO_YR5yDFH")</f>
        <v>https://drive.google.com/open?id=1wpcFQlI9iAORr_TLAT3bAlhO_YR5yDFH</v>
      </c>
      <c r="B262" s="4" t="str">
        <f ca="1">IFERROR(__xludf.DUMMYFUNCTION("""COMPUTED_VALUE"""),"Enem")</f>
        <v>Enem</v>
      </c>
      <c r="C262" s="4">
        <f ca="1">IFERROR(__xludf.DUMMYFUNCTION("""COMPUTED_VALUE"""),2019)</f>
        <v>2019</v>
      </c>
      <c r="D262" s="4" t="str">
        <f ca="1">IFERROR(__xludf.DUMMYFUNCTION("""COMPUTED_VALUE"""),"Ciências Humanas")</f>
        <v>Ciências Humanas</v>
      </c>
      <c r="E262" s="4" t="str">
        <f ca="1">IFERROR(__xludf.DUMMYFUNCTION("""COMPUTED_VALUE"""),"Geografia")</f>
        <v>Geografia</v>
      </c>
      <c r="F262" s="4" t="str">
        <f ca="1">IFERROR(__xludf.DUMMYFUNCTION("""COMPUTED_VALUE"""),"Geografia Geral")</f>
        <v>Geografia Geral</v>
      </c>
      <c r="G262" s="4"/>
      <c r="H262" s="4"/>
      <c r="I262" s="4" t="str">
        <f ca="1">IFERROR(__xludf.DUMMYFUNCTION("""COMPUTED_VALUE"""),"Azul")</f>
        <v>Azul</v>
      </c>
      <c r="J262" s="4">
        <f ca="1">IFERROR(__xludf.DUMMYFUNCTION("""COMPUTED_VALUE"""),58)</f>
        <v>58</v>
      </c>
      <c r="K262" s="4" t="str">
        <f ca="1">IFERROR(__xludf.DUMMYFUNCTION("""COMPUTED_VALUE"""),"E")</f>
        <v>E</v>
      </c>
      <c r="L262" s="4" t="str">
        <f ca="1">IFERROR(__xludf.DUMMYFUNCTION("""COMPUTED_VALUE"""),"A partida final da Copa do Mundo de 2014 aconteceu no dia 13 de julho, às 16 horas, na cidade do Rio de Janeiro.
Considerando o horário de verão em Berlim, de 1 hora, os telespectadores alemães assistiram ao apito inicial do
juiz às")</f>
        <v>A partida final da Copa do Mundo de 2014 aconteceu no dia 13 de julho, às 16 horas, na cidade do Rio de Janeiro.
Considerando o horário de verão em Berlim, de 1 hora, os telespectadores alemães assistiram ao apito inicial do
juiz às</v>
      </c>
      <c r="M262" s="4" t="str">
        <f ca="1">IFERROR(__xludf.DUMMYFUNCTION("""COMPUTED_VALUE"""),"11 horas")</f>
        <v>11 horas</v>
      </c>
      <c r="N262" s="4" t="str">
        <f ca="1">IFERROR(__xludf.DUMMYFUNCTION("""COMPUTED_VALUE"""),"12 horas")</f>
        <v>12 horas</v>
      </c>
      <c r="O262" s="4" t="str">
        <f ca="1">IFERROR(__xludf.DUMMYFUNCTION("""COMPUTED_VALUE"""),"19 horas")</f>
        <v>19 horas</v>
      </c>
      <c r="P262" s="4" t="str">
        <f ca="1">IFERROR(__xludf.DUMMYFUNCTION("""COMPUTED_VALUE"""),"20 horas")</f>
        <v>20 horas</v>
      </c>
      <c r="Q262" s="4" t="str">
        <f ca="1">IFERROR(__xludf.DUMMYFUNCTION("""COMPUTED_VALUE"""),"21 horas")</f>
        <v>21 horas</v>
      </c>
      <c r="R262" s="4"/>
      <c r="S262" s="4"/>
      <c r="T262" s="4"/>
      <c r="U262" s="4"/>
      <c r="V262" s="4"/>
      <c r="W262" s="4"/>
      <c r="X262" s="4"/>
      <c r="Y262" s="4"/>
      <c r="Z262" s="4"/>
    </row>
    <row r="263" spans="1:26" x14ac:dyDescent="0.25">
      <c r="A263" s="3" t="str">
        <f ca="1">IFERROR(__xludf.DUMMYFUNCTION("""COMPUTED_VALUE"""),"https://drive.google.com/open?id=1SmccmDCDT_fkB3GVE3yWPdZDrKEgbOYH")</f>
        <v>https://drive.google.com/open?id=1SmccmDCDT_fkB3GVE3yWPdZDrKEgbOYH</v>
      </c>
      <c r="B263" s="4" t="str">
        <f ca="1">IFERROR(__xludf.DUMMYFUNCTION("""COMPUTED_VALUE"""),"Enem")</f>
        <v>Enem</v>
      </c>
      <c r="C263" s="4">
        <f ca="1">IFERROR(__xludf.DUMMYFUNCTION("""COMPUTED_VALUE"""),2019)</f>
        <v>2019</v>
      </c>
      <c r="D263" s="4" t="str">
        <f ca="1">IFERROR(__xludf.DUMMYFUNCTION("""COMPUTED_VALUE"""),"Ciências Humanas")</f>
        <v>Ciências Humanas</v>
      </c>
      <c r="E263" s="4" t="str">
        <f ca="1">IFERROR(__xludf.DUMMYFUNCTION("""COMPUTED_VALUE"""),"Geografia")</f>
        <v>Geografia</v>
      </c>
      <c r="F263" s="4" t="str">
        <f ca="1">IFERROR(__xludf.DUMMYFUNCTION("""COMPUTED_VALUE"""),"Geografia Geral")</f>
        <v>Geografia Geral</v>
      </c>
      <c r="G263" s="4" t="str">
        <f ca="1">IFERROR(__xludf.DUMMYFUNCTION("""COMPUTED_VALUE"""),"Sociologia")</f>
        <v>Sociologia</v>
      </c>
      <c r="H263" s="4"/>
      <c r="I263" s="4" t="str">
        <f ca="1">IFERROR(__xludf.DUMMYFUNCTION("""COMPUTED_VALUE"""),"Azul")</f>
        <v>Azul</v>
      </c>
      <c r="J263" s="4">
        <f ca="1">IFERROR(__xludf.DUMMYFUNCTION("""COMPUTED_VALUE"""),59)</f>
        <v>59</v>
      </c>
      <c r="K263" s="4" t="str">
        <f ca="1">IFERROR(__xludf.DUMMYFUNCTION("""COMPUTED_VALUE"""),"A")</f>
        <v>A</v>
      </c>
      <c r="L263" s="4" t="str">
        <f ca="1">IFERROR(__xludf.DUMMYFUNCTION("""COMPUTED_VALUE"""),"A depressão que afetou a economia mundial entre 1929 e 1934 se anunciou, ainda em 1928, por uma queda
generalizada nos preços agrícolas internacionais. Mas o fator mais marcante foi a crise financeira detonada pela
quebra da Bolsa de Nova Iorque.
Perante "&amp;"o cenário econômico descrito, o Estado brasileiro assume, a partir de 1930, uma política de incentivo à")</f>
        <v>A depressão que afetou a economia mundial entre 1929 e 1934 se anunciou, ainda em 1928, por uma queda
generalizada nos preços agrícolas internacionais. Mas o fator mais marcante foi a crise financeira detonada pela
quebra da Bolsa de Nova Iorque.
Perante o cenário econômico descrito, o Estado brasileiro assume, a partir de 1930, uma política de incentivo à</v>
      </c>
      <c r="M263" s="4" t="str">
        <f ca="1">IFERROR(__xludf.DUMMYFUNCTION("""COMPUTED_VALUE"""),"industrialização interna para substituir as importações.
")</f>
        <v xml:space="preserve">industrialização interna para substituir as importações.
</v>
      </c>
      <c r="N263" s="4" t="str">
        <f ca="1">IFERROR(__xludf.DUMMYFUNCTION("""COMPUTED_VALUE"""),"nacionalização de empresas estrangeiras atingidas pela crise.")</f>
        <v>nacionalização de empresas estrangeiras atingidas pela crise.</v>
      </c>
      <c r="O263" s="4" t="str">
        <f ca="1">IFERROR(__xludf.DUMMYFUNCTION("""COMPUTED_VALUE"""),"venda de terras a preços acessíveis para os pequenos produtores.")</f>
        <v>venda de terras a preços acessíveis para os pequenos produtores.</v>
      </c>
      <c r="P263" s="4" t="str">
        <f ca="1">IFERROR(__xludf.DUMMYFUNCTION("""COMPUTED_VALUE"""),"entrada de imigrantes para trabalhar nas indústrias de base recém-criadas.")</f>
        <v>entrada de imigrantes para trabalhar nas indústrias de base recém-criadas.</v>
      </c>
      <c r="Q263" s="4" t="str">
        <f ca="1">IFERROR(__xludf.DUMMYFUNCTION("""COMPUTED_VALUE"""),"abertura de linhas de financiamento especial para empresas do setor terciário")</f>
        <v>abertura de linhas de financiamento especial para empresas do setor terciário</v>
      </c>
      <c r="R263" s="4"/>
      <c r="S263" s="4"/>
      <c r="T263" s="4"/>
      <c r="U263" s="4"/>
      <c r="V263" s="4"/>
      <c r="W263" s="4"/>
      <c r="X263" s="4"/>
      <c r="Y263" s="4"/>
      <c r="Z263" s="4"/>
    </row>
    <row r="264" spans="1:26" x14ac:dyDescent="0.25">
      <c r="A264" s="3" t="str">
        <f ca="1">IFERROR(__xludf.DUMMYFUNCTION("""COMPUTED_VALUE"""),"https://drive.google.com/open?id=1Oo7Sh3qeOIqAuwdn_jVRefQ_jOegwQQZ")</f>
        <v>https://drive.google.com/open?id=1Oo7Sh3qeOIqAuwdn_jVRefQ_jOegwQQZ</v>
      </c>
      <c r="B264" s="4" t="str">
        <f ca="1">IFERROR(__xludf.DUMMYFUNCTION("""COMPUTED_VALUE"""),"Enem")</f>
        <v>Enem</v>
      </c>
      <c r="C264" s="4">
        <f ca="1">IFERROR(__xludf.DUMMYFUNCTION("""COMPUTED_VALUE"""),2019)</f>
        <v>2019</v>
      </c>
      <c r="D264" s="4" t="str">
        <f ca="1">IFERROR(__xludf.DUMMYFUNCTION("""COMPUTED_VALUE"""),"Ciências Humanas")</f>
        <v>Ciências Humanas</v>
      </c>
      <c r="E264" s="4" t="str">
        <f ca="1">IFERROR(__xludf.DUMMYFUNCTION("""COMPUTED_VALUE"""),"Geografia")</f>
        <v>Geografia</v>
      </c>
      <c r="F264" s="4" t="str">
        <f ca="1">IFERROR(__xludf.DUMMYFUNCTION("""COMPUTED_VALUE"""),"Geografia Geral")</f>
        <v>Geografia Geral</v>
      </c>
      <c r="G264" s="4"/>
      <c r="H264" s="4"/>
      <c r="I264" s="4" t="str">
        <f ca="1">IFERROR(__xludf.DUMMYFUNCTION("""COMPUTED_VALUE"""),"Azul")</f>
        <v>Azul</v>
      </c>
      <c r="J264" s="4">
        <f ca="1">IFERROR(__xludf.DUMMYFUNCTION("""COMPUTED_VALUE"""),61)</f>
        <v>61</v>
      </c>
      <c r="K264" s="4" t="str">
        <f ca="1">IFERROR(__xludf.DUMMYFUNCTION("""COMPUTED_VALUE"""),"D")</f>
        <v>D</v>
      </c>
      <c r="L264" s="4" t="str">
        <f ca="1">IFERROR(__xludf.DUMMYFUNCTION("""COMPUTED_VALUE"""),"Uma ação tomada por alguns países que
pode funcionar é proporcionar bolsas de estudo e
empréstimos para aqueles que querem estudar em
centros universitários fora do país, com a contrapartida
de que, após a conclusão da faculdade, essas pessoas
possam paga"&amp;"r ao governo voltando e trabalhando no
país de origem. Desburocratizar o exercício de certas
profissões e incentivar centros de excelência também
pode ajudar. 
As medidas governamentais descritas buscam conter a
ocorrência do seguinte processo demográfico"&amp;":
")</f>
        <v xml:space="preserve">Uma ação tomada por alguns países que
pode funcionar é proporcionar bolsas de estudo e
empréstimos para aqueles que querem estudar em
centros universitários fora do país, com a contrapartida
de que, após a conclusão da faculdade, essas pessoas
possam pagar ao governo voltando e trabalhando no
país de origem. Desburocratizar o exercício de certas
profissões e incentivar centros de excelência também
pode ajudar. 
As medidas governamentais descritas buscam conter a
ocorrência do seguinte processo demográfico:
</v>
      </c>
      <c r="M264" s="4" t="str">
        <f ca="1">IFERROR(__xludf.DUMMYFUNCTION("""COMPUTED_VALUE"""),"Transferência de refugiados.")</f>
        <v>Transferência de refugiados.</v>
      </c>
      <c r="N264" s="4" t="str">
        <f ca="1">IFERROR(__xludf.DUMMYFUNCTION("""COMPUTED_VALUE"""),"Deslocamento sazonal.")</f>
        <v>Deslocamento sazonal.</v>
      </c>
      <c r="O264" s="4" t="str">
        <f ca="1">IFERROR(__xludf.DUMMYFUNCTION("""COMPUTED_VALUE"""),"Movimento pendular.")</f>
        <v>Movimento pendular.</v>
      </c>
      <c r="P264" s="4" t="str">
        <f ca="1">IFERROR(__xludf.DUMMYFUNCTION("""COMPUTED_VALUE"""),"Fuga de cérebros.")</f>
        <v>Fuga de cérebros.</v>
      </c>
      <c r="Q264" s="4" t="str">
        <f ca="1">IFERROR(__xludf.DUMMYFUNCTION("""COMPUTED_VALUE"""),"Fluxo de retorno")</f>
        <v>Fluxo de retorno</v>
      </c>
      <c r="R264" s="4"/>
      <c r="S264" s="4"/>
      <c r="T264" s="4"/>
      <c r="U264" s="4"/>
      <c r="V264" s="4"/>
      <c r="W264" s="4"/>
      <c r="X264" s="4"/>
      <c r="Y264" s="4"/>
      <c r="Z264" s="4"/>
    </row>
    <row r="265" spans="1:26" x14ac:dyDescent="0.25">
      <c r="A265" s="3" t="str">
        <f ca="1">IFERROR(__xludf.DUMMYFUNCTION("""COMPUTED_VALUE"""),"https://drive.google.com/open?id=17NKrdnc7qzJ71cJXHBZE3XZUOaziPWtU")</f>
        <v>https://drive.google.com/open?id=17NKrdnc7qzJ71cJXHBZE3XZUOaziPWtU</v>
      </c>
      <c r="B265" s="4" t="str">
        <f ca="1">IFERROR(__xludf.DUMMYFUNCTION("""COMPUTED_VALUE"""),"Enem")</f>
        <v>Enem</v>
      </c>
      <c r="C265" s="4">
        <f ca="1">IFERROR(__xludf.DUMMYFUNCTION("""COMPUTED_VALUE"""),2019)</f>
        <v>2019</v>
      </c>
      <c r="D265" s="4" t="str">
        <f ca="1">IFERROR(__xludf.DUMMYFUNCTION("""COMPUTED_VALUE"""),"Ciências Humanas")</f>
        <v>Ciências Humanas</v>
      </c>
      <c r="E265" s="4" t="str">
        <f ca="1">IFERROR(__xludf.DUMMYFUNCTION("""COMPUTED_VALUE"""),"Geografia")</f>
        <v>Geografia</v>
      </c>
      <c r="F265" s="4" t="str">
        <f ca="1">IFERROR(__xludf.DUMMYFUNCTION("""COMPUTED_VALUE"""),"Geografia Geral")</f>
        <v>Geografia Geral</v>
      </c>
      <c r="G265" s="4"/>
      <c r="H265" s="4"/>
      <c r="I265" s="4" t="str">
        <f ca="1">IFERROR(__xludf.DUMMYFUNCTION("""COMPUTED_VALUE"""),"Azul")</f>
        <v>Azul</v>
      </c>
      <c r="J265" s="4">
        <f ca="1">IFERROR(__xludf.DUMMYFUNCTION("""COMPUTED_VALUE"""),63)</f>
        <v>63</v>
      </c>
      <c r="K265" s="4" t="str">
        <f ca="1">IFERROR(__xludf.DUMMYFUNCTION("""COMPUTED_VALUE"""),"C")</f>
        <v>C</v>
      </c>
      <c r="L265" s="4" t="str">
        <f ca="1">IFERROR(__xludf.DUMMYFUNCTION("""COMPUTED_VALUE"""),"As diferentes estratégias da Otan, demonstradas nos
textos, são resultantes das transformações na")</f>
        <v>As diferentes estratégias da Otan, demonstradas nos
textos, são resultantes das transformações na</v>
      </c>
      <c r="M265" s="4" t="str">
        <f ca="1">IFERROR(__xludf.DUMMYFUNCTION("""COMPUTED_VALUE"""),"composição dos países-membros.
")</f>
        <v xml:space="preserve">composição dos países-membros.
</v>
      </c>
      <c r="N265" s="4" t="str">
        <f ca="1">IFERROR(__xludf.DUMMYFUNCTION("""COMPUTED_VALUE""")," localização das bases militares.")</f>
        <v xml:space="preserve"> localização das bases militares.</v>
      </c>
      <c r="O265" s="4" t="str">
        <f ca="1">IFERROR(__xludf.DUMMYFUNCTION("""COMPUTED_VALUE""")," conformação do cenário geopolítico.")</f>
        <v xml:space="preserve"> conformação do cenário geopolítico.</v>
      </c>
      <c r="P265" s="4" t="str">
        <f ca="1">IFERROR(__xludf.DUMMYFUNCTION("""COMPUTED_VALUE"""),"distribuição de recursos naturais.")</f>
        <v>distribuição de recursos naturais.</v>
      </c>
      <c r="Q265" s="4" t="str">
        <f ca="1">IFERROR(__xludf.DUMMYFUNCTION("""COMPUTED_VALUE"""),"destinação dos investimentos financeiros.")</f>
        <v>destinação dos investimentos financeiros.</v>
      </c>
      <c r="R265" s="4"/>
      <c r="S265" s="4"/>
      <c r="T265" s="4"/>
      <c r="U265" s="4"/>
      <c r="V265" s="4"/>
      <c r="W265" s="4"/>
      <c r="X265" s="4"/>
      <c r="Y265" s="4"/>
      <c r="Z265" s="4"/>
    </row>
    <row r="266" spans="1:26" x14ac:dyDescent="0.25">
      <c r="A266" s="3" t="str">
        <f ca="1">IFERROR(__xludf.DUMMYFUNCTION("""COMPUTED_VALUE"""),"https://drive.google.com/open?id=1UE14QlpfDHQJg_4ArfSOsI_Sbgw0vArL")</f>
        <v>https://drive.google.com/open?id=1UE14QlpfDHQJg_4ArfSOsI_Sbgw0vArL</v>
      </c>
      <c r="B266" s="4" t="str">
        <f ca="1">IFERROR(__xludf.DUMMYFUNCTION("""COMPUTED_VALUE"""),"Enem")</f>
        <v>Enem</v>
      </c>
      <c r="C266" s="4">
        <f ca="1">IFERROR(__xludf.DUMMYFUNCTION("""COMPUTED_VALUE"""),2019)</f>
        <v>2019</v>
      </c>
      <c r="D266" s="4" t="str">
        <f ca="1">IFERROR(__xludf.DUMMYFUNCTION("""COMPUTED_VALUE"""),"Ciências Humanas")</f>
        <v>Ciências Humanas</v>
      </c>
      <c r="E266" s="4" t="str">
        <f ca="1">IFERROR(__xludf.DUMMYFUNCTION("""COMPUTED_VALUE"""),"Geografia")</f>
        <v>Geografia</v>
      </c>
      <c r="F266" s="4" t="str">
        <f ca="1">IFERROR(__xludf.DUMMYFUNCTION("""COMPUTED_VALUE"""),"Geografia do Brasil")</f>
        <v>Geografia do Brasil</v>
      </c>
      <c r="G266" s="4"/>
      <c r="H266" s="4"/>
      <c r="I266" s="4" t="str">
        <f ca="1">IFERROR(__xludf.DUMMYFUNCTION("""COMPUTED_VALUE"""),"Azul")</f>
        <v>Azul</v>
      </c>
      <c r="J266" s="4">
        <f ca="1">IFERROR(__xludf.DUMMYFUNCTION("""COMPUTED_VALUE"""),64)</f>
        <v>64</v>
      </c>
      <c r="K266" s="4" t="str">
        <f ca="1">IFERROR(__xludf.DUMMYFUNCTION("""COMPUTED_VALUE"""),"A")</f>
        <v>A</v>
      </c>
      <c r="L266" s="4" t="str">
        <f ca="1">IFERROR(__xludf.DUMMYFUNCTION("""COMPUTED_VALUE"""),"A característica familiar descrita deriva do seguinte
aspecto demográfico:")</f>
        <v>A característica familiar descrita deriva do seguinte
aspecto demográfico:</v>
      </c>
      <c r="M266" s="4" t="str">
        <f ca="1">IFERROR(__xludf.DUMMYFUNCTION("""COMPUTED_VALUE"""),"Migração interna.")</f>
        <v>Migração interna.</v>
      </c>
      <c r="N266" s="4" t="str">
        <f ca="1">IFERROR(__xludf.DUMMYFUNCTION("""COMPUTED_VALUE"""),"População relativa.")</f>
        <v>População relativa.</v>
      </c>
      <c r="O266" s="4" t="str">
        <f ca="1">IFERROR(__xludf.DUMMYFUNCTION("""COMPUTED_VALUE"""),"Expectativa de vida.")</f>
        <v>Expectativa de vida.</v>
      </c>
      <c r="P266" s="4" t="str">
        <f ca="1">IFERROR(__xludf.DUMMYFUNCTION("""COMPUTED_VALUE"""),"Taxa de mortalidade.")</f>
        <v>Taxa de mortalidade.</v>
      </c>
      <c r="Q266" s="4" t="str">
        <f ca="1">IFERROR(__xludf.DUMMYFUNCTION("""COMPUTED_VALUE"""),"Índice de fecundidade.")</f>
        <v>Índice de fecundidade.</v>
      </c>
      <c r="R266" s="4"/>
      <c r="S266" s="4"/>
      <c r="T266" s="4"/>
      <c r="U266" s="4"/>
      <c r="V266" s="4"/>
      <c r="W266" s="4"/>
      <c r="X266" s="4"/>
      <c r="Y266" s="4"/>
      <c r="Z266" s="4"/>
    </row>
    <row r="267" spans="1:26" x14ac:dyDescent="0.25">
      <c r="A267" s="3" t="str">
        <f ca="1">IFERROR(__xludf.DUMMYFUNCTION("""COMPUTED_VALUE"""),"https://drive.google.com/open?id=18rjfmfo4_Bh7q9aqlPNmqY_bPuKzaoU0")</f>
        <v>https://drive.google.com/open?id=18rjfmfo4_Bh7q9aqlPNmqY_bPuKzaoU0</v>
      </c>
      <c r="B267" s="4" t="str">
        <f ca="1">IFERROR(__xludf.DUMMYFUNCTION("""COMPUTED_VALUE"""),"Enem")</f>
        <v>Enem</v>
      </c>
      <c r="C267" s="4">
        <f ca="1">IFERROR(__xludf.DUMMYFUNCTION("""COMPUTED_VALUE"""),2019)</f>
        <v>2019</v>
      </c>
      <c r="D267" s="4" t="str">
        <f ca="1">IFERROR(__xludf.DUMMYFUNCTION("""COMPUTED_VALUE"""),"Ciências Humanas")</f>
        <v>Ciências Humanas</v>
      </c>
      <c r="E267" s="4" t="str">
        <f ca="1">IFERROR(__xludf.DUMMYFUNCTION("""COMPUTED_VALUE"""),"Geografia")</f>
        <v>Geografia</v>
      </c>
      <c r="F267" s="4" t="str">
        <f ca="1">IFERROR(__xludf.DUMMYFUNCTION("""COMPUTED_VALUE"""),"Geografia Geral")</f>
        <v>Geografia Geral</v>
      </c>
      <c r="G267" s="4"/>
      <c r="H267" s="4"/>
      <c r="I267" s="4" t="str">
        <f ca="1">IFERROR(__xludf.DUMMYFUNCTION("""COMPUTED_VALUE"""),"Azul")</f>
        <v>Azul</v>
      </c>
      <c r="J267" s="4">
        <f ca="1">IFERROR(__xludf.DUMMYFUNCTION("""COMPUTED_VALUE"""),74)</f>
        <v>74</v>
      </c>
      <c r="K267" s="4" t="str">
        <f ca="1">IFERROR(__xludf.DUMMYFUNCTION("""COMPUTED_VALUE"""),"E")</f>
        <v>E</v>
      </c>
      <c r="L267" s="4" t="str">
        <f ca="1">IFERROR(__xludf.DUMMYFUNCTION("""COMPUTED_VALUE"""),"Embora os centros de decisão permaneçam
fortemente centralizados nas cidades mundiais, as
atividades produtivas podem ser desconcentradas, desde
que haja conexões fáceis entre as unidades produtivas
e os centros de gestão e exista a disponibilidade de
tra"&amp;"balho qualificado e uma base técnica adequada às
operações industriais.
A mudança nas atividades produtivas a que o texto faz
referência é motivada pelo seguinte fator:")</f>
        <v>Embora os centros de decisão permaneçam
fortemente centralizados nas cidades mundiais, as
atividades produtivas podem ser desconcentradas, desde
que haja conexões fáceis entre as unidades produtivas
e os centros de gestão e exista a disponibilidade de
trabalho qualificado e uma base técnica adequada às
operações industriais.
A mudança nas atividades produtivas a que o texto faz
referência é motivada pelo seguinte fator:</v>
      </c>
      <c r="M267" s="4" t="str">
        <f ca="1">IFERROR(__xludf.DUMMYFUNCTION("""COMPUTED_VALUE"""),"Definição volátil das taxas aduaneiras e cambiais.")</f>
        <v>Definição volátil das taxas aduaneiras e cambiais.</v>
      </c>
      <c r="N267" s="4" t="str">
        <f ca="1">IFERROR(__xludf.DUMMYFUNCTION("""COMPUTED_VALUE"""),"Prestação regulada de serviços bancários e
financeiros")</f>
        <v>Prestação regulada de serviços bancários e
financeiros</v>
      </c>
      <c r="O267" s="4" t="str">
        <f ca="1">IFERROR(__xludf.DUMMYFUNCTION("""COMPUTED_VALUE""")," Controle estrito do planejamento familiar e fluxo
populacional.")</f>
        <v xml:space="preserve"> Controle estrito do planejamento familiar e fluxo
populacional.</v>
      </c>
      <c r="P267" s="4" t="str">
        <f ca="1">IFERROR(__xludf.DUMMYFUNCTION("""COMPUTED_VALUE"""),"Renovação constante das normas jurídicas e marcos
contratuais.")</f>
        <v>Renovação constante das normas jurídicas e marcos
contratuais.</v>
      </c>
      <c r="Q267" s="4" t="str">
        <f ca="1">IFERROR(__xludf.DUMMYFUNCTION("""COMPUTED_VALUE"""),"Oferta suficiente de infraestruturas logísticas e
serviços especializados.")</f>
        <v>Oferta suficiente de infraestruturas logísticas e
serviços especializados.</v>
      </c>
      <c r="R267" s="4"/>
      <c r="S267" s="4"/>
      <c r="T267" s="4"/>
      <c r="U267" s="4"/>
      <c r="V267" s="4"/>
      <c r="W267" s="4"/>
      <c r="X267" s="4"/>
      <c r="Y267" s="4"/>
      <c r="Z267" s="4"/>
    </row>
    <row r="268" spans="1:26" x14ac:dyDescent="0.25">
      <c r="A268" s="3" t="str">
        <f ca="1">IFERROR(__xludf.DUMMYFUNCTION("""COMPUTED_VALUE"""),"https://drive.google.com/open?id=10Hwq4MA5KT85mWTjFiLUZVEukHTQBLzc")</f>
        <v>https://drive.google.com/open?id=10Hwq4MA5KT85mWTjFiLUZVEukHTQBLzc</v>
      </c>
      <c r="B268" s="4" t="str">
        <f ca="1">IFERROR(__xludf.DUMMYFUNCTION("""COMPUTED_VALUE"""),"Enem")</f>
        <v>Enem</v>
      </c>
      <c r="C268" s="4">
        <f ca="1">IFERROR(__xludf.DUMMYFUNCTION("""COMPUTED_VALUE"""),2019)</f>
        <v>2019</v>
      </c>
      <c r="D268" s="4" t="str">
        <f ca="1">IFERROR(__xludf.DUMMYFUNCTION("""COMPUTED_VALUE"""),"Ciências Humanas")</f>
        <v>Ciências Humanas</v>
      </c>
      <c r="E268" s="4" t="str">
        <f ca="1">IFERROR(__xludf.DUMMYFUNCTION("""COMPUTED_VALUE"""),"Geografia")</f>
        <v>Geografia</v>
      </c>
      <c r="F268" s="4" t="str">
        <f ca="1">IFERROR(__xludf.DUMMYFUNCTION("""COMPUTED_VALUE"""),"Geografia Geral")</f>
        <v>Geografia Geral</v>
      </c>
      <c r="G268" s="4"/>
      <c r="H268" s="4"/>
      <c r="I268" s="4" t="str">
        <f ca="1">IFERROR(__xludf.DUMMYFUNCTION("""COMPUTED_VALUE"""),"Azul")</f>
        <v>Azul</v>
      </c>
      <c r="J268" s="4">
        <f ca="1">IFERROR(__xludf.DUMMYFUNCTION("""COMPUTED_VALUE"""),75)</f>
        <v>75</v>
      </c>
      <c r="K268" s="4" t="str">
        <f ca="1">IFERROR(__xludf.DUMMYFUNCTION("""COMPUTED_VALUE"""),"C")</f>
        <v>C</v>
      </c>
      <c r="L268" s="4" t="str">
        <f ca="1">IFERROR(__xludf.DUMMYFUNCTION("""COMPUTED_VALUE"""),"A estética relativamente estável do modernismo
fordista cedeu lugar a todo o fermento, instabilidade e
qualidades fugidias de uma estética pós-moderna que
celebra a diferença, a efemeridade, o espetáculo, a
moda e a mercadificação de formas culturais.
No "&amp;"contexto descrito, as transformações estéticas
impactam a produção de bens por meio da")</f>
        <v>A estética relativamente estável do modernismo
fordista cedeu lugar a todo o fermento, instabilidade e
qualidades fugidias de uma estética pós-moderna que
celebra a diferença, a efemeridade, o espetáculo, a
moda e a mercadificação de formas culturais.
No contexto descrito, as transformações estéticas
impactam a produção de bens por meio da</v>
      </c>
      <c r="M268" s="4" t="str">
        <f ca="1">IFERROR(__xludf.DUMMYFUNCTION("""COMPUTED_VALUE"""),"promoção de empregos fabris, integrada às linhas
de montagem.")</f>
        <v>promoção de empregos fabris, integrada às linhas
de montagem.</v>
      </c>
      <c r="N268" s="4" t="str">
        <f ca="1">IFERROR(__xludf.DUMMYFUNCTION("""COMPUTED_VALUE"""),"ampliação dos custos de fabricação, impulsionada
pelo consumo.")</f>
        <v>ampliação dos custos de fabricação, impulsionada
pelo consumo.</v>
      </c>
      <c r="O268" s="4" t="str">
        <f ca="1">IFERROR(__xludf.DUMMYFUNCTION("""COMPUTED_VALUE"""),"redução do tempo de vida dos produtos,
acompanhada da crescente inovação.")</f>
        <v>redução do tempo de vida dos produtos,
acompanhada da crescente inovação.</v>
      </c>
      <c r="P268" s="4" t="str">
        <f ca="1">IFERROR(__xludf.DUMMYFUNCTION("""COMPUTED_VALUE"""),"diminuição da importância da organização logística,
utilizada pelos fornecedores.")</f>
        <v>diminuição da importância da organização logística,
utilizada pelos fornecedores.</v>
      </c>
      <c r="Q268" s="4" t="str">
        <f ca="1">IFERROR(__xludf.DUMMYFUNCTION("""COMPUTED_VALUE"""),"expansão de mercadorias estocadas, aliada a
maiores custos de armazenamento.
")</f>
        <v xml:space="preserve">expansão de mercadorias estocadas, aliada a
maiores custos de armazenamento.
</v>
      </c>
      <c r="R268" s="4"/>
      <c r="S268" s="4"/>
      <c r="T268" s="4"/>
      <c r="U268" s="4"/>
      <c r="V268" s="4"/>
      <c r="W268" s="4"/>
      <c r="X268" s="4"/>
      <c r="Y268" s="4"/>
      <c r="Z268" s="4"/>
    </row>
    <row r="269" spans="1:26" x14ac:dyDescent="0.25">
      <c r="A269" s="3" t="str">
        <f ca="1">IFERROR(__xludf.DUMMYFUNCTION("""COMPUTED_VALUE"""),"https://drive.google.com/open?id=149QAH9XOyxlxZPD5GBBsdgiAH5nyXr0j")</f>
        <v>https://drive.google.com/open?id=149QAH9XOyxlxZPD5GBBsdgiAH5nyXr0j</v>
      </c>
      <c r="B269" s="4" t="str">
        <f ca="1">IFERROR(__xludf.DUMMYFUNCTION("""COMPUTED_VALUE"""),"Enem")</f>
        <v>Enem</v>
      </c>
      <c r="C269" s="4">
        <f ca="1">IFERROR(__xludf.DUMMYFUNCTION("""COMPUTED_VALUE"""),2019)</f>
        <v>2019</v>
      </c>
      <c r="D269" s="4" t="str">
        <f ca="1">IFERROR(__xludf.DUMMYFUNCTION("""COMPUTED_VALUE"""),"Ciências Humanas")</f>
        <v>Ciências Humanas</v>
      </c>
      <c r="E269" s="4" t="str">
        <f ca="1">IFERROR(__xludf.DUMMYFUNCTION("""COMPUTED_VALUE"""),"Geografia")</f>
        <v>Geografia</v>
      </c>
      <c r="F269" s="4" t="str">
        <f ca="1">IFERROR(__xludf.DUMMYFUNCTION("""COMPUTED_VALUE"""),"Geografia do Brasil")</f>
        <v>Geografia do Brasil</v>
      </c>
      <c r="G269" s="4" t="str">
        <f ca="1">IFERROR(__xludf.DUMMYFUNCTION("""COMPUTED_VALUE"""),"Sociologia")</f>
        <v>Sociologia</v>
      </c>
      <c r="H269" s="4"/>
      <c r="I269" s="4" t="str">
        <f ca="1">IFERROR(__xludf.DUMMYFUNCTION("""COMPUTED_VALUE"""),"Azul")</f>
        <v>Azul</v>
      </c>
      <c r="J269" s="4">
        <f ca="1">IFERROR(__xludf.DUMMYFUNCTION("""COMPUTED_VALUE"""),76)</f>
        <v>76</v>
      </c>
      <c r="K269" s="4" t="str">
        <f ca="1">IFERROR(__xludf.DUMMYFUNCTION("""COMPUTED_VALUE"""),"E")</f>
        <v>E</v>
      </c>
      <c r="L269" s="4" t="str">
        <f ca="1">IFERROR(__xludf.DUMMYFUNCTION("""COMPUTED_VALUE"""),"A letra da canção do início dos anos 1990 destaca uma
questão presente nos centros urbanos brasileiros que
se refere ao(à)
")</f>
        <v xml:space="preserve">A letra da canção do início dos anos 1990 destaca uma
questão presente nos centros urbanos brasileiros que
se refere ao(à)
</v>
      </c>
      <c r="M269" s="4" t="str">
        <f ca="1">IFERROR(__xludf.DUMMYFUNCTION("""COMPUTED_VALUE"""),"déficit de transporte público.")</f>
        <v>déficit de transporte público.</v>
      </c>
      <c r="N269" s="4" t="str">
        <f ca="1">IFERROR(__xludf.DUMMYFUNCTION("""COMPUTED_VALUE"""),"estagnação do setor terciário.")</f>
        <v>estagnação do setor terciário.</v>
      </c>
      <c r="O269" s="4" t="str">
        <f ca="1">IFERROR(__xludf.DUMMYFUNCTION("""COMPUTED_VALUE"""),"controle das taxas de natalidade.")</f>
        <v>controle das taxas de natalidade.</v>
      </c>
      <c r="P269" s="4" t="str">
        <f ca="1">IFERROR(__xludf.DUMMYFUNCTION("""COMPUTED_VALUE"""),"elevação dos índices de criminalidade")</f>
        <v>elevação dos índices de criminalidade</v>
      </c>
      <c r="Q269" s="4" t="str">
        <f ca="1">IFERROR(__xludf.DUMMYFUNCTION("""COMPUTED_VALUE"""),"desigualdade da distribuição de renda.
")</f>
        <v xml:space="preserve">desigualdade da distribuição de renda.
</v>
      </c>
      <c r="R269" s="4"/>
      <c r="S269" s="4"/>
      <c r="T269" s="4"/>
      <c r="U269" s="4"/>
      <c r="V269" s="4"/>
      <c r="W269" s="4"/>
      <c r="X269" s="4"/>
      <c r="Y269" s="4"/>
      <c r="Z269" s="4"/>
    </row>
    <row r="270" spans="1:26" x14ac:dyDescent="0.25">
      <c r="A270" s="3" t="str">
        <f ca="1">IFERROR(__xludf.DUMMYFUNCTION("""COMPUTED_VALUE"""),"https://drive.google.com/open?id=1T2PJMqfNiJoE-jX9td2xKg3HbSgxN0GE")</f>
        <v>https://drive.google.com/open?id=1T2PJMqfNiJoE-jX9td2xKg3HbSgxN0GE</v>
      </c>
      <c r="B270" s="4" t="str">
        <f ca="1">IFERROR(__xludf.DUMMYFUNCTION("""COMPUTED_VALUE"""),"Enem")</f>
        <v>Enem</v>
      </c>
      <c r="C270" s="4">
        <f ca="1">IFERROR(__xludf.DUMMYFUNCTION("""COMPUTED_VALUE"""),2019)</f>
        <v>2019</v>
      </c>
      <c r="D270" s="4" t="str">
        <f ca="1">IFERROR(__xludf.DUMMYFUNCTION("""COMPUTED_VALUE"""),"Ciências Humanas")</f>
        <v>Ciências Humanas</v>
      </c>
      <c r="E270" s="4" t="str">
        <f ca="1">IFERROR(__xludf.DUMMYFUNCTION("""COMPUTED_VALUE"""),"Geografia")</f>
        <v>Geografia</v>
      </c>
      <c r="F270" s="4" t="str">
        <f ca="1">IFERROR(__xludf.DUMMYFUNCTION("""COMPUTED_VALUE"""),"Geografia Geral")</f>
        <v>Geografia Geral</v>
      </c>
      <c r="G270" s="4"/>
      <c r="H270" s="4"/>
      <c r="I270" s="4" t="str">
        <f ca="1">IFERROR(__xludf.DUMMYFUNCTION("""COMPUTED_VALUE"""),"Azul")</f>
        <v>Azul</v>
      </c>
      <c r="J270" s="4">
        <f ca="1">IFERROR(__xludf.DUMMYFUNCTION("""COMPUTED_VALUE"""),77)</f>
        <v>77</v>
      </c>
      <c r="K270" s="4" t="str">
        <f ca="1">IFERROR(__xludf.DUMMYFUNCTION("""COMPUTED_VALUE"""),"D")</f>
        <v>D</v>
      </c>
      <c r="L270" s="4" t="str">
        <f ca="1">IFERROR(__xludf.DUMMYFUNCTION("""COMPUTED_VALUE"""),"O consumo da habitação, em especial aquela
dotada de atributos especiais no espaço urbano,
contribui para o entendimento do fenômeno, pois
certas áreas tornam-se alvos de operações comerciais
de prestígio com a produção e/ou a renovação de
construções, di"&amp;"ferente de outras porções da cidade,
dotadas de menor infraestrutura
O conceito que define o processo descrito denomina-se")</f>
        <v>O consumo da habitação, em especial aquela
dotada de atributos especiais no espaço urbano,
contribui para o entendimento do fenômeno, pois
certas áreas tornam-se alvos de operações comerciais
de prestígio com a produção e/ou a renovação de
construções, diferente de outras porções da cidade,
dotadas de menor infraestrutura
O conceito que define o processo descrito denomina-se</v>
      </c>
      <c r="M270" s="4" t="str">
        <f ca="1">IFERROR(__xludf.DUMMYFUNCTION("""COMPUTED_VALUE"""),"escala cartográfica.")</f>
        <v>escala cartográfica.</v>
      </c>
      <c r="N270" s="4" t="str">
        <f ca="1">IFERROR(__xludf.DUMMYFUNCTION("""COMPUTED_VALUE"""),"conurbação metropolitana.")</f>
        <v>conurbação metropolitana.</v>
      </c>
      <c r="O270" s="4" t="str">
        <f ca="1">IFERROR(__xludf.DUMMYFUNCTION("""COMPUTED_VALUE"""),"território nacional.")</f>
        <v>território nacional.</v>
      </c>
      <c r="P270" s="4" t="str">
        <f ca="1">IFERROR(__xludf.DUMMYFUNCTION("""COMPUTED_VALUE""")," especulação imobiliária")</f>
        <v xml:space="preserve"> especulação imobiliária</v>
      </c>
      <c r="Q270" s="4" t="str">
        <f ca="1">IFERROR(__xludf.DUMMYFUNCTION("""COMPUTED_VALUE"""),"paisagem natural.")</f>
        <v>paisagem natural.</v>
      </c>
      <c r="R270" s="4"/>
      <c r="S270" s="4"/>
      <c r="T270" s="4"/>
      <c r="U270" s="4"/>
      <c r="V270" s="4"/>
      <c r="W270" s="4"/>
      <c r="X270" s="4"/>
      <c r="Y270" s="4"/>
      <c r="Z270" s="4"/>
    </row>
    <row r="271" spans="1:26" x14ac:dyDescent="0.25">
      <c r="A271" s="3" t="str">
        <f ca="1">IFERROR(__xludf.DUMMYFUNCTION("""COMPUTED_VALUE"""),"https://drive.google.com/open?id=1M3uS65H74WzdphAKi2DDRHTuQaHJefuD")</f>
        <v>https://drive.google.com/open?id=1M3uS65H74WzdphAKi2DDRHTuQaHJefuD</v>
      </c>
      <c r="B271" s="4" t="str">
        <f ca="1">IFERROR(__xludf.DUMMYFUNCTION("""COMPUTED_VALUE"""),"Enem")</f>
        <v>Enem</v>
      </c>
      <c r="C271" s="4">
        <f ca="1">IFERROR(__xludf.DUMMYFUNCTION("""COMPUTED_VALUE"""),2019)</f>
        <v>2019</v>
      </c>
      <c r="D271" s="4" t="str">
        <f ca="1">IFERROR(__xludf.DUMMYFUNCTION("""COMPUTED_VALUE"""),"Ciências Humanas")</f>
        <v>Ciências Humanas</v>
      </c>
      <c r="E271" s="4" t="str">
        <f ca="1">IFERROR(__xludf.DUMMYFUNCTION("""COMPUTED_VALUE"""),"Geografia")</f>
        <v>Geografia</v>
      </c>
      <c r="F271" s="4" t="str">
        <f ca="1">IFERROR(__xludf.DUMMYFUNCTION("""COMPUTED_VALUE"""),"Geografia do Brasil")</f>
        <v>Geografia do Brasil</v>
      </c>
      <c r="G271" s="4"/>
      <c r="H271" s="4"/>
      <c r="I271" s="4" t="str">
        <f ca="1">IFERROR(__xludf.DUMMYFUNCTION("""COMPUTED_VALUE"""),"Azul")</f>
        <v>Azul</v>
      </c>
      <c r="J271" s="4">
        <f ca="1">IFERROR(__xludf.DUMMYFUNCTION("""COMPUTED_VALUE"""),78)</f>
        <v>78</v>
      </c>
      <c r="K271" s="4" t="str">
        <f ca="1">IFERROR(__xludf.DUMMYFUNCTION("""COMPUTED_VALUE"""),"B")</f>
        <v>B</v>
      </c>
      <c r="L271" s="4" t="str">
        <f ca="1">IFERROR(__xludf.DUMMYFUNCTION("""COMPUTED_VALUE"""),"Estima-se que no Brasil mais de 20% da população
tenha algum tipo de dificuldade de locomoção, seja por
deficiência física, motora, sensorial ou mesmo por uma
condição específica transitória. Para que essa parcela da
população exerça plenamente o seu dire"&amp;"ito constitucional
de ir e vir, os sistemas de transporte têm de apresentar
características adequadas de acessibilidade, dentro dos
conceitos do desenho universal.
No meio urbano, o atendimento da proposta de inclusão
social apresentada no texto demanda u"&amp;"m conjunto de
intervenções técnicas que promovam o(a)")</f>
        <v>Estima-se que no Brasil mais de 20% da população
tenha algum tipo de dificuldade de locomoção, seja por
deficiência física, motora, sensorial ou mesmo por uma
condição específica transitória. Para que essa parcela da
população exerça plenamente o seu direito constitucional
de ir e vir, os sistemas de transporte têm de apresentar
características adequadas de acessibilidade, dentro dos
conceitos do desenho universal.
No meio urbano, o atendimento da proposta de inclusão
social apresentada no texto demanda um conjunto de
intervenções técnicas que promovam o(a)</v>
      </c>
      <c r="M271" s="4" t="str">
        <f ca="1">IFERROR(__xludf.DUMMYFUNCTION("""COMPUTED_VALUE"""),"ocupação de áreas periféricas.")</f>
        <v>ocupação de áreas periféricas.</v>
      </c>
      <c r="N271" s="4" t="str">
        <f ca="1">IFERROR(__xludf.DUMMYFUNCTION("""COMPUTED_VALUE""")," democratização do espaço público.")</f>
        <v xml:space="preserve"> democratização do espaço público.</v>
      </c>
      <c r="O271" s="4" t="str">
        <f ca="1">IFERROR(__xludf.DUMMYFUNCTION("""COMPUTED_VALUE"""),"alargamento da malha de rodovias.")</f>
        <v>alargamento da malha de rodovias.</v>
      </c>
      <c r="P271" s="4" t="str">
        <f ca="1">IFERROR(__xludf.DUMMYFUNCTION("""COMPUTED_VALUE"""),"monitoramento de fluxos populacionais.")</f>
        <v>monitoramento de fluxos populacionais.</v>
      </c>
      <c r="Q271" s="4" t="str">
        <f ca="1">IFERROR(__xludf.DUMMYFUNCTION("""COMPUTED_VALUE"""),"expansão de sistemas de comunicação.")</f>
        <v>expansão de sistemas de comunicação.</v>
      </c>
      <c r="R271" s="4"/>
      <c r="S271" s="4"/>
      <c r="T271" s="4"/>
      <c r="U271" s="4"/>
      <c r="V271" s="4"/>
      <c r="W271" s="4"/>
      <c r="X271" s="4"/>
      <c r="Y271" s="4"/>
      <c r="Z271" s="4"/>
    </row>
    <row r="272" spans="1:26" x14ac:dyDescent="0.25">
      <c r="A272" s="3" t="str">
        <f ca="1">IFERROR(__xludf.DUMMYFUNCTION("""COMPUTED_VALUE"""),"https://drive.google.com/open?id=1gnY8-dCSPYx-ZPyadYC6yi99gyRKB1aK")</f>
        <v>https://drive.google.com/open?id=1gnY8-dCSPYx-ZPyadYC6yi99gyRKB1aK</v>
      </c>
      <c r="B272" s="4" t="str">
        <f ca="1">IFERROR(__xludf.DUMMYFUNCTION("""COMPUTED_VALUE"""),"Enem")</f>
        <v>Enem</v>
      </c>
      <c r="C272" s="4">
        <f ca="1">IFERROR(__xludf.DUMMYFUNCTION("""COMPUTED_VALUE"""),2019)</f>
        <v>2019</v>
      </c>
      <c r="D272" s="4" t="str">
        <f ca="1">IFERROR(__xludf.DUMMYFUNCTION("""COMPUTED_VALUE"""),"Ciências Humanas")</f>
        <v>Ciências Humanas</v>
      </c>
      <c r="E272" s="4" t="str">
        <f ca="1">IFERROR(__xludf.DUMMYFUNCTION("""COMPUTED_VALUE"""),"Geografia")</f>
        <v>Geografia</v>
      </c>
      <c r="F272" s="4" t="str">
        <f ca="1">IFERROR(__xludf.DUMMYFUNCTION("""COMPUTED_VALUE"""),"Geografia Geral")</f>
        <v>Geografia Geral</v>
      </c>
      <c r="G272" s="4"/>
      <c r="H272" s="4"/>
      <c r="I272" s="4" t="str">
        <f ca="1">IFERROR(__xludf.DUMMYFUNCTION("""COMPUTED_VALUE"""),"Azul")</f>
        <v>Azul</v>
      </c>
      <c r="J272" s="4">
        <f ca="1">IFERROR(__xludf.DUMMYFUNCTION("""COMPUTED_VALUE"""),84)</f>
        <v>84</v>
      </c>
      <c r="K272" s="4" t="str">
        <f ca="1">IFERROR(__xludf.DUMMYFUNCTION("""COMPUTED_VALUE"""),"C")</f>
        <v>C</v>
      </c>
      <c r="L272" s="4" t="str">
        <f ca="1">IFERROR(__xludf.DUMMYFUNCTION("""COMPUTED_VALUE"""),"Particularmente nos dias de inverno, pode
ocorrer um rápido resfriamento do solo ou um
rápido aquecimento das camadas atmosféricas
superiores. O ar quente fica por cima da camada de
ar frio, passando a funcionar como um bloqueio, o
que impede a formação d"&amp;"e correntes de ar (vento).
Dessa forma, o ar frio próximo ao solo não sobe
porque é o mais denso, e o ar quente que lhe está
por cima não desce porque é o menos denso.
Nas grandes cidades, esse fenômeno tende a se
agravar, uma vez que a expressiva concent"&amp;"ração de
indústrias e automóveis intensifica o lançamento de
poluentes e material particulado na atmosfera, o que
torna o ar mais impuro e, por conseguinte, contribui
para o aumento de casos de irritação nos olhos e
doenças respiratórias.
Agravado pela aç"&amp;"ão antrópica, o fenômeno atmosférico
descrito no texto é o(a)")</f>
        <v>Particularmente nos dias de inverno, pode
ocorrer um rápido resfriamento do solo ou um
rápido aquecimento das camadas atmosféricas
superiores. O ar quente fica por cima da camada de
ar frio, passando a funcionar como um bloqueio, o
que impede a formação de correntes de ar (vento).
Dessa forma, o ar frio próximo ao solo não sobe
porque é o mais denso, e o ar quente que lhe está
por cima não desce porque é o menos denso.
Nas grandes cidades, esse fenômeno tende a se
agravar, uma vez que a expressiva concentração de
indústrias e automóveis intensifica o lançamento de
poluentes e material particulado na atmosfera, o que
torna o ar mais impuro e, por conseguinte, contribui
para o aumento de casos de irritação nos olhos e
doenças respiratórias.
Agravado pela ação antrópica, o fenômeno atmosférico
descrito no texto é o(a)</v>
      </c>
      <c r="M272" s="4" t="str">
        <f ca="1">IFERROR(__xludf.DUMMYFUNCTION("""COMPUTED_VALUE"""),"efeito estufa")</f>
        <v>efeito estufa</v>
      </c>
      <c r="N272" s="4" t="str">
        <f ca="1">IFERROR(__xludf.DUMMYFUNCTION("""COMPUTED_VALUE""")," ilha de calor")</f>
        <v xml:space="preserve"> ilha de calor</v>
      </c>
      <c r="O272" s="4" t="str">
        <f ca="1">IFERROR(__xludf.DUMMYFUNCTION("""COMPUTED_VALUE"""),"inversão térmica.")</f>
        <v>inversão térmica.</v>
      </c>
      <c r="P272" s="4" t="str">
        <f ca="1">IFERROR(__xludf.DUMMYFUNCTION("""COMPUTED_VALUE""")," ciclone tropical.")</f>
        <v xml:space="preserve"> ciclone tropical.</v>
      </c>
      <c r="Q272" s="4" t="str">
        <f ca="1">IFERROR(__xludf.DUMMYFUNCTION("""COMPUTED_VALUE"""),"chuva orográfica.
")</f>
        <v xml:space="preserve">chuva orográfica.
</v>
      </c>
      <c r="R272" s="4"/>
      <c r="S272" s="4"/>
      <c r="T272" s="4"/>
      <c r="U272" s="4"/>
      <c r="V272" s="4"/>
      <c r="W272" s="4"/>
      <c r="X272" s="4"/>
      <c r="Y272" s="4"/>
      <c r="Z272" s="4"/>
    </row>
    <row r="273" spans="1:26" x14ac:dyDescent="0.25">
      <c r="A273" s="3" t="str">
        <f ca="1">IFERROR(__xludf.DUMMYFUNCTION("""COMPUTED_VALUE"""),"https://drive.google.com/open?id=1WJ7GuqKE_lGOr90OpLjwvo5jFWxyn3_n")</f>
        <v>https://drive.google.com/open?id=1WJ7GuqKE_lGOr90OpLjwvo5jFWxyn3_n</v>
      </c>
      <c r="B273" s="4" t="str">
        <f ca="1">IFERROR(__xludf.DUMMYFUNCTION("""COMPUTED_VALUE"""),"Enem")</f>
        <v>Enem</v>
      </c>
      <c r="C273" s="4">
        <f ca="1">IFERROR(__xludf.DUMMYFUNCTION("""COMPUTED_VALUE"""),2019)</f>
        <v>2019</v>
      </c>
      <c r="D273" s="4" t="str">
        <f ca="1">IFERROR(__xludf.DUMMYFUNCTION("""COMPUTED_VALUE"""),"Ciências Humanas")</f>
        <v>Ciências Humanas</v>
      </c>
      <c r="E273" s="4" t="str">
        <f ca="1">IFERROR(__xludf.DUMMYFUNCTION("""COMPUTED_VALUE"""),"Geografia")</f>
        <v>Geografia</v>
      </c>
      <c r="F273" s="4" t="str">
        <f ca="1">IFERROR(__xludf.DUMMYFUNCTION("""COMPUTED_VALUE"""),"Geografia Geral")</f>
        <v>Geografia Geral</v>
      </c>
      <c r="G273" s="4"/>
      <c r="H273" s="4"/>
      <c r="I273" s="4" t="str">
        <f ca="1">IFERROR(__xludf.DUMMYFUNCTION("""COMPUTED_VALUE"""),"Azul")</f>
        <v>Azul</v>
      </c>
      <c r="J273" s="4">
        <f ca="1">IFERROR(__xludf.DUMMYFUNCTION("""COMPUTED_VALUE"""),86)</f>
        <v>86</v>
      </c>
      <c r="K273" s="4" t="str">
        <f ca="1">IFERROR(__xludf.DUMMYFUNCTION("""COMPUTED_VALUE"""),"C")</f>
        <v>C</v>
      </c>
      <c r="L273" s="4" t="str">
        <f ca="1">IFERROR(__xludf.DUMMYFUNCTION("""COMPUTED_VALUE"""),"O trecho da letra da canção avalia o uso de combustíveis
fósseis com base em sua potencial contribuição para
aumentar o(a)")</f>
        <v>O trecho da letra da canção avalia o uso de combustíveis
fósseis com base em sua potencial contribuição para
aumentar o(a)</v>
      </c>
      <c r="M273" s="4" t="str">
        <f ca="1">IFERROR(__xludf.DUMMYFUNCTION("""COMPUTED_VALUE""")," base da pirâmide etária")</f>
        <v xml:space="preserve"> base da pirâmide etária</v>
      </c>
      <c r="N273" s="4" t="str">
        <f ca="1">IFERROR(__xludf.DUMMYFUNCTION("""COMPUTED_VALUE"""),"alcance da fronteira de recursos")</f>
        <v>alcance da fronteira de recursos</v>
      </c>
      <c r="O273" s="4" t="str">
        <f ca="1">IFERROR(__xludf.DUMMYFUNCTION("""COMPUTED_VALUE"""),"degradação da qualidade de vida.")</f>
        <v>degradação da qualidade de vida.</v>
      </c>
      <c r="P273" s="4" t="str">
        <f ca="1">IFERROR(__xludf.DUMMYFUNCTION("""COMPUTED_VALUE""")," sustentabilidade da matriz energética.")</f>
        <v xml:space="preserve"> sustentabilidade da matriz energética.</v>
      </c>
      <c r="Q273" s="4" t="str">
        <f ca="1">IFERROR(__xludf.DUMMYFUNCTION("""COMPUTED_VALUE"""),"exploração do trabalho humano.")</f>
        <v>exploração do trabalho humano.</v>
      </c>
      <c r="R273" s="4"/>
      <c r="S273" s="4"/>
      <c r="T273" s="4"/>
      <c r="U273" s="4"/>
      <c r="V273" s="4"/>
      <c r="W273" s="4"/>
      <c r="X273" s="4"/>
      <c r="Y273" s="4"/>
      <c r="Z273" s="4"/>
    </row>
    <row r="274" spans="1:26" x14ac:dyDescent="0.25">
      <c r="A274" s="3" t="str">
        <f ca="1">IFERROR(__xludf.DUMMYFUNCTION("""COMPUTED_VALUE"""),"https://drive.google.com/open?id=1QugM-io_phNWY1W8gXaO5gwHhJYjq8h0")</f>
        <v>https://drive.google.com/open?id=1QugM-io_phNWY1W8gXaO5gwHhJYjq8h0</v>
      </c>
      <c r="B274" s="4" t="str">
        <f ca="1">IFERROR(__xludf.DUMMYFUNCTION("""COMPUTED_VALUE"""),"Enem")</f>
        <v>Enem</v>
      </c>
      <c r="C274" s="4">
        <f ca="1">IFERROR(__xludf.DUMMYFUNCTION("""COMPUTED_VALUE"""),2019)</f>
        <v>2019</v>
      </c>
      <c r="D274" s="4" t="str">
        <f ca="1">IFERROR(__xludf.DUMMYFUNCTION("""COMPUTED_VALUE"""),"Ciências Humanas")</f>
        <v>Ciências Humanas</v>
      </c>
      <c r="E274" s="4" t="str">
        <f ca="1">IFERROR(__xludf.DUMMYFUNCTION("""COMPUTED_VALUE"""),"Geografia")</f>
        <v>Geografia</v>
      </c>
      <c r="F274" s="4" t="str">
        <f ca="1">IFERROR(__xludf.DUMMYFUNCTION("""COMPUTED_VALUE"""),"Geografia do Brasil")</f>
        <v>Geografia do Brasil</v>
      </c>
      <c r="G274" s="4"/>
      <c r="H274" s="4"/>
      <c r="I274" s="4" t="str">
        <f ca="1">IFERROR(__xludf.DUMMYFUNCTION("""COMPUTED_VALUE"""),"Azul")</f>
        <v>Azul</v>
      </c>
      <c r="J274" s="4">
        <f ca="1">IFERROR(__xludf.DUMMYFUNCTION("""COMPUTED_VALUE"""),87)</f>
        <v>87</v>
      </c>
      <c r="K274" s="4" t="str">
        <f ca="1">IFERROR(__xludf.DUMMYFUNCTION("""COMPUTED_VALUE"""),"A")</f>
        <v>A</v>
      </c>
      <c r="L274" s="4" t="str">
        <f ca="1">IFERROR(__xludf.DUMMYFUNCTION("""COMPUTED_VALUE"""),"A topografia predominante no Planalto Central é a de
uma região horizontal, chata, que me fez recordar muito
do Planalto Central da África do Sul: o mesmo horizonte
circular, a mesma vegetação baixa e rala, que permite à
vista varrer extensões infinitas.
"&amp;"Quais formações vegetais pertencem às paisagens
apresentadas?")</f>
        <v>A topografia predominante no Planalto Central é a de
uma região horizontal, chata, que me fez recordar muito
do Planalto Central da África do Sul: o mesmo horizonte
circular, a mesma vegetação baixa e rala, que permite à
vista varrer extensões infinitas.
Quais formações vegetais pertencem às paisagens
apresentadas?</v>
      </c>
      <c r="M274" s="4" t="str">
        <f ca="1">IFERROR(__xludf.DUMMYFUNCTION("""COMPUTED_VALUE"""),"Os cerrados e as savanas.")</f>
        <v>Os cerrados e as savanas.</v>
      </c>
      <c r="N274" s="4" t="str">
        <f ca="1">IFERROR(__xludf.DUMMYFUNCTION("""COMPUTED_VALUE"""),"Os garrigues e as pradarias.")</f>
        <v>Os garrigues e as pradarias.</v>
      </c>
      <c r="O274" s="4" t="str">
        <f ca="1">IFERROR(__xludf.DUMMYFUNCTION("""COMPUTED_VALUE"""),"As caatingas e os maquis.")</f>
        <v>As caatingas e os maquis.</v>
      </c>
      <c r="P274" s="4" t="str">
        <f ca="1">IFERROR(__xludf.DUMMYFUNCTION("""COMPUTED_VALUE"""),"As coníferas e as estepes.")</f>
        <v>As coníferas e as estepes.</v>
      </c>
      <c r="Q274" s="4" t="str">
        <f ca="1">IFERROR(__xludf.DUMMYFUNCTION("""COMPUTED_VALUE"""),"As restingas e os chaparrais.")</f>
        <v>As restingas e os chaparrais.</v>
      </c>
      <c r="R274" s="4"/>
      <c r="S274" s="4"/>
      <c r="T274" s="4"/>
      <c r="U274" s="4"/>
      <c r="V274" s="4"/>
      <c r="W274" s="4"/>
      <c r="X274" s="4"/>
      <c r="Y274" s="4"/>
      <c r="Z274" s="4"/>
    </row>
    <row r="275" spans="1:26" x14ac:dyDescent="0.25">
      <c r="A275" s="3" t="str">
        <f ca="1">IFERROR(__xludf.DUMMYFUNCTION("""COMPUTED_VALUE"""),"https://drive.google.com/open?id=1Dtoj0QrWyPecpihFjR5hsIOgVmM6VZH0")</f>
        <v>https://drive.google.com/open?id=1Dtoj0QrWyPecpihFjR5hsIOgVmM6VZH0</v>
      </c>
      <c r="B275" s="4" t="str">
        <f ca="1">IFERROR(__xludf.DUMMYFUNCTION("""COMPUTED_VALUE"""),"Enem")</f>
        <v>Enem</v>
      </c>
      <c r="C275" s="4">
        <f ca="1">IFERROR(__xludf.DUMMYFUNCTION("""COMPUTED_VALUE"""),2019)</f>
        <v>2019</v>
      </c>
      <c r="D275" s="4" t="str">
        <f ca="1">IFERROR(__xludf.DUMMYFUNCTION("""COMPUTED_VALUE"""),"Ciências Humanas")</f>
        <v>Ciências Humanas</v>
      </c>
      <c r="E275" s="4" t="str">
        <f ca="1">IFERROR(__xludf.DUMMYFUNCTION("""COMPUTED_VALUE"""),"Geografia")</f>
        <v>Geografia</v>
      </c>
      <c r="F275" s="4" t="str">
        <f ca="1">IFERROR(__xludf.DUMMYFUNCTION("""COMPUTED_VALUE"""),"Geografia Geral")</f>
        <v>Geografia Geral</v>
      </c>
      <c r="G275" s="4"/>
      <c r="H275" s="4"/>
      <c r="I275" s="4" t="str">
        <f ca="1">IFERROR(__xludf.DUMMYFUNCTION("""COMPUTED_VALUE"""),"Azul")</f>
        <v>Azul</v>
      </c>
      <c r="J275" s="4">
        <f ca="1">IFERROR(__xludf.DUMMYFUNCTION("""COMPUTED_VALUE"""),88)</f>
        <v>88</v>
      </c>
      <c r="K275" s="4" t="str">
        <f ca="1">IFERROR(__xludf.DUMMYFUNCTION("""COMPUTED_VALUE"""),"C")</f>
        <v>C</v>
      </c>
      <c r="L275" s="4" t="str">
        <f ca="1">IFERROR(__xludf.DUMMYFUNCTION("""COMPUTED_VALUE"""),"As águas das precipitações atmosféricas sobre
os continentes nas regiões não geladas podem tomar
três caminhos: evaporação imediata, infiltração ou
escoamento. A relação entre essas três possibilidades,
assim como das suas respectivas intensidades quando
"&amp;"ocorrem em conjunto, o que é mais frequente, depende
de vários fatores, tais como clima, morfologia do
terreno, cobertura vegetal e constituição litológica.
A preservação da cobertura vegetal interfere no
processo mencionado contribuindo para a
")</f>
        <v xml:space="preserve">As águas das precipitações atmosféricas sobre
os continentes nas regiões não geladas podem tomar
três caminhos: evaporação imediata, infiltração ou
escoamento. A relação entre essas três possibilidades,
assim como das suas respectivas intensidades quando
ocorrem em conjunto, o que é mais frequente, depende
de vários fatores, tais como clima, morfologia do
terreno, cobertura vegetal e constituição litológica.
A preservação da cobertura vegetal interfere no
processo mencionado contribuindo para a
</v>
      </c>
      <c r="M275" s="4" t="str">
        <f ca="1">IFERROR(__xludf.DUMMYFUNCTION("""COMPUTED_VALUE"""),"decomposição do relevo")</f>
        <v>decomposição do relevo</v>
      </c>
      <c r="N275" s="4" t="str">
        <f ca="1">IFERROR(__xludf.DUMMYFUNCTION("""COMPUTED_VALUE"""),"redução da evapotranspiração.")</f>
        <v>redução da evapotranspiração.</v>
      </c>
      <c r="O275" s="4" t="str">
        <f ca="1">IFERROR(__xludf.DUMMYFUNCTION("""COMPUTED_VALUE""")," contenção do processo de erosão.
")</f>
        <v xml:space="preserve"> contenção do processo de erosão.
</v>
      </c>
      <c r="P275" s="4" t="str">
        <f ca="1">IFERROR(__xludf.DUMMYFUNCTION("""COMPUTED_VALUE"""),"desaceleração do intemperismo químico.")</f>
        <v>desaceleração do intemperismo químico.</v>
      </c>
      <c r="Q275" s="4" t="str">
        <f ca="1">IFERROR(__xludf.DUMMYFUNCTION("""COMPUTED_VALUE"""),"deposição de sedimentos no solo.")</f>
        <v>deposição de sedimentos no solo.</v>
      </c>
      <c r="R275" s="4"/>
      <c r="S275" s="4"/>
      <c r="T275" s="4"/>
      <c r="U275" s="4"/>
      <c r="V275" s="4"/>
      <c r="W275" s="4"/>
      <c r="X275" s="4"/>
      <c r="Y275" s="4"/>
      <c r="Z275" s="4"/>
    </row>
    <row r="276" spans="1:26" x14ac:dyDescent="0.25">
      <c r="A276" s="3" t="str">
        <f ca="1">IFERROR(__xludf.DUMMYFUNCTION("""COMPUTED_VALUE"""),"https://drive.google.com/open?id=1BYgK038E3Gse_Mx5smeODG66JfiTJh20")</f>
        <v>https://drive.google.com/open?id=1BYgK038E3Gse_Mx5smeODG66JfiTJh20</v>
      </c>
      <c r="B276" s="4" t="str">
        <f ca="1">IFERROR(__xludf.DUMMYFUNCTION("""COMPUTED_VALUE"""),"Enem")</f>
        <v>Enem</v>
      </c>
      <c r="C276" s="4">
        <f ca="1">IFERROR(__xludf.DUMMYFUNCTION("""COMPUTED_VALUE"""),2019)</f>
        <v>2019</v>
      </c>
      <c r="D276" s="4" t="str">
        <f ca="1">IFERROR(__xludf.DUMMYFUNCTION("""COMPUTED_VALUE"""),"Ciências Humanas")</f>
        <v>Ciências Humanas</v>
      </c>
      <c r="E276" s="4" t="str">
        <f ca="1">IFERROR(__xludf.DUMMYFUNCTION("""COMPUTED_VALUE"""),"Geografia")</f>
        <v>Geografia</v>
      </c>
      <c r="F276" s="4" t="str">
        <f ca="1">IFERROR(__xludf.DUMMYFUNCTION("""COMPUTED_VALUE"""),"Geografia do Brasil")</f>
        <v>Geografia do Brasil</v>
      </c>
      <c r="G276" s="4"/>
      <c r="H276" s="4"/>
      <c r="I276" s="4" t="str">
        <f ca="1">IFERROR(__xludf.DUMMYFUNCTION("""COMPUTED_VALUE"""),"Azul")</f>
        <v>Azul</v>
      </c>
      <c r="J276" s="4">
        <f ca="1">IFERROR(__xludf.DUMMYFUNCTION("""COMPUTED_VALUE"""),89)</f>
        <v>89</v>
      </c>
      <c r="K276" s="4" t="str">
        <f ca="1">IFERROR(__xludf.DUMMYFUNCTION("""COMPUTED_VALUE"""),"B")</f>
        <v>B</v>
      </c>
      <c r="L276" s="4" t="str">
        <f ca="1">IFERROR(__xludf.DUMMYFUNCTION("""COMPUTED_VALUE"""),"No litoral sudeste, especialmente na região de
Cabo Frio (RJ), ocorre, por vezes, um fenômeno
interessante, que abaixa a temperatura da água do
mar a até 14 °C, nos meses de janeiro e fevereiro.
Isso acontece devido ao vento, que, no verão, sopra
constant"&amp;"emente da direção nordeste. Assim, esse
vento constante empurra as águas da superfície,
que haviam sofrido insolação e, portanto, estavam
aquecidas (em torno de 26 °C), para o oceano aberto.
Origina-se, então, uma lacuna de água junto à costa,
que é preen"&amp;"chida por águas profundas, bem mais
frias, que sobem e atingem a superfície. A ascensão
das águas frias é chamada de ressurgência.
Uma importância econômica do fenômeno apresentado
reside no fato de que ele favorece o surgimento de")</f>
        <v>No litoral sudeste, especialmente na região de
Cabo Frio (RJ), ocorre, por vezes, um fenômeno
interessante, que abaixa a temperatura da água do
mar a até 14 °C, nos meses de janeiro e fevereiro.
Isso acontece devido ao vento, que, no verão, sopra
constantemente da direção nordeste. Assim, esse
vento constante empurra as águas da superfície,
que haviam sofrido insolação e, portanto, estavam
aquecidas (em torno de 26 °C), para o oceano aberto.
Origina-se, então, uma lacuna de água junto à costa,
que é preenchida por águas profundas, bem mais
frias, que sobem e atingem a superfície. A ascensão
das águas frias é chamada de ressurgência.
Uma importância econômica do fenômeno apresentado
reside no fato de que ele favorece o surgimento de</v>
      </c>
      <c r="M276" s="4" t="str">
        <f ca="1">IFERROR(__xludf.DUMMYFUNCTION("""COMPUTED_VALUE"""),"recifes de corais, atraindo o turismo.")</f>
        <v>recifes de corais, atraindo o turismo.</v>
      </c>
      <c r="N276" s="4" t="str">
        <f ca="1">IFERROR(__xludf.DUMMYFUNCTION("""COMPUTED_VALUE""")," áreas de cardumes, beneficiando a pesca.")</f>
        <v xml:space="preserve"> áreas de cardumes, beneficiando a pesca.</v>
      </c>
      <c r="O276" s="4" t="str">
        <f ca="1">IFERROR(__xludf.DUMMYFUNCTION("""COMPUTED_VALUE""")," zonas de calmaria, facilitando a navegação.")</f>
        <v xml:space="preserve"> zonas de calmaria, facilitando a navegação.</v>
      </c>
      <c r="P276" s="4" t="str">
        <f ca="1">IFERROR(__xludf.DUMMYFUNCTION("""COMPUTED_VALUE""")," locais de águas límpidas, favorecendo o mergulho")</f>
        <v xml:space="preserve"> locais de águas límpidas, favorecendo o mergulho</v>
      </c>
      <c r="Q276" s="4" t="str">
        <f ca="1">IFERROR(__xludf.DUMMYFUNCTION("""COMPUTED_VALUE"""),"campos de sedimentos orgânicos, formando o petróleo.")</f>
        <v>campos de sedimentos orgânicos, formando o petróleo.</v>
      </c>
      <c r="R276" s="4"/>
      <c r="S276" s="4"/>
      <c r="T276" s="4"/>
      <c r="U276" s="4"/>
      <c r="V276" s="4"/>
      <c r="W276" s="4"/>
      <c r="X276" s="4"/>
      <c r="Y276" s="4"/>
      <c r="Z276" s="4"/>
    </row>
    <row r="277" spans="1:26" x14ac:dyDescent="0.25">
      <c r="A277" s="3" t="str">
        <f ca="1">IFERROR(__xludf.DUMMYFUNCTION("""COMPUTED_VALUE"""),"https://drive.google.com/open?id=1Pl9XyvJtYF8Bu0jc5DIeHjYxqYY54ejo")</f>
        <v>https://drive.google.com/open?id=1Pl9XyvJtYF8Bu0jc5DIeHjYxqYY54ejo</v>
      </c>
      <c r="B277" s="4" t="str">
        <f ca="1">IFERROR(__xludf.DUMMYFUNCTION("""COMPUTED_VALUE"""),"Enem")</f>
        <v>Enem</v>
      </c>
      <c r="C277" s="4">
        <f ca="1">IFERROR(__xludf.DUMMYFUNCTION("""COMPUTED_VALUE"""),2018)</f>
        <v>2018</v>
      </c>
      <c r="D277" s="4" t="str">
        <f ca="1">IFERROR(__xludf.DUMMYFUNCTION("""COMPUTED_VALUE"""),"Matemática")</f>
        <v>Matemática</v>
      </c>
      <c r="E277" s="4" t="str">
        <f ca="1">IFERROR(__xludf.DUMMYFUNCTION("""COMPUTED_VALUE"""),"Matemática")</f>
        <v>Matemática</v>
      </c>
      <c r="F277" s="4" t="str">
        <f ca="1">IFERROR(__xludf.DUMMYFUNCTION("""COMPUTED_VALUE"""),"Financeira e Trigonometria")</f>
        <v>Financeira e Trigonometria</v>
      </c>
      <c r="G277" s="4"/>
      <c r="H277" s="4"/>
      <c r="I277" s="4" t="str">
        <f ca="1">IFERROR(__xludf.DUMMYFUNCTION("""COMPUTED_VALUE"""),"Amarelo")</f>
        <v>Amarelo</v>
      </c>
      <c r="J277" s="4">
        <f ca="1">IFERROR(__xludf.DUMMYFUNCTION("""COMPUTED_VALUE"""),157)</f>
        <v>157</v>
      </c>
      <c r="K277" s="4" t="str">
        <f ca="1">IFERROR(__xludf.DUMMYFUNCTION("""COMPUTED_VALUE"""),"A")</f>
        <v>A</v>
      </c>
      <c r="L277" s="4" t="str">
        <f ca="1">IFERROR(__xludf.DUMMYFUNCTION("""COMPUTED_VALUE"""),"Sobre um sistema cartesiano considera-se uma malha formada por circunferências de raios com medidas dadas por números naturais e por 12 semirretas com extremidades na origem, separadas por ângulos de π/6 rad, conforme a figura:
[IMAGEM CONTIDA NO ARQUIVO]"&amp;"
Suponha que os objetos se desloquem apenas pelas semirretas e pelas 
circunferências dessa malha, não podendo passar pela origem (0 ; 0).
Considere o valor de  π com aproximação de, pelo menos, uma casa decimal.
Para realizar o percurso mais curto possív"&amp;"el ao longo da malha, do ponto B até o ponto A,
um objeto deve percorrer uma distância igual a:
")</f>
        <v xml:space="preserve">Sobre um sistema cartesiano considera-se uma malha formada por circunferências de raios com medidas dadas por números naturais e por 12 semirretas com extremidades na origem, separadas por ângulos de π/6 rad, conforme a figura:
[IMAGEM CONTIDA NO ARQUIVO]
Suponha que os objetos se desloquem apenas pelas semirretas e pelas 
circunferências dessa malha, não podendo passar pela origem (0 ; 0).
Considere o valor de  π com aproximação de, pelo menos, uma casa decimal.
Para realizar o percurso mais curto possível ao longo da malha, do ponto B até o ponto A,
um objeto deve percorrer uma distância igual a:
</v>
      </c>
      <c r="M277" s="4" t="str">
        <f ca="1">IFERROR(__xludf.DUMMYFUNCTION("""COMPUTED_VALUE"""),"(2 .  π . 1 / 3) + 8")</f>
        <v>(2 .  π . 1 / 3) + 8</v>
      </c>
      <c r="N277" s="4" t="str">
        <f ca="1">IFERROR(__xludf.DUMMYFUNCTION("""COMPUTED_VALUE"""),"(2 .  π . 2 / 3) + 6")</f>
        <v>(2 .  π . 2 / 3) + 6</v>
      </c>
      <c r="O277" s="4" t="str">
        <f ca="1">IFERROR(__xludf.DUMMYFUNCTION("""COMPUTED_VALUE"""),"(2 .  π . 3 / 3) + 4")</f>
        <v>(2 .  π . 3 / 3) + 4</v>
      </c>
      <c r="P277" s="4" t="str">
        <f ca="1">IFERROR(__xludf.DUMMYFUNCTION("""COMPUTED_VALUE"""),"(2 .  π . 4 / 3) + 2")</f>
        <v>(2 .  π . 4 / 3) + 2</v>
      </c>
      <c r="Q277" s="4" t="str">
        <f ca="1">IFERROR(__xludf.DUMMYFUNCTION("""COMPUTED_VALUE"""),"(2 .  π . 5 / 3) + 2")</f>
        <v>(2 .  π . 5 / 3) + 2</v>
      </c>
      <c r="R277" s="4"/>
      <c r="S277" s="4"/>
      <c r="T277" s="4"/>
      <c r="U277" s="4"/>
      <c r="V277" s="4"/>
      <c r="W277" s="4"/>
      <c r="X277" s="4"/>
      <c r="Y277" s="4"/>
      <c r="Z277" s="4"/>
    </row>
    <row r="278" spans="1:26" x14ac:dyDescent="0.25">
      <c r="A278" s="3" t="str">
        <f ca="1">IFERROR(__xludf.DUMMYFUNCTION("""COMPUTED_VALUE"""),"https://drive.google.com/open?id=1CYB-UvQhtkgSYookGOxi1qIOozrcABnf")</f>
        <v>https://drive.google.com/open?id=1CYB-UvQhtkgSYookGOxi1qIOozrcABnf</v>
      </c>
      <c r="B278" s="4" t="str">
        <f ca="1">IFERROR(__xludf.DUMMYFUNCTION("""COMPUTED_VALUE"""),"Enem")</f>
        <v>Enem</v>
      </c>
      <c r="C278" s="4">
        <f ca="1">IFERROR(__xludf.DUMMYFUNCTION("""COMPUTED_VALUE"""),2018)</f>
        <v>2018</v>
      </c>
      <c r="D278" s="4" t="str">
        <f ca="1">IFERROR(__xludf.DUMMYFUNCTION("""COMPUTED_VALUE"""),"Matemática")</f>
        <v>Matemática</v>
      </c>
      <c r="E278" s="4" t="str">
        <f ca="1">IFERROR(__xludf.DUMMYFUNCTION("""COMPUTED_VALUE"""),"Matemática")</f>
        <v>Matemática</v>
      </c>
      <c r="F278" s="4" t="str">
        <f ca="1">IFERROR(__xludf.DUMMYFUNCTION("""COMPUTED_VALUE"""),"Geometria")</f>
        <v>Geometria</v>
      </c>
      <c r="G278" s="4"/>
      <c r="H278" s="4"/>
      <c r="I278" s="4" t="str">
        <f ca="1">IFERROR(__xludf.DUMMYFUNCTION("""COMPUTED_VALUE"""),"Amarelo")</f>
        <v>Amarelo</v>
      </c>
      <c r="J278" s="4">
        <f ca="1">IFERROR(__xludf.DUMMYFUNCTION("""COMPUTED_VALUE"""),158)</f>
        <v>158</v>
      </c>
      <c r="K278" s="4" t="str">
        <f ca="1">IFERROR(__xludf.DUMMYFUNCTION("""COMPUTED_VALUE"""),"D")</f>
        <v>D</v>
      </c>
      <c r="L278" s="4" t="str">
        <f ca="1">IFERROR(__xludf.DUMMYFUNCTION("""COMPUTED_VALUE"""),"Um artesão possui potes cilíndricos de tinta cujas medidas externas são 4 cm de 
diâmetro e 6 cm de altura. Ele pretende adquirir caixas organizadoras para armazenar 
seus potes de tinta, empilhados verticalmente com tampas voltadas para cima, de forma 
q"&amp;"ue as caixas possam ser fechadas.
No mercado, existem cinco opções de caixas organizadoras, com tampa, em formato 
de paralelepípedo reto retângulo, vendidas pelo mesmo preço, possuindo as seguintes 
dimensões internas:
[IMAGEM CONTIDA NO ARQUIVO]
Qual de"&amp;"sses modelos o artesão deve adquirir para conseguir armazenar o maior número 
de potes por caixa?")</f>
        <v>Um artesão possui potes cilíndricos de tinta cujas medidas externas são 4 cm de 
diâmetro e 6 cm de altura. Ele pretende adquirir caixas organizadoras para armazenar 
seus potes de tinta, empilhados verticalmente com tampas voltadas para cima, de forma 
que as caixas possam ser fechadas.
No mercado, existem cinco opções de caixas organizadoras, com tampa, em formato 
de paralelepípedo reto retângulo, vendidas pelo mesmo preço, possuindo as seguintes 
dimensões internas:
[IMAGEM CONTIDA NO ARQUIVO]
Qual desses modelos o artesão deve adquirir para conseguir armazenar o maior número 
de potes por caixa?</v>
      </c>
      <c r="M278" s="4" t="str">
        <f ca="1">IFERROR(__xludf.DUMMYFUNCTION("""COMPUTED_VALUE"""),"I")</f>
        <v>I</v>
      </c>
      <c r="N278" s="4" t="str">
        <f ca="1">IFERROR(__xludf.DUMMYFUNCTION("""COMPUTED_VALUE"""),"II")</f>
        <v>II</v>
      </c>
      <c r="O278" s="4" t="str">
        <f ca="1">IFERROR(__xludf.DUMMYFUNCTION("""COMPUTED_VALUE"""),"III")</f>
        <v>III</v>
      </c>
      <c r="P278" s="4" t="str">
        <f ca="1">IFERROR(__xludf.DUMMYFUNCTION("""COMPUTED_VALUE"""),"IV")</f>
        <v>IV</v>
      </c>
      <c r="Q278" s="4" t="str">
        <f ca="1">IFERROR(__xludf.DUMMYFUNCTION("""COMPUTED_VALUE"""),"V")</f>
        <v>V</v>
      </c>
      <c r="R278" s="4"/>
      <c r="S278" s="4"/>
      <c r="T278" s="4"/>
      <c r="U278" s="4"/>
      <c r="V278" s="4"/>
      <c r="W278" s="4"/>
      <c r="X278" s="4"/>
      <c r="Y278" s="4"/>
      <c r="Z278" s="4"/>
    </row>
    <row r="279" spans="1:26" x14ac:dyDescent="0.25">
      <c r="A279" s="3" t="str">
        <f ca="1">IFERROR(__xludf.DUMMYFUNCTION("""COMPUTED_VALUE"""),"https://drive.google.com/open?id=1zCXb9DdgBxuwFIGYBNxj5e2hPxr232Y5")</f>
        <v>https://drive.google.com/open?id=1zCXb9DdgBxuwFIGYBNxj5e2hPxr232Y5</v>
      </c>
      <c r="B279" s="4" t="str">
        <f ca="1">IFERROR(__xludf.DUMMYFUNCTION("""COMPUTED_VALUE"""),"Enem")</f>
        <v>Enem</v>
      </c>
      <c r="C279" s="4">
        <f ca="1">IFERROR(__xludf.DUMMYFUNCTION("""COMPUTED_VALUE"""),2018)</f>
        <v>2018</v>
      </c>
      <c r="D279" s="4" t="str">
        <f ca="1">IFERROR(__xludf.DUMMYFUNCTION("""COMPUTED_VALUE"""),"Matemática")</f>
        <v>Matemática</v>
      </c>
      <c r="E279" s="4" t="str">
        <f ca="1">IFERROR(__xludf.DUMMYFUNCTION("""COMPUTED_VALUE"""),"Matemática")</f>
        <v>Matemática</v>
      </c>
      <c r="F279" s="4" t="str">
        <f ca="1">IFERROR(__xludf.DUMMYFUNCTION("""COMPUTED_VALUE"""),"Aritmética e Algebra")</f>
        <v>Aritmética e Algebra</v>
      </c>
      <c r="G279" s="4"/>
      <c r="H279" s="4"/>
      <c r="I279" s="4" t="str">
        <f ca="1">IFERROR(__xludf.DUMMYFUNCTION("""COMPUTED_VALUE"""),"Amarelo")</f>
        <v>Amarelo</v>
      </c>
      <c r="J279" s="4">
        <f ca="1">IFERROR(__xludf.DUMMYFUNCTION("""COMPUTED_VALUE"""),159)</f>
        <v>159</v>
      </c>
      <c r="K279" s="4" t="str">
        <f ca="1">IFERROR(__xludf.DUMMYFUNCTION("""COMPUTED_VALUE"""),"C")</f>
        <v>C</v>
      </c>
      <c r="L279" s="4" t="str">
        <f ca="1">IFERROR(__xludf.DUMMYFUNCTION("""COMPUTED_VALUE"""),"A prefeitura de um pequeno município do interior decide colocar postes para 
iluminação ao longo de uma estrada retilínea, que inicia em uma praça central e termina 
numa fazenda na zona rural. Como a praça já possui iluminação, o primeiro poste será 
col"&amp;"ocado a 80 metros da praça, o segundo, a 100 metros, o terceiro, a 120 metros, e 
assim sucessivamente, mantendo-se sempre uma distância de vinte metros entre os 
postes, até que o último poste seja colocado a uma distância de 1 380 metros da praça.
Se a "&amp;"prefeitura pode pagar, no máximo, R$ 8 000,00 por poste colocado, o maior valor 
que poderá gastar com a colocação desses postes é:")</f>
        <v>A prefeitura de um pequeno município do interior decide colocar postes para 
iluminação ao longo de uma estrada retilínea, que inicia em uma praça central e termina 
numa fazenda na zona rural. Como a praça já possui iluminação, o primeiro poste será 
colocado a 80 metros da praça, o segundo, a 100 metros, o terceiro, a 120 metros, e 
assim sucessivamente, mantendo-se sempre uma distância de vinte metros entre os 
postes, até que o último poste seja colocado a uma distância de 1 380 metros da praça.
Se a prefeitura pode pagar, no máximo, R$ 8 000,00 por poste colocado, o maior valor 
que poderá gastar com a colocação desses postes é:</v>
      </c>
      <c r="M279" s="4" t="str">
        <f ca="1">IFERROR(__xludf.DUMMYFUNCTION("""COMPUTED_VALUE"""),"R$ 512 000,00.")</f>
        <v>R$ 512 000,00.</v>
      </c>
      <c r="N279" s="4" t="str">
        <f ca="1">IFERROR(__xludf.DUMMYFUNCTION("""COMPUTED_VALUE"""),"R$ 520 000,00.")</f>
        <v>R$ 520 000,00.</v>
      </c>
      <c r="O279" s="4" t="str">
        <f ca="1">IFERROR(__xludf.DUMMYFUNCTION("""COMPUTED_VALUE"""),"R$ 528 000,00.")</f>
        <v>R$ 528 000,00.</v>
      </c>
      <c r="P279" s="4" t="str">
        <f ca="1">IFERROR(__xludf.DUMMYFUNCTION("""COMPUTED_VALUE"""),"R$ 552 000,00.")</f>
        <v>R$ 552 000,00.</v>
      </c>
      <c r="Q279" s="4" t="str">
        <f ca="1">IFERROR(__xludf.DUMMYFUNCTION("""COMPUTED_VALUE"""),"R$ 584 000,00.")</f>
        <v>R$ 584 000,00.</v>
      </c>
      <c r="R279" s="4"/>
      <c r="S279" s="4"/>
      <c r="T279" s="4"/>
      <c r="U279" s="4"/>
      <c r="V279" s="4"/>
      <c r="W279" s="4"/>
      <c r="X279" s="4"/>
      <c r="Y279" s="4"/>
      <c r="Z279" s="4"/>
    </row>
    <row r="280" spans="1:26" x14ac:dyDescent="0.25">
      <c r="A280" s="3" t="str">
        <f ca="1">IFERROR(__xludf.DUMMYFUNCTION("""COMPUTED_VALUE"""),"https://drive.google.com/open?id=1RocmkCpKY4eDV9p9YeGr01OArJvGo-DG")</f>
        <v>https://drive.google.com/open?id=1RocmkCpKY4eDV9p9YeGr01OArJvGo-DG</v>
      </c>
      <c r="B280" s="4" t="str">
        <f ca="1">IFERROR(__xludf.DUMMYFUNCTION("""COMPUTED_VALUE"""),"Enem")</f>
        <v>Enem</v>
      </c>
      <c r="C280" s="4">
        <f ca="1">IFERROR(__xludf.DUMMYFUNCTION("""COMPUTED_VALUE"""),2018)</f>
        <v>2018</v>
      </c>
      <c r="D280" s="4" t="str">
        <f ca="1">IFERROR(__xludf.DUMMYFUNCTION("""COMPUTED_VALUE"""),"Matemática")</f>
        <v>Matemática</v>
      </c>
      <c r="E280" s="4" t="str">
        <f ca="1">IFERROR(__xludf.DUMMYFUNCTION("""COMPUTED_VALUE"""),"Matemática")</f>
        <v>Matemática</v>
      </c>
      <c r="F280" s="4" t="str">
        <f ca="1">IFERROR(__xludf.DUMMYFUNCTION("""COMPUTED_VALUE"""),"Aritmética e Algebra")</f>
        <v>Aritmética e Algebra</v>
      </c>
      <c r="G280" s="4"/>
      <c r="H280" s="4"/>
      <c r="I280" s="4" t="str">
        <f ca="1">IFERROR(__xludf.DUMMYFUNCTION("""COMPUTED_VALUE"""),"Amarelo")</f>
        <v>Amarelo</v>
      </c>
      <c r="J280" s="4">
        <f ca="1">IFERROR(__xludf.DUMMYFUNCTION("""COMPUTED_VALUE"""),160)</f>
        <v>160</v>
      </c>
      <c r="K280" s="4" t="str">
        <f ca="1">IFERROR(__xludf.DUMMYFUNCTION("""COMPUTED_VALUE"""),"C")</f>
        <v>C</v>
      </c>
      <c r="L280" s="4" t="str">
        <f ca="1">IFERROR(__xludf.DUMMYFUNCTION("""COMPUTED_VALUE"""),"Um edifício tem a numeração dos andares iniciando no térreo (T), e continuando 
com primeiro, segundo, terceiro, ..., até o último andar. Uma criança entrou no elevador 
e, tocando no painel, seguiu uma sequência de andares, parando, abrindo e fechando 
a"&amp;" porta em diversos andares. A partir de onde entrou a criança, o elevador subiu sete 
andares, em seguida desceu dez, desceu mais treze, subiu nove, desceu quatro e parou 
no quinto andar, finalizando a sequência. Considere que, no trajeto seguido pela cr"&amp;"iança,
o elevador parou uma vez no último andar do edifício.
De acordo com as informações dadas, o último andar do edifício é o:")</f>
        <v>Um edifício tem a numeração dos andares iniciando no térreo (T), e continuando 
com primeiro, segundo, terceiro, ..., até o último andar. Uma criança entrou no elevador 
e, tocando no painel, seguiu uma sequência de andares, parando, abrindo e fechando 
a porta em diversos andares. A partir de onde entrou a criança, o elevador subiu sete 
andares, em seguida desceu dez, desceu mais treze, subiu nove, desceu quatro e parou 
no quinto andar, finalizando a sequência. Considere que, no trajeto seguido pela criança,
o elevador parou uma vez no último andar do edifício.
De acordo com as informações dadas, o último andar do edifício é o:</v>
      </c>
      <c r="M280" s="4" t="str">
        <f ca="1">IFERROR(__xludf.DUMMYFUNCTION("""COMPUTED_VALUE"""),"16º")</f>
        <v>16º</v>
      </c>
      <c r="N280" s="4" t="str">
        <f ca="1">IFERROR(__xludf.DUMMYFUNCTION("""COMPUTED_VALUE"""),"22º")</f>
        <v>22º</v>
      </c>
      <c r="O280" s="4" t="str">
        <f ca="1">IFERROR(__xludf.DUMMYFUNCTION("""COMPUTED_VALUE"""),"23º")</f>
        <v>23º</v>
      </c>
      <c r="P280" s="4" t="str">
        <f ca="1">IFERROR(__xludf.DUMMYFUNCTION("""COMPUTED_VALUE"""),"25º")</f>
        <v>25º</v>
      </c>
      <c r="Q280" s="4" t="str">
        <f ca="1">IFERROR(__xludf.DUMMYFUNCTION("""COMPUTED_VALUE"""),"32º")</f>
        <v>32º</v>
      </c>
      <c r="R280" s="4"/>
      <c r="S280" s="4"/>
      <c r="T280" s="4"/>
      <c r="U280" s="4"/>
      <c r="V280" s="4"/>
      <c r="W280" s="4"/>
      <c r="X280" s="4"/>
      <c r="Y280" s="4"/>
      <c r="Z280" s="4"/>
    </row>
    <row r="281" spans="1:26" x14ac:dyDescent="0.25">
      <c r="A281" s="3" t="str">
        <f ca="1">IFERROR(__xludf.DUMMYFUNCTION("""COMPUTED_VALUE"""),"https://drive.google.com/open?id=11FfD4a7u1VMNNtsb2a3suIt0jof9zGn_")</f>
        <v>https://drive.google.com/open?id=11FfD4a7u1VMNNtsb2a3suIt0jof9zGn_</v>
      </c>
      <c r="B281" s="4" t="str">
        <f ca="1">IFERROR(__xludf.DUMMYFUNCTION("""COMPUTED_VALUE"""),"Enem")</f>
        <v>Enem</v>
      </c>
      <c r="C281" s="4">
        <f ca="1">IFERROR(__xludf.DUMMYFUNCTION("""COMPUTED_VALUE"""),2019)</f>
        <v>2019</v>
      </c>
      <c r="D281" s="4" t="str">
        <f ca="1">IFERROR(__xludf.DUMMYFUNCTION("""COMPUTED_VALUE"""),"Matemática")</f>
        <v>Matemática</v>
      </c>
      <c r="E281" s="4" t="str">
        <f ca="1">IFERROR(__xludf.DUMMYFUNCTION("""COMPUTED_VALUE"""),"Matemática")</f>
        <v>Matemática</v>
      </c>
      <c r="F281" s="4" t="str">
        <f ca="1">IFERROR(__xludf.DUMMYFUNCTION("""COMPUTED_VALUE"""),"Financeira e Trigonometria")</f>
        <v>Financeira e Trigonometria</v>
      </c>
      <c r="G281" s="4"/>
      <c r="H281" s="4"/>
      <c r="I281" s="4" t="str">
        <f ca="1">IFERROR(__xludf.DUMMYFUNCTION("""COMPUTED_VALUE"""),"Amarelo")</f>
        <v>Amarelo</v>
      </c>
      <c r="J281" s="4">
        <f ca="1">IFERROR(__xludf.DUMMYFUNCTION("""COMPUTED_VALUE"""),157)</f>
        <v>157</v>
      </c>
      <c r="K281" s="4" t="str">
        <f ca="1">IFERROR(__xludf.DUMMYFUNCTION("""COMPUTED_VALUE"""),"B")</f>
        <v>B</v>
      </c>
      <c r="L281" s="4" t="str">
        <f ca="1">IFERROR(__xludf.DUMMYFUNCTION("""COMPUTED_VALUE"""),"Uma pessoa fez um depósito inicial de R$ 200,00 em um Fundo de Investimentos 
que possui rendimento constante sob juros compostos de 5% ao mês. Esse Fundo 
possui cinco planos de carência (tempo mínimo necessário de rendimento do Fundo sem 
movimentação d"&amp;"o cliente). Os planos são:
• Plano A: carência de 10 meses; 
• Plano B: carência de 15 meses; 
• Plano C: carência de 20 meses; 
• Plano D: carência de 28 meses; 
• Plano E: carência de 40 meses.
O objetivo dessa pessoa é deixar essa aplicação rendendo at"&amp;"é que o valor inicialmente 
aplicado duplique, quando somado aos juros do Fundo. Considere as aproximações:
log 2 = 0,30 e log 1,05 = 0,02.
Para que essa pessoa atinja seu objetivo apenas no período de carência, mas com a 
menor carência possível, deverá "&amp;"optar pelo plano:")</f>
        <v>Uma pessoa fez um depósito inicial de R$ 200,00 em um Fundo de Investimentos 
que possui rendimento constante sob juros compostos de 5% ao mês. Esse Fundo 
possui cinco planos de carência (tempo mínimo necessário de rendimento do Fundo sem 
movimentação do cliente). Os planos são:
• Plano A: carência de 10 meses; 
• Plano B: carência de 15 meses; 
• Plano C: carência de 20 meses; 
• Plano D: carência de 28 meses; 
• Plano E: carência de 40 meses.
O objetivo dessa pessoa é deixar essa aplicação rendendo até que o valor inicialmente 
aplicado duplique, quando somado aos juros do Fundo. Considere as aproximações:
log 2 = 0,30 e log 1,05 = 0,02.
Para que essa pessoa atinja seu objetivo apenas no período de carência, mas com a 
menor carência possível, deverá optar pelo plano:</v>
      </c>
      <c r="M281" s="4" t="str">
        <f ca="1">IFERROR(__xludf.DUMMYFUNCTION("""COMPUTED_VALUE"""),"A")</f>
        <v>A</v>
      </c>
      <c r="N281" s="4" t="str">
        <f ca="1">IFERROR(__xludf.DUMMYFUNCTION("""COMPUTED_VALUE"""),"B")</f>
        <v>B</v>
      </c>
      <c r="O281" s="4" t="str">
        <f ca="1">IFERROR(__xludf.DUMMYFUNCTION("""COMPUTED_VALUE"""),"C")</f>
        <v>C</v>
      </c>
      <c r="P281" s="4" t="str">
        <f ca="1">IFERROR(__xludf.DUMMYFUNCTION("""COMPUTED_VALUE"""),"D")</f>
        <v>D</v>
      </c>
      <c r="Q281" s="4" t="str">
        <f ca="1">IFERROR(__xludf.DUMMYFUNCTION("""COMPUTED_VALUE"""),"E")</f>
        <v>E</v>
      </c>
      <c r="R281" s="4"/>
      <c r="S281" s="4"/>
      <c r="T281" s="4"/>
      <c r="U281" s="4"/>
      <c r="V281" s="4"/>
      <c r="W281" s="4"/>
      <c r="X281" s="4"/>
      <c r="Y281" s="4"/>
      <c r="Z281" s="4"/>
    </row>
    <row r="282" spans="1:26" x14ac:dyDescent="0.25">
      <c r="A282" s="3" t="str">
        <f ca="1">IFERROR(__xludf.DUMMYFUNCTION("""COMPUTED_VALUE"""),"https://drive.google.com/open?id=1Ybh4NLrZAgZZDzy6VAI-vnwwLEBx_5FN")</f>
        <v>https://drive.google.com/open?id=1Ybh4NLrZAgZZDzy6VAI-vnwwLEBx_5FN</v>
      </c>
      <c r="B282" s="4" t="str">
        <f ca="1">IFERROR(__xludf.DUMMYFUNCTION("""COMPUTED_VALUE"""),"Enem")</f>
        <v>Enem</v>
      </c>
      <c r="C282" s="4">
        <f ca="1">IFERROR(__xludf.DUMMYFUNCTION("""COMPUTED_VALUE"""),2019)</f>
        <v>2019</v>
      </c>
      <c r="D282" s="4" t="str">
        <f ca="1">IFERROR(__xludf.DUMMYFUNCTION("""COMPUTED_VALUE"""),"Matemática")</f>
        <v>Matemática</v>
      </c>
      <c r="E282" s="4" t="str">
        <f ca="1">IFERROR(__xludf.DUMMYFUNCTION("""COMPUTED_VALUE"""),"Matemática")</f>
        <v>Matemática</v>
      </c>
      <c r="F282" s="4" t="str">
        <f ca="1">IFERROR(__xludf.DUMMYFUNCTION("""COMPUTED_VALUE"""),"Geometria")</f>
        <v>Geometria</v>
      </c>
      <c r="G282" s="4"/>
      <c r="H282" s="4"/>
      <c r="I282" s="4" t="str">
        <f ca="1">IFERROR(__xludf.DUMMYFUNCTION("""COMPUTED_VALUE"""),"Amarelo")</f>
        <v>Amarelo</v>
      </c>
      <c r="J282" s="4">
        <f ca="1">IFERROR(__xludf.DUMMYFUNCTION("""COMPUTED_VALUE"""),158)</f>
        <v>158</v>
      </c>
      <c r="K282" s="4" t="str">
        <f ca="1">IFERROR(__xludf.DUMMYFUNCTION("""COMPUTED_VALUE"""),"C")</f>
        <v>C</v>
      </c>
      <c r="L282" s="4" t="str">
        <f ca="1">IFERROR(__xludf.DUMMYFUNCTION("""COMPUTED_VALUE"""),"Muitos restaurantes servem refrigerantes em copos contendo limão e gelo. Suponha um 
copo de formato cilíndrico, com as seguintes medidas: diâmetro = 6 cm e altura = 15 cm. 
Nesse copo, há três cubos de gelo, cujas arestas medem 2 cm cada, e duas rodelas "&amp;"
cilíndricas de limão, com 4 cm de diâmetro e 0,5 cm de espessura cada. Considere que, 
ao colocar o refrigerante no copo, os cubos de gelo e os limões ficarão totalmente imersos. 
(Use 3 como aproximação para π).
O volume máximo de refrigerante, em centí"&amp;"metro cúbico, que cabe nesse copo contendo as 
rodelas de limão e os cubos de gelo com suas dimensões inalteradas, é igual a:")</f>
        <v>Muitos restaurantes servem refrigerantes em copos contendo limão e gelo. Suponha um 
copo de formato cilíndrico, com as seguintes medidas: diâmetro = 6 cm e altura = 15 cm. 
Nesse copo, há três cubos de gelo, cujas arestas medem 2 cm cada, e duas rodelas 
cilíndricas de limão, com 4 cm de diâmetro e 0,5 cm de espessura cada. Considere que, 
ao colocar o refrigerante no copo, os cubos de gelo e os limões ficarão totalmente imersos. 
(Use 3 como aproximação para π).
O volume máximo de refrigerante, em centímetro cúbico, que cabe nesse copo contendo as 
rodelas de limão e os cubos de gelo com suas dimensões inalteradas, é igual a:</v>
      </c>
      <c r="M282" s="4" t="str">
        <f ca="1">IFERROR(__xludf.DUMMYFUNCTION("""COMPUTED_VALUE"""),"107")</f>
        <v>107</v>
      </c>
      <c r="N282" s="4" t="str">
        <f ca="1">IFERROR(__xludf.DUMMYFUNCTION("""COMPUTED_VALUE"""),"234")</f>
        <v>234</v>
      </c>
      <c r="O282" s="4" t="str">
        <f ca="1">IFERROR(__xludf.DUMMYFUNCTION("""COMPUTED_VALUE"""),"369")</f>
        <v>369</v>
      </c>
      <c r="P282" s="4" t="str">
        <f ca="1">IFERROR(__xludf.DUMMYFUNCTION("""COMPUTED_VALUE"""),"391")</f>
        <v>391</v>
      </c>
      <c r="Q282" s="4" t="str">
        <f ca="1">IFERROR(__xludf.DUMMYFUNCTION("""COMPUTED_VALUE"""),"405")</f>
        <v>405</v>
      </c>
      <c r="R282" s="4"/>
      <c r="S282" s="4"/>
      <c r="T282" s="4"/>
      <c r="U282" s="4"/>
      <c r="V282" s="4"/>
      <c r="W282" s="4"/>
      <c r="X282" s="4"/>
      <c r="Y282" s="4"/>
      <c r="Z282" s="4"/>
    </row>
    <row r="283" spans="1:26" x14ac:dyDescent="0.25">
      <c r="A283" s="3" t="str">
        <f ca="1">IFERROR(__xludf.DUMMYFUNCTION("""COMPUTED_VALUE"""),"https://drive.google.com/open?id=1v4F3TcTve7bXz--yvTGPsieBXXcwHVUg")</f>
        <v>https://drive.google.com/open?id=1v4F3TcTve7bXz--yvTGPsieBXXcwHVUg</v>
      </c>
      <c r="B283" s="4" t="str">
        <f ca="1">IFERROR(__xludf.DUMMYFUNCTION("""COMPUTED_VALUE"""),"Enem")</f>
        <v>Enem</v>
      </c>
      <c r="C283" s="4">
        <f ca="1">IFERROR(__xludf.DUMMYFUNCTION("""COMPUTED_VALUE"""),2019)</f>
        <v>2019</v>
      </c>
      <c r="D283" s="4" t="str">
        <f ca="1">IFERROR(__xludf.DUMMYFUNCTION("""COMPUTED_VALUE"""),"Matemática")</f>
        <v>Matemática</v>
      </c>
      <c r="E283" s="4" t="str">
        <f ca="1">IFERROR(__xludf.DUMMYFUNCTION("""COMPUTED_VALUE"""),"Matemática")</f>
        <v>Matemática</v>
      </c>
      <c r="F283" s="4" t="str">
        <f ca="1">IFERROR(__xludf.DUMMYFUNCTION("""COMPUTED_VALUE"""),"Aritmética e Algebra")</f>
        <v>Aritmética e Algebra</v>
      </c>
      <c r="G283" s="4"/>
      <c r="H283" s="4"/>
      <c r="I283" s="4" t="str">
        <f ca="1">IFERROR(__xludf.DUMMYFUNCTION("""COMPUTED_VALUE"""),"Amarelo")</f>
        <v>Amarelo</v>
      </c>
      <c r="J283" s="4">
        <f ca="1">IFERROR(__xludf.DUMMYFUNCTION("""COMPUTED_VALUE"""),159)</f>
        <v>159</v>
      </c>
      <c r="K283" s="4" t="str">
        <f ca="1">IFERROR(__xludf.DUMMYFUNCTION("""COMPUTED_VALUE"""),"D")</f>
        <v>D</v>
      </c>
      <c r="L283" s="4" t="str">
        <f ca="1">IFERROR(__xludf.DUMMYFUNCTION("""COMPUTED_VALUE"""),"Uma empresa, investindo na segurança, contrata uma firma para instalar mais 
uma câmera de segurança no teto de uma sala. Para iniciar o serviço, o representante 
da empresa informa ao instalador que nessa sala já estão instaladas duas câmeras e, 
a terce"&amp;"ira, deverá ser colocada de maneira a ficar equidistante destas. Além disso, ele 
apresenta outras duas informações:
(i) um esboço em um sistema de coordenadas cartesianas, do teto da sala, onde estão 
inseridas as posições das câmeras 1 e 2, conforme a f"&amp;"igura.
[IMAGEM CONTIDA NO ARQUIVO]
(ii) cinco relações entre as coordenadas (x ; y) da posição onde a câmera 3 deverá
ser instalada.
[IMAGEM CONTIDA NO ARQUIVO]
O instalador, após analisar as informações e as cinco relações, faz a opção correta 
dentre as"&amp;" relações apresentadas para instalar a terceira câmera.
A relação escolhida pelo instalador foi a:")</f>
        <v>Uma empresa, investindo na segurança, contrata uma firma para instalar mais 
uma câmera de segurança no teto de uma sala. Para iniciar o serviço, o representante 
da empresa informa ao instalador que nessa sala já estão instaladas duas câmeras e, 
a terceira, deverá ser colocada de maneira a ficar equidistante destas. Além disso, ele 
apresenta outras duas informações:
(i) um esboço em um sistema de coordenadas cartesianas, do teto da sala, onde estão 
inseridas as posições das câmeras 1 e 2, conforme a figura.
[IMAGEM CONTIDA NO ARQUIVO]
(ii) cinco relações entre as coordenadas (x ; y) da posição onde a câmera 3 deverá
ser instalada.
[IMAGEM CONTIDA NO ARQUIVO]
O instalador, após analisar as informações e as cinco relações, faz a opção correta 
dentre as relações apresentadas para instalar a terceira câmera.
A relação escolhida pelo instalador foi a:</v>
      </c>
      <c r="M283" s="4" t="str">
        <f ca="1">IFERROR(__xludf.DUMMYFUNCTION("""COMPUTED_VALUE"""),"R1")</f>
        <v>R1</v>
      </c>
      <c r="N283" s="4" t="str">
        <f ca="1">IFERROR(__xludf.DUMMYFUNCTION("""COMPUTED_VALUE"""),"R2")</f>
        <v>R2</v>
      </c>
      <c r="O283" s="4" t="str">
        <f ca="1">IFERROR(__xludf.DUMMYFUNCTION("""COMPUTED_VALUE"""),"R3")</f>
        <v>R3</v>
      </c>
      <c r="P283" s="4" t="str">
        <f ca="1">IFERROR(__xludf.DUMMYFUNCTION("""COMPUTED_VALUE"""),"R4")</f>
        <v>R4</v>
      </c>
      <c r="Q283" s="4" t="str">
        <f ca="1">IFERROR(__xludf.DUMMYFUNCTION("""COMPUTED_VALUE"""),"R5")</f>
        <v>R5</v>
      </c>
      <c r="R283" s="4"/>
      <c r="S283" s="4"/>
      <c r="T283" s="4"/>
      <c r="U283" s="4"/>
      <c r="V283" s="4"/>
      <c r="W283" s="4"/>
      <c r="X283" s="4"/>
      <c r="Y283" s="4"/>
      <c r="Z283" s="4"/>
    </row>
    <row r="284" spans="1:26" x14ac:dyDescent="0.25">
      <c r="A284" s="3" t="str">
        <f ca="1">IFERROR(__xludf.DUMMYFUNCTION("""COMPUTED_VALUE"""),"https://drive.google.com/open?id=1fUnddcfDV4DWQUXCgS1uweO2i2AUkRR9")</f>
        <v>https://drive.google.com/open?id=1fUnddcfDV4DWQUXCgS1uweO2i2AUkRR9</v>
      </c>
      <c r="B284" s="4" t="str">
        <f ca="1">IFERROR(__xludf.DUMMYFUNCTION("""COMPUTED_VALUE"""),"Enem")</f>
        <v>Enem</v>
      </c>
      <c r="C284" s="4">
        <f ca="1">IFERROR(__xludf.DUMMYFUNCTION("""COMPUTED_VALUE"""),2019)</f>
        <v>2019</v>
      </c>
      <c r="D284" s="4" t="str">
        <f ca="1">IFERROR(__xludf.DUMMYFUNCTION("""COMPUTED_VALUE"""),"Matemática")</f>
        <v>Matemática</v>
      </c>
      <c r="E284" s="4" t="str">
        <f ca="1">IFERROR(__xludf.DUMMYFUNCTION("""COMPUTED_VALUE"""),"Matemática")</f>
        <v>Matemática</v>
      </c>
      <c r="F284" s="4" t="str">
        <f ca="1">IFERROR(__xludf.DUMMYFUNCTION("""COMPUTED_VALUE"""),"Geometria")</f>
        <v>Geometria</v>
      </c>
      <c r="G284" s="4"/>
      <c r="H284" s="4"/>
      <c r="I284" s="4" t="str">
        <f ca="1">IFERROR(__xludf.DUMMYFUNCTION("""COMPUTED_VALUE"""),"Amarelo")</f>
        <v>Amarelo</v>
      </c>
      <c r="J284" s="4">
        <f ca="1">IFERROR(__xludf.DUMMYFUNCTION("""COMPUTED_VALUE"""),160)</f>
        <v>160</v>
      </c>
      <c r="K284" s="4" t="str">
        <f ca="1">IFERROR(__xludf.DUMMYFUNCTION("""COMPUTED_VALUE"""),"B")</f>
        <v>B</v>
      </c>
      <c r="L284" s="4" t="str">
        <f ca="1">IFERROR(__xludf.DUMMYFUNCTION("""COMPUTED_VALUE"""),"No trapézio isósceles mostrado na figura a seguir, M é o ponto médio do segmento BC, 
e os pontos P e Q são obtidos dividindo o segmento AD em três partes iguais.
[IMAGEM CONTIDA NO ARQUIVO]
Pelos pontos B, M, C, P e Q são traçados segmentos de reta, dete"&amp;"rminando cinco 
triângulos internos ao trapézio, conforme a figura.
A razão entre BC e AD que determina áreas iguais para os cinco triângulos mostrados na 
figura é:")</f>
        <v>No trapézio isósceles mostrado na figura a seguir, M é o ponto médio do segmento BC, 
e os pontos P e Q são obtidos dividindo o segmento AD em três partes iguais.
[IMAGEM CONTIDA NO ARQUIVO]
Pelos pontos B, M, C, P e Q são traçados segmentos de reta, determinando cinco 
triângulos internos ao trapézio, conforme a figura.
A razão entre BC e AD que determina áreas iguais para os cinco triângulos mostrados na 
figura é:</v>
      </c>
      <c r="M284" s="4" t="str">
        <f ca="1">IFERROR(__xludf.DUMMYFUNCTION("""COMPUTED_VALUE"""),"1/3")</f>
        <v>1/3</v>
      </c>
      <c r="N284" s="4" t="str">
        <f ca="1">IFERROR(__xludf.DUMMYFUNCTION("""COMPUTED_VALUE"""),"2/3")</f>
        <v>2/3</v>
      </c>
      <c r="O284" s="4" t="str">
        <f ca="1">IFERROR(__xludf.DUMMYFUNCTION("""COMPUTED_VALUE"""),"2/5")</f>
        <v>2/5</v>
      </c>
      <c r="P284" s="4" t="str">
        <f ca="1">IFERROR(__xludf.DUMMYFUNCTION("""COMPUTED_VALUE"""),"3/5")</f>
        <v>3/5</v>
      </c>
      <c r="Q284" s="4" t="str">
        <f ca="1">IFERROR(__xludf.DUMMYFUNCTION("""COMPUTED_VALUE"""),"5/6")</f>
        <v>5/6</v>
      </c>
      <c r="R284" s="4"/>
      <c r="S284" s="4"/>
      <c r="T284" s="4"/>
      <c r="U284" s="4"/>
      <c r="V284" s="4"/>
      <c r="W284" s="4"/>
      <c r="X284" s="4"/>
      <c r="Y284" s="4"/>
      <c r="Z284" s="4"/>
    </row>
    <row r="285" spans="1:26" x14ac:dyDescent="0.25">
      <c r="A285" s="3" t="str">
        <f ca="1">IFERROR(__xludf.DUMMYFUNCTION("""COMPUTED_VALUE"""),"https://drive.google.com/open?id=1MICzGtItGWzqNrY9ANjaNtVbQ3UoV6WV")</f>
        <v>https://drive.google.com/open?id=1MICzGtItGWzqNrY9ANjaNtVbQ3UoV6WV</v>
      </c>
      <c r="B285" s="4" t="str">
        <f ca="1">IFERROR(__xludf.DUMMYFUNCTION("""COMPUTED_VALUE"""),"Enem")</f>
        <v>Enem</v>
      </c>
      <c r="C285" s="4">
        <f ca="1">IFERROR(__xludf.DUMMYFUNCTION("""COMPUTED_VALUE"""),2019)</f>
        <v>2019</v>
      </c>
      <c r="D285" s="4" t="str">
        <f ca="1">IFERROR(__xludf.DUMMYFUNCTION("""COMPUTED_VALUE"""),"Matemática")</f>
        <v>Matemática</v>
      </c>
      <c r="E285" s="4" t="str">
        <f ca="1">IFERROR(__xludf.DUMMYFUNCTION("""COMPUTED_VALUE"""),"Matemática")</f>
        <v>Matemática</v>
      </c>
      <c r="F285" s="4" t="str">
        <f ca="1">IFERROR(__xludf.DUMMYFUNCTION("""COMPUTED_VALUE"""),"Aritmética e Algebra")</f>
        <v>Aritmética e Algebra</v>
      </c>
      <c r="G285" s="4"/>
      <c r="H285" s="4"/>
      <c r="I285" s="4" t="str">
        <f ca="1">IFERROR(__xludf.DUMMYFUNCTION("""COMPUTED_VALUE"""),"Amarelo")</f>
        <v>Amarelo</v>
      </c>
      <c r="J285" s="4">
        <f ca="1">IFERROR(__xludf.DUMMYFUNCTION("""COMPUTED_VALUE"""),161)</f>
        <v>161</v>
      </c>
      <c r="K285" s="4" t="str">
        <f ca="1">IFERROR(__xludf.DUMMYFUNCTION("""COMPUTED_VALUE"""),"C")</f>
        <v>C</v>
      </c>
      <c r="L285" s="4" t="str">
        <f ca="1">IFERROR(__xludf.DUMMYFUNCTION("""COMPUTED_VALUE"""),"Em um município foi realizado um levantamento relativo ao número de médicos, 
obtendo-se os dados:
[IMAGEM CONTIDA NO ARQUIVO]
Tendo em vista a crescente demanda por atendimento médico na rede de saúde pública, 
pretende-se promover a expansão, a longo pr"&amp;"azo, do número de médicos desse município, 
seguindo o comportamento de crescimento linear no período observado no quadro.
Qual a previsão do número de médicos nesse município para o ano 2040?")</f>
        <v>Em um município foi realizado um levantamento relativo ao número de médicos, 
obtendo-se os dados:
[IMAGEM CONTIDA NO ARQUIVO]
Tendo em vista a crescente demanda por atendimento médico na rede de saúde pública, 
pretende-se promover a expansão, a longo prazo, do número de médicos desse município, 
seguindo o comportamento de crescimento linear no período observado no quadro.
Qual a previsão do número de médicos nesse município para o ano 2040?</v>
      </c>
      <c r="M285" s="4" t="str">
        <f ca="1">IFERROR(__xludf.DUMMYFUNCTION("""COMPUTED_VALUE"""),"387")</f>
        <v>387</v>
      </c>
      <c r="N285" s="4" t="str">
        <f ca="1">IFERROR(__xludf.DUMMYFUNCTION("""COMPUTED_VALUE"""),"424")</f>
        <v>424</v>
      </c>
      <c r="O285" s="4" t="str">
        <f ca="1">IFERROR(__xludf.DUMMYFUNCTION("""COMPUTED_VALUE"""),"437")</f>
        <v>437</v>
      </c>
      <c r="P285" s="4" t="str">
        <f ca="1">IFERROR(__xludf.DUMMYFUNCTION("""COMPUTED_VALUE"""),"574")</f>
        <v>574</v>
      </c>
      <c r="Q285" s="4" t="str">
        <f ca="1">IFERROR(__xludf.DUMMYFUNCTION("""COMPUTED_VALUE"""),"711")</f>
        <v>711</v>
      </c>
      <c r="R285" s="4"/>
      <c r="S285" s="4"/>
      <c r="T285" s="4"/>
      <c r="U285" s="4"/>
      <c r="V285" s="4"/>
      <c r="W285" s="4"/>
      <c r="X285" s="4"/>
      <c r="Y285" s="4"/>
      <c r="Z285" s="4"/>
    </row>
    <row r="286" spans="1:26" x14ac:dyDescent="0.25">
      <c r="A286" s="3" t="str">
        <f ca="1">IFERROR(__xludf.DUMMYFUNCTION("""COMPUTED_VALUE"""),"https://drive.google.com/open?id=1WooVHZNWb8uyVxT4r-Whv5MOD6vQ_Jj1")</f>
        <v>https://drive.google.com/open?id=1WooVHZNWb8uyVxT4r-Whv5MOD6vQ_Jj1</v>
      </c>
      <c r="B286" s="4" t="str">
        <f ca="1">IFERROR(__xludf.DUMMYFUNCTION("""COMPUTED_VALUE"""),"Enem")</f>
        <v>Enem</v>
      </c>
      <c r="C286" s="4">
        <f ca="1">IFERROR(__xludf.DUMMYFUNCTION("""COMPUTED_VALUE"""),2019)</f>
        <v>2019</v>
      </c>
      <c r="D286" s="4" t="str">
        <f ca="1">IFERROR(__xludf.DUMMYFUNCTION("""COMPUTED_VALUE"""),"Matemática")</f>
        <v>Matemática</v>
      </c>
      <c r="E286" s="4" t="str">
        <f ca="1">IFERROR(__xludf.DUMMYFUNCTION("""COMPUTED_VALUE"""),"Matemática")</f>
        <v>Matemática</v>
      </c>
      <c r="F286" s="4" t="str">
        <f ca="1">IFERROR(__xludf.DUMMYFUNCTION("""COMPUTED_VALUE"""),"Geometria")</f>
        <v>Geometria</v>
      </c>
      <c r="G286" s="4"/>
      <c r="H286" s="4"/>
      <c r="I286" s="4" t="str">
        <f ca="1">IFERROR(__xludf.DUMMYFUNCTION("""COMPUTED_VALUE"""),"Amarelo")</f>
        <v>Amarelo</v>
      </c>
      <c r="J286" s="4">
        <f ca="1">IFERROR(__xludf.DUMMYFUNCTION("""COMPUTED_VALUE"""),162)</f>
        <v>162</v>
      </c>
      <c r="K286" s="4" t="str">
        <f ca="1">IFERROR(__xludf.DUMMYFUNCTION("""COMPUTED_VALUE"""),"B")</f>
        <v>B</v>
      </c>
      <c r="L286" s="4" t="str">
        <f ca="1">IFERROR(__xludf.DUMMYFUNCTION("""COMPUTED_VALUE"""),"O dono de um salão de festas precisa decorar cinco pilastras verticais cilíndricas 
idênticas, cujo raio da base mede 10 cm. O objetivo é revestir integralmente essas 
pilastras com faixas de menor comprimento possível, de modo que cada uma tenha seis 
fa"&amp;"ixas de cor preta e cinco faixas de cor branca, conforme ilustrado na figura.
[IMAGEM CONTIDA NO ARQUIVO]
Ele orçou as faixas em cinco lojas que as comercializam na largura e nas cores 
desejadas, porém, em todas elas, só são vendidas peças inteiras. Os c"&amp;"omprimentos e os 
respectivos preços das peças comercializadas por loja estão apresentados no quadro.
[IMAGEM CONTIDA NO ARQUIVO]
O dono do salão de festas decidiu efetuar a compra em uma única loja, optando por 
aquela em que a compra ficaria mais barata"&amp;".
Utilize 3 como valor aproximado para π.
A loja na qual o dono do salão de festas deve comprar as peças necessárias para 
confeccionar as faixas é:")</f>
        <v>O dono de um salão de festas precisa decorar cinco pilastras verticais cilíndricas 
idênticas, cujo raio da base mede 10 cm. O objetivo é revestir integralmente essas 
pilastras com faixas de menor comprimento possível, de modo que cada uma tenha seis 
faixas de cor preta e cinco faixas de cor branca, conforme ilustrado na figura.
[IMAGEM CONTIDA NO ARQUIVO]
Ele orçou as faixas em cinco lojas que as comercializam na largura e nas cores 
desejadas, porém, em todas elas, só são vendidas peças inteiras. Os comprimentos e os 
respectivos preços das peças comercializadas por loja estão apresentados no quadro.
[IMAGEM CONTIDA NO ARQUIVO]
O dono do salão de festas decidiu efetuar a compra em uma única loja, optando por 
aquela em que a compra ficaria mais barata.
Utilize 3 como valor aproximado para π.
A loja na qual o dono do salão de festas deve comprar as peças necessárias para 
confeccionar as faixas é:</v>
      </c>
      <c r="M286" s="4" t="str">
        <f ca="1">IFERROR(__xludf.DUMMYFUNCTION("""COMPUTED_VALUE"""),"I")</f>
        <v>I</v>
      </c>
      <c r="N286" s="4" t="str">
        <f ca="1">IFERROR(__xludf.DUMMYFUNCTION("""COMPUTED_VALUE"""),"II")</f>
        <v>II</v>
      </c>
      <c r="O286" s="4" t="str">
        <f ca="1">IFERROR(__xludf.DUMMYFUNCTION("""COMPUTED_VALUE"""),"III")</f>
        <v>III</v>
      </c>
      <c r="P286" s="4" t="str">
        <f ca="1">IFERROR(__xludf.DUMMYFUNCTION("""COMPUTED_VALUE"""),"IV")</f>
        <v>IV</v>
      </c>
      <c r="Q286" s="4" t="str">
        <f ca="1">IFERROR(__xludf.DUMMYFUNCTION("""COMPUTED_VALUE"""),"V")</f>
        <v>V</v>
      </c>
      <c r="R286" s="4"/>
      <c r="S286" s="4"/>
      <c r="T286" s="4"/>
      <c r="U286" s="4"/>
      <c r="V286" s="4"/>
      <c r="W286" s="4"/>
      <c r="X286" s="4"/>
      <c r="Y286" s="4"/>
      <c r="Z286" s="4"/>
    </row>
    <row r="287" spans="1:26" x14ac:dyDescent="0.25">
      <c r="A287" s="3" t="str">
        <f ca="1">IFERROR(__xludf.DUMMYFUNCTION("""COMPUTED_VALUE"""),"https://drive.google.com/open?id=1NEGKbeBO_wa0zVBfwNeH3U58q0W5cHw3")</f>
        <v>https://drive.google.com/open?id=1NEGKbeBO_wa0zVBfwNeH3U58q0W5cHw3</v>
      </c>
      <c r="B287" s="4" t="str">
        <f ca="1">IFERROR(__xludf.DUMMYFUNCTION("""COMPUTED_VALUE"""),"Enem")</f>
        <v>Enem</v>
      </c>
      <c r="C287" s="4">
        <f ca="1">IFERROR(__xludf.DUMMYFUNCTION("""COMPUTED_VALUE"""),2019)</f>
        <v>2019</v>
      </c>
      <c r="D287" s="4" t="str">
        <f ca="1">IFERROR(__xludf.DUMMYFUNCTION("""COMPUTED_VALUE"""),"Matemática")</f>
        <v>Matemática</v>
      </c>
      <c r="E287" s="4" t="str">
        <f ca="1">IFERROR(__xludf.DUMMYFUNCTION("""COMPUTED_VALUE"""),"Matemática")</f>
        <v>Matemática</v>
      </c>
      <c r="F287" s="4" t="str">
        <f ca="1">IFERROR(__xludf.DUMMYFUNCTION("""COMPUTED_VALUE"""),"Aritmética e Algebra")</f>
        <v>Aritmética e Algebra</v>
      </c>
      <c r="G287" s="4"/>
      <c r="H287" s="4"/>
      <c r="I287" s="4" t="str">
        <f ca="1">IFERROR(__xludf.DUMMYFUNCTION("""COMPUTED_VALUE"""),"Amarelo")</f>
        <v>Amarelo</v>
      </c>
      <c r="J287" s="4">
        <f ca="1">IFERROR(__xludf.DUMMYFUNCTION("""COMPUTED_VALUE"""),163)</f>
        <v>163</v>
      </c>
      <c r="K287" s="4" t="str">
        <f ca="1">IFERROR(__xludf.DUMMYFUNCTION("""COMPUTED_VALUE"""),"D")</f>
        <v>D</v>
      </c>
      <c r="L287" s="4" t="str">
        <f ca="1">IFERROR(__xludf.DUMMYFUNCTION("""COMPUTED_VALUE"""),"Considere que a safra nacional de cereais, leguminosas e oleaginosas, em 2012, 
aponte uma participação por região conforme indicado no gráfico. Em valores absolutos, 
essas estimativas indicam que as duas regiões maiores produtoras deveriam produzir 
jun"&amp;"tas um total de 119,8 milhões de toneladas em 2012.
[IMAGEM CONTIDA NO ARQUIVO]
De acordo com esses dados, a produção estimada, em milhão de tonelada, de cereais, 
leguminosas e oleaginosas, em 2012, na Região Sudeste do país,foi um valor mais 
aproximado"&amp;" de:")</f>
        <v>Considere que a safra nacional de cereais, leguminosas e oleaginosas, em 2012, 
aponte uma participação por região conforme indicado no gráfico. Em valores absolutos, 
essas estimativas indicam que as duas regiões maiores produtoras deveriam produzir 
juntas um total de 119,8 milhões de toneladas em 2012.
[IMAGEM CONTIDA NO ARQUIVO]
De acordo com esses dados, a produção estimada, em milhão de tonelada, de cereais, 
leguminosas e oleaginosas, em 2012, na Região Sudeste do país,foi um valor mais 
aproximado de:</v>
      </c>
      <c r="M287" s="4" t="str">
        <f ca="1">IFERROR(__xludf.DUMMYFUNCTION("""COMPUTED_VALUE"""),"11,4")</f>
        <v>11,4</v>
      </c>
      <c r="N287" s="4" t="str">
        <f ca="1">IFERROR(__xludf.DUMMYFUNCTION("""COMPUTED_VALUE"""),"13,6")</f>
        <v>13,6</v>
      </c>
      <c r="O287" s="4" t="str">
        <f ca="1">IFERROR(__xludf.DUMMYFUNCTION("""COMPUTED_VALUE"""),"15,7")</f>
        <v>15,7</v>
      </c>
      <c r="P287" s="4" t="str">
        <f ca="1">IFERROR(__xludf.DUMMYFUNCTION("""COMPUTED_VALUE"""),"18,1")</f>
        <v>18,1</v>
      </c>
      <c r="Q287" s="4" t="str">
        <f ca="1">IFERROR(__xludf.DUMMYFUNCTION("""COMPUTED_VALUE"""),"35,6")</f>
        <v>35,6</v>
      </c>
      <c r="R287" s="4"/>
      <c r="S287" s="4"/>
      <c r="T287" s="4"/>
      <c r="U287" s="4"/>
      <c r="V287" s="4"/>
      <c r="W287" s="4"/>
      <c r="X287" s="4"/>
      <c r="Y287" s="4"/>
      <c r="Z287" s="4"/>
    </row>
    <row r="288" spans="1:26" x14ac:dyDescent="0.25">
      <c r="A288" s="3" t="str">
        <f ca="1">IFERROR(__xludf.DUMMYFUNCTION("""COMPUTED_VALUE"""),"https://drive.google.com/open?id=1EDTxavKuBDnsnPg0PmdUWWm6WmwyV3Fa")</f>
        <v>https://drive.google.com/open?id=1EDTxavKuBDnsnPg0PmdUWWm6WmwyV3Fa</v>
      </c>
      <c r="B288" s="4" t="str">
        <f ca="1">IFERROR(__xludf.DUMMYFUNCTION("""COMPUTED_VALUE"""),"Enem")</f>
        <v>Enem</v>
      </c>
      <c r="C288" s="4">
        <f ca="1">IFERROR(__xludf.DUMMYFUNCTION("""COMPUTED_VALUE"""),2019)</f>
        <v>2019</v>
      </c>
      <c r="D288" s="4" t="str">
        <f ca="1">IFERROR(__xludf.DUMMYFUNCTION("""COMPUTED_VALUE"""),"Matemática")</f>
        <v>Matemática</v>
      </c>
      <c r="E288" s="4" t="str">
        <f ca="1">IFERROR(__xludf.DUMMYFUNCTION("""COMPUTED_VALUE"""),"Matemática")</f>
        <v>Matemática</v>
      </c>
      <c r="F288" s="4" t="str">
        <f ca="1">IFERROR(__xludf.DUMMYFUNCTION("""COMPUTED_VALUE"""),"Aritmética e Algebra")</f>
        <v>Aritmética e Algebra</v>
      </c>
      <c r="G288" s="4"/>
      <c r="H288" s="4"/>
      <c r="I288" s="4" t="str">
        <f ca="1">IFERROR(__xludf.DUMMYFUNCTION("""COMPUTED_VALUE"""),"Amarelo")</f>
        <v>Amarelo</v>
      </c>
      <c r="J288" s="4">
        <f ca="1">IFERROR(__xludf.DUMMYFUNCTION("""COMPUTED_VALUE"""),164)</f>
        <v>164</v>
      </c>
      <c r="K288" s="4" t="str">
        <f ca="1">IFERROR(__xludf.DUMMYFUNCTION("""COMPUTED_VALUE"""),"E")</f>
        <v>E</v>
      </c>
      <c r="L288" s="4" t="str">
        <f ca="1">IFERROR(__xludf.DUMMYFUNCTION("""COMPUTED_VALUE"""),"O projeto de transposição do Rio São Francisco consiste na tentativa de solucionar 
um problema que há muito afeta as populações do semiárido brasileiro, a seca. O projeto 
prevê a retirada de 26,4 m³/s de água desse rio. Para tornar mais compreensível a "&amp;"
informação do volume de água a ser retirado, deseja-se expressar essa quantidade em 
litro por minuto.
Com base nas informações, qual expressão representa a quantidade de água retirada, em 
litro por minuto?")</f>
        <v>O projeto de transposição do Rio São Francisco consiste na tentativa de solucionar 
um problema que há muito afeta as populações do semiárido brasileiro, a seca. O projeto 
prevê a retirada de 26,4 m³/s de água desse rio. Para tornar mais compreensível a 
informação do volume de água a ser retirado, deseja-se expressar essa quantidade em 
litro por minuto.
Com base nas informações, qual expressão representa a quantidade de água retirada, em 
litro por minuto?</v>
      </c>
      <c r="M288" s="4" t="str">
        <f ca="1">IFERROR(__xludf.DUMMYFUNCTION("""COMPUTED_VALUE"""),"(26,4/1000) X 60")</f>
        <v>(26,4/1000) X 60</v>
      </c>
      <c r="N288" s="4" t="str">
        <f ca="1">IFERROR(__xludf.DUMMYFUNCTION("""COMPUTED_VALUE"""),"(26,4/10) X 60")</f>
        <v>(26,4/10) X 60</v>
      </c>
      <c r="O288" s="4" t="str">
        <f ca="1">IFERROR(__xludf.DUMMYFUNCTION("""COMPUTED_VALUE"""),"26,4 X 1 X 60")</f>
        <v>26,4 X 1 X 60</v>
      </c>
      <c r="P288" s="4" t="str">
        <f ca="1">IFERROR(__xludf.DUMMYFUNCTION("""COMPUTED_VALUE"""),"26,4 X 10 X 60")</f>
        <v>26,4 X 10 X 60</v>
      </c>
      <c r="Q288" s="4" t="str">
        <f ca="1">IFERROR(__xludf.DUMMYFUNCTION("""COMPUTED_VALUE"""),"26,4 X 1 000 X 60")</f>
        <v>26,4 X 1 000 X 60</v>
      </c>
      <c r="R288" s="4"/>
      <c r="S288" s="4"/>
      <c r="T288" s="4"/>
      <c r="U288" s="4"/>
      <c r="V288" s="4"/>
      <c r="W288" s="4"/>
      <c r="X288" s="4"/>
      <c r="Y288" s="4"/>
      <c r="Z288" s="4"/>
    </row>
    <row r="289" spans="1:26" x14ac:dyDescent="0.25">
      <c r="A289" s="3" t="str">
        <f ca="1">IFERROR(__xludf.DUMMYFUNCTION("""COMPUTED_VALUE"""),"https://drive.google.com/open?id=1KLtUwJoOpStCDhSSgrawV9BrKbWCP7XK")</f>
        <v>https://drive.google.com/open?id=1KLtUwJoOpStCDhSSgrawV9BrKbWCP7XK</v>
      </c>
      <c r="B289" s="4" t="str">
        <f ca="1">IFERROR(__xludf.DUMMYFUNCTION("""COMPUTED_VALUE"""),"Enem")</f>
        <v>Enem</v>
      </c>
      <c r="C289" s="4">
        <f ca="1">IFERROR(__xludf.DUMMYFUNCTION("""COMPUTED_VALUE"""),2019)</f>
        <v>2019</v>
      </c>
      <c r="D289" s="4" t="str">
        <f ca="1">IFERROR(__xludf.DUMMYFUNCTION("""COMPUTED_VALUE"""),"Matemática")</f>
        <v>Matemática</v>
      </c>
      <c r="E289" s="4" t="str">
        <f ca="1">IFERROR(__xludf.DUMMYFUNCTION("""COMPUTED_VALUE"""),"Matemática")</f>
        <v>Matemática</v>
      </c>
      <c r="F289" s="4" t="str">
        <f ca="1">IFERROR(__xludf.DUMMYFUNCTION("""COMPUTED_VALUE"""),"Aritmética e Algebra")</f>
        <v>Aritmética e Algebra</v>
      </c>
      <c r="G289" s="4"/>
      <c r="H289" s="4"/>
      <c r="I289" s="4" t="str">
        <f ca="1">IFERROR(__xludf.DUMMYFUNCTION("""COMPUTED_VALUE"""),"Amarelo")</f>
        <v>Amarelo</v>
      </c>
      <c r="J289" s="4">
        <f ca="1">IFERROR(__xludf.DUMMYFUNCTION("""COMPUTED_VALUE"""),165)</f>
        <v>165</v>
      </c>
      <c r="K289" s="4" t="str">
        <f ca="1">IFERROR(__xludf.DUMMYFUNCTION("""COMPUTED_VALUE"""),"D")</f>
        <v>D</v>
      </c>
      <c r="L289" s="4" t="str">
        <f ca="1">IFERROR(__xludf.DUMMYFUNCTION("""COMPUTED_VALUE"""),"O esquema apresenta a concentração de álcool presente em cada 200 mL de 
diferentes tipos de bebidas.
[IMAGEM CONTIDA NO ARQUIVO]
De acordo com as informações, indique qual o número máximo de taças de vinho, de
300 mL, que podem ser consumidas, semanalmen"&amp;"te, por uma mulher que se enquadre no 
grupo de médio risco.")</f>
        <v>O esquema apresenta a concentração de álcool presente em cada 200 mL de 
diferentes tipos de bebidas.
[IMAGEM CONTIDA NO ARQUIVO]
De acordo com as informações, indique qual o número máximo de taças de vinho, de
300 mL, que podem ser consumidas, semanalmente, por uma mulher que se enquadre no 
grupo de médio risco.</v>
      </c>
      <c r="M289" s="4" t="str">
        <f ca="1">IFERROR(__xludf.DUMMYFUNCTION("""COMPUTED_VALUE"""),"0")</f>
        <v>0</v>
      </c>
      <c r="N289" s="4" t="str">
        <f ca="1">IFERROR(__xludf.DUMMYFUNCTION("""COMPUTED_VALUE"""),"4")</f>
        <v>4</v>
      </c>
      <c r="O289" s="4" t="str">
        <f ca="1">IFERROR(__xludf.DUMMYFUNCTION("""COMPUTED_VALUE"""),"7")</f>
        <v>7</v>
      </c>
      <c r="P289" s="4" t="str">
        <f ca="1">IFERROR(__xludf.DUMMYFUNCTION("""COMPUTED_VALUE"""),"9")</f>
        <v>9</v>
      </c>
      <c r="Q289" s="4" t="str">
        <f ca="1">IFERROR(__xludf.DUMMYFUNCTION("""COMPUTED_VALUE"""),"14")</f>
        <v>14</v>
      </c>
      <c r="R289" s="4"/>
      <c r="S289" s="4"/>
      <c r="T289" s="4"/>
      <c r="U289" s="4"/>
      <c r="V289" s="4"/>
      <c r="W289" s="4"/>
      <c r="X289" s="4"/>
      <c r="Y289" s="4"/>
      <c r="Z289" s="4"/>
    </row>
    <row r="290" spans="1:26" x14ac:dyDescent="0.25">
      <c r="A290" s="3" t="str">
        <f ca="1">IFERROR(__xludf.DUMMYFUNCTION("""COMPUTED_VALUE"""),"https://drive.google.com/open?id=1eL2yZAoR9_rU9V9PLRcJrbap3_4fl6hl")</f>
        <v>https://drive.google.com/open?id=1eL2yZAoR9_rU9V9PLRcJrbap3_4fl6hl</v>
      </c>
      <c r="B290" s="4" t="str">
        <f ca="1">IFERROR(__xludf.DUMMYFUNCTION("""COMPUTED_VALUE"""),"Enem")</f>
        <v>Enem</v>
      </c>
      <c r="C290" s="4">
        <f ca="1">IFERROR(__xludf.DUMMYFUNCTION("""COMPUTED_VALUE"""),2019)</f>
        <v>2019</v>
      </c>
      <c r="D290" s="4" t="str">
        <f ca="1">IFERROR(__xludf.DUMMYFUNCTION("""COMPUTED_VALUE"""),"Matemática")</f>
        <v>Matemática</v>
      </c>
      <c r="E290" s="4" t="str">
        <f ca="1">IFERROR(__xludf.DUMMYFUNCTION("""COMPUTED_VALUE"""),"Matemática")</f>
        <v>Matemática</v>
      </c>
      <c r="F290" s="4" t="str">
        <f ca="1">IFERROR(__xludf.DUMMYFUNCTION("""COMPUTED_VALUE"""),"Geometria")</f>
        <v>Geometria</v>
      </c>
      <c r="G290" s="4"/>
      <c r="H290" s="4"/>
      <c r="I290" s="4" t="str">
        <f ca="1">IFERROR(__xludf.DUMMYFUNCTION("""COMPUTED_VALUE"""),"Amarelo")</f>
        <v>Amarelo</v>
      </c>
      <c r="J290" s="4">
        <f ca="1">IFERROR(__xludf.DUMMYFUNCTION("""COMPUTED_VALUE"""),166)</f>
        <v>166</v>
      </c>
      <c r="K290" s="4" t="str">
        <f ca="1">IFERROR(__xludf.DUMMYFUNCTION("""COMPUTED_VALUE"""),"E")</f>
        <v>E</v>
      </c>
      <c r="L290" s="4" t="str">
        <f ca="1">IFERROR(__xludf.DUMMYFUNCTION("""COMPUTED_VALUE"""),"Uma empresa de transporte disponibiliza, para embalagem de encomendas, caixas de 
papelão no formato de paralelepípedo retoretângulo, conforme dimensões no quadro.
[IMAGEM CONTIDA NO ARQUIVO]
Para embalar uma encomenda, contendo um objeto esférico com 11 "&amp;"cm de raio, essa 
empresa adota como critério a utilização da caixa, dentre os modelos disponíveis, que 
comporte, quando fechada e sem deformá-la, a encomenda e que possua a menor área de 
superfície total.
Desconsidere a espessura da caixa.
Nessas condi"&amp;"ções, qual dos modelos apresentados deverá ser o escolhido pela empresa?")</f>
        <v>Uma empresa de transporte disponibiliza, para embalagem de encomendas, caixas de 
papelão no formato de paralelepípedo retoretângulo, conforme dimensões no quadro.
[IMAGEM CONTIDA NO ARQUIVO]
Para embalar uma encomenda, contendo um objeto esférico com 11 cm de raio, essa 
empresa adota como critério a utilização da caixa, dentre os modelos disponíveis, que 
comporte, quando fechada e sem deformá-la, a encomenda e que possua a menor área de 
superfície total.
Desconsidere a espessura da caixa.
Nessas condições, qual dos modelos apresentados deverá ser o escolhido pela empresa?</v>
      </c>
      <c r="M290" s="4" t="str">
        <f ca="1">IFERROR(__xludf.DUMMYFUNCTION("""COMPUTED_VALUE"""),"1")</f>
        <v>1</v>
      </c>
      <c r="N290" s="4" t="str">
        <f ca="1">IFERROR(__xludf.DUMMYFUNCTION("""COMPUTED_VALUE"""),"2")</f>
        <v>2</v>
      </c>
      <c r="O290" s="4" t="str">
        <f ca="1">IFERROR(__xludf.DUMMYFUNCTION("""COMPUTED_VALUE"""),"3")</f>
        <v>3</v>
      </c>
      <c r="P290" s="4" t="str">
        <f ca="1">IFERROR(__xludf.DUMMYFUNCTION("""COMPUTED_VALUE"""),"4")</f>
        <v>4</v>
      </c>
      <c r="Q290" s="4" t="str">
        <f ca="1">IFERROR(__xludf.DUMMYFUNCTION("""COMPUTED_VALUE"""),"5")</f>
        <v>5</v>
      </c>
      <c r="R290" s="4"/>
      <c r="S290" s="4"/>
      <c r="T290" s="4"/>
      <c r="U290" s="4"/>
      <c r="V290" s="4"/>
      <c r="W290" s="4"/>
      <c r="X290" s="4"/>
      <c r="Y290" s="4"/>
      <c r="Z290" s="4"/>
    </row>
    <row r="291" spans="1:26" x14ac:dyDescent="0.25">
      <c r="A291" s="3" t="str">
        <f ca="1">IFERROR(__xludf.DUMMYFUNCTION("""COMPUTED_VALUE"""),"https://drive.google.com/open?id=1ZPDiCe-fniN3ijgUN3ZBgn9Qxwv-pLHD")</f>
        <v>https://drive.google.com/open?id=1ZPDiCe-fniN3ijgUN3ZBgn9Qxwv-pLHD</v>
      </c>
      <c r="B291" s="4" t="str">
        <f ca="1">IFERROR(__xludf.DUMMYFUNCTION("""COMPUTED_VALUE"""),"Enem")</f>
        <v>Enem</v>
      </c>
      <c r="C291" s="4">
        <f ca="1">IFERROR(__xludf.DUMMYFUNCTION("""COMPUTED_VALUE"""),2019)</f>
        <v>2019</v>
      </c>
      <c r="D291" s="4" t="str">
        <f ca="1">IFERROR(__xludf.DUMMYFUNCTION("""COMPUTED_VALUE"""),"Matemática")</f>
        <v>Matemática</v>
      </c>
      <c r="E291" s="4" t="str">
        <f ca="1">IFERROR(__xludf.DUMMYFUNCTION("""COMPUTED_VALUE"""),"Matemática")</f>
        <v>Matemática</v>
      </c>
      <c r="F291" s="4" t="str">
        <f ca="1">IFERROR(__xludf.DUMMYFUNCTION("""COMPUTED_VALUE"""),"Aritmética e Algebra")</f>
        <v>Aritmética e Algebra</v>
      </c>
      <c r="G291" s="4"/>
      <c r="H291" s="4"/>
      <c r="I291" s="4" t="str">
        <f ca="1">IFERROR(__xludf.DUMMYFUNCTION("""COMPUTED_VALUE"""),"Amarelo")</f>
        <v>Amarelo</v>
      </c>
      <c r="J291" s="4">
        <f ca="1">IFERROR(__xludf.DUMMYFUNCTION("""COMPUTED_VALUE"""),167)</f>
        <v>167</v>
      </c>
      <c r="K291" s="4" t="str">
        <f ca="1">IFERROR(__xludf.DUMMYFUNCTION("""COMPUTED_VALUE"""),"A")</f>
        <v>A</v>
      </c>
      <c r="L291" s="4" t="str">
        <f ca="1">IFERROR(__xludf.DUMMYFUNCTION("""COMPUTED_VALUE"""),"Uma empresa divide o balanço anual de vendas de seus produtos em duas partes, 
calculando o número de vendas dos produtos ao final de cada semestre do ano. Após o 
balanço do primeiro semestre, foram realizadas ações de marketing para os cinco produtos 
m"&amp;"enos vendidos da empresa. A tabela mostra a evolução das vendas desses produtos, do primeiro 
para o segundo semestre.
[IMAGEM CONTIDA NO ARQUIVO]
O sucesso de uma ação de marketing de um produto é medido pelo aumento 
percentual do número de unidades ven"&amp;"didas desse produto, do primeiro para o segundo 
semestre.
A ação de marketing mais bem-sucedida foi para o produto:")</f>
        <v>Uma empresa divide o balanço anual de vendas de seus produtos em duas partes, 
calculando o número de vendas dos produtos ao final de cada semestre do ano. Após o 
balanço do primeiro semestre, foram realizadas ações de marketing para os cinco produtos 
menos vendidos da empresa. A tabela mostra a evolução das vendas desses produtos, do primeiro 
para o segundo semestre.
[IMAGEM CONTIDA NO ARQUIVO]
O sucesso de uma ação de marketing de um produto é medido pelo aumento 
percentual do número de unidades vendidas desse produto, do primeiro para o segundo 
semestre.
A ação de marketing mais bem-sucedida foi para o produto:</v>
      </c>
      <c r="M291" s="4" t="str">
        <f ca="1">IFERROR(__xludf.DUMMYFUNCTION("""COMPUTED_VALUE"""),"I")</f>
        <v>I</v>
      </c>
      <c r="N291" s="4" t="str">
        <f ca="1">IFERROR(__xludf.DUMMYFUNCTION("""COMPUTED_VALUE"""),"II")</f>
        <v>II</v>
      </c>
      <c r="O291" s="4" t="str">
        <f ca="1">IFERROR(__xludf.DUMMYFUNCTION("""COMPUTED_VALUE"""),"III")</f>
        <v>III</v>
      </c>
      <c r="P291" s="4" t="str">
        <f ca="1">IFERROR(__xludf.DUMMYFUNCTION("""COMPUTED_VALUE"""),"IV")</f>
        <v>IV</v>
      </c>
      <c r="Q291" s="4" t="str">
        <f ca="1">IFERROR(__xludf.DUMMYFUNCTION("""COMPUTED_VALUE"""),"V")</f>
        <v>V</v>
      </c>
      <c r="R291" s="4"/>
      <c r="S291" s="4"/>
      <c r="T291" s="4"/>
      <c r="U291" s="4"/>
      <c r="V291" s="4"/>
      <c r="W291" s="4"/>
      <c r="X291" s="4"/>
      <c r="Y291" s="4"/>
      <c r="Z291" s="4"/>
    </row>
    <row r="292" spans="1:26" x14ac:dyDescent="0.25">
      <c r="A292" s="3" t="str">
        <f ca="1">IFERROR(__xludf.DUMMYFUNCTION("""COMPUTED_VALUE"""),"https://drive.google.com/open?id=1ih96SQQSiOtuGzDOatiQ7ioxoP7iWyC1")</f>
        <v>https://drive.google.com/open?id=1ih96SQQSiOtuGzDOatiQ7ioxoP7iWyC1</v>
      </c>
      <c r="B292" s="4" t="str">
        <f ca="1">IFERROR(__xludf.DUMMYFUNCTION("""COMPUTED_VALUE"""),"Enem")</f>
        <v>Enem</v>
      </c>
      <c r="C292" s="4">
        <f ca="1">IFERROR(__xludf.DUMMYFUNCTION("""COMPUTED_VALUE"""),2019)</f>
        <v>2019</v>
      </c>
      <c r="D292" s="4" t="str">
        <f ca="1">IFERROR(__xludf.DUMMYFUNCTION("""COMPUTED_VALUE"""),"Matemática")</f>
        <v>Matemática</v>
      </c>
      <c r="E292" s="4" t="str">
        <f ca="1">IFERROR(__xludf.DUMMYFUNCTION("""COMPUTED_VALUE"""),"Matemática")</f>
        <v>Matemática</v>
      </c>
      <c r="F292" s="4" t="str">
        <f ca="1">IFERROR(__xludf.DUMMYFUNCTION("""COMPUTED_VALUE"""),"Aritmética e Algebra")</f>
        <v>Aritmética e Algebra</v>
      </c>
      <c r="G292" s="4"/>
      <c r="H292" s="4"/>
      <c r="I292" s="4" t="str">
        <f ca="1">IFERROR(__xludf.DUMMYFUNCTION("""COMPUTED_VALUE"""),"Amarelo")</f>
        <v>Amarelo</v>
      </c>
      <c r="J292" s="4">
        <f ca="1">IFERROR(__xludf.DUMMYFUNCTION("""COMPUTED_VALUE"""),168)</f>
        <v>168</v>
      </c>
      <c r="K292" s="4" t="str">
        <f ca="1">IFERROR(__xludf.DUMMYFUNCTION("""COMPUTED_VALUE"""),"C")</f>
        <v>C</v>
      </c>
      <c r="L292" s="4" t="str">
        <f ca="1">IFERROR(__xludf.DUMMYFUNCTION("""COMPUTED_VALUE"""),"Em um trabalho escolar, um aluno fez uma planta do seu bairro, utilizando a escala 1 : 500, 
sendo que as quadras possuem as mesmas medidas, conforme a figura.
[IMAGEM CONTIDA NO ARQUIVO]
O professor constatou que o aluno esqueceu de colocar a medida do c"&amp;"omprimento da 
ponte na planta, mas foi informado por ele que ela media 73 m.
O valor a ser colocado na planta, em centímetro, referente ao comprimento da ponte deve ser:")</f>
        <v>Em um trabalho escolar, um aluno fez uma planta do seu bairro, utilizando a escala 1 : 500, 
sendo que as quadras possuem as mesmas medidas, conforme a figura.
[IMAGEM CONTIDA NO ARQUIVO]
O professor constatou que o aluno esqueceu de colocar a medida do comprimento da 
ponte na planta, mas foi informado por ele que ela media 73 m.
O valor a ser colocado na planta, em centímetro, referente ao comprimento da ponte deve ser:</v>
      </c>
      <c r="M292" s="4" t="str">
        <f ca="1">IFERROR(__xludf.DUMMYFUNCTION("""COMPUTED_VALUE"""),"1,46")</f>
        <v>1,46</v>
      </c>
      <c r="N292" s="4" t="str">
        <f ca="1">IFERROR(__xludf.DUMMYFUNCTION("""COMPUTED_VALUE"""),"6,8")</f>
        <v>6,8</v>
      </c>
      <c r="O292" s="4" t="str">
        <f ca="1">IFERROR(__xludf.DUMMYFUNCTION("""COMPUTED_VALUE"""),"14,6")</f>
        <v>14,6</v>
      </c>
      <c r="P292" s="4" t="str">
        <f ca="1">IFERROR(__xludf.DUMMYFUNCTION("""COMPUTED_VALUE"""),"68")</f>
        <v>68</v>
      </c>
      <c r="Q292" s="4" t="str">
        <f ca="1">IFERROR(__xludf.DUMMYFUNCTION("""COMPUTED_VALUE"""),"146")</f>
        <v>146</v>
      </c>
      <c r="R292" s="4"/>
      <c r="S292" s="4"/>
      <c r="T292" s="4"/>
      <c r="U292" s="4"/>
      <c r="V292" s="4"/>
      <c r="W292" s="4"/>
      <c r="X292" s="4"/>
      <c r="Y292" s="4"/>
      <c r="Z292" s="4"/>
    </row>
    <row r="293" spans="1:26" x14ac:dyDescent="0.25">
      <c r="A293" s="3" t="str">
        <f ca="1">IFERROR(__xludf.DUMMYFUNCTION("""COMPUTED_VALUE"""),"https://drive.google.com/open?id=1DejIHCQTMsXVBuGFsA7EiYDNw_tiHEUF")</f>
        <v>https://drive.google.com/open?id=1DejIHCQTMsXVBuGFsA7EiYDNw_tiHEUF</v>
      </c>
      <c r="B293" s="4" t="str">
        <f ca="1">IFERROR(__xludf.DUMMYFUNCTION("""COMPUTED_VALUE"""),"Enem")</f>
        <v>Enem</v>
      </c>
      <c r="C293" s="4">
        <f ca="1">IFERROR(__xludf.DUMMYFUNCTION("""COMPUTED_VALUE"""),2019)</f>
        <v>2019</v>
      </c>
      <c r="D293" s="4" t="str">
        <f ca="1">IFERROR(__xludf.DUMMYFUNCTION("""COMPUTED_VALUE"""),"Matemática")</f>
        <v>Matemática</v>
      </c>
      <c r="E293" s="4" t="str">
        <f ca="1">IFERROR(__xludf.DUMMYFUNCTION("""COMPUTED_VALUE"""),"Matemática")</f>
        <v>Matemática</v>
      </c>
      <c r="F293" s="4" t="str">
        <f ca="1">IFERROR(__xludf.DUMMYFUNCTION("""COMPUTED_VALUE"""),"Aritmética e Algebra")</f>
        <v>Aritmética e Algebra</v>
      </c>
      <c r="G293" s="4"/>
      <c r="H293" s="4"/>
      <c r="I293" s="4" t="str">
        <f ca="1">IFERROR(__xludf.DUMMYFUNCTION("""COMPUTED_VALUE"""),"Amarelo")</f>
        <v>Amarelo</v>
      </c>
      <c r="J293" s="4">
        <f ca="1">IFERROR(__xludf.DUMMYFUNCTION("""COMPUTED_VALUE"""),169)</f>
        <v>169</v>
      </c>
      <c r="K293" s="4" t="str">
        <f ca="1">IFERROR(__xludf.DUMMYFUNCTION("""COMPUTED_VALUE"""),"C")</f>
        <v>C</v>
      </c>
      <c r="L293" s="4" t="str">
        <f ca="1">IFERROR(__xludf.DUMMYFUNCTION("""COMPUTED_VALUE"""),"O quadro apresenta a quantidade de um tipo de pão vendido em uma semana em uma 
padaria.
[IMAGEM CONTIDA NO ARQUIVO]
O dono da padaria decidiu que, na semana seguinte, a produção diária desse tipo de 
pão seria igual ao número de pães vendidos no dia da s"&amp;"emana em que tal quantidade foi a 
mais próxima da média das quantidades vendidas na semana.
O dia da semana utilizado como referência para a quantidade de pães a serem produzidos 
diariamente foi:")</f>
        <v>O quadro apresenta a quantidade de um tipo de pão vendido em uma semana em uma 
padaria.
[IMAGEM CONTIDA NO ARQUIVO]
O dono da padaria decidiu que, na semana seguinte, a produção diária desse tipo de 
pão seria igual ao número de pães vendidos no dia da semana em que tal quantidade foi a 
mais próxima da média das quantidades vendidas na semana.
O dia da semana utilizado como referência para a quantidade de pães a serem produzidos 
diariamente foi:</v>
      </c>
      <c r="M293" s="4" t="str">
        <f ca="1">IFERROR(__xludf.DUMMYFUNCTION("""COMPUTED_VALUE"""),"domingo")</f>
        <v>domingo</v>
      </c>
      <c r="N293" s="4" t="str">
        <f ca="1">IFERROR(__xludf.DUMMYFUNCTION("""COMPUTED_VALUE"""),"segunda-feira")</f>
        <v>segunda-feira</v>
      </c>
      <c r="O293" s="4" t="str">
        <f ca="1">IFERROR(__xludf.DUMMYFUNCTION("""COMPUTED_VALUE"""),"terça-feira")</f>
        <v>terça-feira</v>
      </c>
      <c r="P293" s="4" t="str">
        <f ca="1">IFERROR(__xludf.DUMMYFUNCTION("""COMPUTED_VALUE"""),"quarta-feira")</f>
        <v>quarta-feira</v>
      </c>
      <c r="Q293" s="4" t="str">
        <f ca="1">IFERROR(__xludf.DUMMYFUNCTION("""COMPUTED_VALUE"""),"sábado")</f>
        <v>sábado</v>
      </c>
      <c r="R293" s="4"/>
      <c r="S293" s="4"/>
      <c r="T293" s="4"/>
      <c r="U293" s="4"/>
      <c r="V293" s="4"/>
      <c r="W293" s="4"/>
      <c r="X293" s="4"/>
      <c r="Y293" s="4"/>
      <c r="Z293" s="4"/>
    </row>
    <row r="294" spans="1:26" x14ac:dyDescent="0.25">
      <c r="A294" s="3" t="str">
        <f ca="1">IFERROR(__xludf.DUMMYFUNCTION("""COMPUTED_VALUE"""),"https://drive.google.com/open?id=1v8OCa_Z2cL3u7FZNHVLJfHWmqiqPZeAW")</f>
        <v>https://drive.google.com/open?id=1v8OCa_Z2cL3u7FZNHVLJfHWmqiqPZeAW</v>
      </c>
      <c r="B294" s="4" t="str">
        <f ca="1">IFERROR(__xludf.DUMMYFUNCTION("""COMPUTED_VALUE"""),"Enem")</f>
        <v>Enem</v>
      </c>
      <c r="C294" s="4">
        <f ca="1">IFERROR(__xludf.DUMMYFUNCTION("""COMPUTED_VALUE"""),2019)</f>
        <v>2019</v>
      </c>
      <c r="D294" s="4" t="str">
        <f ca="1">IFERROR(__xludf.DUMMYFUNCTION("""COMPUTED_VALUE"""),"Matemática")</f>
        <v>Matemática</v>
      </c>
      <c r="E294" s="4" t="str">
        <f ca="1">IFERROR(__xludf.DUMMYFUNCTION("""COMPUTED_VALUE"""),"Matemática")</f>
        <v>Matemática</v>
      </c>
      <c r="F294" s="4" t="str">
        <f ca="1">IFERROR(__xludf.DUMMYFUNCTION("""COMPUTED_VALUE"""),"Geometria")</f>
        <v>Geometria</v>
      </c>
      <c r="G294" s="4"/>
      <c r="H294" s="4"/>
      <c r="I294" s="4" t="str">
        <f ca="1">IFERROR(__xludf.DUMMYFUNCTION("""COMPUTED_VALUE"""),"Amarelo")</f>
        <v>Amarelo</v>
      </c>
      <c r="J294" s="4">
        <f ca="1">IFERROR(__xludf.DUMMYFUNCTION("""COMPUTED_VALUE"""),170)</f>
        <v>170</v>
      </c>
      <c r="K294" s="4" t="str">
        <f ca="1">IFERROR(__xludf.DUMMYFUNCTION("""COMPUTED_VALUE"""),"D")</f>
        <v>D</v>
      </c>
      <c r="L294" s="4" t="str">
        <f ca="1">IFERROR(__xludf.DUMMYFUNCTION("""COMPUTED_VALUE"""),"Uma pista circular delimitada por duas circunferências concêntricas foi construída. Na 
circunferência interna dessa pista, de raio 0,3 km, serão colocados aparelhos de ginástica 
localizados nos pontos P, Q e R, conforme a figura.
[IMAGEM CONTIDA NO ARQU"&amp;"IVO]
O segmento RP é um diâmetro dessa circunferência interna, e o ângulo PRQ tem 
medida igual a π/5 radianos.
Para uma pessoa ir do ponto P ao ponto Q andando pela circunferência interna no sentido 
anti-horário, ela percorrerá uma distância, em quilôme"&amp;"tro, igual a:")</f>
        <v>Uma pista circular delimitada por duas circunferências concêntricas foi construída. Na 
circunferência interna dessa pista, de raio 0,3 km, serão colocados aparelhos de ginástica 
localizados nos pontos P, Q e R, conforme a figura.
[IMAGEM CONTIDA NO ARQUIVO]
O segmento RP é um diâmetro dessa circunferência interna, e o ângulo PRQ tem 
medida igual a π/5 radianos.
Para uma pessoa ir do ponto P ao ponto Q andando pela circunferência interna no sentido 
anti-horário, ela percorrerá uma distância, em quilômetro, igual a:</v>
      </c>
      <c r="M294" s="4" t="str">
        <f ca="1">IFERROR(__xludf.DUMMYFUNCTION("""COMPUTED_VALUE"""),"0,009π")</f>
        <v>0,009π</v>
      </c>
      <c r="N294" s="4" t="str">
        <f ca="1">IFERROR(__xludf.DUMMYFUNCTION("""COMPUTED_VALUE"""),"0,03π")</f>
        <v>0,03π</v>
      </c>
      <c r="O294" s="4" t="str">
        <f ca="1">IFERROR(__xludf.DUMMYFUNCTION("""COMPUTED_VALUE"""),"0,06π")</f>
        <v>0,06π</v>
      </c>
      <c r="P294" s="4" t="str">
        <f ca="1">IFERROR(__xludf.DUMMYFUNCTION("""COMPUTED_VALUE"""),"0,12π")</f>
        <v>0,12π</v>
      </c>
      <c r="Q294" s="4" t="str">
        <f ca="1">IFERROR(__xludf.DUMMYFUNCTION("""COMPUTED_VALUE"""),"0,18π")</f>
        <v>0,18π</v>
      </c>
      <c r="R294" s="4"/>
      <c r="S294" s="4"/>
      <c r="T294" s="4"/>
      <c r="U294" s="4"/>
      <c r="V294" s="4"/>
      <c r="W294" s="4"/>
      <c r="X294" s="4"/>
      <c r="Y294" s="4"/>
      <c r="Z294" s="4"/>
    </row>
    <row r="295" spans="1:26" x14ac:dyDescent="0.25">
      <c r="A295" s="3" t="str">
        <f ca="1">IFERROR(__xludf.DUMMYFUNCTION("""COMPUTED_VALUE"""),"https://drive.google.com/open?id=17SKyFpwH1ntCIll8q8ZueLPiBG1XFQkr")</f>
        <v>https://drive.google.com/open?id=17SKyFpwH1ntCIll8q8ZueLPiBG1XFQkr</v>
      </c>
      <c r="B295" s="4" t="str">
        <f ca="1">IFERROR(__xludf.DUMMYFUNCTION("""COMPUTED_VALUE"""),"Enem")</f>
        <v>Enem</v>
      </c>
      <c r="C295" s="4">
        <f ca="1">IFERROR(__xludf.DUMMYFUNCTION("""COMPUTED_VALUE"""),2019)</f>
        <v>2019</v>
      </c>
      <c r="D295" s="4" t="str">
        <f ca="1">IFERROR(__xludf.DUMMYFUNCTION("""COMPUTED_VALUE"""),"Matemática")</f>
        <v>Matemática</v>
      </c>
      <c r="E295" s="4" t="str">
        <f ca="1">IFERROR(__xludf.DUMMYFUNCTION("""COMPUTED_VALUE"""),"Matemática")</f>
        <v>Matemática</v>
      </c>
      <c r="F295" s="4" t="str">
        <f ca="1">IFERROR(__xludf.DUMMYFUNCTION("""COMPUTED_VALUE"""),"Geometria")</f>
        <v>Geometria</v>
      </c>
      <c r="G295" s="4" t="str">
        <f ca="1">IFERROR(__xludf.DUMMYFUNCTION("""COMPUTED_VALUE"""),"Aritmética e Algebra")</f>
        <v>Aritmética e Algebra</v>
      </c>
      <c r="H295" s="4"/>
      <c r="I295" s="4" t="str">
        <f ca="1">IFERROR(__xludf.DUMMYFUNCTION("""COMPUTED_VALUE"""),"Amarelo")</f>
        <v>Amarelo</v>
      </c>
      <c r="J295" s="4">
        <f ca="1">IFERROR(__xludf.DUMMYFUNCTION("""COMPUTED_VALUE"""),171)</f>
        <v>171</v>
      </c>
      <c r="K295" s="4" t="str">
        <f ca="1">IFERROR(__xludf.DUMMYFUNCTION("""COMPUTED_VALUE"""),"C")</f>
        <v>C</v>
      </c>
      <c r="L295" s="4" t="str">
        <f ca="1">IFERROR(__xludf.DUMMYFUNCTION("""COMPUTED_VALUE"""),"O quadro apresenta a relação dos jogadores que fizeram parte da seleção brasileira de 
voleibol masculino nas Olimpíadas de 2012, em Londres, e suas respectivas alturas, em metro.
[IMAGEM CONTIDA NO ARQUIVO]
A mediana das alturas, em metro, desses jogador"&amp;"es é:")</f>
        <v>O quadro apresenta a relação dos jogadores que fizeram parte da seleção brasileira de 
voleibol masculino nas Olimpíadas de 2012, em Londres, e suas respectivas alturas, em metro.
[IMAGEM CONTIDA NO ARQUIVO]
A mediana das alturas, em metro, desses jogadores é:</v>
      </c>
      <c r="M295" s="4" t="str">
        <f ca="1">IFERROR(__xludf.DUMMYFUNCTION("""COMPUTED_VALUE"""),"1,9")</f>
        <v>1,9</v>
      </c>
      <c r="N295" s="4" t="str">
        <f ca="1">IFERROR(__xludf.DUMMYFUNCTION("""COMPUTED_VALUE"""),"1,91")</f>
        <v>1,91</v>
      </c>
      <c r="O295" s="4" t="str">
        <f ca="1">IFERROR(__xludf.DUMMYFUNCTION("""COMPUTED_VALUE"""),"1,96")</f>
        <v>1,96</v>
      </c>
      <c r="P295" s="4" t="str">
        <f ca="1">IFERROR(__xludf.DUMMYFUNCTION("""COMPUTED_VALUE"""),"1,97")</f>
        <v>1,97</v>
      </c>
      <c r="Q295" s="4" t="str">
        <f ca="1">IFERROR(__xludf.DUMMYFUNCTION("""COMPUTED_VALUE"""),"1,98")</f>
        <v>1,98</v>
      </c>
      <c r="R295" s="4"/>
      <c r="S295" s="4"/>
      <c r="T295" s="4"/>
      <c r="U295" s="4"/>
      <c r="V295" s="4"/>
      <c r="W295" s="4"/>
      <c r="X295" s="4"/>
      <c r="Y295" s="4"/>
      <c r="Z295" s="4"/>
    </row>
    <row r="296" spans="1:26" x14ac:dyDescent="0.25">
      <c r="A296" s="3" t="str">
        <f ca="1">IFERROR(__xludf.DUMMYFUNCTION("""COMPUTED_VALUE"""),"https://drive.google.com/open?id=1QolNoQYJa9edebQ_LV0Ky1Hc6m_gtstC")</f>
        <v>https://drive.google.com/open?id=1QolNoQYJa9edebQ_LV0Ky1Hc6m_gtstC</v>
      </c>
      <c r="B296" s="4" t="str">
        <f ca="1">IFERROR(__xludf.DUMMYFUNCTION("""COMPUTED_VALUE"""),"Enem")</f>
        <v>Enem</v>
      </c>
      <c r="C296" s="4">
        <f ca="1">IFERROR(__xludf.DUMMYFUNCTION("""COMPUTED_VALUE"""),2019)</f>
        <v>2019</v>
      </c>
      <c r="D296" s="4" t="str">
        <f ca="1">IFERROR(__xludf.DUMMYFUNCTION("""COMPUTED_VALUE"""),"Matemática")</f>
        <v>Matemática</v>
      </c>
      <c r="E296" s="4" t="str">
        <f ca="1">IFERROR(__xludf.DUMMYFUNCTION("""COMPUTED_VALUE"""),"Matemática")</f>
        <v>Matemática</v>
      </c>
      <c r="F296" s="4" t="str">
        <f ca="1">IFERROR(__xludf.DUMMYFUNCTION("""COMPUTED_VALUE"""),"Geometria")</f>
        <v>Geometria</v>
      </c>
      <c r="G296" s="4"/>
      <c r="H296" s="4"/>
      <c r="I296" s="4" t="str">
        <f ca="1">IFERROR(__xludf.DUMMYFUNCTION("""COMPUTED_VALUE"""),"Amarelo")</f>
        <v>Amarelo</v>
      </c>
      <c r="J296" s="4">
        <f ca="1">IFERROR(__xludf.DUMMYFUNCTION("""COMPUTED_VALUE"""),172)</f>
        <v>172</v>
      </c>
      <c r="K296" s="4" t="str">
        <f ca="1">IFERROR(__xludf.DUMMYFUNCTION("""COMPUTED_VALUE"""),"D")</f>
        <v>D</v>
      </c>
      <c r="L296" s="4" t="str">
        <f ca="1">IFERROR(__xludf.DUMMYFUNCTION("""COMPUTED_VALUE"""),"A unidade de medida utilizada para anunciar o tamanho das telas de televisores no 
Brasil é a polegada, que corresponde a 2,54 cm. Diferentemente do que muitos imaginam, 
dizer que a tela de uma TV tem X polegadas significa que a diagonal do retângulo que"&amp;" 
representa sua tela mede X polegadas, conforme ilustração.
[IMAGEM CONTIDA NO ARQUIVO]
O administrador de um museu recebeu uma TV convencional de 20 polegadas, que 
tem como razão do comprimento (C) pela altura (A) a proporção 4 : 3, e precisa calcular "&amp;"o 
comprimento (C) dessa TV a fim de colocá-la em uma estante para exposição.
A tela dessa TV tem medida do comprimento C, em centímetro, igual a:")</f>
        <v>A unidade de medida utilizada para anunciar o tamanho das telas de televisores no 
Brasil é a polegada, que corresponde a 2,54 cm. Diferentemente do que muitos imaginam, 
dizer que a tela de uma TV tem X polegadas significa que a diagonal do retângulo que 
representa sua tela mede X polegadas, conforme ilustração.
[IMAGEM CONTIDA NO ARQUIVO]
O administrador de um museu recebeu uma TV convencional de 20 polegadas, que 
tem como razão do comprimento (C) pela altura (A) a proporção 4 : 3, e precisa calcular o 
comprimento (C) dessa TV a fim de colocá-la em uma estante para exposição.
A tela dessa TV tem medida do comprimento C, em centímetro, igual a:</v>
      </c>
      <c r="M296" s="4" t="str">
        <f ca="1">IFERROR(__xludf.DUMMYFUNCTION("""COMPUTED_VALUE"""),"12")</f>
        <v>12</v>
      </c>
      <c r="N296" s="4" t="str">
        <f ca="1">IFERROR(__xludf.DUMMYFUNCTION("""COMPUTED_VALUE"""),"16")</f>
        <v>16</v>
      </c>
      <c r="O296" s="4" t="str">
        <f ca="1">IFERROR(__xludf.DUMMYFUNCTION("""COMPUTED_VALUE"""),"30,48")</f>
        <v>30,48</v>
      </c>
      <c r="P296" s="4" t="str">
        <f ca="1">IFERROR(__xludf.DUMMYFUNCTION("""COMPUTED_VALUE"""),"40,64")</f>
        <v>40,64</v>
      </c>
      <c r="Q296" s="4" t="str">
        <f ca="1">IFERROR(__xludf.DUMMYFUNCTION("""COMPUTED_VALUE"""),"50,8")</f>
        <v>50,8</v>
      </c>
      <c r="R296" s="4"/>
      <c r="S296" s="4"/>
      <c r="T296" s="4"/>
      <c r="U296" s="4"/>
      <c r="V296" s="4"/>
      <c r="W296" s="4"/>
      <c r="X296" s="4"/>
      <c r="Y296" s="4"/>
      <c r="Z296" s="4"/>
    </row>
    <row r="297" spans="1:26" x14ac:dyDescent="0.25">
      <c r="A297" s="3" t="str">
        <f ca="1">IFERROR(__xludf.DUMMYFUNCTION("""COMPUTED_VALUE"""),"https://drive.google.com/open?id=1acVWT2B9ayQmVjdBZ4T33H5pTaLKRHia")</f>
        <v>https://drive.google.com/open?id=1acVWT2B9ayQmVjdBZ4T33H5pTaLKRHia</v>
      </c>
      <c r="B297" s="4" t="str">
        <f ca="1">IFERROR(__xludf.DUMMYFUNCTION("""COMPUTED_VALUE"""),"Enem")</f>
        <v>Enem</v>
      </c>
      <c r="C297" s="4">
        <f ca="1">IFERROR(__xludf.DUMMYFUNCTION("""COMPUTED_VALUE"""),2019)</f>
        <v>2019</v>
      </c>
      <c r="D297" s="4" t="str">
        <f ca="1">IFERROR(__xludf.DUMMYFUNCTION("""COMPUTED_VALUE"""),"Matemática")</f>
        <v>Matemática</v>
      </c>
      <c r="E297" s="4" t="str">
        <f ca="1">IFERROR(__xludf.DUMMYFUNCTION("""COMPUTED_VALUE"""),"Matemática")</f>
        <v>Matemática</v>
      </c>
      <c r="F297" s="4" t="str">
        <f ca="1">IFERROR(__xludf.DUMMYFUNCTION("""COMPUTED_VALUE"""),"Aritmética e Algebra")</f>
        <v>Aritmética e Algebra</v>
      </c>
      <c r="G297" s="4"/>
      <c r="H297" s="4"/>
      <c r="I297" s="4" t="str">
        <f ca="1">IFERROR(__xludf.DUMMYFUNCTION("""COMPUTED_VALUE"""),"Amarelo")</f>
        <v>Amarelo</v>
      </c>
      <c r="J297" s="4">
        <f ca="1">IFERROR(__xludf.DUMMYFUNCTION("""COMPUTED_VALUE"""),173)</f>
        <v>173</v>
      </c>
      <c r="K297" s="4" t="str">
        <f ca="1">IFERROR(__xludf.DUMMYFUNCTION("""COMPUTED_VALUE"""),"E")</f>
        <v>E</v>
      </c>
      <c r="L297" s="4" t="str">
        <f ca="1">IFERROR(__xludf.DUMMYFUNCTION("""COMPUTED_VALUE"""),"Uma locadora possui disponíveis 120 veículos da categoria que um cliente pretende 
locar. Desses, 20% são da cor branca, 40% são da cor cinza, 16 veículos são da cor 
vermelha e o restante, de outras cores. O cliente não gosta da cor vermelha e ficaria 
c"&amp;"ontente com qualquer outra cor, mas o sistema de controle disponibiliza os veículos sem 
levar em conta a escolha da cor pelo cliente.
Disponibilizando aleatoriamente, qual é a probabilidade de o cliente ficar contente com a 
cor do veículo?")</f>
        <v>Uma locadora possui disponíveis 120 veículos da categoria que um cliente pretende 
locar. Desses, 20% são da cor branca, 40% são da cor cinza, 16 veículos são da cor 
vermelha e o restante, de outras cores. O cliente não gosta da cor vermelha e ficaria 
contente com qualquer outra cor, mas o sistema de controle disponibiliza os veículos sem 
levar em conta a escolha da cor pelo cliente.
Disponibilizando aleatoriamente, qual é a probabilidade de o cliente ficar contente com a 
cor do veículo?</v>
      </c>
      <c r="M297" s="4" t="str">
        <f ca="1">IFERROR(__xludf.DUMMYFUNCTION("""COMPUTED_VALUE"""),"16/120")</f>
        <v>16/120</v>
      </c>
      <c r="N297" s="4" t="str">
        <f ca="1">IFERROR(__xludf.DUMMYFUNCTION("""COMPUTED_VALUE"""),"32/120")</f>
        <v>32/120</v>
      </c>
      <c r="O297" s="4" t="str">
        <f ca="1">IFERROR(__xludf.DUMMYFUNCTION("""COMPUTED_VALUE"""),"72/120")</f>
        <v>72/120</v>
      </c>
      <c r="P297" s="4" t="str">
        <f ca="1">IFERROR(__xludf.DUMMYFUNCTION("""COMPUTED_VALUE"""),"101/120")</f>
        <v>101/120</v>
      </c>
      <c r="Q297" s="4" t="str">
        <f ca="1">IFERROR(__xludf.DUMMYFUNCTION("""COMPUTED_VALUE"""),"104/120")</f>
        <v>104/120</v>
      </c>
      <c r="R297" s="4"/>
      <c r="S297" s="4"/>
      <c r="T297" s="4"/>
      <c r="U297" s="4"/>
      <c r="V297" s="4"/>
      <c r="W297" s="4"/>
      <c r="X297" s="4"/>
      <c r="Y297" s="4"/>
      <c r="Z297" s="4"/>
    </row>
    <row r="298" spans="1:26" x14ac:dyDescent="0.25">
      <c r="A298" s="3" t="str">
        <f ca="1">IFERROR(__xludf.DUMMYFUNCTION("""COMPUTED_VALUE"""),"https://drive.google.com/open?id=1bzxd-bWMTd7boDG5WwZ36Ny8Zgv38q_U")</f>
        <v>https://drive.google.com/open?id=1bzxd-bWMTd7boDG5WwZ36Ny8Zgv38q_U</v>
      </c>
      <c r="B298" s="4" t="str">
        <f ca="1">IFERROR(__xludf.DUMMYFUNCTION("""COMPUTED_VALUE"""),"Enem")</f>
        <v>Enem</v>
      </c>
      <c r="C298" s="4">
        <f ca="1">IFERROR(__xludf.DUMMYFUNCTION("""COMPUTED_VALUE"""),2019)</f>
        <v>2019</v>
      </c>
      <c r="D298" s="4" t="str">
        <f ca="1">IFERROR(__xludf.DUMMYFUNCTION("""COMPUTED_VALUE"""),"Matemática")</f>
        <v>Matemática</v>
      </c>
      <c r="E298" s="4" t="str">
        <f ca="1">IFERROR(__xludf.DUMMYFUNCTION("""COMPUTED_VALUE"""),"Matemática")</f>
        <v>Matemática</v>
      </c>
      <c r="F298" s="4" t="str">
        <f ca="1">IFERROR(__xludf.DUMMYFUNCTION("""COMPUTED_VALUE"""),"Geometria")</f>
        <v>Geometria</v>
      </c>
      <c r="G298" s="4"/>
      <c r="H298" s="4"/>
      <c r="I298" s="4" t="str">
        <f ca="1">IFERROR(__xludf.DUMMYFUNCTION("""COMPUTED_VALUE"""),"Amarelo")</f>
        <v>Amarelo</v>
      </c>
      <c r="J298" s="4">
        <f ca="1">IFERROR(__xludf.DUMMYFUNCTION("""COMPUTED_VALUE"""),174)</f>
        <v>174</v>
      </c>
      <c r="K298" s="4" t="str">
        <f ca="1">IFERROR(__xludf.DUMMYFUNCTION("""COMPUTED_VALUE"""),"D")</f>
        <v>D</v>
      </c>
      <c r="L298" s="4" t="str">
        <f ca="1">IFERROR(__xludf.DUMMYFUNCTION("""COMPUTED_VALUE"""),"Um vidraceiro é contratado para colocar uma porta de vidro que escorregará em uma 
canaleta de largura interna igual a 1,45 cm, como mostra a figura.
[IMAGEM CONTIDA NO ARQUIVO]
O vidraceiro precisa de uma placa de vidro de maior espessura possível, tal q"&amp;"ue deixe 
uma folga total de pelo menos 0,2 cm, para que o vidro possa escorregar na canaleta, e 
no máximo 0,5 cm para que o vidro não fique batendo com a interferência do vento após 
a instalação. Para conseguir essa placa de vidro, esse vidraceiro foi "&amp;"até uma loja e lá 
encontrou placas de vidro com espessuras iguais a: 0,75 cm; 0,95 cm; 1,05 cm; 1,20 cm; 
1,40 cm.
Para atender às restrições especificadas, o vidraceiro deverá comprar a placa de 
espessura, em centímetro, igual a:")</f>
        <v>Um vidraceiro é contratado para colocar uma porta de vidro que escorregará em uma 
canaleta de largura interna igual a 1,45 cm, como mostra a figura.
[IMAGEM CONTIDA NO ARQUIVO]
O vidraceiro precisa de uma placa de vidro de maior espessura possível, tal que deixe 
uma folga total de pelo menos 0,2 cm, para que o vidro possa escorregar na canaleta, e 
no máximo 0,5 cm para que o vidro não fique batendo com a interferência do vento após 
a instalação. Para conseguir essa placa de vidro, esse vidraceiro foi até uma loja e lá 
encontrou placas de vidro com espessuras iguais a: 0,75 cm; 0,95 cm; 1,05 cm; 1,20 cm; 
1,40 cm.
Para atender às restrições especificadas, o vidraceiro deverá comprar a placa de 
espessura, em centímetro, igual a:</v>
      </c>
      <c r="M298" s="4" t="str">
        <f ca="1">IFERROR(__xludf.DUMMYFUNCTION("""COMPUTED_VALUE"""),"0,75")</f>
        <v>0,75</v>
      </c>
      <c r="N298" s="4" t="str">
        <f ca="1">IFERROR(__xludf.DUMMYFUNCTION("""COMPUTED_VALUE"""),"0,95")</f>
        <v>0,95</v>
      </c>
      <c r="O298" s="4" t="str">
        <f ca="1">IFERROR(__xludf.DUMMYFUNCTION("""COMPUTED_VALUE"""),"1,05")</f>
        <v>1,05</v>
      </c>
      <c r="P298" s="4" t="str">
        <f ca="1">IFERROR(__xludf.DUMMYFUNCTION("""COMPUTED_VALUE"""),"1,2")</f>
        <v>1,2</v>
      </c>
      <c r="Q298" s="4" t="str">
        <f ca="1">IFERROR(__xludf.DUMMYFUNCTION("""COMPUTED_VALUE"""),"1,4")</f>
        <v>1,4</v>
      </c>
      <c r="R298" s="4"/>
      <c r="S298" s="4"/>
      <c r="T298" s="4"/>
      <c r="U298" s="4"/>
      <c r="V298" s="4"/>
      <c r="W298" s="4"/>
      <c r="X298" s="4"/>
      <c r="Y298" s="4"/>
      <c r="Z298" s="4"/>
    </row>
    <row r="299" spans="1:26" x14ac:dyDescent="0.25">
      <c r="A299" s="3" t="str">
        <f ca="1">IFERROR(__xludf.DUMMYFUNCTION("""COMPUTED_VALUE"""),"https://drive.google.com/open?id=1gpMfvj5AHFqivB5-9YIFDxy4z2NX_ceK")</f>
        <v>https://drive.google.com/open?id=1gpMfvj5AHFqivB5-9YIFDxy4z2NX_ceK</v>
      </c>
      <c r="B299" s="4" t="str">
        <f ca="1">IFERROR(__xludf.DUMMYFUNCTION("""COMPUTED_VALUE"""),"Enem")</f>
        <v>Enem</v>
      </c>
      <c r="C299" s="4">
        <f ca="1">IFERROR(__xludf.DUMMYFUNCTION("""COMPUTED_VALUE"""),2019)</f>
        <v>2019</v>
      </c>
      <c r="D299" s="4" t="str">
        <f ca="1">IFERROR(__xludf.DUMMYFUNCTION("""COMPUTED_VALUE"""),"Matemática")</f>
        <v>Matemática</v>
      </c>
      <c r="E299" s="4" t="str">
        <f ca="1">IFERROR(__xludf.DUMMYFUNCTION("""COMPUTED_VALUE"""),"Matemática")</f>
        <v>Matemática</v>
      </c>
      <c r="F299" s="4" t="str">
        <f ca="1">IFERROR(__xludf.DUMMYFUNCTION("""COMPUTED_VALUE"""),"Aritmética e Algebra")</f>
        <v>Aritmética e Algebra</v>
      </c>
      <c r="G299" s="4"/>
      <c r="H299" s="4"/>
      <c r="I299" s="4" t="str">
        <f ca="1">IFERROR(__xludf.DUMMYFUNCTION("""COMPUTED_VALUE"""),"Amarelo")</f>
        <v>Amarelo</v>
      </c>
      <c r="J299" s="4">
        <f ca="1">IFERROR(__xludf.DUMMYFUNCTION("""COMPUTED_VALUE"""),175)</f>
        <v>175</v>
      </c>
      <c r="K299" s="4" t="str">
        <f ca="1">IFERROR(__xludf.DUMMYFUNCTION("""COMPUTED_VALUE"""),"B")</f>
        <v>B</v>
      </c>
      <c r="L299" s="4" t="str">
        <f ca="1">IFERROR(__xludf.DUMMYFUNCTION("""COMPUTED_VALUE"""),"Uma empresa sorteia prêmios entre os funcionários como reconhecimento pelo tempo 
trabalhado. A tabela mostra a distribuição de frequência de 20 empregados dessa empresa que têm de 25 a 35 anos trabalhados. A empresa sorteou, entre esses empregados, uma v"&amp;"iagem de uma semana, sendo dois deles escolhidos aleatoriamente.
[IMAGEM CONTIDA NO ARQUIVO]
Qual a probabilidade de que ambos os sorteados tenham 34 anos de trabalho?")</f>
        <v>Uma empresa sorteia prêmios entre os funcionários como reconhecimento pelo tempo 
trabalhado. A tabela mostra a distribuição de frequência de 20 empregados dessa empresa que têm de 25 a 35 anos trabalhados. A empresa sorteou, entre esses empregados, uma viagem de uma semana, sendo dois deles escolhidos aleatoriamente.
[IMAGEM CONTIDA NO ARQUIVO]
Qual a probabilidade de que ambos os sorteados tenham 34 anos de trabalho?</v>
      </c>
      <c r="M299" s="4" t="str">
        <f ca="1">IFERROR(__xludf.DUMMYFUNCTION("""COMPUTED_VALUE"""),"1/20")</f>
        <v>1/20</v>
      </c>
      <c r="N299" s="4" t="str">
        <f ca="1">IFERROR(__xludf.DUMMYFUNCTION("""COMPUTED_VALUE"""),"1/19")</f>
        <v>1/19</v>
      </c>
      <c r="O299" s="4" t="str">
        <f ca="1">IFERROR(__xludf.DUMMYFUNCTION("""COMPUTED_VALUE"""),"1/16")</f>
        <v>1/16</v>
      </c>
      <c r="P299" s="4" t="str">
        <f ca="1">IFERROR(__xludf.DUMMYFUNCTION("""COMPUTED_VALUE"""),"2/20")</f>
        <v>2/20</v>
      </c>
      <c r="Q299" s="4" t="str">
        <f ca="1">IFERROR(__xludf.DUMMYFUNCTION("""COMPUTED_VALUE"""),"5/20")</f>
        <v>5/20</v>
      </c>
      <c r="R299" s="4"/>
      <c r="S299" s="4"/>
      <c r="T299" s="4"/>
      <c r="U299" s="4"/>
      <c r="V299" s="4"/>
      <c r="W299" s="4"/>
      <c r="X299" s="4"/>
      <c r="Y299" s="4"/>
      <c r="Z299" s="4"/>
    </row>
    <row r="300" spans="1:26" x14ac:dyDescent="0.25">
      <c r="A300" s="3" t="str">
        <f ca="1">IFERROR(__xludf.DUMMYFUNCTION("""COMPUTED_VALUE"""),"https://drive.google.com/open?id=1uhXy5sxACAZNm0R54ps9RfutkWYuhktX")</f>
        <v>https://drive.google.com/open?id=1uhXy5sxACAZNm0R54ps9RfutkWYuhktX</v>
      </c>
      <c r="B300" s="4" t="str">
        <f ca="1">IFERROR(__xludf.DUMMYFUNCTION("""COMPUTED_VALUE"""),"Enem")</f>
        <v>Enem</v>
      </c>
      <c r="C300" s="4">
        <f ca="1">IFERROR(__xludf.DUMMYFUNCTION("""COMPUTED_VALUE"""),2019)</f>
        <v>2019</v>
      </c>
      <c r="D300" s="4" t="str">
        <f ca="1">IFERROR(__xludf.DUMMYFUNCTION("""COMPUTED_VALUE"""),"Matemática")</f>
        <v>Matemática</v>
      </c>
      <c r="E300" s="4" t="str">
        <f ca="1">IFERROR(__xludf.DUMMYFUNCTION("""COMPUTED_VALUE"""),"Matemática")</f>
        <v>Matemática</v>
      </c>
      <c r="F300" s="4" t="str">
        <f ca="1">IFERROR(__xludf.DUMMYFUNCTION("""COMPUTED_VALUE"""),"Geometria")</f>
        <v>Geometria</v>
      </c>
      <c r="G300" s="4"/>
      <c r="H300" s="4"/>
      <c r="I300" s="4" t="str">
        <f ca="1">IFERROR(__xludf.DUMMYFUNCTION("""COMPUTED_VALUE"""),"Amarelo")</f>
        <v>Amarelo</v>
      </c>
      <c r="J300" s="4">
        <f ca="1">IFERROR(__xludf.DUMMYFUNCTION("""COMPUTED_VALUE"""),176)</f>
        <v>176</v>
      </c>
      <c r="K300" s="4" t="str">
        <f ca="1">IFERROR(__xludf.DUMMYFUNCTION("""COMPUTED_VALUE"""),"B")</f>
        <v>B</v>
      </c>
      <c r="L300" s="4" t="str">
        <f ca="1">IFERROR(__xludf.DUMMYFUNCTION("""COMPUTED_VALUE"""),"Para decorar sua casa, uma pessoa comprou um vaso de vidro em forma de um 
paralelepípedo retangular, cujas medidas internas são: 40 cm de comprimento, 35 cm 
de largura e 60 cm de altura. Em seguida, foi até uma floricultura e escolheu uma planta 
aquáti"&amp;"ca para colocar nesse vaso. Segundo uma proposta do gerente do local, essa 
pessoa avaliou a possibilidade de enfeitar o vaso colocando uma certa quantidade de 
pedrinhas artificiais brancas, de volume igual a 100 cm3 cada uma delas, que ficarão 
totalmen"&amp;"te imersas na água que será colocada no vaso. O gerente alertou que seria 
adequado, em função da planta escolhida, que metade do volume do vaso fosse 
preenchido com água e que, após as pedrinhas colocadas, a altura da água deveria ficar a 
10 cm do topo"&amp;" do vaso, dando um razoável espaço para o crescimento da planta. A pessoa 
aceitou as sugestões apresentadas, adquirindo, além da planta, uma quantidade mínima 
de pedrinhas, satisfazendo as indicações do gerente.
Nas condições apresentadas, a quantidade "&amp;"de pedrinhas compradas foi:")</f>
        <v>Para decorar sua casa, uma pessoa comprou um vaso de vidro em forma de um 
paralelepípedo retangular, cujas medidas internas são: 40 cm de comprimento, 35 cm 
de largura e 60 cm de altura. Em seguida, foi até uma floricultura e escolheu uma planta 
aquática para colocar nesse vaso. Segundo uma proposta do gerente do local, essa 
pessoa avaliou a possibilidade de enfeitar o vaso colocando uma certa quantidade de 
pedrinhas artificiais brancas, de volume igual a 100 cm3 cada uma delas, que ficarão 
totalmente imersas na água que será colocada no vaso. O gerente alertou que seria 
adequado, em função da planta escolhida, que metade do volume do vaso fosse 
preenchido com água e que, após as pedrinhas colocadas, a altura da água deveria ficar a 
10 cm do topo do vaso, dando um razoável espaço para o crescimento da planta. A pessoa 
aceitou as sugestões apresentadas, adquirindo, além da planta, uma quantidade mínima 
de pedrinhas, satisfazendo as indicações do gerente.
Nas condições apresentadas, a quantidade de pedrinhas compradas foi:</v>
      </c>
      <c r="M300" s="4" t="str">
        <f ca="1">IFERROR(__xludf.DUMMYFUNCTION("""COMPUTED_VALUE"""),"140")</f>
        <v>140</v>
      </c>
      <c r="N300" s="4" t="str">
        <f ca="1">IFERROR(__xludf.DUMMYFUNCTION("""COMPUTED_VALUE"""),"280")</f>
        <v>280</v>
      </c>
      <c r="O300" s="4" t="str">
        <f ca="1">IFERROR(__xludf.DUMMYFUNCTION("""COMPUTED_VALUE"""),"350")</f>
        <v>350</v>
      </c>
      <c r="P300" s="4" t="str">
        <f ca="1">IFERROR(__xludf.DUMMYFUNCTION("""COMPUTED_VALUE"""),"420")</f>
        <v>420</v>
      </c>
      <c r="Q300" s="4" t="str">
        <f ca="1">IFERROR(__xludf.DUMMYFUNCTION("""COMPUTED_VALUE"""),"700")</f>
        <v>700</v>
      </c>
      <c r="R300" s="4"/>
      <c r="S300" s="4"/>
      <c r="T300" s="4"/>
      <c r="U300" s="4"/>
      <c r="V300" s="4"/>
      <c r="W300" s="4"/>
      <c r="X300" s="4"/>
      <c r="Y300" s="4"/>
      <c r="Z300" s="4"/>
    </row>
    <row r="301" spans="1:26" x14ac:dyDescent="0.25">
      <c r="A301" s="3" t="str">
        <f ca="1">IFERROR(__xludf.DUMMYFUNCTION("""COMPUTED_VALUE"""),"https://drive.google.com/open?id=1MZ7cYgXbYjQMXaqw-erdI_kFRitHW_d5")</f>
        <v>https://drive.google.com/open?id=1MZ7cYgXbYjQMXaqw-erdI_kFRitHW_d5</v>
      </c>
      <c r="B301" s="4" t="str">
        <f ca="1">IFERROR(__xludf.DUMMYFUNCTION("""COMPUTED_VALUE"""),"Enem")</f>
        <v>Enem</v>
      </c>
      <c r="C301" s="4">
        <f ca="1">IFERROR(__xludf.DUMMYFUNCTION("""COMPUTED_VALUE"""),2019)</f>
        <v>2019</v>
      </c>
      <c r="D301" s="4" t="str">
        <f ca="1">IFERROR(__xludf.DUMMYFUNCTION("""COMPUTED_VALUE"""),"Matemática")</f>
        <v>Matemática</v>
      </c>
      <c r="E301" s="4" t="str">
        <f ca="1">IFERROR(__xludf.DUMMYFUNCTION("""COMPUTED_VALUE"""),"Matemática")</f>
        <v>Matemática</v>
      </c>
      <c r="F301" s="4" t="str">
        <f ca="1">IFERROR(__xludf.DUMMYFUNCTION("""COMPUTED_VALUE"""),"Aritmética e Algebra")</f>
        <v>Aritmética e Algebra</v>
      </c>
      <c r="G301" s="4"/>
      <c r="H301" s="4"/>
      <c r="I301" s="4" t="str">
        <f ca="1">IFERROR(__xludf.DUMMYFUNCTION("""COMPUTED_VALUE"""),"Amarelo")</f>
        <v>Amarelo</v>
      </c>
      <c r="J301" s="4">
        <f ca="1">IFERROR(__xludf.DUMMYFUNCTION("""COMPUTED_VALUE"""),177)</f>
        <v>177</v>
      </c>
      <c r="K301" s="4" t="str">
        <f ca="1">IFERROR(__xludf.DUMMYFUNCTION("""COMPUTED_VALUE"""),"B")</f>
        <v>B</v>
      </c>
      <c r="L301" s="4" t="str">
        <f ca="1">IFERROR(__xludf.DUMMYFUNCTION("""COMPUTED_VALUE"""),"Uma empresa especializou-se no aluguel de contêineres que são utilizados como 
unidades comerciais móveis. O modelo padrão alugado pela empresa tem altura de 2,4 m 
e as outras duas dimensões (largura e comprimento), 3,0 m e 7,0 m, respectivamente.
[IMAGE"&amp;"M CONTIDA NO ARQUIVO]
Um cliente solicitou um contêiner com altura padrão, porém, com largura 40% maior 
e comprimento 20% menor que as correspondentes medidas do modelo padrão. Para 
atender às necessidades de mercado, a empresa também disponibiliza um e"&amp;"stoque de 
outros modelos de contêineres, conforme o quadro.
[IMAGEM CONTIDA NO ARQUIVO]
Dos modelos disponíveis, qual atende às necessidades do cliente?")</f>
        <v>Uma empresa especializou-se no aluguel de contêineres que são utilizados como 
unidades comerciais móveis. O modelo padrão alugado pela empresa tem altura de 2,4 m 
e as outras duas dimensões (largura e comprimento), 3,0 m e 7,0 m, respectivamente.
[IMAGEM CONTIDA NO ARQUIVO]
Um cliente solicitou um contêiner com altura padrão, porém, com largura 40% maior 
e comprimento 20% menor que as correspondentes medidas do modelo padrão. Para 
atender às necessidades de mercado, a empresa também disponibiliza um estoque de 
outros modelos de contêineres, conforme o quadro.
[IMAGEM CONTIDA NO ARQUIVO]
Dos modelos disponíveis, qual atende às necessidades do cliente?</v>
      </c>
      <c r="M301" s="4" t="str">
        <f ca="1">IFERROR(__xludf.DUMMYFUNCTION("""COMPUTED_VALUE"""),"I")</f>
        <v>I</v>
      </c>
      <c r="N301" s="4" t="str">
        <f ca="1">IFERROR(__xludf.DUMMYFUNCTION("""COMPUTED_VALUE"""),"II")</f>
        <v>II</v>
      </c>
      <c r="O301" s="4" t="str">
        <f ca="1">IFERROR(__xludf.DUMMYFUNCTION("""COMPUTED_VALUE"""),"III")</f>
        <v>III</v>
      </c>
      <c r="P301" s="4" t="str">
        <f ca="1">IFERROR(__xludf.DUMMYFUNCTION("""COMPUTED_VALUE"""),"IV")</f>
        <v>IV</v>
      </c>
      <c r="Q301" s="4" t="str">
        <f ca="1">IFERROR(__xludf.DUMMYFUNCTION("""COMPUTED_VALUE"""),"V")</f>
        <v>V</v>
      </c>
      <c r="R301" s="4"/>
      <c r="S301" s="4"/>
      <c r="T301" s="4"/>
      <c r="U301" s="4"/>
      <c r="V301" s="4"/>
      <c r="W301" s="4"/>
      <c r="X301" s="4"/>
      <c r="Y301" s="4"/>
      <c r="Z301" s="4"/>
    </row>
    <row r="302" spans="1:26" x14ac:dyDescent="0.25">
      <c r="A302" s="3" t="str">
        <f ca="1">IFERROR(__xludf.DUMMYFUNCTION("""COMPUTED_VALUE"""),"https://drive.google.com/open?id=1H4JL6Hhnua6hhZilyUBuvxToK3M06OaI")</f>
        <v>https://drive.google.com/open?id=1H4JL6Hhnua6hhZilyUBuvxToK3M06OaI</v>
      </c>
      <c r="B302" s="4" t="str">
        <f ca="1">IFERROR(__xludf.DUMMYFUNCTION("""COMPUTED_VALUE"""),"Enem")</f>
        <v>Enem</v>
      </c>
      <c r="C302" s="4">
        <f ca="1">IFERROR(__xludf.DUMMYFUNCTION("""COMPUTED_VALUE"""),2019)</f>
        <v>2019</v>
      </c>
      <c r="D302" s="4" t="str">
        <f ca="1">IFERROR(__xludf.DUMMYFUNCTION("""COMPUTED_VALUE"""),"Ciências da Natureza")</f>
        <v>Ciências da Natureza</v>
      </c>
      <c r="E302" s="4" t="str">
        <f ca="1">IFERROR(__xludf.DUMMYFUNCTION("""COMPUTED_VALUE"""),"Biologia")</f>
        <v>Biologia</v>
      </c>
      <c r="F302" s="4" t="str">
        <f ca="1">IFERROR(__xludf.DUMMYFUNCTION("""COMPUTED_VALUE"""),"Fisiologia Animal e Origem da Vida")</f>
        <v>Fisiologia Animal e Origem da Vida</v>
      </c>
      <c r="G302" s="4"/>
      <c r="H302" s="4"/>
      <c r="I302" s="4" t="str">
        <f ca="1">IFERROR(__xludf.DUMMYFUNCTION("""COMPUTED_VALUE"""),"Cinza")</f>
        <v>Cinza</v>
      </c>
      <c r="J302" s="4">
        <f ca="1">IFERROR(__xludf.DUMMYFUNCTION("""COMPUTED_VALUE"""),92)</f>
        <v>92</v>
      </c>
      <c r="K302" s="4" t="str">
        <f ca="1">IFERROR(__xludf.DUMMYFUNCTION("""COMPUTED_VALUE"""),"A")</f>
        <v>A</v>
      </c>
      <c r="L302" s="4" t="str">
        <f ca="1">IFERROR(__xludf.DUMMYFUNCTION("""COMPUTED_VALUE"""),"O “The Kidney Project” é um projeto realizado por cientistas que pretendem
desenvolver um rim biônico que executará a maioria das funções biológicas do
órgão. O rim biônico possuirá duas partes que incorporam recentes avanços de
nanotecnologia, filtração "&amp;"de membrana e biologia celular. Esse projeto significará
uma grande melhoria na qualidade de vida para aquelas pessoas que dependem da
hemodiálise para sobrevivência.
O dispositivo criado promoverá diretamente a")</f>
        <v>O “The Kidney Project” é um projeto realizado por cientistas que pretendem
desenvolver um rim biônico que executará a maioria das funções biológicas do
órgão. O rim biônico possuirá duas partes que incorporam recentes avanços de
nanotecnologia, filtração de membrana e biologia celular. Esse projeto significará
uma grande melhoria na qualidade de vida para aquelas pessoas que dependem da
hemodiálise para sobrevivência.
O dispositivo criado promoverá diretamente a</v>
      </c>
      <c r="M302" s="4" t="str">
        <f ca="1">IFERROR(__xludf.DUMMYFUNCTION("""COMPUTED_VALUE""")," remoção de ureia.")</f>
        <v xml:space="preserve"> remoção de ureia.</v>
      </c>
      <c r="N302" s="4" t="str">
        <f ca="1">IFERROR(__xludf.DUMMYFUNCTION("""COMPUTED_VALUE""")," excreção de lipídios.")</f>
        <v xml:space="preserve"> excreção de lipídios.</v>
      </c>
      <c r="O302" s="4" t="str">
        <f ca="1">IFERROR(__xludf.DUMMYFUNCTION("""COMPUTED_VALUE"""),"síntese de vasopressina.")</f>
        <v>síntese de vasopressina.</v>
      </c>
      <c r="P302" s="4" t="str">
        <f ca="1">IFERROR(__xludf.DUMMYFUNCTION("""COMPUTED_VALUE"""),"transformação de amônia.")</f>
        <v>transformação de amônia.</v>
      </c>
      <c r="Q302" s="4" t="str">
        <f ca="1">IFERROR(__xludf.DUMMYFUNCTION("""COMPUTED_VALUE"""),"fabricação de aldosterona.")</f>
        <v>fabricação de aldosterona.</v>
      </c>
      <c r="R302" s="4"/>
      <c r="S302" s="4"/>
      <c r="T302" s="4"/>
      <c r="U302" s="4"/>
      <c r="V302" s="4"/>
      <c r="W302" s="4"/>
      <c r="X302" s="4"/>
      <c r="Y302" s="4"/>
      <c r="Z302" s="4"/>
    </row>
    <row r="303" spans="1:26" x14ac:dyDescent="0.25">
      <c r="A303" s="3" t="str">
        <f ca="1">IFERROR(__xludf.DUMMYFUNCTION("""COMPUTED_VALUE"""),"https://drive.google.com/open?id=1ZhxYUrH4KoW9uL_aHwIwcxLVHqHyJTDK")</f>
        <v>https://drive.google.com/open?id=1ZhxYUrH4KoW9uL_aHwIwcxLVHqHyJTDK</v>
      </c>
      <c r="B303" s="4" t="str">
        <f ca="1">IFERROR(__xludf.DUMMYFUNCTION("""COMPUTED_VALUE"""),"Enem")</f>
        <v>Enem</v>
      </c>
      <c r="C303" s="4">
        <f ca="1">IFERROR(__xludf.DUMMYFUNCTION("""COMPUTED_VALUE"""),2019)</f>
        <v>2019</v>
      </c>
      <c r="D303" s="4" t="str">
        <f ca="1">IFERROR(__xludf.DUMMYFUNCTION("""COMPUTED_VALUE"""),"Matemática")</f>
        <v>Matemática</v>
      </c>
      <c r="E303" s="4" t="str">
        <f ca="1">IFERROR(__xludf.DUMMYFUNCTION("""COMPUTED_VALUE"""),"Matemática")</f>
        <v>Matemática</v>
      </c>
      <c r="F303" s="4" t="str">
        <f ca="1">IFERROR(__xludf.DUMMYFUNCTION("""COMPUTED_VALUE"""),"Aritmética e Algebra")</f>
        <v>Aritmética e Algebra</v>
      </c>
      <c r="G303" s="4"/>
      <c r="H303" s="4"/>
      <c r="I303" s="4" t="str">
        <f ca="1">IFERROR(__xludf.DUMMYFUNCTION("""COMPUTED_VALUE"""),"Amarelo")</f>
        <v>Amarelo</v>
      </c>
      <c r="J303" s="4">
        <f ca="1">IFERROR(__xludf.DUMMYFUNCTION("""COMPUTED_VALUE"""),178)</f>
        <v>178</v>
      </c>
      <c r="K303" s="4" t="str">
        <f ca="1">IFERROR(__xludf.DUMMYFUNCTION("""COMPUTED_VALUE"""),"B")</f>
        <v>B</v>
      </c>
      <c r="L303" s="4" t="str">
        <f ca="1">IFERROR(__xludf.DUMMYFUNCTION("""COMPUTED_VALUE"""),"Um fiscal de certa empresa de ônibus registra o tempo, em minuto, que um motorista 
novato gasta para completar certo percurso. No Quadro 1 figuram os tempos gastos 
pelo motorista ao realizar o mesmo percurso sete vezes. O Quadro 2 apresenta uma 
classif"&amp;"icação para a variabilidade do tempo, segundo o valor do desvio padrão.
[IMAGEM CONTIDA NO ARQUIVO]
Com base nas informações apresentadas nos quadros, a variabilidade do tempo é:")</f>
        <v>Um fiscal de certa empresa de ônibus registra o tempo, em minuto, que um motorista 
novato gasta para completar certo percurso. No Quadro 1 figuram os tempos gastos 
pelo motorista ao realizar o mesmo percurso sete vezes. O Quadro 2 apresenta uma 
classificação para a variabilidade do tempo, segundo o valor do desvio padrão.
[IMAGEM CONTIDA NO ARQUIVO]
Com base nas informações apresentadas nos quadros, a variabilidade do tempo é:</v>
      </c>
      <c r="M303" s="4" t="str">
        <f ca="1">IFERROR(__xludf.DUMMYFUNCTION("""COMPUTED_VALUE"""),"extremamente baixa.")</f>
        <v>extremamente baixa.</v>
      </c>
      <c r="N303" s="4" t="str">
        <f ca="1">IFERROR(__xludf.DUMMYFUNCTION("""COMPUTED_VALUE"""),"baixa.")</f>
        <v>baixa.</v>
      </c>
      <c r="O303" s="4" t="str">
        <f ca="1">IFERROR(__xludf.DUMMYFUNCTION("""COMPUTED_VALUE"""),"moderada.")</f>
        <v>moderada.</v>
      </c>
      <c r="P303" s="4" t="str">
        <f ca="1">IFERROR(__xludf.DUMMYFUNCTION("""COMPUTED_VALUE"""),"alta.")</f>
        <v>alta.</v>
      </c>
      <c r="Q303" s="4" t="str">
        <f ca="1">IFERROR(__xludf.DUMMYFUNCTION("""COMPUTED_VALUE"""),"extremamente alta.")</f>
        <v>extremamente alta.</v>
      </c>
      <c r="R303" s="4"/>
      <c r="S303" s="4"/>
      <c r="T303" s="4"/>
      <c r="U303" s="4"/>
      <c r="V303" s="4"/>
      <c r="W303" s="4"/>
      <c r="X303" s="4"/>
      <c r="Y303" s="4"/>
      <c r="Z303" s="4"/>
    </row>
    <row r="304" spans="1:26" x14ac:dyDescent="0.25">
      <c r="A304" s="3" t="str">
        <f ca="1">IFERROR(__xludf.DUMMYFUNCTION("""COMPUTED_VALUE"""),"https://drive.google.com/open?id=1FVrHIn-HJKbmr6Z4yL75rTrmVpkQGMzF")</f>
        <v>https://drive.google.com/open?id=1FVrHIn-HJKbmr6Z4yL75rTrmVpkQGMzF</v>
      </c>
      <c r="B304" s="4" t="str">
        <f ca="1">IFERROR(__xludf.DUMMYFUNCTION("""COMPUTED_VALUE"""),"Enem")</f>
        <v>Enem</v>
      </c>
      <c r="C304" s="4">
        <f ca="1">IFERROR(__xludf.DUMMYFUNCTION("""COMPUTED_VALUE"""),2019)</f>
        <v>2019</v>
      </c>
      <c r="D304" s="4" t="str">
        <f ca="1">IFERROR(__xludf.DUMMYFUNCTION("""COMPUTED_VALUE"""),"Matemática")</f>
        <v>Matemática</v>
      </c>
      <c r="E304" s="4" t="str">
        <f ca="1">IFERROR(__xludf.DUMMYFUNCTION("""COMPUTED_VALUE"""),"Matemática")</f>
        <v>Matemática</v>
      </c>
      <c r="F304" s="4" t="str">
        <f ca="1">IFERROR(__xludf.DUMMYFUNCTION("""COMPUTED_VALUE"""),"Aritmética e Algebra")</f>
        <v>Aritmética e Algebra</v>
      </c>
      <c r="G304" s="4"/>
      <c r="H304" s="4"/>
      <c r="I304" s="4" t="str">
        <f ca="1">IFERROR(__xludf.DUMMYFUNCTION("""COMPUTED_VALUE"""),"Amarelo")</f>
        <v>Amarelo</v>
      </c>
      <c r="J304" s="4">
        <f ca="1">IFERROR(__xludf.DUMMYFUNCTION("""COMPUTED_VALUE"""),179)</f>
        <v>179</v>
      </c>
      <c r="K304" s="4" t="str">
        <f ca="1">IFERROR(__xludf.DUMMYFUNCTION("""COMPUTED_VALUE"""),"C")</f>
        <v>C</v>
      </c>
      <c r="L304" s="4" t="str">
        <f ca="1">IFERROR(__xludf.DUMMYFUNCTION("""COMPUTED_VALUE"""),"Um país decide investir recursos na educação em suas cidades que tenham um alto 
nível de analfabetismo. Os recursos serão divididos de acordo com a idade média da 
população que é analfabeta, conforme apresentado no quadro.
[IMAGEM CONTIDA NO ARQUIVO]
Um"&amp;"a cidade desse país possui 60/100 do total de analfabetos de sua população composto por mulheres. A média de idade das mulheres analfabetas é de 30 anos, e a média de idade dos homens analfabetos é de 35 anos.
Considerando a média de idade da população an"&amp;"alfabeta dessa cidade, ela receberá
o recurso:")</f>
        <v>Um país decide investir recursos na educação em suas cidades que tenham um alto 
nível de analfabetismo. Os recursos serão divididos de acordo com a idade média da 
população que é analfabeta, conforme apresentado no quadro.
[IMAGEM CONTIDA NO ARQUIVO]
Uma cidade desse país possui 60/100 do total de analfabetos de sua população composto por mulheres. A média de idade das mulheres analfabetas é de 30 anos, e a média de idade dos homens analfabetos é de 35 anos.
Considerando a média de idade da população analfabeta dessa cidade, ela receberá
o recurso:</v>
      </c>
      <c r="M304" s="4" t="str">
        <f ca="1">IFERROR(__xludf.DUMMYFUNCTION("""COMPUTED_VALUE"""),"I.")</f>
        <v>I.</v>
      </c>
      <c r="N304" s="4" t="str">
        <f ca="1">IFERROR(__xludf.DUMMYFUNCTION("""COMPUTED_VALUE"""),"II.")</f>
        <v>II.</v>
      </c>
      <c r="O304" s="4" t="str">
        <f ca="1">IFERROR(__xludf.DUMMYFUNCTION("""COMPUTED_VALUE"""),"III.")</f>
        <v>III.</v>
      </c>
      <c r="P304" s="4" t="str">
        <f ca="1">IFERROR(__xludf.DUMMYFUNCTION("""COMPUTED_VALUE"""),"IV.")</f>
        <v>IV.</v>
      </c>
      <c r="Q304" s="4" t="str">
        <f ca="1">IFERROR(__xludf.DUMMYFUNCTION("""COMPUTED_VALUE"""),"V.")</f>
        <v>V.</v>
      </c>
      <c r="R304" s="4"/>
      <c r="S304" s="4"/>
      <c r="T304" s="4"/>
      <c r="U304" s="4"/>
      <c r="V304" s="4"/>
      <c r="W304" s="4"/>
      <c r="X304" s="4"/>
      <c r="Y304" s="4"/>
      <c r="Z304" s="4"/>
    </row>
    <row r="305" spans="1:26" x14ac:dyDescent="0.25">
      <c r="A305" s="3" t="str">
        <f ca="1">IFERROR(__xludf.DUMMYFUNCTION("""COMPUTED_VALUE"""),"https://drive.google.com/open?id=1vyMziOq2AyWTBhb1LfCEBEu5o9-XSUvO")</f>
        <v>https://drive.google.com/open?id=1vyMziOq2AyWTBhb1LfCEBEu5o9-XSUvO</v>
      </c>
      <c r="B305" s="4" t="str">
        <f ca="1">IFERROR(__xludf.DUMMYFUNCTION("""COMPUTED_VALUE"""),"Enem")</f>
        <v>Enem</v>
      </c>
      <c r="C305" s="4">
        <f ca="1">IFERROR(__xludf.DUMMYFUNCTION("""COMPUTED_VALUE"""),2019)</f>
        <v>2019</v>
      </c>
      <c r="D305" s="4" t="str">
        <f ca="1">IFERROR(__xludf.DUMMYFUNCTION("""COMPUTED_VALUE"""),"Matemática")</f>
        <v>Matemática</v>
      </c>
      <c r="E305" s="4" t="str">
        <f ca="1">IFERROR(__xludf.DUMMYFUNCTION("""COMPUTED_VALUE"""),"Matemática")</f>
        <v>Matemática</v>
      </c>
      <c r="F305" s="4" t="str">
        <f ca="1">IFERROR(__xludf.DUMMYFUNCTION("""COMPUTED_VALUE"""),"Aritmética e Algebra")</f>
        <v>Aritmética e Algebra</v>
      </c>
      <c r="G305" s="4"/>
      <c r="H305" s="4"/>
      <c r="I305" s="4" t="str">
        <f ca="1">IFERROR(__xludf.DUMMYFUNCTION("""COMPUTED_VALUE"""),"Amarelo")</f>
        <v>Amarelo</v>
      </c>
      <c r="J305" s="4">
        <f ca="1">IFERROR(__xludf.DUMMYFUNCTION("""COMPUTED_VALUE"""),180)</f>
        <v>180</v>
      </c>
      <c r="K305" s="4" t="str">
        <f ca="1">IFERROR(__xludf.DUMMYFUNCTION("""COMPUTED_VALUE"""),"A")</f>
        <v>A</v>
      </c>
      <c r="L305" s="4" t="str">
        <f ca="1">IFERROR(__xludf.DUMMYFUNCTION("""COMPUTED_VALUE"""),"Para certas molas, a constante elástica (C) depende do diâmetro médio da 
circunferência da mola (D), do número de espirais úteis (N), do diâmetro (d) do fio de metal 
do qual é formada a mola e do módulo de elasticidade do material (G). A fórmula evidenc"&amp;"ia 
essas relações de dependência.
[IMAGEM CONTIDA NO ARQUIVO]
O dono de uma fábrica possui uma mola M1 em um de seus equipamentos, que tem características D1, d1, N1 e G1, com uma constante elástica C1. Essa mola precisa ser substituída por outra, M2, pr"&amp;"oduzida com outro material e com características diferentes, bem como uma nova constante elástica C2, da seguinte maneira: 
I) D2 = D1/3 ; II) d2 = 3d1; III) N2 = 9N1. Além disso, a constante de elasticidade G2 do novo 
material é igual a 4G1.
O valor da "&amp;"constante C2 em função da constante C1 é:")</f>
        <v>Para certas molas, a constante elástica (C) depende do diâmetro médio da 
circunferência da mola (D), do número de espirais úteis (N), do diâmetro (d) do fio de metal 
do qual é formada a mola e do módulo de elasticidade do material (G). A fórmula evidencia 
essas relações de dependência.
[IMAGEM CONTIDA NO ARQUIVO]
O dono de uma fábrica possui uma mola M1 em um de seus equipamentos, que tem características D1, d1, N1 e G1, com uma constante elástica C1. Essa mola precisa ser substituída por outra, M2, produzida com outro material e com características diferentes, bem como uma nova constante elástica C2, da seguinte maneira: 
I) D2 = D1/3 ; II) d2 = 3d1; III) N2 = 9N1. Além disso, a constante de elasticidade G2 do novo 
material é igual a 4G1.
O valor da constante C2 em função da constante C1 é:</v>
      </c>
      <c r="M305" s="4" t="str">
        <f ca="1">IFERROR(__xludf.DUMMYFUNCTION("""COMPUTED_VALUE"""),"C2 = 972⋅C1")</f>
        <v>C2 = 972⋅C1</v>
      </c>
      <c r="N305" s="4" t="str">
        <f ca="1">IFERROR(__xludf.DUMMYFUNCTION("""COMPUTED_VALUE"""),"C2 = 108⋅C1")</f>
        <v>C2 = 108⋅C1</v>
      </c>
      <c r="O305" s="4" t="str">
        <f ca="1">IFERROR(__xludf.DUMMYFUNCTION("""COMPUTED_VALUE"""),"C2 = 4⋅C1")</f>
        <v>C2 = 4⋅C1</v>
      </c>
      <c r="P305" s="4" t="str">
        <f ca="1">IFERROR(__xludf.DUMMYFUNCTION("""COMPUTED_VALUE"""),"C2= 4/3 . C1")</f>
        <v>C2= 4/3 . C1</v>
      </c>
      <c r="Q305" s="4" t="str">
        <f ca="1">IFERROR(__xludf.DUMMYFUNCTION("""COMPUTED_VALUE"""),"C2= 4/9 . C1")</f>
        <v>C2= 4/9 . C1</v>
      </c>
      <c r="R305" s="4"/>
      <c r="S305" s="4"/>
      <c r="T305" s="4"/>
      <c r="U305" s="4"/>
      <c r="V305" s="4"/>
      <c r="W305" s="4"/>
      <c r="X305" s="4"/>
      <c r="Y305" s="4"/>
      <c r="Z305" s="4"/>
    </row>
    <row r="306" spans="1:26" x14ac:dyDescent="0.25">
      <c r="A306" s="3" t="str">
        <f ca="1">IFERROR(__xludf.DUMMYFUNCTION("""COMPUTED_VALUE"""),"https://drive.google.com/open?id=1SyynqRiKlsbeDmM5rhvqafENxrvEBSGb")</f>
        <v>https://drive.google.com/open?id=1SyynqRiKlsbeDmM5rhvqafENxrvEBSGb</v>
      </c>
      <c r="B306" s="4" t="str">
        <f ca="1">IFERROR(__xludf.DUMMYFUNCTION("""COMPUTED_VALUE"""),"Enem")</f>
        <v>Enem</v>
      </c>
      <c r="C306" s="4">
        <f ca="1">IFERROR(__xludf.DUMMYFUNCTION("""COMPUTED_VALUE"""),2017)</f>
        <v>2017</v>
      </c>
      <c r="D306" s="4" t="str">
        <f ca="1">IFERROR(__xludf.DUMMYFUNCTION("""COMPUTED_VALUE"""),"Ciências da Natureza")</f>
        <v>Ciências da Natureza</v>
      </c>
      <c r="E306" s="4" t="str">
        <f ca="1">IFERROR(__xludf.DUMMYFUNCTION("""COMPUTED_VALUE"""),"Química")</f>
        <v>Química</v>
      </c>
      <c r="F306" s="4" t="str">
        <f ca="1">IFERROR(__xludf.DUMMYFUNCTION("""COMPUTED_VALUE"""),"Química Geral")</f>
        <v>Química Geral</v>
      </c>
      <c r="G306" s="4"/>
      <c r="H306" s="4"/>
      <c r="I306" s="4" t="str">
        <f ca="1">IFERROR(__xludf.DUMMYFUNCTION("""COMPUTED_VALUE"""),"Amarelo")</f>
        <v>Amarelo</v>
      </c>
      <c r="J306" s="4">
        <f ca="1">IFERROR(__xludf.DUMMYFUNCTION("""COMPUTED_VALUE"""),91)</f>
        <v>91</v>
      </c>
      <c r="K306" s="4" t="str">
        <f ca="1">IFERROR(__xludf.DUMMYFUNCTION("""COMPUTED_VALUE"""),"B")</f>
        <v>B</v>
      </c>
      <c r="L306" s="4" t="str">
        <f ca="1">IFERROR(__xludf.DUMMYFUNCTION("""COMPUTED_VALUE"""),"Um fato corriqueiro ao se cozinhar arroz é o
derramamento de parte da água de cozimento sobre a
chama azul do fogo, mudando-a para uma chama amarela.
Essa mudança de cor pode suscitar interpretações
diversas, relacionadas às substâncias presentes na água
"&amp;"de cozimento. Além do sal de cozinha (NaCl), nela se
encontram carboidratos, proteínas e sais minerais.
Cientificamente, sabe-se que essa mudança de cor da chama ocorre pela")</f>
        <v>Um fato corriqueiro ao se cozinhar arroz é o
derramamento de parte da água de cozimento sobre a
chama azul do fogo, mudando-a para uma chama amarela.
Essa mudança de cor pode suscitar interpretações
diversas, relacionadas às substâncias presentes na água
de cozimento. Além do sal de cozinha (NaCl), nela se
encontram carboidratos, proteínas e sais minerais.
Cientificamente, sabe-se que essa mudança de cor da chama ocorre pela</v>
      </c>
      <c r="M306" s="4" t="str">
        <f ca="1">IFERROR(__xludf.DUMMYFUNCTION("""COMPUTED_VALUE"""),"reação do gás de cozinha com o sal, volatilizando gás cloro.")</f>
        <v>reação do gás de cozinha com o sal, volatilizando gás cloro.</v>
      </c>
      <c r="N306" s="4" t="str">
        <f ca="1">IFERROR(__xludf.DUMMYFUNCTION("""COMPUTED_VALUE"""),"Emissão de fótons pelo sódio, excitado por causa da chama.")</f>
        <v>Emissão de fótons pelo sódio, excitado por causa da chama.</v>
      </c>
      <c r="O306" s="4" t="str">
        <f ca="1">IFERROR(__xludf.DUMMYFUNCTION("""COMPUTED_VALUE"""),"produção de derivado amarelo, pela reação com o carboidrato.")</f>
        <v>produção de derivado amarelo, pela reação com o carboidrato.</v>
      </c>
      <c r="P306" s="4" t="str">
        <f ca="1">IFERROR(__xludf.DUMMYFUNCTION("""COMPUTED_VALUE"""),"reação do gás de cozinha com a água, formando gás de hidrogênio.")</f>
        <v>reação do gás de cozinha com a água, formando gás de hidrogênio.</v>
      </c>
      <c r="Q306" s="4" t="str">
        <f ca="1">IFERROR(__xludf.DUMMYFUNCTION("""COMPUTED_VALUE"""),"excitação das moléculas de proteínas, com formação de luz amarela.")</f>
        <v>excitação das moléculas de proteínas, com formação de luz amarela.</v>
      </c>
      <c r="R306" s="4"/>
      <c r="S306" s="4"/>
      <c r="T306" s="4"/>
      <c r="U306" s="4"/>
      <c r="V306" s="4"/>
      <c r="W306" s="4"/>
      <c r="X306" s="4"/>
      <c r="Y306" s="4"/>
      <c r="Z306" s="4"/>
    </row>
    <row r="307" spans="1:26" x14ac:dyDescent="0.25">
      <c r="A307" s="3" t="str">
        <f ca="1">IFERROR(__xludf.DUMMYFUNCTION("""COMPUTED_VALUE"""),"https://drive.google.com/open?id=1_0lXLSkqrfwmdbrYeMHkW3YCPYcR_FHV")</f>
        <v>https://drive.google.com/open?id=1_0lXLSkqrfwmdbrYeMHkW3YCPYcR_FHV</v>
      </c>
      <c r="B307" s="4" t="str">
        <f ca="1">IFERROR(__xludf.DUMMYFUNCTION("""COMPUTED_VALUE"""),"Enem")</f>
        <v>Enem</v>
      </c>
      <c r="C307" s="4">
        <f ca="1">IFERROR(__xludf.DUMMYFUNCTION("""COMPUTED_VALUE"""),2017)</f>
        <v>2017</v>
      </c>
      <c r="D307" s="4" t="str">
        <f ca="1">IFERROR(__xludf.DUMMYFUNCTION("""COMPUTED_VALUE"""),"Ciências da Natureza")</f>
        <v>Ciências da Natureza</v>
      </c>
      <c r="E307" s="4" t="str">
        <f ca="1">IFERROR(__xludf.DUMMYFUNCTION("""COMPUTED_VALUE"""),"Química")</f>
        <v>Química</v>
      </c>
      <c r="F307" s="4" t="str">
        <f ca="1">IFERROR(__xludf.DUMMYFUNCTION("""COMPUTED_VALUE"""),"Química Geral")</f>
        <v>Química Geral</v>
      </c>
      <c r="G307" s="4"/>
      <c r="H307" s="4"/>
      <c r="I307" s="4" t="str">
        <f ca="1">IFERROR(__xludf.DUMMYFUNCTION("""COMPUTED_VALUE"""),"Amarelo")</f>
        <v>Amarelo</v>
      </c>
      <c r="J307" s="4">
        <f ca="1">IFERROR(__xludf.DUMMYFUNCTION("""COMPUTED_VALUE"""),95)</f>
        <v>95</v>
      </c>
      <c r="K307" s="4" t="str">
        <f ca="1">IFERROR(__xludf.DUMMYFUNCTION("""COMPUTED_VALUE"""),"E")</f>
        <v>E</v>
      </c>
      <c r="L307" s="4" t="str">
        <f ca="1">IFERROR(__xludf.DUMMYFUNCTION("""COMPUTED_VALUE"""),"A farinha de linhaça dourada é um produto natural que
oferece grandes benefícios para o nosso organismo. A maior
parte dos nutrientes da linhaça encontra-se no óleo desta
semente, rico em substâncias lipossolúveis com massas
moleculares elevadas. A farinh"&amp;"a também apresenta altos também apresenta altos teores de fibras proteicas insolúveis em água, celulose, vitaminas lipossolúveis e sais minerais hidrossolúveis.
Considere o esquema, que resume um processo de separação dos componentes principais da farinha"&amp;" de linhaça dourada.
")</f>
        <v xml:space="preserve">A farinha de linhaça dourada é um produto natural que
oferece grandes benefícios para o nosso organismo. A maior
parte dos nutrientes da linhaça encontra-se no óleo desta
semente, rico em substâncias lipossolúveis com massas
moleculares elevadas. A farinha também apresenta altos também apresenta altos teores de fibras proteicas insolúveis em água, celulose, vitaminas lipossolúveis e sais minerais hidrossolúveis.
Considere o esquema, que resume um processo de separação dos componentes principais da farinha de linhaça dourada.
</v>
      </c>
      <c r="M307" s="4" t="str">
        <f ca="1">IFERROR(__xludf.DUMMYFUNCTION("""COMPUTED_VALUE"""),"Destilado 1.")</f>
        <v>Destilado 1.</v>
      </c>
      <c r="N307" s="4" t="str">
        <f ca="1">IFERROR(__xludf.DUMMYFUNCTION("""COMPUTED_VALUE"""),"Destilado 2.")</f>
        <v>Destilado 2.</v>
      </c>
      <c r="O307" s="4" t="str">
        <f ca="1">IFERROR(__xludf.DUMMYFUNCTION("""COMPUTED_VALUE"""),"Resíduo 2.")</f>
        <v>Resíduo 2.</v>
      </c>
      <c r="P307" s="4" t="str">
        <f ca="1">IFERROR(__xludf.DUMMYFUNCTION("""COMPUTED_VALUE"""),"Resíduo 3.")</f>
        <v>Resíduo 3.</v>
      </c>
      <c r="Q307" s="4" t="str">
        <f ca="1">IFERROR(__xludf.DUMMYFUNCTION("""COMPUTED_VALUE"""),"Resíduo 4.")</f>
        <v>Resíduo 4.</v>
      </c>
      <c r="R307" s="4"/>
      <c r="S307" s="4"/>
      <c r="T307" s="4"/>
      <c r="U307" s="4"/>
      <c r="V307" s="4"/>
      <c r="W307" s="4"/>
      <c r="X307" s="4"/>
      <c r="Y307" s="4"/>
      <c r="Z307" s="4"/>
    </row>
    <row r="308" spans="1:26" x14ac:dyDescent="0.25">
      <c r="A308" s="3" t="str">
        <f ca="1">IFERROR(__xludf.DUMMYFUNCTION("""COMPUTED_VALUE"""),"https://drive.google.com/open?id=1az-Pc2K0JoVNo3FOf_D4yFrnBOyjc51r")</f>
        <v>https://drive.google.com/open?id=1az-Pc2K0JoVNo3FOf_D4yFrnBOyjc51r</v>
      </c>
      <c r="B308" s="4" t="str">
        <f ca="1">IFERROR(__xludf.DUMMYFUNCTION("""COMPUTED_VALUE"""),"Enem")</f>
        <v>Enem</v>
      </c>
      <c r="C308" s="4">
        <f ca="1">IFERROR(__xludf.DUMMYFUNCTION("""COMPUTED_VALUE"""),2017)</f>
        <v>2017</v>
      </c>
      <c r="D308" s="4" t="str">
        <f ca="1">IFERROR(__xludf.DUMMYFUNCTION("""COMPUTED_VALUE"""),"Ciências da Natureza")</f>
        <v>Ciências da Natureza</v>
      </c>
      <c r="E308" s="4" t="str">
        <f ca="1">IFERROR(__xludf.DUMMYFUNCTION("""COMPUTED_VALUE"""),"Química")</f>
        <v>Química</v>
      </c>
      <c r="F308" s="4" t="str">
        <f ca="1">IFERROR(__xludf.DUMMYFUNCTION("""COMPUTED_VALUE"""),"Química Geral")</f>
        <v>Química Geral</v>
      </c>
      <c r="G308" s="4"/>
      <c r="H308" s="4"/>
      <c r="I308" s="4" t="str">
        <f ca="1">IFERROR(__xludf.DUMMYFUNCTION("""COMPUTED_VALUE"""),"Amarelo")</f>
        <v>Amarelo</v>
      </c>
      <c r="J308" s="4">
        <f ca="1">IFERROR(__xludf.DUMMYFUNCTION("""COMPUTED_VALUE"""),100)</f>
        <v>100</v>
      </c>
      <c r="K308" s="4" t="str">
        <f ca="1">IFERROR(__xludf.DUMMYFUNCTION("""COMPUTED_VALUE"""),"D")</f>
        <v>D</v>
      </c>
      <c r="L308" s="4" t="str">
        <f ca="1">IFERROR(__xludf.DUMMYFUNCTION("""COMPUTED_VALUE"""),"Partículas microscópicas existentes na atmosfera funcionam como núcleos de condensação de vapor de água que, sob condições adequadas de temperatura e pressão, propiciam a formação das nuvens e consequentemente das chuvas. No ar atmosférico, tais partícula"&amp;"s são frmadas pela reação de ácidos (HX) com a base NH3, de forma natural ou antropogênica, dando origem a sais de amônio (NH4X), de acordo com a equação química genérica:
HX(g) + NH3(g) --&gt; NH4X(s)
A fixação de moléculas de vapor de água pelos núcleos de"&amp;" condensação ocorre por")</f>
        <v>Partículas microscópicas existentes na atmosfera funcionam como núcleos de condensação de vapor de água que, sob condições adequadas de temperatura e pressão, propiciam a formação das nuvens e consequentemente das chuvas. No ar atmosférico, tais partículas são frmadas pela reação de ácidos (HX) com a base NH3, de forma natural ou antropogênica, dando origem a sais de amônio (NH4X), de acordo com a equação química genérica:
HX(g) + NH3(g) --&gt; NH4X(s)
A fixação de moléculas de vapor de água pelos núcleos de condensação ocorre por</v>
      </c>
      <c r="M308" s="4" t="str">
        <f ca="1">IFERROR(__xludf.DUMMYFUNCTION("""COMPUTED_VALUE"""),"ligações iônicas.")</f>
        <v>ligações iônicas.</v>
      </c>
      <c r="N308" s="4" t="str">
        <f ca="1">IFERROR(__xludf.DUMMYFUNCTION("""COMPUTED_VALUE"""),"interações dipolo-dipolo.")</f>
        <v>interações dipolo-dipolo.</v>
      </c>
      <c r="O308" s="4" t="str">
        <f ca="1">IFERROR(__xludf.DUMMYFUNCTION("""COMPUTED_VALUE"""),"interações dipolo-dipolo induzido.")</f>
        <v>interações dipolo-dipolo induzido.</v>
      </c>
      <c r="P308" s="4" t="str">
        <f ca="1">IFERROR(__xludf.DUMMYFUNCTION("""COMPUTED_VALUE"""),"interações íon-dipolo.")</f>
        <v>interações íon-dipolo.</v>
      </c>
      <c r="Q308" s="4" t="str">
        <f ca="1">IFERROR(__xludf.DUMMYFUNCTION("""COMPUTED_VALUE"""),"ligações covalentes.")</f>
        <v>ligações covalentes.</v>
      </c>
      <c r="R308" s="4"/>
      <c r="S308" s="4"/>
      <c r="T308" s="4"/>
      <c r="U308" s="4"/>
      <c r="V308" s="4"/>
      <c r="W308" s="4"/>
      <c r="X308" s="4"/>
      <c r="Y308" s="4"/>
      <c r="Z308" s="4"/>
    </row>
    <row r="309" spans="1:26" x14ac:dyDescent="0.25">
      <c r="A309" s="3" t="str">
        <f ca="1">IFERROR(__xludf.DUMMYFUNCTION("""COMPUTED_VALUE"""),"https://drive.google.com/open?id=1yHNS6j3hspVRyYfw7h2iflVFLiRPl3qT")</f>
        <v>https://drive.google.com/open?id=1yHNS6j3hspVRyYfw7h2iflVFLiRPl3qT</v>
      </c>
      <c r="B309" s="4" t="str">
        <f ca="1">IFERROR(__xludf.DUMMYFUNCTION("""COMPUTED_VALUE"""),"Enem")</f>
        <v>Enem</v>
      </c>
      <c r="C309" s="4">
        <f ca="1">IFERROR(__xludf.DUMMYFUNCTION("""COMPUTED_VALUE"""),2017)</f>
        <v>2017</v>
      </c>
      <c r="D309" s="4" t="str">
        <f ca="1">IFERROR(__xludf.DUMMYFUNCTION("""COMPUTED_VALUE"""),"Ciências da Natureza")</f>
        <v>Ciências da Natureza</v>
      </c>
      <c r="E309" s="4" t="str">
        <f ca="1">IFERROR(__xludf.DUMMYFUNCTION("""COMPUTED_VALUE"""),"Química")</f>
        <v>Química</v>
      </c>
      <c r="F309" s="4" t="str">
        <f ca="1">IFERROR(__xludf.DUMMYFUNCTION("""COMPUTED_VALUE"""),"Química Geral")</f>
        <v>Química Geral</v>
      </c>
      <c r="G309" s="4"/>
      <c r="H309" s="4"/>
      <c r="I309" s="4" t="str">
        <f ca="1">IFERROR(__xludf.DUMMYFUNCTION("""COMPUTED_VALUE"""),"Amarelo")</f>
        <v>Amarelo</v>
      </c>
      <c r="J309" s="4">
        <f ca="1">IFERROR(__xludf.DUMMYFUNCTION("""COMPUTED_VALUE"""),103)</f>
        <v>103</v>
      </c>
      <c r="K309" s="4" t="str">
        <f ca="1">IFERROR(__xludf.DUMMYFUNCTION("""COMPUTED_VALUE"""),"B")</f>
        <v>B</v>
      </c>
      <c r="L309" s="4" t="str">
        <f ca="1">IFERROR(__xludf.DUMMYFUNCTION("""COMPUTED_VALUE"""),"A figura mostra o funcionamento de uma estação híbrida de geração de eletricidade movida a energia eólica e biogás. Essa estação possibilita que a energia gerada no parque eólica seja armazenada na forma de gás hidrogênio, usado no fornecimento de energia"&amp;" para a rede elétrica comum e para abastecer células a combustível.
Mesmo com ausência de ventos por curtos períodos, essa estação continua abastecendo a cidade onde está instalada, pois o(a)")</f>
        <v>A figura mostra o funcionamento de uma estação híbrida de geração de eletricidade movida a energia eólica e biogás. Essa estação possibilita que a energia gerada no parque eólica seja armazenada na forma de gás hidrogênio, usado no fornecimento de energia para a rede elétrica comum e para abastecer células a combustível.
Mesmo com ausência de ventos por curtos períodos, essa estação continua abastecendo a cidade onde está instalada, pois o(a)</v>
      </c>
      <c r="M309" s="4" t="str">
        <f ca="1">IFERROR(__xludf.DUMMYFUNCTION("""COMPUTED_VALUE"""),"planta mista de geração de energia realiza eletrólise para enviar energia à rede de distribuição elétrica.")</f>
        <v>planta mista de geração de energia realiza eletrólise para enviar energia à rede de distribuição elétrica.</v>
      </c>
      <c r="N309" s="4" t="str">
        <f ca="1">IFERROR(__xludf.DUMMYFUNCTION("""COMPUTED_VALUE"""),"hidrogênio produzido e armazenado é utilizado na combustão com o biogás para gerar calor e eletricidade.")</f>
        <v>hidrogênio produzido e armazenado é utilizado na combustão com o biogás para gerar calor e eletricidade.</v>
      </c>
      <c r="O309" s="4" t="str">
        <f ca="1">IFERROR(__xludf.DUMMYFUNCTION("""COMPUTED_VALUE"""),"conjunto de turbinas continua girando com a mesma velocidade, por inércia, mantendo a eficiência anterior.")</f>
        <v>conjunto de turbinas continua girando com a mesma velocidade, por inércia, mantendo a eficiência anterior.</v>
      </c>
      <c r="P309" s="4" t="str">
        <f ca="1">IFERROR(__xludf.DUMMYFUNCTION("""COMPUTED_VALUE"""),"combustão da mistura biogás-hidrogênio gera diretamente energia elétrica adicional para a manutenção da estação.")</f>
        <v>combustão da mistura biogás-hidrogênio gera diretamente energia elétrica adicional para a manutenção da estação.</v>
      </c>
      <c r="Q309" s="4" t="str">
        <f ca="1">IFERROR(__xludf.DUMMYFUNCTION("""COMPUTED_VALUE"""),"planta mista de geração de energia é capaz de utilizar todo o calor fornecido na combustão para a geração de eletricidade.")</f>
        <v>planta mista de geração de energia é capaz de utilizar todo o calor fornecido na combustão para a geração de eletricidade.</v>
      </c>
      <c r="R309" s="4"/>
      <c r="S309" s="4"/>
      <c r="T309" s="4"/>
      <c r="U309" s="4"/>
      <c r="V309" s="4"/>
      <c r="W309" s="4"/>
      <c r="X309" s="4"/>
      <c r="Y309" s="4"/>
      <c r="Z309" s="4"/>
    </row>
    <row r="310" spans="1:26" x14ac:dyDescent="0.25">
      <c r="A310" s="3" t="str">
        <f ca="1">IFERROR(__xludf.DUMMYFUNCTION("""COMPUTED_VALUE"""),"https://drive.google.com/open?id=1wD8QrHCgunKFas6QRVZKczA3iP2FHYu0")</f>
        <v>https://drive.google.com/open?id=1wD8QrHCgunKFas6QRVZKczA3iP2FHYu0</v>
      </c>
      <c r="B310" s="4" t="str">
        <f ca="1">IFERROR(__xludf.DUMMYFUNCTION("""COMPUTED_VALUE"""),"Enem")</f>
        <v>Enem</v>
      </c>
      <c r="C310" s="4">
        <f ca="1">IFERROR(__xludf.DUMMYFUNCTION("""COMPUTED_VALUE"""),2020)</f>
        <v>2020</v>
      </c>
      <c r="D310" s="4" t="str">
        <f ca="1">IFERROR(__xludf.DUMMYFUNCTION("""COMPUTED_VALUE"""),"Ciências da Natureza")</f>
        <v>Ciências da Natureza</v>
      </c>
      <c r="E310" s="4" t="str">
        <f ca="1">IFERROR(__xludf.DUMMYFUNCTION("""COMPUTED_VALUE"""),"Biologia")</f>
        <v>Biologia</v>
      </c>
      <c r="F310" s="4" t="str">
        <f ca="1">IFERROR(__xludf.DUMMYFUNCTION("""COMPUTED_VALUE"""),"Metabolismo Celular, Bioquímica e Genética")</f>
        <v>Metabolismo Celular, Bioquímica e Genética</v>
      </c>
      <c r="G310" s="4"/>
      <c r="H310" s="4"/>
      <c r="I310" s="4" t="str">
        <f ca="1">IFERROR(__xludf.DUMMYFUNCTION("""COMPUTED_VALUE"""),"Rosa")</f>
        <v>Rosa</v>
      </c>
      <c r="J310" s="4">
        <f ca="1">IFERROR(__xludf.DUMMYFUNCTION("""COMPUTED_VALUE"""),104)</f>
        <v>104</v>
      </c>
      <c r="K310" s="4" t="str">
        <f ca="1">IFERROR(__xludf.DUMMYFUNCTION("""COMPUTED_VALUE"""),"B")</f>
        <v>B</v>
      </c>
      <c r="L310" s="4" t="str">
        <f ca="1">IFERROR(__xludf.DUMMYFUNCTION("""COMPUTED_VALUE"""),"Instituições acadêmicas e de pesquisa no mundo estão inserindo genes em genomas
de plantas que possam codificar produtos de interesse farmacológico. No Brasil, está sendo
desenvolvida uma variedade de soja com um viricida ou microbicida capaz de prevenir "&amp;"a
contaminação pelo vírus causador da aids. Essa leguminosa está sendo induzida a produzir a
enzima cianovirina-N, que tem eficiência comprovada contra o vírus. 
A técnica para gerar essa leguminosa é um exemplo de")</f>
        <v>Instituições acadêmicas e de pesquisa no mundo estão inserindo genes em genomas
de plantas que possam codificar produtos de interesse farmacológico. No Brasil, está sendo
desenvolvida uma variedade de soja com um viricida ou microbicida capaz de prevenir a
contaminação pelo vírus causador da aids. Essa leguminosa está sendo induzida a produzir a
enzima cianovirina-N, que tem eficiência comprovada contra o vírus. 
A técnica para gerar essa leguminosa é um exemplo de</v>
      </c>
      <c r="M310" s="4" t="str">
        <f ca="1">IFERROR(__xludf.DUMMYFUNCTION("""COMPUTED_VALUE"""),"hibridismo.")</f>
        <v>hibridismo.</v>
      </c>
      <c r="N310" s="4" t="str">
        <f ca="1">IFERROR(__xludf.DUMMYFUNCTION("""COMPUTED_VALUE"""),"transgenia.")</f>
        <v>transgenia.</v>
      </c>
      <c r="O310" s="4" t="str">
        <f ca="1">IFERROR(__xludf.DUMMYFUNCTION("""COMPUTED_VALUE"""),"conjugação.")</f>
        <v>conjugação.</v>
      </c>
      <c r="P310" s="4" t="str">
        <f ca="1">IFERROR(__xludf.DUMMYFUNCTION("""COMPUTED_VALUE""")," terapia gênica.")</f>
        <v xml:space="preserve"> terapia gênica.</v>
      </c>
      <c r="Q310" s="4" t="str">
        <f ca="1">IFERROR(__xludf.DUMMYFUNCTION("""COMPUTED_VALUE""")," melhoramento genético.")</f>
        <v xml:space="preserve"> melhoramento genético.</v>
      </c>
      <c r="R310" s="4"/>
      <c r="S310" s="4"/>
      <c r="T310" s="4"/>
      <c r="U310" s="4"/>
      <c r="V310" s="4"/>
      <c r="W310" s="4"/>
      <c r="X310" s="4"/>
      <c r="Y310" s="4"/>
      <c r="Z310" s="4"/>
    </row>
    <row r="311" spans="1:26" x14ac:dyDescent="0.25">
      <c r="A311" s="3" t="str">
        <f ca="1">IFERROR(__xludf.DUMMYFUNCTION("""COMPUTED_VALUE"""),"https://drive.google.com/open?id=15Z2vUoZOsNHEdy_kjRhi8MU0CFtEstC6")</f>
        <v>https://drive.google.com/open?id=15Z2vUoZOsNHEdy_kjRhi8MU0CFtEstC6</v>
      </c>
      <c r="B311" s="4" t="str">
        <f ca="1">IFERROR(__xludf.DUMMYFUNCTION("""COMPUTED_VALUE"""),"Enem")</f>
        <v>Enem</v>
      </c>
      <c r="C311" s="4">
        <f ca="1">IFERROR(__xludf.DUMMYFUNCTION("""COMPUTED_VALUE"""),2020)</f>
        <v>2020</v>
      </c>
      <c r="D311" s="4" t="str">
        <f ca="1">IFERROR(__xludf.DUMMYFUNCTION("""COMPUTED_VALUE"""),"Ciências da Natureza")</f>
        <v>Ciências da Natureza</v>
      </c>
      <c r="E311" s="4" t="str">
        <f ca="1">IFERROR(__xludf.DUMMYFUNCTION("""COMPUTED_VALUE"""),"Biologia")</f>
        <v>Biologia</v>
      </c>
      <c r="F311" s="4" t="str">
        <f ca="1">IFERROR(__xludf.DUMMYFUNCTION("""COMPUTED_VALUE"""),"Botânica e Ecologia")</f>
        <v>Botânica e Ecologia</v>
      </c>
      <c r="G311" s="4"/>
      <c r="H311" s="4"/>
      <c r="I311" s="4" t="str">
        <f ca="1">IFERROR(__xludf.DUMMYFUNCTION("""COMPUTED_VALUE"""),"Rosa")</f>
        <v>Rosa</v>
      </c>
      <c r="J311" s="4">
        <f ca="1">IFERROR(__xludf.DUMMYFUNCTION("""COMPUTED_VALUE"""),105)</f>
        <v>105</v>
      </c>
      <c r="K311" s="4" t="str">
        <f ca="1">IFERROR(__xludf.DUMMYFUNCTION("""COMPUTED_VALUE"""),"A")</f>
        <v>A</v>
      </c>
      <c r="L311" s="4" t="str">
        <f ca="1">IFERROR(__xludf.DUMMYFUNCTION("""COMPUTED_VALUE"""),"Pesquisadores coletaram amostras de água de um rio em pontos diferentes, distantes
alguns quilômetros um do outro. Ao longo do rio, há locais de águas limpas, como também
locais que recebem descarga de esgoto de área urbana, e locais onde há decomposição
"&amp;"ativa com ausência de peixes. Os pesquisadores analisaram dois parâmetros: oxigênio
dissolvido (OD) e demanda bioquímica de oxigênio (DBO) em cada ponto de coleta de
água, obtendo o gráfico:
O OD é proveniente da atmosfera e da fotossíntese que ocorre no "&amp;"curso-d’água e
sua concentração é função das variáveis físicas, químicas e bioquímicas locais. A DBO
é a quantidade de oxigênio consumido por microrganismos em condições aeróbicas
para degradar uma determinada quantidade de matéria orgânica, durante um pe"&amp;"ríodo de
tempo, numa temperatura de incubação específica.
Qual ponto de amostragem da água do rio está mais próximo ao local em que o rio recebe
despejo de esgoto?")</f>
        <v>Pesquisadores coletaram amostras de água de um rio em pontos diferentes, distantes
alguns quilômetros um do outro. Ao longo do rio, há locais de águas limpas, como também
locais que recebem descarga de esgoto de área urbana, e locais onde há decomposição
ativa com ausência de peixes. Os pesquisadores analisaram dois parâmetros: oxigênio
dissolvido (OD) e demanda bioquímica de oxigênio (DBO) em cada ponto de coleta de
água, obtendo o gráfico:
O OD é proveniente da atmosfera e da fotossíntese que ocorre no curso-d’água e
sua concentração é função das variáveis físicas, químicas e bioquímicas locais. A DBO
é a quantidade de oxigênio consumido por microrganismos em condições aeróbicas
para degradar uma determinada quantidade de matéria orgânica, durante um período de
tempo, numa temperatura de incubação específica.
Qual ponto de amostragem da água do rio está mais próximo ao local em que o rio recebe
despejo de esgoto?</v>
      </c>
      <c r="M311" s="4" t="str">
        <f ca="1">IFERROR(__xludf.DUMMYFUNCTION("""COMPUTED_VALUE"""),"1")</f>
        <v>1</v>
      </c>
      <c r="N311" s="4" t="str">
        <f ca="1">IFERROR(__xludf.DUMMYFUNCTION("""COMPUTED_VALUE"""),"2")</f>
        <v>2</v>
      </c>
      <c r="O311" s="4" t="str">
        <f ca="1">IFERROR(__xludf.DUMMYFUNCTION("""COMPUTED_VALUE"""),"3")</f>
        <v>3</v>
      </c>
      <c r="P311" s="4" t="str">
        <f ca="1">IFERROR(__xludf.DUMMYFUNCTION("""COMPUTED_VALUE"""),"4")</f>
        <v>4</v>
      </c>
      <c r="Q311" s="4" t="str">
        <f ca="1">IFERROR(__xludf.DUMMYFUNCTION("""COMPUTED_VALUE"""),"5")</f>
        <v>5</v>
      </c>
      <c r="R311" s="4"/>
      <c r="S311" s="4"/>
      <c r="T311" s="4"/>
      <c r="U311" s="4"/>
      <c r="V311" s="4"/>
      <c r="W311" s="4"/>
      <c r="X311" s="4"/>
      <c r="Y311" s="4"/>
      <c r="Z311" s="4"/>
    </row>
    <row r="312" spans="1:26" x14ac:dyDescent="0.25">
      <c r="A312" s="3" t="str">
        <f ca="1">IFERROR(__xludf.DUMMYFUNCTION("""COMPUTED_VALUE"""),"https://drive.google.com/open?id=1wTL42_lQj4JtAFjh7EPsM_Cj3-P98zLq")</f>
        <v>https://drive.google.com/open?id=1wTL42_lQj4JtAFjh7EPsM_Cj3-P98zLq</v>
      </c>
      <c r="B312" s="4" t="str">
        <f ca="1">IFERROR(__xludf.DUMMYFUNCTION("""COMPUTED_VALUE"""),"Enem")</f>
        <v>Enem</v>
      </c>
      <c r="C312" s="4">
        <f ca="1">IFERROR(__xludf.DUMMYFUNCTION("""COMPUTED_VALUE"""),2020)</f>
        <v>2020</v>
      </c>
      <c r="D312" s="4" t="str">
        <f ca="1">IFERROR(__xludf.DUMMYFUNCTION("""COMPUTED_VALUE"""),"Ciências da Natureza")</f>
        <v>Ciências da Natureza</v>
      </c>
      <c r="E312" s="4" t="str">
        <f ca="1">IFERROR(__xludf.DUMMYFUNCTION("""COMPUTED_VALUE"""),"Biologia")</f>
        <v>Biologia</v>
      </c>
      <c r="F312" s="4" t="str">
        <f ca="1">IFERROR(__xludf.DUMMYFUNCTION("""COMPUTED_VALUE"""),"Metabolismo Celular, Bioquímica e Genética")</f>
        <v>Metabolismo Celular, Bioquímica e Genética</v>
      </c>
      <c r="G312" s="4"/>
      <c r="H312" s="4"/>
      <c r="I312" s="4" t="str">
        <f ca="1">IFERROR(__xludf.DUMMYFUNCTION("""COMPUTED_VALUE"""),"Rosa")</f>
        <v>Rosa</v>
      </c>
      <c r="J312" s="4">
        <f ca="1">IFERROR(__xludf.DUMMYFUNCTION("""COMPUTED_VALUE"""),107)</f>
        <v>107</v>
      </c>
      <c r="K312" s="4" t="str">
        <f ca="1">IFERROR(__xludf.DUMMYFUNCTION("""COMPUTED_VALUE"""),"E")</f>
        <v>E</v>
      </c>
      <c r="L312" s="4" t="str">
        <f ca="1">IFERROR(__xludf.DUMMYFUNCTION("""COMPUTED_VALUE"""),"Em uma aula sobre metabolismo energético, foi apresentado um experimento
clássico realizado por Engelmann. Um recipiente contendo bactérias aeróbias e uma
alga verde filamentosa foi submetido à iluminação de uma fonte de luz, representada
pelo microespect"&amp;"ro. Após a explicação, um aluno esquematizou na lousa o resultado do
referido experimento.
Considerando a figura, a faixa do microespectro em que a alga possui maior taxa de
realização fotossintética é a do:")</f>
        <v>Em uma aula sobre metabolismo energético, foi apresentado um experimento
clássico realizado por Engelmann. Um recipiente contendo bactérias aeróbias e uma
alga verde filamentosa foi submetido à iluminação de uma fonte de luz, representada
pelo microespectro. Após a explicação, um aluno esquematizou na lousa o resultado do
referido experimento.
Considerando a figura, a faixa do microespectro em que a alga possui maior taxa de
realização fotossintética é a do:</v>
      </c>
      <c r="M312" s="4" t="str">
        <f ca="1">IFERROR(__xludf.DUMMYFUNCTION("""COMPUTED_VALUE""")," Anil.")</f>
        <v xml:space="preserve"> Anil.</v>
      </c>
      <c r="N312" s="4" t="str">
        <f ca="1">IFERROR(__xludf.DUMMYFUNCTION("""COMPUTED_VALUE"""),"Verde.")</f>
        <v>Verde.</v>
      </c>
      <c r="O312" s="4" t="str">
        <f ca="1">IFERROR(__xludf.DUMMYFUNCTION("""COMPUTED_VALUE""")," Violeta.")</f>
        <v xml:space="preserve"> Violeta.</v>
      </c>
      <c r="P312" s="4" t="str">
        <f ca="1">IFERROR(__xludf.DUMMYFUNCTION("""COMPUTED_VALUE""")," Amarelo.")</f>
        <v xml:space="preserve"> Amarelo.</v>
      </c>
      <c r="Q312" s="4" t="str">
        <f ca="1">IFERROR(__xludf.DUMMYFUNCTION("""COMPUTED_VALUE"""),"Vermelho.")</f>
        <v>Vermelho.</v>
      </c>
      <c r="R312" s="4"/>
      <c r="S312" s="4"/>
      <c r="T312" s="4"/>
      <c r="U312" s="4"/>
      <c r="V312" s="4"/>
      <c r="W312" s="4"/>
      <c r="X312" s="4"/>
      <c r="Y312" s="4"/>
      <c r="Z312" s="4"/>
    </row>
    <row r="313" spans="1:26" x14ac:dyDescent="0.25">
      <c r="A313" s="3" t="str">
        <f ca="1">IFERROR(__xludf.DUMMYFUNCTION("""COMPUTED_VALUE"""),"https://drive.google.com/open?id=1jjYW7kFxMgwvTSuovfYw7CzBtVQyapYN")</f>
        <v>https://drive.google.com/open?id=1jjYW7kFxMgwvTSuovfYw7CzBtVQyapYN</v>
      </c>
      <c r="B313" s="4" t="str">
        <f ca="1">IFERROR(__xludf.DUMMYFUNCTION("""COMPUTED_VALUE"""),"Enem")</f>
        <v>Enem</v>
      </c>
      <c r="C313" s="4">
        <f ca="1">IFERROR(__xludf.DUMMYFUNCTION("""COMPUTED_VALUE"""),2020)</f>
        <v>2020</v>
      </c>
      <c r="D313" s="4" t="str">
        <f ca="1">IFERROR(__xludf.DUMMYFUNCTION("""COMPUTED_VALUE"""),"Ciências da Natureza")</f>
        <v>Ciências da Natureza</v>
      </c>
      <c r="E313" s="4" t="str">
        <f ca="1">IFERROR(__xludf.DUMMYFUNCTION("""COMPUTED_VALUE"""),"Biologia")</f>
        <v>Biologia</v>
      </c>
      <c r="F313" s="4" t="str">
        <f ca="1">IFERROR(__xludf.DUMMYFUNCTION("""COMPUTED_VALUE"""),"Botânica e Ecologia")</f>
        <v>Botânica e Ecologia</v>
      </c>
      <c r="G313" s="4"/>
      <c r="H313" s="4"/>
      <c r="I313" s="4" t="str">
        <f ca="1">IFERROR(__xludf.DUMMYFUNCTION("""COMPUTED_VALUE"""),"Rosa")</f>
        <v>Rosa</v>
      </c>
      <c r="J313" s="4">
        <f ca="1">IFERROR(__xludf.DUMMYFUNCTION("""COMPUTED_VALUE"""),109)</f>
        <v>109</v>
      </c>
      <c r="K313" s="4" t="str">
        <f ca="1">IFERROR(__xludf.DUMMYFUNCTION("""COMPUTED_VALUE"""),"C")</f>
        <v>C</v>
      </c>
      <c r="L313" s="4" t="str">
        <f ca="1">IFERROR(__xludf.DUMMYFUNCTION("""COMPUTED_VALUE"""),"Plantas pioneiras são as que iniciam o processo natural de cicatrização de uma
área desprovida de vegetação. Em geral, têm pequeno porte e crescem muito rápido,
desenvolvem-se a pleno sol e são pouco exigentes quanto às condições do solo.
Produzem grande "&amp;"quantidade de sementes e possuem ciclo de vida curto.
Essas plantas são importantes em um projeto de restauração ambiental, pois promovem,
no solo,")</f>
        <v>Plantas pioneiras são as que iniciam o processo natural de cicatrização de uma
área desprovida de vegetação. Em geral, têm pequeno porte e crescem muito rápido,
desenvolvem-se a pleno sol e são pouco exigentes quanto às condições do solo.
Produzem grande quantidade de sementes e possuem ciclo de vida curto.
Essas plantas são importantes em um projeto de restauração ambiental, pois promovem,
no solo,</v>
      </c>
      <c r="M313" s="4" t="str">
        <f ca="1">IFERROR(__xludf.DUMMYFUNCTION("""COMPUTED_VALUE""")," aumento da incidência de luz solar.")</f>
        <v xml:space="preserve"> aumento da incidência de luz solar.</v>
      </c>
      <c r="N313" s="4" t="str">
        <f ca="1">IFERROR(__xludf.DUMMYFUNCTION("""COMPUTED_VALUE""")," diminuição da absorção de água.")</f>
        <v xml:space="preserve"> diminuição da absorção de água.</v>
      </c>
      <c r="O313" s="4" t="str">
        <f ca="1">IFERROR(__xludf.DUMMYFUNCTION("""COMPUTED_VALUE""")," estabilização da umidade.")</f>
        <v xml:space="preserve"> estabilização da umidade.</v>
      </c>
      <c r="P313" s="4" t="str">
        <f ca="1">IFERROR(__xludf.DUMMYFUNCTION("""COMPUTED_VALUE""")," elevação de temperatura.")</f>
        <v xml:space="preserve"> elevação de temperatura.</v>
      </c>
      <c r="Q313" s="4" t="str">
        <f ca="1">IFERROR(__xludf.DUMMYFUNCTION("""COMPUTED_VALUE""")," liberação de oxigênio.")</f>
        <v xml:space="preserve"> liberação de oxigênio.</v>
      </c>
      <c r="R313" s="4"/>
      <c r="S313" s="4"/>
      <c r="T313" s="4"/>
      <c r="U313" s="4"/>
      <c r="V313" s="4"/>
      <c r="W313" s="4"/>
      <c r="X313" s="4"/>
      <c r="Y313" s="4"/>
      <c r="Z313" s="4"/>
    </row>
    <row r="314" spans="1:26" x14ac:dyDescent="0.25">
      <c r="A314" s="3" t="str">
        <f ca="1">IFERROR(__xludf.DUMMYFUNCTION("""COMPUTED_VALUE"""),"https://drive.google.com/open?id=1XEvsOrE_USGvdMvIqeffV6EWSlpDiVOt")</f>
        <v>https://drive.google.com/open?id=1XEvsOrE_USGvdMvIqeffV6EWSlpDiVOt</v>
      </c>
      <c r="B314" s="4" t="str">
        <f ca="1">IFERROR(__xludf.DUMMYFUNCTION("""COMPUTED_VALUE"""),"Enem")</f>
        <v>Enem</v>
      </c>
      <c r="C314" s="4">
        <f ca="1">IFERROR(__xludf.DUMMYFUNCTION("""COMPUTED_VALUE"""),2020)</f>
        <v>2020</v>
      </c>
      <c r="D314" s="4" t="str">
        <f ca="1">IFERROR(__xludf.DUMMYFUNCTION("""COMPUTED_VALUE"""),"Ciências da Natureza")</f>
        <v>Ciências da Natureza</v>
      </c>
      <c r="E314" s="4" t="str">
        <f ca="1">IFERROR(__xludf.DUMMYFUNCTION("""COMPUTED_VALUE"""),"Biologia")</f>
        <v>Biologia</v>
      </c>
      <c r="F314" s="4" t="str">
        <f ca="1">IFERROR(__xludf.DUMMYFUNCTION("""COMPUTED_VALUE"""),"Metabolismo Celular, Bioquímica e Genética")</f>
        <v>Metabolismo Celular, Bioquímica e Genética</v>
      </c>
      <c r="G314" s="4"/>
      <c r="H314" s="4"/>
      <c r="I314" s="4" t="str">
        <f ca="1">IFERROR(__xludf.DUMMYFUNCTION("""COMPUTED_VALUE"""),"Rosa")</f>
        <v>Rosa</v>
      </c>
      <c r="J314" s="4">
        <f ca="1">IFERROR(__xludf.DUMMYFUNCTION("""COMPUTED_VALUE"""),111)</f>
        <v>111</v>
      </c>
      <c r="K314" s="4" t="str">
        <f ca="1">IFERROR(__xludf.DUMMYFUNCTION("""COMPUTED_VALUE"""),"B")</f>
        <v>B</v>
      </c>
      <c r="L314" s="4" t="str">
        <f ca="1">IFERROR(__xludf.DUMMYFUNCTION("""COMPUTED_VALUE"""),"Em uma pesquisa estão sendo testados cinco quimioterápicos quanto à sua
capacidade antitumoral. No entanto, para o tratamento de pacientes, sabe-se que
é necessário verificar também o quanto cada composto agride células normais. Para
o experimento, partiu"&amp;"-se de cultivos de células tumorais (colunas escuras na figura)
e células normais (colunas claras) com o mesmo número de células iniciais. Dois
grupos-controle não receberam quimioterápicos: controle de células tumorais (CT) e
de células normais (CN). As "&amp;"colunas I, II, III, IV e V correspondem aos grupos tratados
com os cinco compostos. O número de células viáveis após os tratamentos está
representado pelas colunas.
Qual quimioterápico deve ser escolhido para tratamento desse tipo de tumor?")</f>
        <v>Em uma pesquisa estão sendo testados cinco quimioterápicos quanto à sua
capacidade antitumoral. No entanto, para o tratamento de pacientes, sabe-se que
é necessário verificar também o quanto cada composto agride células normais. Para
o experimento, partiu-se de cultivos de células tumorais (colunas escuras na figura)
e células normais (colunas claras) com o mesmo número de células iniciais. Dois
grupos-controle não receberam quimioterápicos: controle de células tumorais (CT) e
de células normais (CN). As colunas I, II, III, IV e V correspondem aos grupos tratados
com os cinco compostos. O número de células viáveis após os tratamentos está
representado pelas colunas.
Qual quimioterápico deve ser escolhido para tratamento desse tipo de tumor?</v>
      </c>
      <c r="M314" s="4" t="str">
        <f ca="1">IFERROR(__xludf.DUMMYFUNCTION("""COMPUTED_VALUE"""),"I.")</f>
        <v>I.</v>
      </c>
      <c r="N314" s="4" t="str">
        <f ca="1">IFERROR(__xludf.DUMMYFUNCTION("""COMPUTED_VALUE"""),"II.")</f>
        <v>II.</v>
      </c>
      <c r="O314" s="4" t="str">
        <f ca="1">IFERROR(__xludf.DUMMYFUNCTION("""COMPUTED_VALUE"""),"III.")</f>
        <v>III.</v>
      </c>
      <c r="P314" s="4" t="str">
        <f ca="1">IFERROR(__xludf.DUMMYFUNCTION("""COMPUTED_VALUE"""),"IV.")</f>
        <v>IV.</v>
      </c>
      <c r="Q314" s="4" t="str">
        <f ca="1">IFERROR(__xludf.DUMMYFUNCTION("""COMPUTED_VALUE"""),"V.")</f>
        <v>V.</v>
      </c>
      <c r="R314" s="4"/>
      <c r="S314" s="4"/>
      <c r="T314" s="4"/>
      <c r="U314" s="4"/>
      <c r="V314" s="4"/>
      <c r="W314" s="4"/>
      <c r="X314" s="4"/>
      <c r="Y314" s="4"/>
      <c r="Z314" s="4"/>
    </row>
    <row r="315" spans="1:26" x14ac:dyDescent="0.25">
      <c r="A315" s="3" t="str">
        <f ca="1">IFERROR(__xludf.DUMMYFUNCTION("""COMPUTED_VALUE"""),"https://drive.google.com/open?id=1S4cQrdBj1brZkel4WR-X13tn0YzHQvzS")</f>
        <v>https://drive.google.com/open?id=1S4cQrdBj1brZkel4WR-X13tn0YzHQvzS</v>
      </c>
      <c r="B315" s="4" t="str">
        <f ca="1">IFERROR(__xludf.DUMMYFUNCTION("""COMPUTED_VALUE"""),"Enem")</f>
        <v>Enem</v>
      </c>
      <c r="C315" s="4">
        <f ca="1">IFERROR(__xludf.DUMMYFUNCTION("""COMPUTED_VALUE"""),2020)</f>
        <v>2020</v>
      </c>
      <c r="D315" s="4" t="str">
        <f ca="1">IFERROR(__xludf.DUMMYFUNCTION("""COMPUTED_VALUE"""),"Ciências da Natureza")</f>
        <v>Ciências da Natureza</v>
      </c>
      <c r="E315" s="4" t="str">
        <f ca="1">IFERROR(__xludf.DUMMYFUNCTION("""COMPUTED_VALUE"""),"Biologia")</f>
        <v>Biologia</v>
      </c>
      <c r="F315" s="4" t="str">
        <f ca="1">IFERROR(__xludf.DUMMYFUNCTION("""COMPUTED_VALUE"""),"Fisiologia Animal e Origem da Vida")</f>
        <v>Fisiologia Animal e Origem da Vida</v>
      </c>
      <c r="G315" s="4" t="str">
        <f ca="1">IFERROR(__xludf.DUMMYFUNCTION("""COMPUTED_VALUE"""),"Mecânica")</f>
        <v>Mecânica</v>
      </c>
      <c r="H315" s="4"/>
      <c r="I315" s="4" t="str">
        <f ca="1">IFERROR(__xludf.DUMMYFUNCTION("""COMPUTED_VALUE"""),"Rosa")</f>
        <v>Rosa</v>
      </c>
      <c r="J315" s="4">
        <f ca="1">IFERROR(__xludf.DUMMYFUNCTION("""COMPUTED_VALUE"""),112)</f>
        <v>112</v>
      </c>
      <c r="K315" s="4" t="str">
        <f ca="1">IFERROR(__xludf.DUMMYFUNCTION("""COMPUTED_VALUE"""),"C")</f>
        <v>C</v>
      </c>
      <c r="L315" s="4" t="str">
        <f ca="1">IFERROR(__xludf.DUMMYFUNCTION("""COMPUTED_VALUE"""),"O exame parasitológico de fezes é utilizado para detectar ovos de parasitos. Um dos
métodos utilizados, denominado de centrífugo-flutuação, considera a densidade dos
ovos em relação a uma solução de densidade 1,15 g mL−1. Assim, ovos que flutuam na
superf"&amp;"ície dessa solução são detectados. Os dados de densidade dos ovos de alguns
parasitos estão apresentados na tabela.
Considerando-se a densidade dos ovos e da solução, ovos de quais parasitos podem ser
detectados por esse método?")</f>
        <v>O exame parasitológico de fezes é utilizado para detectar ovos de parasitos. Um dos
métodos utilizados, denominado de centrífugo-flutuação, considera a densidade dos
ovos em relação a uma solução de densidade 1,15 g mL−1. Assim, ovos que flutuam na
superfície dessa solução são detectados. Os dados de densidade dos ovos de alguns
parasitos estão apresentados na tabela.
Considerando-se a densidade dos ovos e da solução, ovos de quais parasitos podem ser
detectados por esse método?</v>
      </c>
      <c r="M315" s="4" t="str">
        <f ca="1">IFERROR(__xludf.DUMMYFUNCTION("""COMPUTED_VALUE""")," A. lumbricoides, A. suum e S. mansoni.")</f>
        <v xml:space="preserve"> A. lumbricoides, A. suum e S. mansoni.</v>
      </c>
      <c r="N315" s="4" t="str">
        <f ca="1">IFERROR(__xludf.DUMMYFUNCTION("""COMPUTED_VALUE"""),"S. mansoni, T. saginata e Ancylostoma.")</f>
        <v>S. mansoni, T. saginata e Ancylostoma.</v>
      </c>
      <c r="O315" s="4" t="str">
        <f ca="1">IFERROR(__xludf.DUMMYFUNCTION("""COMPUTED_VALUE""")," Ancylostoma, A. lumbricoides e A. suum.")</f>
        <v xml:space="preserve"> Ancylostoma, A. lumbricoides e A. suum.</v>
      </c>
      <c r="P315" s="4" t="str">
        <f ca="1">IFERROR(__xludf.DUMMYFUNCTION("""COMPUTED_VALUE"""),"T. saginata, S. mansoni e A. lumbricoides.")</f>
        <v>T. saginata, S. mansoni e A. lumbricoides.</v>
      </c>
      <c r="Q315" s="4" t="str">
        <f ca="1">IFERROR(__xludf.DUMMYFUNCTION("""COMPUTED_VALUE"""),"A. lumbricoides, A. suum e T. saginata.")</f>
        <v>A. lumbricoides, A. suum e T. saginata.</v>
      </c>
      <c r="R315" s="4"/>
      <c r="S315" s="4"/>
      <c r="T315" s="4"/>
      <c r="U315" s="4"/>
      <c r="V315" s="4"/>
      <c r="W315" s="4"/>
      <c r="X315" s="4"/>
      <c r="Y315" s="4"/>
      <c r="Z315" s="4"/>
    </row>
    <row r="316" spans="1:26" x14ac:dyDescent="0.25">
      <c r="A316" s="3" t="str">
        <f ca="1">IFERROR(__xludf.DUMMYFUNCTION("""COMPUTED_VALUE"""),"https://drive.google.com/open?id=1YWkjNyrLm9-ATJWV3JPIRmWe8MZpisSf")</f>
        <v>https://drive.google.com/open?id=1YWkjNyrLm9-ATJWV3JPIRmWe8MZpisSf</v>
      </c>
      <c r="B316" s="4" t="str">
        <f ca="1">IFERROR(__xludf.DUMMYFUNCTION("""COMPUTED_VALUE"""),"Enem")</f>
        <v>Enem</v>
      </c>
      <c r="C316" s="4">
        <f ca="1">IFERROR(__xludf.DUMMYFUNCTION("""COMPUTED_VALUE"""),2020)</f>
        <v>2020</v>
      </c>
      <c r="D316" s="4" t="str">
        <f ca="1">IFERROR(__xludf.DUMMYFUNCTION("""COMPUTED_VALUE"""),"Ciências da Natureza")</f>
        <v>Ciências da Natureza</v>
      </c>
      <c r="E316" s="4" t="str">
        <f ca="1">IFERROR(__xludf.DUMMYFUNCTION("""COMPUTED_VALUE"""),"Biologia")</f>
        <v>Biologia</v>
      </c>
      <c r="F316" s="4" t="str">
        <f ca="1">IFERROR(__xludf.DUMMYFUNCTION("""COMPUTED_VALUE"""),"Metabolismo Celular, Bioquímica e Genética")</f>
        <v>Metabolismo Celular, Bioquímica e Genética</v>
      </c>
      <c r="G316" s="4" t="str">
        <f ca="1">IFERROR(__xludf.DUMMYFUNCTION("""COMPUTED_VALUE"""),"Química Geral")</f>
        <v>Química Geral</v>
      </c>
      <c r="H316" s="4"/>
      <c r="I316" s="4" t="str">
        <f ca="1">IFERROR(__xludf.DUMMYFUNCTION("""COMPUTED_VALUE"""),"Rosa")</f>
        <v>Rosa</v>
      </c>
      <c r="J316" s="4">
        <f ca="1">IFERROR(__xludf.DUMMYFUNCTION("""COMPUTED_VALUE"""),114)</f>
        <v>114</v>
      </c>
      <c r="K316" s="4" t="str">
        <f ca="1">IFERROR(__xludf.DUMMYFUNCTION("""COMPUTED_VALUE"""),"D")</f>
        <v>D</v>
      </c>
      <c r="L316" s="4" t="str">
        <f ca="1">IFERROR(__xludf.DUMMYFUNCTION("""COMPUTED_VALUE"""),"Em 2011, uma falha no processo de perfuração realizado por uma empresa petrolífera
ocasionou derramamento de petróleo na bacia hidrográfica de Campos, no Rio de Janeiro.
Os impactos decorrentes desse derramamento ocorrem porque os componentes do
petróleo")</f>
        <v>Em 2011, uma falha no processo de perfuração realizado por uma empresa petrolífera
ocasionou derramamento de petróleo na bacia hidrográfica de Campos, no Rio de Janeiro.
Os impactos decorrentes desse derramamento ocorrem porque os componentes do
petróleo</v>
      </c>
      <c r="M316" s="4" t="str">
        <f ca="1">IFERROR(__xludf.DUMMYFUNCTION("""COMPUTED_VALUE"""),"reagem com a água do mar e sofrem degradação, gerando compostos com elevada
toxicidade.")</f>
        <v>reagem com a água do mar e sofrem degradação, gerando compostos com elevada
toxicidade.</v>
      </c>
      <c r="N316" s="4" t="str">
        <f ca="1">IFERROR(__xludf.DUMMYFUNCTION("""COMPUTED_VALUE""")," acidificam o meio, promovendo o desgaste das conchas calcárias de moluscos e a
morte de corais.")</f>
        <v xml:space="preserve"> acidificam o meio, promovendo o desgaste das conchas calcárias de moluscos e a
morte de corais.</v>
      </c>
      <c r="O316" s="4" t="str">
        <f ca="1">IFERROR(__xludf.DUMMYFUNCTION("""COMPUTED_VALUE""")," dissolvem-se na água, causando a mortandade dos seres marinhos por ingestão da
água contaminada.")</f>
        <v xml:space="preserve"> dissolvem-se na água, causando a mortandade dos seres marinhos por ingestão da
água contaminada.</v>
      </c>
      <c r="P316" s="4" t="str">
        <f ca="1">IFERROR(__xludf.DUMMYFUNCTION("""COMPUTED_VALUE""")," têm caráter hidrofóbico e baixa densidade, impedindo as trocas gasosas entre o meio
aquático e a atmosfera.")</f>
        <v xml:space="preserve"> têm caráter hidrofóbico e baixa densidade, impedindo as trocas gasosas entre o meio
aquático e a atmosfera.</v>
      </c>
      <c r="Q316" s="4" t="str">
        <f ca="1">IFERROR(__xludf.DUMMYFUNCTION("""COMPUTED_VALUE"""),"têm cadeia pequena e elevada volatilidade, contaminando a atmosfera local e regional
em função dos ventos nas orlas marítimas.")</f>
        <v>têm cadeia pequena e elevada volatilidade, contaminando a atmosfera local e regional
em função dos ventos nas orlas marítimas.</v>
      </c>
      <c r="R316" s="4"/>
      <c r="S316" s="4"/>
      <c r="T316" s="4"/>
      <c r="U316" s="4"/>
      <c r="V316" s="4"/>
      <c r="W316" s="4"/>
      <c r="X316" s="4"/>
      <c r="Y316" s="4"/>
      <c r="Z316" s="4"/>
    </row>
    <row r="317" spans="1:26" x14ac:dyDescent="0.25">
      <c r="A317" s="3" t="str">
        <f ca="1">IFERROR(__xludf.DUMMYFUNCTION("""COMPUTED_VALUE"""),"https://drive.google.com/open?id=1MhOEhTdBbZTkc9vY2EkEv7_1Pf4zPdXB")</f>
        <v>https://drive.google.com/open?id=1MhOEhTdBbZTkc9vY2EkEv7_1Pf4zPdXB</v>
      </c>
      <c r="B317" s="4" t="str">
        <f ca="1">IFERROR(__xludf.DUMMYFUNCTION("""COMPUTED_VALUE"""),"Enem")</f>
        <v>Enem</v>
      </c>
      <c r="C317" s="4">
        <f ca="1">IFERROR(__xludf.DUMMYFUNCTION("""COMPUTED_VALUE"""),2020)</f>
        <v>2020</v>
      </c>
      <c r="D317" s="4" t="str">
        <f ca="1">IFERROR(__xludf.DUMMYFUNCTION("""COMPUTED_VALUE"""),"Ciências da Natureza")</f>
        <v>Ciências da Natureza</v>
      </c>
      <c r="E317" s="4" t="str">
        <f ca="1">IFERROR(__xludf.DUMMYFUNCTION("""COMPUTED_VALUE"""),"Biologia")</f>
        <v>Biologia</v>
      </c>
      <c r="F317" s="4" t="str">
        <f ca="1">IFERROR(__xludf.DUMMYFUNCTION("""COMPUTED_VALUE"""),"Metabolismo Celular, Bioquímica e Genética")</f>
        <v>Metabolismo Celular, Bioquímica e Genética</v>
      </c>
      <c r="G317" s="4"/>
      <c r="H317" s="4"/>
      <c r="I317" s="4" t="str">
        <f ca="1">IFERROR(__xludf.DUMMYFUNCTION("""COMPUTED_VALUE"""),"Rosa")</f>
        <v>Rosa</v>
      </c>
      <c r="J317" s="4">
        <f ca="1">IFERROR(__xludf.DUMMYFUNCTION("""COMPUTED_VALUE"""),115)</f>
        <v>115</v>
      </c>
      <c r="K317" s="4" t="str">
        <f ca="1">IFERROR(__xludf.DUMMYFUNCTION("""COMPUTED_VALUE"""),"D")</f>
        <v>D</v>
      </c>
      <c r="L317" s="4" t="str">
        <f ca="1">IFERROR(__xludf.DUMMYFUNCTION("""COMPUTED_VALUE"""),"Uma população encontra-se em equilíbrio genético quanto ao sistema ABO, em
que 25% dos indivíduos pertencem ao grupo O e 16%, ao grupo A homozigotos.
Considerando que: p = frequência de IA; q = frequência de IB; e r = frequência de i,
espera-se encontrar:"&amp;"
A porcentagem de doadores compatíveis para alguém do grupo B nessa população deve
ser de:")</f>
        <v>Uma população encontra-se em equilíbrio genético quanto ao sistema ABO, em
que 25% dos indivíduos pertencem ao grupo O e 16%, ao grupo A homozigotos.
Considerando que: p = frequência de IA; q = frequência de IB; e r = frequência de i,
espera-se encontrar:
A porcentagem de doadores compatíveis para alguém do grupo B nessa população deve
ser de:</v>
      </c>
      <c r="M317" s="4" t="str">
        <f ca="1">IFERROR(__xludf.DUMMYFUNCTION("""COMPUTED_VALUE""")," 11%.")</f>
        <v xml:space="preserve"> 11%.</v>
      </c>
      <c r="N317" s="4" t="str">
        <f ca="1">IFERROR(__xludf.DUMMYFUNCTION("""COMPUTED_VALUE""")," 19%.")</f>
        <v xml:space="preserve"> 19%.</v>
      </c>
      <c r="O317" s="4" t="str">
        <f ca="1">IFERROR(__xludf.DUMMYFUNCTION("""COMPUTED_VALUE"""),"26%.")</f>
        <v>26%.</v>
      </c>
      <c r="P317" s="4" t="str">
        <f ca="1">IFERROR(__xludf.DUMMYFUNCTION("""COMPUTED_VALUE""")," 36%.")</f>
        <v xml:space="preserve"> 36%.</v>
      </c>
      <c r="Q317" s="4" t="str">
        <f ca="1">IFERROR(__xludf.DUMMYFUNCTION("""COMPUTED_VALUE""")," 60%.")</f>
        <v xml:space="preserve"> 60%.</v>
      </c>
      <c r="R317" s="4"/>
      <c r="S317" s="4"/>
      <c r="T317" s="4"/>
      <c r="U317" s="4"/>
      <c r="V317" s="4"/>
      <c r="W317" s="4"/>
      <c r="X317" s="4"/>
      <c r="Y317" s="4"/>
      <c r="Z317" s="4"/>
    </row>
    <row r="318" spans="1:26" x14ac:dyDescent="0.25">
      <c r="A318" s="3" t="str">
        <f ca="1">IFERROR(__xludf.DUMMYFUNCTION("""COMPUTED_VALUE"""),"https://drive.google.com/open?id=1tCe1WLN_z764wLfuD8Az9vSWOn3ovHiP")</f>
        <v>https://drive.google.com/open?id=1tCe1WLN_z764wLfuD8Az9vSWOn3ovHiP</v>
      </c>
      <c r="B318" s="4" t="str">
        <f ca="1">IFERROR(__xludf.DUMMYFUNCTION("""COMPUTED_VALUE"""),"Enem")</f>
        <v>Enem</v>
      </c>
      <c r="C318" s="4">
        <f ca="1">IFERROR(__xludf.DUMMYFUNCTION("""COMPUTED_VALUE"""),2020)</f>
        <v>2020</v>
      </c>
      <c r="D318" s="4" t="str">
        <f ca="1">IFERROR(__xludf.DUMMYFUNCTION("""COMPUTED_VALUE"""),"Ciências da Natureza")</f>
        <v>Ciências da Natureza</v>
      </c>
      <c r="E318" s="4" t="str">
        <f ca="1">IFERROR(__xludf.DUMMYFUNCTION("""COMPUTED_VALUE"""),"Biologia")</f>
        <v>Biologia</v>
      </c>
      <c r="F318" s="4" t="str">
        <f ca="1">IFERROR(__xludf.DUMMYFUNCTION("""COMPUTED_VALUE"""),"Botânica e Ecologia")</f>
        <v>Botânica e Ecologia</v>
      </c>
      <c r="G318" s="4"/>
      <c r="H318" s="4"/>
      <c r="I318" s="4" t="str">
        <f ca="1">IFERROR(__xludf.DUMMYFUNCTION("""COMPUTED_VALUE"""),"Rosa")</f>
        <v>Rosa</v>
      </c>
      <c r="J318" s="4">
        <f ca="1">IFERROR(__xludf.DUMMYFUNCTION("""COMPUTED_VALUE"""),116)</f>
        <v>116</v>
      </c>
      <c r="K318" s="4" t="str">
        <f ca="1">IFERROR(__xludf.DUMMYFUNCTION("""COMPUTED_VALUE"""),"C")</f>
        <v>C</v>
      </c>
      <c r="L318" s="4" t="str">
        <f ca="1">IFERROR(__xludf.DUMMYFUNCTION("""COMPUTED_VALUE"""),"A fragmentação dos hábitats é caracterizada pela formação de ilhas da paisagem
original, circundadas por áreas transformadas. Esse tipo de interferência no ambiente
ameaça a biodiversidade. Imagine que uma população de onças foi isolada em uma mata
pequen"&amp;"a. Elas se extinguiriam mesmo sem terem sido abatidas. Diversos componentes da
ilha de hábitat, como o tamanho, a heterogeneidade, o seu entorno, a sua conectividade e
o efeito de borda são determinantes para a persistência ou não das espécies originais.
"&amp;"Uma medida que auxilia na conservação da biodiversidade nas ilhas mencionadas no
texto compreende a")</f>
        <v>A fragmentação dos hábitats é caracterizada pela formação de ilhas da paisagem
original, circundadas por áreas transformadas. Esse tipo de interferência no ambiente
ameaça a biodiversidade. Imagine que uma população de onças foi isolada em uma mata
pequena. Elas se extinguiriam mesmo sem terem sido abatidas. Diversos componentes da
ilha de hábitat, como o tamanho, a heterogeneidade, o seu entorno, a sua conectividade e
o efeito de borda são determinantes para a persistência ou não das espécies originais.
Uma medida que auxilia na conservação da biodiversidade nas ilhas mencionadas no
texto compreende a</v>
      </c>
      <c r="M318" s="4" t="str">
        <f ca="1">IFERROR(__xludf.DUMMYFUNCTION("""COMPUTED_VALUE"""),"formação de micro-hábitats.")</f>
        <v>formação de micro-hábitats.</v>
      </c>
      <c r="N318" s="4" t="str">
        <f ca="1">IFERROR(__xludf.DUMMYFUNCTION("""COMPUTED_VALUE""")," ampliação do efeito de borda.")</f>
        <v xml:space="preserve"> ampliação do efeito de borda.</v>
      </c>
      <c r="O318" s="4" t="str">
        <f ca="1">IFERROR(__xludf.DUMMYFUNCTION("""COMPUTED_VALUE""")," construção de corredores ecológicos.")</f>
        <v xml:space="preserve"> construção de corredores ecológicos.</v>
      </c>
      <c r="P318" s="4" t="str">
        <f ca="1">IFERROR(__xludf.DUMMYFUNCTION("""COMPUTED_VALUE""")," promoção da sucessão ecológica.")</f>
        <v xml:space="preserve"> promoção da sucessão ecológica.</v>
      </c>
      <c r="Q318" s="4" t="str">
        <f ca="1">IFERROR(__xludf.DUMMYFUNCTION("""COMPUTED_VALUE""")," introdução de novas espécies de animais e vegetais.")</f>
        <v xml:space="preserve"> introdução de novas espécies de animais e vegetais.</v>
      </c>
      <c r="R318" s="4"/>
      <c r="S318" s="4"/>
      <c r="T318" s="4"/>
      <c r="U318" s="4"/>
      <c r="V318" s="4"/>
      <c r="W318" s="4"/>
      <c r="X318" s="4"/>
      <c r="Y318" s="4"/>
      <c r="Z318" s="4"/>
    </row>
    <row r="319" spans="1:26" x14ac:dyDescent="0.25">
      <c r="A319" s="3" t="str">
        <f ca="1">IFERROR(__xludf.DUMMYFUNCTION("""COMPUTED_VALUE"""),"https://drive.google.com/open?id=1kHMiT8M0MIsV1qszciHeSUW2QVQ4fn4D")</f>
        <v>https://drive.google.com/open?id=1kHMiT8M0MIsV1qszciHeSUW2QVQ4fn4D</v>
      </c>
      <c r="B319" s="4" t="str">
        <f ca="1">IFERROR(__xludf.DUMMYFUNCTION("""COMPUTED_VALUE"""),"Enem")</f>
        <v>Enem</v>
      </c>
      <c r="C319" s="4">
        <f ca="1">IFERROR(__xludf.DUMMYFUNCTION("""COMPUTED_VALUE"""),2020)</f>
        <v>2020</v>
      </c>
      <c r="D319" s="4" t="str">
        <f ca="1">IFERROR(__xludf.DUMMYFUNCTION("""COMPUTED_VALUE"""),"Ciências da Natureza")</f>
        <v>Ciências da Natureza</v>
      </c>
      <c r="E319" s="4" t="str">
        <f ca="1">IFERROR(__xludf.DUMMYFUNCTION("""COMPUTED_VALUE"""),"Biologia")</f>
        <v>Biologia</v>
      </c>
      <c r="F319" s="4" t="str">
        <f ca="1">IFERROR(__xludf.DUMMYFUNCTION("""COMPUTED_VALUE"""),"Botânica e Ecologia")</f>
        <v>Botânica e Ecologia</v>
      </c>
      <c r="G319" s="4"/>
      <c r="H319" s="4"/>
      <c r="I319" s="4" t="str">
        <f ca="1">IFERROR(__xludf.DUMMYFUNCTION("""COMPUTED_VALUE"""),"Rosa")</f>
        <v>Rosa</v>
      </c>
      <c r="J319" s="4">
        <f ca="1">IFERROR(__xludf.DUMMYFUNCTION("""COMPUTED_VALUE"""),118)</f>
        <v>118</v>
      </c>
      <c r="K319" s="4" t="str">
        <f ca="1">IFERROR(__xludf.DUMMYFUNCTION("""COMPUTED_VALUE"""),"D")</f>
        <v>D</v>
      </c>
      <c r="L319" s="4" t="str">
        <f ca="1">IFERROR(__xludf.DUMMYFUNCTION("""COMPUTED_VALUE"""),"Grandes reservatórios de óleo leve de melhor qualidade e que produz petróleo mais
fino foram descobertos no litoral brasileiro numa camada denominada pré-sal, formada há
150 milhões de anos.
A utilização desse recurso energético acarreta para o ambiente u"&amp;"m desequilíbrio no ciclo do")</f>
        <v>Grandes reservatórios de óleo leve de melhor qualidade e que produz petróleo mais
fino foram descobertos no litoral brasileiro numa camada denominada pré-sal, formada há
150 milhões de anos.
A utilização desse recurso energético acarreta para o ambiente um desequilíbrio no ciclo do</v>
      </c>
      <c r="M319" s="4" t="str">
        <f ca="1">IFERROR(__xludf.DUMMYFUNCTION("""COMPUTED_VALUE"""),"nitrogênio, devido à nitrificação ambiental transformando amônia em nitrito.")</f>
        <v>nitrogênio, devido à nitrificação ambiental transformando amônia em nitrito.</v>
      </c>
      <c r="N319" s="4" t="str">
        <f ca="1">IFERROR(__xludf.DUMMYFUNCTION("""COMPUTED_VALUE"""),"nitrogênio, devido ao aumento dos compostos nitrogenados no ambiente terrestre.")</f>
        <v>nitrogênio, devido ao aumento dos compostos nitrogenados no ambiente terrestre.</v>
      </c>
      <c r="O319" s="4" t="str">
        <f ca="1">IFERROR(__xludf.DUMMYFUNCTION("""COMPUTED_VALUE"""),"carbono, devido ao aumento dos carbonatos dissolvidos no ambiente marinho.")</f>
        <v>carbono, devido ao aumento dos carbonatos dissolvidos no ambiente marinho.</v>
      </c>
      <c r="P319" s="4" t="str">
        <f ca="1">IFERROR(__xludf.DUMMYFUNCTION("""COMPUTED_VALUE"""),"carbono, devido à liberação das cadeias carbônicas aprisionadas abaixo dos
sedimentos.")</f>
        <v>carbono, devido à liberação das cadeias carbônicas aprisionadas abaixo dos
sedimentos.</v>
      </c>
      <c r="Q319" s="4" t="str">
        <f ca="1">IFERROR(__xludf.DUMMYFUNCTION("""COMPUTED_VALUE""")," fósforo, devido à liberação dos fosfatos acumulados no ambiente marinho.")</f>
        <v xml:space="preserve"> fósforo, devido à liberação dos fosfatos acumulados no ambiente marinho.</v>
      </c>
      <c r="R319" s="4"/>
      <c r="S319" s="4"/>
      <c r="T319" s="4"/>
      <c r="U319" s="4"/>
      <c r="V319" s="4"/>
      <c r="W319" s="4"/>
      <c r="X319" s="4"/>
      <c r="Y319" s="4"/>
      <c r="Z319" s="4"/>
    </row>
    <row r="320" spans="1:26" x14ac:dyDescent="0.25">
      <c r="A320" s="3" t="str">
        <f ca="1">IFERROR(__xludf.DUMMYFUNCTION("""COMPUTED_VALUE"""),"https://drive.google.com/open?id=1Qk5enES8-H4MXmz8yOsN8fjvxq2Qa5dn")</f>
        <v>https://drive.google.com/open?id=1Qk5enES8-H4MXmz8yOsN8fjvxq2Qa5dn</v>
      </c>
      <c r="B320" s="4" t="str">
        <f ca="1">IFERROR(__xludf.DUMMYFUNCTION("""COMPUTED_VALUE"""),"Enem")</f>
        <v>Enem</v>
      </c>
      <c r="C320" s="4">
        <f ca="1">IFERROR(__xludf.DUMMYFUNCTION("""COMPUTED_VALUE"""),2020)</f>
        <v>2020</v>
      </c>
      <c r="D320" s="4" t="str">
        <f ca="1">IFERROR(__xludf.DUMMYFUNCTION("""COMPUTED_VALUE"""),"Ciências da Natureza")</f>
        <v>Ciências da Natureza</v>
      </c>
      <c r="E320" s="4" t="str">
        <f ca="1">IFERROR(__xludf.DUMMYFUNCTION("""COMPUTED_VALUE"""),"Biologia")</f>
        <v>Biologia</v>
      </c>
      <c r="F320" s="4" t="str">
        <f ca="1">IFERROR(__xludf.DUMMYFUNCTION("""COMPUTED_VALUE"""),"Fisiologia Animal e Origem da Vida")</f>
        <v>Fisiologia Animal e Origem da Vida</v>
      </c>
      <c r="G320" s="4" t="str">
        <f ca="1">IFERROR(__xludf.DUMMYFUNCTION("""COMPUTED_VALUE"""),"Metabolismo Celular, Bioquímica e Genética")</f>
        <v>Metabolismo Celular, Bioquímica e Genética</v>
      </c>
      <c r="H320" s="4"/>
      <c r="I320" s="4" t="str">
        <f ca="1">IFERROR(__xludf.DUMMYFUNCTION("""COMPUTED_VALUE"""),"Rosa")</f>
        <v>Rosa</v>
      </c>
      <c r="J320" s="4">
        <f ca="1">IFERROR(__xludf.DUMMYFUNCTION("""COMPUTED_VALUE"""),122)</f>
        <v>122</v>
      </c>
      <c r="K320" s="4" t="str">
        <f ca="1">IFERROR(__xludf.DUMMYFUNCTION("""COMPUTED_VALUE"""),"E")</f>
        <v>E</v>
      </c>
      <c r="L320" s="4" t="str">
        <f ca="1">IFERROR(__xludf.DUMMYFUNCTION("""COMPUTED_VALUE"""),"Grupos de proteção ao meio ambiente conseguem resgatar muitas aves aquáticas
vítimas de vazamentos de petróleo. Essas aves são lavadas com água e detergente
neutro para a retirada completa do óleo de seu corpo e, posteriormente, são aquecidas,
medicadas, "&amp;"desintoxicadas e alimentadas. Mesmo após esses cuidados, o retorno ao
ambiente não pode ser imediato, pois elas precisam recuperar a capacidade de flutuação.
Para flutuar, essas aves precisam
")</f>
        <v xml:space="preserve">Grupos de proteção ao meio ambiente conseguem resgatar muitas aves aquáticas
vítimas de vazamentos de petróleo. Essas aves são lavadas com água e detergente
neutro para a retirada completa do óleo de seu corpo e, posteriormente, são aquecidas,
medicadas, desintoxicadas e alimentadas. Mesmo após esses cuidados, o retorno ao
ambiente não pode ser imediato, pois elas precisam recuperar a capacidade de flutuação.
Para flutuar, essas aves precisam
</v>
      </c>
      <c r="M320" s="4" t="str">
        <f ca="1">IFERROR(__xludf.DUMMYFUNCTION("""COMPUTED_VALUE"""),"recuperar o tônus muscular.")</f>
        <v>recuperar o tônus muscular.</v>
      </c>
      <c r="N320" s="4" t="str">
        <f ca="1">IFERROR(__xludf.DUMMYFUNCTION("""COMPUTED_VALUE""")," restaurar a massa corporal.")</f>
        <v xml:space="preserve"> restaurar a massa corporal.</v>
      </c>
      <c r="O320" s="4" t="str">
        <f ca="1">IFERROR(__xludf.DUMMYFUNCTION("""COMPUTED_VALUE""")," substituir as penas danificadas.")</f>
        <v xml:space="preserve"> substituir as penas danificadas.</v>
      </c>
      <c r="P320" s="4" t="str">
        <f ca="1">IFERROR(__xludf.DUMMYFUNCTION("""COMPUTED_VALUE"""),"restabelecer a capacidade de homeotermia.")</f>
        <v>restabelecer a capacidade de homeotermia.</v>
      </c>
      <c r="Q320" s="4" t="str">
        <f ca="1">IFERROR(__xludf.DUMMYFUNCTION("""COMPUTED_VALUE"""),"refazer a camada de cera impermeabilizante das penas.")</f>
        <v>refazer a camada de cera impermeabilizante das penas.</v>
      </c>
      <c r="R320" s="4"/>
      <c r="S320" s="4"/>
      <c r="T320" s="4"/>
      <c r="U320" s="4"/>
      <c r="V320" s="4"/>
      <c r="W320" s="4"/>
      <c r="X320" s="4"/>
      <c r="Y320" s="4"/>
      <c r="Z320" s="4"/>
    </row>
    <row r="321" spans="1:26" x14ac:dyDescent="0.25">
      <c r="A321" s="3" t="str">
        <f ca="1">IFERROR(__xludf.DUMMYFUNCTION("""COMPUTED_VALUE"""),"https://drive.google.com/open?id=1WO6FE24E_G6ZTj1LIhfYyv5Ep2MdZhCS")</f>
        <v>https://drive.google.com/open?id=1WO6FE24E_G6ZTj1LIhfYyv5Ep2MdZhCS</v>
      </c>
      <c r="B321" s="4" t="str">
        <f ca="1">IFERROR(__xludf.DUMMYFUNCTION("""COMPUTED_VALUE"""),"Enem")</f>
        <v>Enem</v>
      </c>
      <c r="C321" s="4">
        <f ca="1">IFERROR(__xludf.DUMMYFUNCTION("""COMPUTED_VALUE"""),2020)</f>
        <v>2020</v>
      </c>
      <c r="D321" s="4" t="str">
        <f ca="1">IFERROR(__xludf.DUMMYFUNCTION("""COMPUTED_VALUE"""),"Ciências da Natureza")</f>
        <v>Ciências da Natureza</v>
      </c>
      <c r="E321" s="4" t="str">
        <f ca="1">IFERROR(__xludf.DUMMYFUNCTION("""COMPUTED_VALUE"""),"Biologia")</f>
        <v>Biologia</v>
      </c>
      <c r="F321" s="4" t="str">
        <f ca="1">IFERROR(__xludf.DUMMYFUNCTION("""COMPUTED_VALUE"""),"Fisiologia Animal e Origem da Vida")</f>
        <v>Fisiologia Animal e Origem da Vida</v>
      </c>
      <c r="G321" s="4"/>
      <c r="H321" s="4"/>
      <c r="I321" s="4" t="str">
        <f ca="1">IFERROR(__xludf.DUMMYFUNCTION("""COMPUTED_VALUE"""),"Rosa")</f>
        <v>Rosa</v>
      </c>
      <c r="J321" s="4">
        <f ca="1">IFERROR(__xludf.DUMMYFUNCTION("""COMPUTED_VALUE"""),125)</f>
        <v>125</v>
      </c>
      <c r="K321" s="4" t="str">
        <f ca="1">IFERROR(__xludf.DUMMYFUNCTION("""COMPUTED_VALUE"""),"C")</f>
        <v>C</v>
      </c>
      <c r="L321" s="4" t="str">
        <f ca="1">IFERROR(__xludf.DUMMYFUNCTION("""COMPUTED_VALUE"""),"Aranhas, escorpiões, carrapatos e ácaros são representantes da classe dos
Aracnídeos. Esses animais são terrestres em sua grande maioria e ocupam os mais
variados hábitats, tais como montanhas altas, pântanos, desertos e solos arenosos.
Podem ter sido os "&amp;"primeiros representantes do filo Arthropoda a habitar a terra seca.
A característica que justifica o sucesso adaptativo desse grupo na ocupação do ambiente
terrestre é a presença de")</f>
        <v>Aranhas, escorpiões, carrapatos e ácaros são representantes da classe dos
Aracnídeos. Esses animais são terrestres em sua grande maioria e ocupam os mais
variados hábitats, tais como montanhas altas, pântanos, desertos e solos arenosos.
Podem ter sido os primeiros representantes do filo Arthropoda a habitar a terra seca.
A característica que justifica o sucesso adaptativo desse grupo na ocupação do ambiente
terrestre é a presença de</v>
      </c>
      <c r="M321" s="4" t="str">
        <f ca="1">IFERROR(__xludf.DUMMYFUNCTION("""COMPUTED_VALUE""")," quelíceras e pedipalpos que coordenam o movimento corporal.")</f>
        <v xml:space="preserve"> quelíceras e pedipalpos que coordenam o movimento corporal.</v>
      </c>
      <c r="N321" s="4" t="str">
        <f ca="1">IFERROR(__xludf.DUMMYFUNCTION("""COMPUTED_VALUE""")," excreção de ácido úrico que confere estabilidade ao pH corporal.")</f>
        <v xml:space="preserve"> excreção de ácido úrico que confere estabilidade ao pH corporal.</v>
      </c>
      <c r="O321" s="4" t="str">
        <f ca="1">IFERROR(__xludf.DUMMYFUNCTION("""COMPUTED_VALUE""")," exoesqueleto constituído de quitina que auxilia no controle hídrico corporal.")</f>
        <v xml:space="preserve"> exoesqueleto constituído de quitina que auxilia no controle hídrico corporal.</v>
      </c>
      <c r="P321" s="4" t="str">
        <f ca="1">IFERROR(__xludf.DUMMYFUNCTION("""COMPUTED_VALUE""")," circulação sanguínea aberta que impede a desidratação dos tecidos corporais.")</f>
        <v xml:space="preserve"> circulação sanguínea aberta que impede a desidratação dos tecidos corporais.</v>
      </c>
      <c r="Q321" s="4" t="str">
        <f ca="1">IFERROR(__xludf.DUMMYFUNCTION("""COMPUTED_VALUE""")," sistema nervoso ganglionar que promove a coordenação central do movimento corporal.")</f>
        <v xml:space="preserve"> sistema nervoso ganglionar que promove a coordenação central do movimento corporal.</v>
      </c>
      <c r="R321" s="4"/>
      <c r="S321" s="4"/>
      <c r="T321" s="4"/>
      <c r="U321" s="4"/>
      <c r="V321" s="4"/>
      <c r="W321" s="4"/>
      <c r="X321" s="4"/>
      <c r="Y321" s="4"/>
      <c r="Z321" s="4"/>
    </row>
    <row r="322" spans="1:26" x14ac:dyDescent="0.25">
      <c r="A322" s="3" t="str">
        <f ca="1">IFERROR(__xludf.DUMMYFUNCTION("""COMPUTED_VALUE"""),"https://drive.google.com/open?id=1zm8znbFV2hRS2YZIfvd0umglfqjIWK69")</f>
        <v>https://drive.google.com/open?id=1zm8znbFV2hRS2YZIfvd0umglfqjIWK69</v>
      </c>
      <c r="B322" s="4" t="str">
        <f ca="1">IFERROR(__xludf.DUMMYFUNCTION("""COMPUTED_VALUE"""),"Enem")</f>
        <v>Enem</v>
      </c>
      <c r="C322" s="4">
        <f ca="1">IFERROR(__xludf.DUMMYFUNCTION("""COMPUTED_VALUE"""),2020)</f>
        <v>2020</v>
      </c>
      <c r="D322" s="4" t="str">
        <f ca="1">IFERROR(__xludf.DUMMYFUNCTION("""COMPUTED_VALUE"""),"Ciências da Natureza")</f>
        <v>Ciências da Natureza</v>
      </c>
      <c r="E322" s="4" t="str">
        <f ca="1">IFERROR(__xludf.DUMMYFUNCTION("""COMPUTED_VALUE"""),"Biologia")</f>
        <v>Biologia</v>
      </c>
      <c r="F322" s="4" t="str">
        <f ca="1">IFERROR(__xludf.DUMMYFUNCTION("""COMPUTED_VALUE"""),"Metabolismo Celular, Bioquímica e Genética")</f>
        <v>Metabolismo Celular, Bioquímica e Genética</v>
      </c>
      <c r="G322" s="4"/>
      <c r="H322" s="4"/>
      <c r="I322" s="4" t="str">
        <f ca="1">IFERROR(__xludf.DUMMYFUNCTION("""COMPUTED_VALUE"""),"Rosa")</f>
        <v>Rosa</v>
      </c>
      <c r="J322" s="4">
        <f ca="1">IFERROR(__xludf.DUMMYFUNCTION("""COMPUTED_VALUE"""),128)</f>
        <v>128</v>
      </c>
      <c r="K322" s="4" t="str">
        <f ca="1">IFERROR(__xludf.DUMMYFUNCTION("""COMPUTED_VALUE"""),"C")</f>
        <v>C</v>
      </c>
      <c r="L322" s="4" t="str">
        <f ca="1">IFERROR(__xludf.DUMMYFUNCTION("""COMPUTED_VALUE"""),"Uma população (momento A) sofre isolamento em duas subpopulações
(momento B) por um fator de isolamento (I). Passado um tempo, essas
subpopulações apresentam características fenotípicas e genotípicas que as
distinguem (momento C), representadas na figura "&amp;"pelas tonalidades de cor. O
posterior desaparecimento do fator de isolamento I pode levar, no momento D, às
situações D1 e D2.
A representação indica que, no momento D, na situação")</f>
        <v>Uma população (momento A) sofre isolamento em duas subpopulações
(momento B) por um fator de isolamento (I). Passado um tempo, essas
subpopulações apresentam características fenotípicas e genotípicas que as
distinguem (momento C), representadas na figura pelas tonalidades de cor. O
posterior desaparecimento do fator de isolamento I pode levar, no momento D, às
situações D1 e D2.
A representação indica que, no momento D, na situação</v>
      </c>
      <c r="M322" s="4" t="str">
        <f ca="1">IFERROR(__xludf.DUMMYFUNCTION("""COMPUTED_VALUE""")," D1 ocorre um novo fator de isolamento geográfico.")</f>
        <v xml:space="preserve"> D1 ocorre um novo fator de isolamento geográfico.</v>
      </c>
      <c r="N322" s="4" t="str">
        <f ca="1">IFERROR(__xludf.DUMMYFUNCTION("""COMPUTED_VALUE"""),"D1 existe uma única população distribuída em gradiente.")</f>
        <v>D1 existe uma única população distribuída em gradiente.</v>
      </c>
      <c r="O322" s="4" t="str">
        <f ca="1">IFERROR(__xludf.DUMMYFUNCTION("""COMPUTED_VALUE"""),"D1 ocorrem duas populações separadas por isolamento reprodutivo.")</f>
        <v>D1 ocorrem duas populações separadas por isolamento reprodutivo.</v>
      </c>
      <c r="P322" s="4" t="str">
        <f ca="1">IFERROR(__xludf.DUMMYFUNCTION("""COMPUTED_VALUE"""),"D2 coexistem duas populações com características fenotípicas distintas.")</f>
        <v>D2 coexistem duas populações com características fenotípicas distintas.</v>
      </c>
      <c r="Q322" s="4" t="str">
        <f ca="1">IFERROR(__xludf.DUMMYFUNCTION("""COMPUTED_VALUE"""),"D2 foram preservadas as mesmas características fenotípicas da população original A.")</f>
        <v>D2 foram preservadas as mesmas características fenotípicas da população original A.</v>
      </c>
      <c r="R322" s="4"/>
      <c r="S322" s="4"/>
      <c r="T322" s="4"/>
      <c r="U322" s="4"/>
      <c r="V322" s="4"/>
      <c r="W322" s="4"/>
      <c r="X322" s="4"/>
      <c r="Y322" s="4"/>
      <c r="Z322" s="4"/>
    </row>
    <row r="323" spans="1:26" x14ac:dyDescent="0.25">
      <c r="A323" s="3" t="str">
        <f ca="1">IFERROR(__xludf.DUMMYFUNCTION("""COMPUTED_VALUE"""),"https://drive.google.com/open?id=1CYl1qVOPS6-l9b5Zgf2V-Je-kM6KeSBX")</f>
        <v>https://drive.google.com/open?id=1CYl1qVOPS6-l9b5Zgf2V-Je-kM6KeSBX</v>
      </c>
      <c r="B323" s="4" t="str">
        <f ca="1">IFERROR(__xludf.DUMMYFUNCTION("""COMPUTED_VALUE"""),"Enem")</f>
        <v>Enem</v>
      </c>
      <c r="C323" s="4">
        <f ca="1">IFERROR(__xludf.DUMMYFUNCTION("""COMPUTED_VALUE"""),2020)</f>
        <v>2020</v>
      </c>
      <c r="D323" s="4" t="str">
        <f ca="1">IFERROR(__xludf.DUMMYFUNCTION("""COMPUTED_VALUE"""),"Ciências da Natureza")</f>
        <v>Ciências da Natureza</v>
      </c>
      <c r="E323" s="4" t="str">
        <f ca="1">IFERROR(__xludf.DUMMYFUNCTION("""COMPUTED_VALUE"""),"Biologia")</f>
        <v>Biologia</v>
      </c>
      <c r="F323" s="4" t="str">
        <f ca="1">IFERROR(__xludf.DUMMYFUNCTION("""COMPUTED_VALUE"""),"Fisiologia Animal e Origem da Vida")</f>
        <v>Fisiologia Animal e Origem da Vida</v>
      </c>
      <c r="G323" s="4"/>
      <c r="H323" s="4"/>
      <c r="I323" s="4" t="str">
        <f ca="1">IFERROR(__xludf.DUMMYFUNCTION("""COMPUTED_VALUE"""),"Rosa")</f>
        <v>Rosa</v>
      </c>
      <c r="J323" s="4">
        <f ca="1">IFERROR(__xludf.DUMMYFUNCTION("""COMPUTED_VALUE"""),129)</f>
        <v>129</v>
      </c>
      <c r="K323" s="4" t="str">
        <f ca="1">IFERROR(__xludf.DUMMYFUNCTION("""COMPUTED_VALUE"""),"C")</f>
        <v>C</v>
      </c>
      <c r="L323" s="4" t="str">
        <f ca="1">IFERROR(__xludf.DUMMYFUNCTION("""COMPUTED_VALUE"""),"Na indústria farmacêutica, é muito comum o emprego de substâncias de revestimento
em medicamentos de uso oral, pois trazem uma série de benefícios como alteração de
sabor em medicamentos que tenham gosto ruim, melhoria da assimilação do composto,
entre ou"&amp;"tras ações. Alguns compostos poliméricos à base do polissacarídeo celulose são
utilizados para garantir que o fármaco somente seja liberado quando em contato com
soluções aquosas cujo pH se encontre próximo da faixa da neutralidade.
Qual é a finalidade do"&amp;" uso desse revestimento à base de celulose?")</f>
        <v>Na indústria farmacêutica, é muito comum o emprego de substâncias de revestimento
em medicamentos de uso oral, pois trazem uma série de benefícios como alteração de
sabor em medicamentos que tenham gosto ruim, melhoria da assimilação do composto,
entre outras ações. Alguns compostos poliméricos à base do polissacarídeo celulose são
utilizados para garantir que o fármaco somente seja liberado quando em contato com
soluções aquosas cujo pH se encontre próximo da faixa da neutralidade.
Qual é a finalidade do uso desse revestimento à base de celulose?</v>
      </c>
      <c r="M323" s="4" t="str">
        <f ca="1">IFERROR(__xludf.DUMMYFUNCTION("""COMPUTED_VALUE""")," Diminuir a absorção do princípio ativo no intestino.")</f>
        <v xml:space="preserve"> Diminuir a absorção do princípio ativo no intestino.</v>
      </c>
      <c r="N323" s="4" t="str">
        <f ca="1">IFERROR(__xludf.DUMMYFUNCTION("""COMPUTED_VALUE""")," Impedir que o fármaco seja solubilizado no intestino.")</f>
        <v xml:space="preserve"> Impedir que o fármaco seja solubilizado no intestino.</v>
      </c>
      <c r="O323" s="4" t="str">
        <f ca="1">IFERROR(__xludf.DUMMYFUNCTION("""COMPUTED_VALUE""")," Garantir que o fármaco não seja afetado pelas secreções gástricas.")</f>
        <v xml:space="preserve"> Garantir que o fármaco não seja afetado pelas secreções gástricas.</v>
      </c>
      <c r="P323" s="4" t="str">
        <f ca="1">IFERROR(__xludf.DUMMYFUNCTION("""COMPUTED_VALUE""")," Permitir a liberação do princípio ativo pela ação das amilases salivares.")</f>
        <v xml:space="preserve"> Permitir a liberação do princípio ativo pela ação das amilases salivares.</v>
      </c>
      <c r="Q323" s="4" t="str">
        <f ca="1">IFERROR(__xludf.DUMMYFUNCTION("""COMPUTED_VALUE""")," Facilitar a liberação do fármaco pela ação dos sais biliares sobre o revestimento.")</f>
        <v xml:space="preserve"> Facilitar a liberação do fármaco pela ação dos sais biliares sobre o revestimento.</v>
      </c>
      <c r="R323" s="4"/>
      <c r="S323" s="4"/>
      <c r="T323" s="4"/>
      <c r="U323" s="4"/>
      <c r="V323" s="4"/>
      <c r="W323" s="4"/>
      <c r="X323" s="4"/>
      <c r="Y323" s="4"/>
      <c r="Z323" s="4"/>
    </row>
    <row r="324" spans="1:26" x14ac:dyDescent="0.25">
      <c r="A324" s="3" t="str">
        <f ca="1">IFERROR(__xludf.DUMMYFUNCTION("""COMPUTED_VALUE"""),"https://drive.google.com/open?id=1gfIn6SZ7gqyEfpMte4GzyFXd39l1uEs6")</f>
        <v>https://drive.google.com/open?id=1gfIn6SZ7gqyEfpMte4GzyFXd39l1uEs6</v>
      </c>
      <c r="B324" s="4" t="str">
        <f ca="1">IFERROR(__xludf.DUMMYFUNCTION("""COMPUTED_VALUE"""),"Enem")</f>
        <v>Enem</v>
      </c>
      <c r="C324" s="4">
        <f ca="1">IFERROR(__xludf.DUMMYFUNCTION("""COMPUTED_VALUE"""),2018)</f>
        <v>2018</v>
      </c>
      <c r="D324" s="4" t="str">
        <f ca="1">IFERROR(__xludf.DUMMYFUNCTION("""COMPUTED_VALUE"""),"Ciências da Natureza")</f>
        <v>Ciências da Natureza</v>
      </c>
      <c r="E324" s="4" t="str">
        <f ca="1">IFERROR(__xludf.DUMMYFUNCTION("""COMPUTED_VALUE"""),"Biologia")</f>
        <v>Biologia</v>
      </c>
      <c r="F324" s="4" t="str">
        <f ca="1">IFERROR(__xludf.DUMMYFUNCTION("""COMPUTED_VALUE"""),"Metabolismo Celular, Bioquímica e Genética")</f>
        <v>Metabolismo Celular, Bioquímica e Genética</v>
      </c>
      <c r="G324" s="4"/>
      <c r="H324" s="4"/>
      <c r="I324" s="4" t="str">
        <f ca="1">IFERROR(__xludf.DUMMYFUNCTION("""COMPUTED_VALUE"""),"Amarelo")</f>
        <v>Amarelo</v>
      </c>
      <c r="J324" s="4">
        <f ca="1">IFERROR(__xludf.DUMMYFUNCTION("""COMPUTED_VALUE"""),91)</f>
        <v>91</v>
      </c>
      <c r="K324" s="4" t="str">
        <f ca="1">IFERROR(__xludf.DUMMYFUNCTION("""COMPUTED_VALUE"""),"B")</f>
        <v>B</v>
      </c>
      <c r="L324" s="4" t="str">
        <f ca="1">IFERROR(__xludf.DUMMYFUNCTION("""COMPUTED_VALUE"""),"Para serem absorvidos pelas células do intestino humano, os lipídios ingeridos precisam ser primeiramente emulsificados. Nessa etapa da digestão, torna-se necessária a ação dos ácidos biliares, visto que os lipídios apresentam uma natureza
apolar e são in"&amp;"solúveis em água.
Esses ácidos atuam no processo de modo a")</f>
        <v>Para serem absorvidos pelas células do intestino humano, os lipídios ingeridos precisam ser primeiramente emulsificados. Nessa etapa da digestão, torna-se necessária a ação dos ácidos biliares, visto que os lipídios apresentam uma natureza
apolar e são insolúveis em água.
Esses ácidos atuam no processo de modo a</v>
      </c>
      <c r="M324" s="4" t="str">
        <f ca="1">IFERROR(__xludf.DUMMYFUNCTION("""COMPUTED_VALUE"""),"hidrolisar os lipídios.")</f>
        <v>hidrolisar os lipídios.</v>
      </c>
      <c r="N324" s="4" t="str">
        <f ca="1">IFERROR(__xludf.DUMMYFUNCTION("""COMPUTED_VALUE"""),"agir como detergentes.")</f>
        <v>agir como detergentes.</v>
      </c>
      <c r="O324" s="4" t="str">
        <f ca="1">IFERROR(__xludf.DUMMYFUNCTION("""COMPUTED_VALUE"""),"tornar os lipídios anfifílicos. ")</f>
        <v xml:space="preserve">tornar os lipídios anfifílicos. </v>
      </c>
      <c r="P324" s="4" t="str">
        <f ca="1">IFERROR(__xludf.DUMMYFUNCTION("""COMPUTED_VALUE"""),"promover a secreção de lipases.")</f>
        <v>promover a secreção de lipases.</v>
      </c>
      <c r="Q324" s="4" t="str">
        <f ca="1">IFERROR(__xludf.DUMMYFUNCTION("""COMPUTED_VALUE"""),"estimular o trânsito intestinal dos lipídios.")</f>
        <v>estimular o trânsito intestinal dos lipídios.</v>
      </c>
      <c r="R324" s="4"/>
      <c r="S324" s="4"/>
      <c r="T324" s="4"/>
      <c r="U324" s="4"/>
      <c r="V324" s="4"/>
      <c r="W324" s="4"/>
      <c r="X324" s="4"/>
      <c r="Y324" s="4"/>
      <c r="Z324" s="4"/>
    </row>
    <row r="325" spans="1:26" x14ac:dyDescent="0.25">
      <c r="A325" s="3" t="str">
        <f ca="1">IFERROR(__xludf.DUMMYFUNCTION("""COMPUTED_VALUE"""),"https://drive.google.com/open?id=1OffUtYM7H4mupwNHjkzhBA4RiBgSYGKS")</f>
        <v>https://drive.google.com/open?id=1OffUtYM7H4mupwNHjkzhBA4RiBgSYGKS</v>
      </c>
      <c r="B325" s="4" t="str">
        <f ca="1">IFERROR(__xludf.DUMMYFUNCTION("""COMPUTED_VALUE"""),"Enem")</f>
        <v>Enem</v>
      </c>
      <c r="C325" s="4">
        <f ca="1">IFERROR(__xludf.DUMMYFUNCTION("""COMPUTED_VALUE"""),2018)</f>
        <v>2018</v>
      </c>
      <c r="D325" s="4" t="str">
        <f ca="1">IFERROR(__xludf.DUMMYFUNCTION("""COMPUTED_VALUE"""),"Ciências da Natureza")</f>
        <v>Ciências da Natureza</v>
      </c>
      <c r="E325" s="4" t="str">
        <f ca="1">IFERROR(__xludf.DUMMYFUNCTION("""COMPUTED_VALUE"""),"Biologia")</f>
        <v>Biologia</v>
      </c>
      <c r="F325" s="4" t="str">
        <f ca="1">IFERROR(__xludf.DUMMYFUNCTION("""COMPUTED_VALUE"""),"Botânica e Ecologia")</f>
        <v>Botânica e Ecologia</v>
      </c>
      <c r="G325" s="4" t="str">
        <f ca="1">IFERROR(__xludf.DUMMYFUNCTION("""COMPUTED_VALUE"""),"Metabolismo Celular, Bioquímica e Genética")</f>
        <v>Metabolismo Celular, Bioquímica e Genética</v>
      </c>
      <c r="H325" s="4"/>
      <c r="I325" s="4" t="str">
        <f ca="1">IFERROR(__xludf.DUMMYFUNCTION("""COMPUTED_VALUE"""),"Amarelo")</f>
        <v>Amarelo</v>
      </c>
      <c r="J325" s="4">
        <f ca="1">IFERROR(__xludf.DUMMYFUNCTION("""COMPUTED_VALUE"""),93)</f>
        <v>93</v>
      </c>
      <c r="K325" s="4" t="str">
        <f ca="1">IFERROR(__xludf.DUMMYFUNCTION("""COMPUTED_VALUE"""),"A")</f>
        <v>A</v>
      </c>
      <c r="L325" s="4" t="str">
        <f ca="1">IFERROR(__xludf.DUMMYFUNCTION("""COMPUTED_VALUE"""),"Corredores ecológicos visam mitigar os efeitos da fragmentação dos ecossistemas
promovendo a ligação entre diferentes áreas, com o objetivo de proporcionar o
deslocamento de animais, a dispersão de sementes e o aumento da cobertura vegetal.
São instituído"&amp;"s com base em informações como estudos sobre o deslocamento de
espécies, sua área de vida (área necessária para o suprimento de suas necessidades
vitais e reprodutivas) e a distribuição de suas populações.
Nessa estratégia, a recuperação da biodiversidade"&amp;" é efetiva porque")</f>
        <v>Corredores ecológicos visam mitigar os efeitos da fragmentação dos ecossistemas
promovendo a ligação entre diferentes áreas, com o objetivo de proporcionar o
deslocamento de animais, a dispersão de sementes e o aumento da cobertura vegetal.
São instituídos com base em informações como estudos sobre o deslocamento de
espécies, sua área de vida (área necessária para o suprimento de suas necessidades
vitais e reprodutivas) e a distribuição de suas populações.
Nessa estratégia, a recuperação da biodiversidade é efetiva porque</v>
      </c>
      <c r="M325" s="4" t="str">
        <f ca="1">IFERROR(__xludf.DUMMYFUNCTION("""COMPUTED_VALUE"""),"propicia o fluxo gênico.")</f>
        <v>propicia o fluxo gênico.</v>
      </c>
      <c r="N325" s="4" t="str">
        <f ca="1">IFERROR(__xludf.DUMMYFUNCTION("""COMPUTED_VALUE"""),"intensifica o manejo de espécies.")</f>
        <v>intensifica o manejo de espécies.</v>
      </c>
      <c r="O325" s="4" t="str">
        <f ca="1">IFERROR(__xludf.DUMMYFUNCTION("""COMPUTED_VALUE"""),"amplia o processo de ocupação humana.")</f>
        <v>amplia o processo de ocupação humana.</v>
      </c>
      <c r="P325" s="4" t="str">
        <f ca="1">IFERROR(__xludf.DUMMYFUNCTION("""COMPUTED_VALUE"""),"aumenta o número de indivíduos nas populações.")</f>
        <v>aumenta o número de indivíduos nas populações.</v>
      </c>
      <c r="Q325" s="4" t="str">
        <f ca="1">IFERROR(__xludf.DUMMYFUNCTION("""COMPUTED_VALUE"""),"favorece a formação de ilhas de proteção integral.")</f>
        <v>favorece a formação de ilhas de proteção integral.</v>
      </c>
      <c r="R325" s="4"/>
      <c r="S325" s="4"/>
      <c r="T325" s="4"/>
      <c r="U325" s="4"/>
      <c r="V325" s="4"/>
      <c r="W325" s="4"/>
      <c r="X325" s="4"/>
      <c r="Y325" s="4"/>
      <c r="Z325" s="4"/>
    </row>
    <row r="326" spans="1:26" x14ac:dyDescent="0.25">
      <c r="A326" s="3" t="str">
        <f ca="1">IFERROR(__xludf.DUMMYFUNCTION("""COMPUTED_VALUE"""),"https://drive.google.com/open?id=1FSI8EHkjimI-DEJl7rcsyie2EmrZlyAc")</f>
        <v>https://drive.google.com/open?id=1FSI8EHkjimI-DEJl7rcsyie2EmrZlyAc</v>
      </c>
      <c r="B326" s="4" t="str">
        <f ca="1">IFERROR(__xludf.DUMMYFUNCTION("""COMPUTED_VALUE"""),"Enem")</f>
        <v>Enem</v>
      </c>
      <c r="C326" s="4">
        <f ca="1">IFERROR(__xludf.DUMMYFUNCTION("""COMPUTED_VALUE"""),2018)</f>
        <v>2018</v>
      </c>
      <c r="D326" s="4" t="str">
        <f ca="1">IFERROR(__xludf.DUMMYFUNCTION("""COMPUTED_VALUE"""),"Ciências da Natureza")</f>
        <v>Ciências da Natureza</v>
      </c>
      <c r="E326" s="4" t="str">
        <f ca="1">IFERROR(__xludf.DUMMYFUNCTION("""COMPUTED_VALUE"""),"Biologia")</f>
        <v>Biologia</v>
      </c>
      <c r="F326" s="4" t="str">
        <f ca="1">IFERROR(__xludf.DUMMYFUNCTION("""COMPUTED_VALUE"""),"Metabolismo Celular, Bioquímica e Genética")</f>
        <v>Metabolismo Celular, Bioquímica e Genética</v>
      </c>
      <c r="G326" s="4"/>
      <c r="H326" s="4"/>
      <c r="I326" s="4" t="str">
        <f ca="1">IFERROR(__xludf.DUMMYFUNCTION("""COMPUTED_VALUE"""),"Amarelo")</f>
        <v>Amarelo</v>
      </c>
      <c r="J326" s="4">
        <f ca="1">IFERROR(__xludf.DUMMYFUNCTION("""COMPUTED_VALUE"""),95)</f>
        <v>95</v>
      </c>
      <c r="K326" s="4" t="str">
        <f ca="1">IFERROR(__xludf.DUMMYFUNCTION("""COMPUTED_VALUE"""),"E")</f>
        <v>E</v>
      </c>
      <c r="L326" s="4" t="str">
        <f ca="1">IFERROR(__xludf.DUMMYFUNCTION("""COMPUTED_VALUE"""),"No ciclo celular atuam moléculas reguladoras. Dentre elas, a proteína p53 é ativada
em resposta a mutações no DNA, evitando a progressão do ciclo até que os danos
sejam reparados, ou induzindo a célula à autodestruição.
A ausência dessa proteína poderá fa"&amp;"vorecer a")</f>
        <v>No ciclo celular atuam moléculas reguladoras. Dentre elas, a proteína p53 é ativada
em resposta a mutações no DNA, evitando a progressão do ciclo até que os danos
sejam reparados, ou induzindo a célula à autodestruição.
A ausência dessa proteína poderá favorecer a</v>
      </c>
      <c r="M326" s="4" t="str">
        <f ca="1">IFERROR(__xludf.DUMMYFUNCTION("""COMPUTED_VALUE"""),"redução da síntese de DNA, acelerando o ciclo celular.")</f>
        <v>redução da síntese de DNA, acelerando o ciclo celular.</v>
      </c>
      <c r="N326" s="4" t="str">
        <f ca="1">IFERROR(__xludf.DUMMYFUNCTION("""COMPUTED_VALUE"""),"saída imediata do ciclo celular, antecipando a proteção do DNA.")</f>
        <v>saída imediata do ciclo celular, antecipando a proteção do DNA.</v>
      </c>
      <c r="O326" s="4" t="str">
        <f ca="1">IFERROR(__xludf.DUMMYFUNCTION("""COMPUTED_VALUE"""),"ativação de outras proteínas reguladoras, induzindo a apoptose.")</f>
        <v>ativação de outras proteínas reguladoras, induzindo a apoptose.</v>
      </c>
      <c r="P326" s="4" t="str">
        <f ca="1">IFERROR(__xludf.DUMMYFUNCTION("""COMPUTED_VALUE"""),"manutenção da estabilidade genética, favorecendo a longevidade.")</f>
        <v>manutenção da estabilidade genética, favorecendo a longevidade.</v>
      </c>
      <c r="Q326" s="4" t="str">
        <f ca="1">IFERROR(__xludf.DUMMYFUNCTION("""COMPUTED_VALUE"""),"proliferação celular exagerada, resultando na formação de um tumor.")</f>
        <v>proliferação celular exagerada, resultando na formação de um tumor.</v>
      </c>
      <c r="R326" s="4"/>
      <c r="S326" s="4"/>
      <c r="T326" s="4"/>
      <c r="U326" s="4"/>
      <c r="V326" s="4"/>
      <c r="W326" s="4"/>
      <c r="X326" s="4"/>
      <c r="Y326" s="4"/>
      <c r="Z326" s="4"/>
    </row>
    <row r="327" spans="1:26" x14ac:dyDescent="0.25">
      <c r="A327" s="3" t="str">
        <f ca="1">IFERROR(__xludf.DUMMYFUNCTION("""COMPUTED_VALUE"""),"https://drive.google.com/open?id=1ShL0e8u1mAJlubTY46cYr1S02RrhdPDC")</f>
        <v>https://drive.google.com/open?id=1ShL0e8u1mAJlubTY46cYr1S02RrhdPDC</v>
      </c>
      <c r="B327" s="4" t="str">
        <f ca="1">IFERROR(__xludf.DUMMYFUNCTION("""COMPUTED_VALUE"""),"Enem")</f>
        <v>Enem</v>
      </c>
      <c r="C327" s="4">
        <f ca="1">IFERROR(__xludf.DUMMYFUNCTION("""COMPUTED_VALUE"""),2018)</f>
        <v>2018</v>
      </c>
      <c r="D327" s="4" t="str">
        <f ca="1">IFERROR(__xludf.DUMMYFUNCTION("""COMPUTED_VALUE"""),"Ciências da Natureza")</f>
        <v>Ciências da Natureza</v>
      </c>
      <c r="E327" s="4" t="str">
        <f ca="1">IFERROR(__xludf.DUMMYFUNCTION("""COMPUTED_VALUE"""),"Biologia")</f>
        <v>Biologia</v>
      </c>
      <c r="F327" s="4" t="str">
        <f ca="1">IFERROR(__xludf.DUMMYFUNCTION("""COMPUTED_VALUE"""),"Fisiologia Animal e Origem da Vida")</f>
        <v>Fisiologia Animal e Origem da Vida</v>
      </c>
      <c r="G327" s="4"/>
      <c r="H327" s="4"/>
      <c r="I327" s="4" t="str">
        <f ca="1">IFERROR(__xludf.DUMMYFUNCTION("""COMPUTED_VALUE"""),"Amarelo")</f>
        <v>Amarelo</v>
      </c>
      <c r="J327" s="4">
        <f ca="1">IFERROR(__xludf.DUMMYFUNCTION("""COMPUTED_VALUE"""),102)</f>
        <v>102</v>
      </c>
      <c r="K327" s="4" t="str">
        <f ca="1">IFERROR(__xludf.DUMMYFUNCTION("""COMPUTED_VALUE"""),"C")</f>
        <v>C</v>
      </c>
      <c r="L327" s="4" t="str">
        <f ca="1">IFERROR(__xludf.DUMMYFUNCTION("""COMPUTED_VALUE"""),"Insetos podem apresentar três tipos de desenvolvimento. Um deles, a holometabolia
(desenvolvimento completo), é constituído pelas fases de ovo, larva, pupa e adulto
sexualmente maduro, que ocupam diversos hábitats. Os insetos com holometabolia
pertencem à"&amp;"s ordens mais numerosas em termos de espécies conhecidas.
Esse tipo de desenvolvimento está relacionado a um maior número de espécies em
razão da")</f>
        <v>Insetos podem apresentar três tipos de desenvolvimento. Um deles, a holometabolia
(desenvolvimento completo), é constituído pelas fases de ovo, larva, pupa e adulto
sexualmente maduro, que ocupam diversos hábitats. Os insetos com holometabolia
pertencem às ordens mais numerosas em termos de espécies conhecidas.
Esse tipo de desenvolvimento está relacionado a um maior número de espécies em
razão da</v>
      </c>
      <c r="M327" s="4" t="str">
        <f ca="1">IFERROR(__xludf.DUMMYFUNCTION("""COMPUTED_VALUE"""),"proteção na fase de pupa, favorecendo a sobrevivência de adultos férteis.")</f>
        <v>proteção na fase de pupa, favorecendo a sobrevivência de adultos férteis.</v>
      </c>
      <c r="N327" s="4" t="str">
        <f ca="1">IFERROR(__xludf.DUMMYFUNCTION("""COMPUTED_VALUE"""),"produção de muitos ovos, larvas e pupas, aumentando o número de adultos.")</f>
        <v>produção de muitos ovos, larvas e pupas, aumentando o número de adultos.</v>
      </c>
      <c r="O327" s="4" t="str">
        <f ca="1">IFERROR(__xludf.DUMMYFUNCTION("""COMPUTED_VALUE"""),"exploração de diferentes nichos, evitando a competição entre as fases da vida.")</f>
        <v>exploração de diferentes nichos, evitando a competição entre as fases da vida.</v>
      </c>
      <c r="P327" s="4" t="str">
        <f ca="1">IFERROR(__xludf.DUMMYFUNCTION("""COMPUTED_VALUE"""),"ingestão de alimentos em todas as fases de vida, garantindo o surgimento do adulto.")</f>
        <v>ingestão de alimentos em todas as fases de vida, garantindo o surgimento do adulto.</v>
      </c>
      <c r="Q327" s="4" t="str">
        <f ca="1">IFERROR(__xludf.DUMMYFUNCTION("""COMPUTED_VALUE"""),"utilização do mesmo alimento em todas as fases, otimizando a nutrição do
organismo.")</f>
        <v>utilização do mesmo alimento em todas as fases, otimizando a nutrição do
organismo.</v>
      </c>
      <c r="R327" s="4"/>
      <c r="S327" s="4"/>
      <c r="T327" s="4"/>
      <c r="U327" s="4"/>
      <c r="V327" s="4"/>
      <c r="W327" s="4"/>
      <c r="X327" s="4"/>
      <c r="Y327" s="4"/>
      <c r="Z327" s="4"/>
    </row>
    <row r="328" spans="1:26" x14ac:dyDescent="0.25">
      <c r="A328" s="3" t="str">
        <f ca="1">IFERROR(__xludf.DUMMYFUNCTION("""COMPUTED_VALUE"""),"https://drive.google.com/open?id=1NTU692LZ-3c0dyWn5l1_hRnMd8xuEjj8")</f>
        <v>https://drive.google.com/open?id=1NTU692LZ-3c0dyWn5l1_hRnMd8xuEjj8</v>
      </c>
      <c r="B328" s="4" t="str">
        <f ca="1">IFERROR(__xludf.DUMMYFUNCTION("""COMPUTED_VALUE"""),"Enem")</f>
        <v>Enem</v>
      </c>
      <c r="C328" s="4">
        <f ca="1">IFERROR(__xludf.DUMMYFUNCTION("""COMPUTED_VALUE"""),2020)</f>
        <v>2020</v>
      </c>
      <c r="D328" s="4" t="str">
        <f ca="1">IFERROR(__xludf.DUMMYFUNCTION("""COMPUTED_VALUE"""),"Ciências da Natureza")</f>
        <v>Ciências da Natureza</v>
      </c>
      <c r="E328" s="4" t="str">
        <f ca="1">IFERROR(__xludf.DUMMYFUNCTION("""COMPUTED_VALUE"""),"Física")</f>
        <v>Física</v>
      </c>
      <c r="F328" s="4" t="str">
        <f ca="1">IFERROR(__xludf.DUMMYFUNCTION("""COMPUTED_VALUE"""),"Eletromagnetismo")</f>
        <v>Eletromagnetismo</v>
      </c>
      <c r="G328" s="4"/>
      <c r="H328" s="4"/>
      <c r="I328" s="4" t="str">
        <f ca="1">IFERROR(__xludf.DUMMYFUNCTION("""COMPUTED_VALUE"""),"Rosa")</f>
        <v>Rosa</v>
      </c>
      <c r="J328" s="4">
        <f ca="1">IFERROR(__xludf.DUMMYFUNCTION("""COMPUTED_VALUE"""),92)</f>
        <v>92</v>
      </c>
      <c r="K328" s="4" t="str">
        <f ca="1">IFERROR(__xludf.DUMMYFUNCTION("""COMPUTED_VALUE"""),"C")</f>
        <v>C</v>
      </c>
      <c r="L328" s="4" t="str">
        <f ca="1">IFERROR(__xludf.DUMMYFUNCTION("""COMPUTED_VALUE"""),"Há muitos mitos em relação a como se proteger de raios, cobrir espelhos e não pegar
em facas, garfos e outros objetos metálicos, por exemplo. Mas, de fato, se houver uma
tempestade com raios, alguns cuidados são importantes, como evitar ambientes abertos."&amp;"
Um bom abrigo para proteção é o interior de um automóvel, desde que este não seja
conversível.
Qual o motivo físico da proteção fornecida pelos automóveis, conforme citado no texto?")</f>
        <v>Há muitos mitos em relação a como se proteger de raios, cobrir espelhos e não pegar
em facas, garfos e outros objetos metálicos, por exemplo. Mas, de fato, se houver uma
tempestade com raios, alguns cuidados são importantes, como evitar ambientes abertos.
Um bom abrigo para proteção é o interior de um automóvel, desde que este não seja
conversível.
Qual o motivo físico da proteção fornecida pelos automóveis, conforme citado no texto?</v>
      </c>
      <c r="M328" s="4" t="str">
        <f ca="1">IFERROR(__xludf.DUMMYFUNCTION("""COMPUTED_VALUE"""),"Isolamento elétrico dos pneus.")</f>
        <v>Isolamento elétrico dos pneus.</v>
      </c>
      <c r="N328" s="4" t="str">
        <f ca="1">IFERROR(__xludf.DUMMYFUNCTION("""COMPUTED_VALUE"""),"Efeito de para-raios da antena.")</f>
        <v>Efeito de para-raios da antena.</v>
      </c>
      <c r="O328" s="4" t="str">
        <f ca="1">IFERROR(__xludf.DUMMYFUNCTION("""COMPUTED_VALUE"""),"Blindagem pela carcaça metálica.")</f>
        <v>Blindagem pela carcaça metálica.</v>
      </c>
      <c r="P328" s="4" t="str">
        <f ca="1">IFERROR(__xludf.DUMMYFUNCTION("""COMPUTED_VALUE"""),"Escoamento da água pela lataria.")</f>
        <v>Escoamento da água pela lataria.</v>
      </c>
      <c r="Q328" s="4" t="str">
        <f ca="1">IFERROR(__xludf.DUMMYFUNCTION("""COMPUTED_VALUE""")," Aterramento pelo fio terra da bateria.")</f>
        <v xml:space="preserve"> Aterramento pelo fio terra da bateria.</v>
      </c>
      <c r="R328" s="4"/>
      <c r="S328" s="4"/>
      <c r="T328" s="4"/>
      <c r="U328" s="4"/>
      <c r="V328" s="4"/>
      <c r="W328" s="4"/>
      <c r="X328" s="4"/>
      <c r="Y328" s="4"/>
      <c r="Z328" s="4"/>
    </row>
    <row r="329" spans="1:26" x14ac:dyDescent="0.25">
      <c r="A329" s="3" t="str">
        <f ca="1">IFERROR(__xludf.DUMMYFUNCTION("""COMPUTED_VALUE"""),"https://drive.google.com/open?id=1CQT7RdnnSf3r_RuClfiV2xxOGLfyVCKs")</f>
        <v>https://drive.google.com/open?id=1CQT7RdnnSf3r_RuClfiV2xxOGLfyVCKs</v>
      </c>
      <c r="B329" s="4" t="str">
        <f ca="1">IFERROR(__xludf.DUMMYFUNCTION("""COMPUTED_VALUE"""),"Enem")</f>
        <v>Enem</v>
      </c>
      <c r="C329" s="4">
        <f ca="1">IFERROR(__xludf.DUMMYFUNCTION("""COMPUTED_VALUE"""),2020)</f>
        <v>2020</v>
      </c>
      <c r="D329" s="4" t="str">
        <f ca="1">IFERROR(__xludf.DUMMYFUNCTION("""COMPUTED_VALUE"""),"Ciências da Natureza")</f>
        <v>Ciências da Natureza</v>
      </c>
      <c r="E329" s="4" t="str">
        <f ca="1">IFERROR(__xludf.DUMMYFUNCTION("""COMPUTED_VALUE"""),"Física")</f>
        <v>Física</v>
      </c>
      <c r="F329" s="4" t="str">
        <f ca="1">IFERROR(__xludf.DUMMYFUNCTION("""COMPUTED_VALUE"""),"Óptica e Térmica")</f>
        <v>Óptica e Térmica</v>
      </c>
      <c r="G329" s="4"/>
      <c r="H329" s="4"/>
      <c r="I329" s="4" t="str">
        <f ca="1">IFERROR(__xludf.DUMMYFUNCTION("""COMPUTED_VALUE"""),"Rosa")</f>
        <v>Rosa</v>
      </c>
      <c r="J329" s="4">
        <f ca="1">IFERROR(__xludf.DUMMYFUNCTION("""COMPUTED_VALUE"""),95)</f>
        <v>95</v>
      </c>
      <c r="K329" s="4" t="str">
        <f ca="1">IFERROR(__xludf.DUMMYFUNCTION("""COMPUTED_VALUE"""),"D")</f>
        <v>D</v>
      </c>
      <c r="L329" s="4" t="str">
        <f ca="1">IFERROR(__xludf.DUMMYFUNCTION("""COMPUTED_VALUE"""),"Os manuais de refrigerador apresentam a recomendação de que o equipamento
não deve ser instalado próximo a fontes de calor, como fogão e aquecedores, ou em
local onde incida diretamente a luz do sol. A instalação em local inadequado prejudica
o funcioname"&amp;"nto do refrigerador e aumenta o consumo de energia.
O não atendimento dessa recomendação resulta em aumento do consumo de energia
porque")</f>
        <v>Os manuais de refrigerador apresentam a recomendação de que o equipamento
não deve ser instalado próximo a fontes de calor, como fogão e aquecedores, ou em
local onde incida diretamente a luz do sol. A instalação em local inadequado prejudica
o funcionamento do refrigerador e aumenta o consumo de energia.
O não atendimento dessa recomendação resulta em aumento do consumo de energia
porque</v>
      </c>
      <c r="M329" s="4" t="str">
        <f ca="1">IFERROR(__xludf.DUMMYFUNCTION("""COMPUTED_VALUE""")," o fluxo de calor por condução no condensador sofre considerável redução")</f>
        <v xml:space="preserve"> o fluxo de calor por condução no condensador sofre considerável redução</v>
      </c>
      <c r="N329" s="4" t="str">
        <f ca="1">IFERROR(__xludf.DUMMYFUNCTION("""COMPUTED_VALUE"""),"a temperatura da substância refrigerante no condensador diminui mais rapidamente")</f>
        <v>a temperatura da substância refrigerante no condensador diminui mais rapidamente</v>
      </c>
      <c r="O329" s="4" t="str">
        <f ca="1">IFERROR(__xludf.DUMMYFUNCTION("""COMPUTED_VALUE""")," o fluxo de calor promove significativa elevação da temperatura no interior do
refrigerador")</f>
        <v xml:space="preserve"> o fluxo de calor promove significativa elevação da temperatura no interior do
refrigerador</v>
      </c>
      <c r="P329" s="4" t="str">
        <f ca="1">IFERROR(__xludf.DUMMYFUNCTION("""COMPUTED_VALUE""")," a liquefação da substância refrigerante no condensador exige mais trabalho do
compressor.")</f>
        <v xml:space="preserve"> a liquefação da substância refrigerante no condensador exige mais trabalho do
compressor.</v>
      </c>
      <c r="Q329" s="4" t="str">
        <f ca="1">IFERROR(__xludf.DUMMYFUNCTION("""COMPUTED_VALUE""")," as correntes de convecção nas proximidades do condensador ocorrem com maior
dificuldade.")</f>
        <v xml:space="preserve"> as correntes de convecção nas proximidades do condensador ocorrem com maior
dificuldade.</v>
      </c>
      <c r="R329" s="4"/>
      <c r="S329" s="4"/>
      <c r="T329" s="4"/>
      <c r="U329" s="4"/>
      <c r="V329" s="4"/>
      <c r="W329" s="4"/>
      <c r="X329" s="4"/>
      <c r="Y329" s="4"/>
      <c r="Z329" s="4"/>
    </row>
    <row r="330" spans="1:26" x14ac:dyDescent="0.25">
      <c r="A330" s="3" t="str">
        <f ca="1">IFERROR(__xludf.DUMMYFUNCTION("""COMPUTED_VALUE"""),"https://drive.google.com/open?id=1nFAJ270yXygFYltsrrEd4j1uRonL2Rfc")</f>
        <v>https://drive.google.com/open?id=1nFAJ270yXygFYltsrrEd4j1uRonL2Rfc</v>
      </c>
      <c r="B330" s="4" t="str">
        <f ca="1">IFERROR(__xludf.DUMMYFUNCTION("""COMPUTED_VALUE"""),"Enem")</f>
        <v>Enem</v>
      </c>
      <c r="C330" s="4">
        <f ca="1">IFERROR(__xludf.DUMMYFUNCTION("""COMPUTED_VALUE"""),2020)</f>
        <v>2020</v>
      </c>
      <c r="D330" s="4" t="str">
        <f ca="1">IFERROR(__xludf.DUMMYFUNCTION("""COMPUTED_VALUE"""),"Ciências da Natureza")</f>
        <v>Ciências da Natureza</v>
      </c>
      <c r="E330" s="4" t="str">
        <f ca="1">IFERROR(__xludf.DUMMYFUNCTION("""COMPUTED_VALUE"""),"Física")</f>
        <v>Física</v>
      </c>
      <c r="F330" s="4" t="str">
        <f ca="1">IFERROR(__xludf.DUMMYFUNCTION("""COMPUTED_VALUE"""),"Mecânica")</f>
        <v>Mecânica</v>
      </c>
      <c r="G330" s="4"/>
      <c r="H330" s="4"/>
      <c r="I330" s="4" t="str">
        <f ca="1">IFERROR(__xludf.DUMMYFUNCTION("""COMPUTED_VALUE"""),"Rosa")</f>
        <v>Rosa</v>
      </c>
      <c r="J330" s="4">
        <f ca="1">IFERROR(__xludf.DUMMYFUNCTION("""COMPUTED_VALUE"""),96)</f>
        <v>96</v>
      </c>
      <c r="K330" s="4" t="str">
        <f ca="1">IFERROR(__xludf.DUMMYFUNCTION("""COMPUTED_VALUE"""),"C")</f>
        <v>C</v>
      </c>
      <c r="L330" s="4" t="str">
        <f ca="1">IFERROR(__xludf.DUMMYFUNCTION("""COMPUTED_VALUE"""),"Um mergulhador fica preso ao explorar uma caverna no oceano. Dentro da caverna
formou-se um bolsão de ar, como mostrado na figura, onde o mergulhador se abrigou.
Durante o resgate, para evitar danos a seu organismo, foi necessário que o
mergulhador passas"&amp;"se por um processo de descompressão antes de retornar à superfície
para que seu corpo ficasse novamente sob pressão atmosférica. O gráfico mostra a
relação entre os tempos de descompressão recomendados para indivíduos nessa
situação e a variação de pressã"&amp;"o.
Considere que a aceleração da gravidade seja igual a 10 m s−2 e que a densidade
da água seja de ρ = 1 000 kg m−3.
Em minutos, qual é o tempo de descompressão a que o mergulhador deverá ser
submetido?")</f>
        <v>Um mergulhador fica preso ao explorar uma caverna no oceano. Dentro da caverna
formou-se um bolsão de ar, como mostrado na figura, onde o mergulhador se abrigou.
Durante o resgate, para evitar danos a seu organismo, foi necessário que o
mergulhador passasse por um processo de descompressão antes de retornar à superfície
para que seu corpo ficasse novamente sob pressão atmosférica. O gráfico mostra a
relação entre os tempos de descompressão recomendados para indivíduos nessa
situação e a variação de pressão.
Considere que a aceleração da gravidade seja igual a 10 m s−2 e que a densidade
da água seja de ρ = 1 000 kg m−3.
Em minutos, qual é o tempo de descompressão a que o mergulhador deverá ser
submetido?</v>
      </c>
      <c r="M330" s="4" t="str">
        <f ca="1">IFERROR(__xludf.DUMMYFUNCTION("""COMPUTED_VALUE"""),"100")</f>
        <v>100</v>
      </c>
      <c r="N330" s="4" t="str">
        <f ca="1">IFERROR(__xludf.DUMMYFUNCTION("""COMPUTED_VALUE"""),"80")</f>
        <v>80</v>
      </c>
      <c r="O330" s="4" t="str">
        <f ca="1">IFERROR(__xludf.DUMMYFUNCTION("""COMPUTED_VALUE"""),"60")</f>
        <v>60</v>
      </c>
      <c r="P330" s="4" t="str">
        <f ca="1">IFERROR(__xludf.DUMMYFUNCTION("""COMPUTED_VALUE"""),"40")</f>
        <v>40</v>
      </c>
      <c r="Q330" s="4" t="str">
        <f ca="1">IFERROR(__xludf.DUMMYFUNCTION("""COMPUTED_VALUE"""),"20")</f>
        <v>20</v>
      </c>
      <c r="R330" s="4"/>
      <c r="S330" s="4"/>
      <c r="T330" s="4"/>
      <c r="U330" s="4"/>
      <c r="V330" s="4"/>
      <c r="W330" s="4"/>
      <c r="X330" s="4"/>
      <c r="Y330" s="4"/>
      <c r="Z330" s="4"/>
    </row>
    <row r="331" spans="1:26" x14ac:dyDescent="0.25">
      <c r="A331" s="3" t="str">
        <f ca="1">IFERROR(__xludf.DUMMYFUNCTION("""COMPUTED_VALUE"""),"https://drive.google.com/open?id=1tBNo79iyXXVzh6r6XQBFNjY5MiIBnIAX")</f>
        <v>https://drive.google.com/open?id=1tBNo79iyXXVzh6r6XQBFNjY5MiIBnIAX</v>
      </c>
      <c r="B331" s="4" t="str">
        <f ca="1">IFERROR(__xludf.DUMMYFUNCTION("""COMPUTED_VALUE"""),"Enem")</f>
        <v>Enem</v>
      </c>
      <c r="C331" s="4">
        <f ca="1">IFERROR(__xludf.DUMMYFUNCTION("""COMPUTED_VALUE"""),2020)</f>
        <v>2020</v>
      </c>
      <c r="D331" s="4" t="str">
        <f ca="1">IFERROR(__xludf.DUMMYFUNCTION("""COMPUTED_VALUE"""),"Ciências da Natureza")</f>
        <v>Ciências da Natureza</v>
      </c>
      <c r="E331" s="4" t="str">
        <f ca="1">IFERROR(__xludf.DUMMYFUNCTION("""COMPUTED_VALUE"""),"Física")</f>
        <v>Física</v>
      </c>
      <c r="F331" s="4" t="str">
        <f ca="1">IFERROR(__xludf.DUMMYFUNCTION("""COMPUTED_VALUE"""),"Mecânica")</f>
        <v>Mecânica</v>
      </c>
      <c r="G331" s="4"/>
      <c r="H331" s="4"/>
      <c r="I331" s="4" t="str">
        <f ca="1">IFERROR(__xludf.DUMMYFUNCTION("""COMPUTED_VALUE"""),"Rosa")</f>
        <v>Rosa</v>
      </c>
      <c r="J331" s="4">
        <f ca="1">IFERROR(__xludf.DUMMYFUNCTION("""COMPUTED_VALUE"""),97)</f>
        <v>97</v>
      </c>
      <c r="K331" s="4" t="str">
        <f ca="1">IFERROR(__xludf.DUMMYFUNCTION("""COMPUTED_VALUE"""),"C")</f>
        <v>C</v>
      </c>
      <c r="L331" s="4" t="str">
        <f ca="1">IFERROR(__xludf.DUMMYFUNCTION("""COMPUTED_VALUE"""),"A Torre Eiff el, com seus 324 metros de altura, feita com treliças de ferro, pesava
7 300 toneladas quando terminou de ser construída em 1889. Um arquiteto resolve
construir um protótipo dessa torre em escala 1:100, usando os mesmos materiais
(cada dimens"&amp;"ão linear em escala de 1:100 do monumento real). Considere que a
torre real tenha uma massa Mtorre e exerça na fundação sobre a qual foi erguida uma
pressão Ptorre. O modelo construído pelo arquiteto terá uma massa Mmodelo e exercerá
uma pressão Pmodelo.
"&amp;"Como a pressão exercida pela torre se compara com a pressão exercida pelo protótipo?
Ou seja, qual é a razão entre as pressões (Ptorre)/(Pmodelo)?")</f>
        <v>A Torre Eiff el, com seus 324 metros de altura, feita com treliças de ferro, pesava
7 300 toneladas quando terminou de ser construída em 1889. Um arquiteto resolve
construir um protótipo dessa torre em escala 1:100, usando os mesmos materiais
(cada dimensão linear em escala de 1:100 do monumento real). Considere que a
torre real tenha uma massa Mtorre e exerça na fundação sobre a qual foi erguida uma
pressão Ptorre. O modelo construído pelo arquiteto terá uma massa Mmodelo e exercerá
uma pressão Pmodelo.
Como a pressão exercida pela torre se compara com a pressão exercida pelo protótipo?
Ou seja, qual é a razão entre as pressões (Ptorre)/(Pmodelo)?</v>
      </c>
      <c r="M331" s="4" t="str">
        <f ca="1">IFERROR(__xludf.DUMMYFUNCTION("""COMPUTED_VALUE"""),"10^0")</f>
        <v>10^0</v>
      </c>
      <c r="N331" s="4" t="str">
        <f ca="1">IFERROR(__xludf.DUMMYFUNCTION("""COMPUTED_VALUE"""),"10^1")</f>
        <v>10^1</v>
      </c>
      <c r="O331" s="4" t="str">
        <f ca="1">IFERROR(__xludf.DUMMYFUNCTION("""COMPUTED_VALUE"""),"10^2")</f>
        <v>10^2</v>
      </c>
      <c r="P331" s="4" t="str">
        <f ca="1">IFERROR(__xludf.DUMMYFUNCTION("""COMPUTED_VALUE"""),"10^4")</f>
        <v>10^4</v>
      </c>
      <c r="Q331" s="4" t="str">
        <f ca="1">IFERROR(__xludf.DUMMYFUNCTION("""COMPUTED_VALUE"""),"10^6")</f>
        <v>10^6</v>
      </c>
      <c r="R331" s="4"/>
      <c r="S331" s="4"/>
      <c r="T331" s="4"/>
      <c r="U331" s="4"/>
      <c r="V331" s="4"/>
      <c r="W331" s="4"/>
      <c r="X331" s="4"/>
      <c r="Y331" s="4"/>
      <c r="Z331" s="4"/>
    </row>
    <row r="332" spans="1:26" x14ac:dyDescent="0.25">
      <c r="A332" s="3" t="str">
        <f ca="1">IFERROR(__xludf.DUMMYFUNCTION("""COMPUTED_VALUE"""),"https://drive.google.com/open?id=1I9tBD56MmH4k7ejTYCW9TWDa3KUkrfyP")</f>
        <v>https://drive.google.com/open?id=1I9tBD56MmH4k7ejTYCW9TWDa3KUkrfyP</v>
      </c>
      <c r="B332" s="4" t="str">
        <f ca="1">IFERROR(__xludf.DUMMYFUNCTION("""COMPUTED_VALUE"""),"Enem")</f>
        <v>Enem</v>
      </c>
      <c r="C332" s="4">
        <f ca="1">IFERROR(__xludf.DUMMYFUNCTION("""COMPUTED_VALUE"""),2018)</f>
        <v>2018</v>
      </c>
      <c r="D332" s="4" t="str">
        <f ca="1">IFERROR(__xludf.DUMMYFUNCTION("""COMPUTED_VALUE"""),"Ciências da Natureza")</f>
        <v>Ciências da Natureza</v>
      </c>
      <c r="E332" s="4" t="str">
        <f ca="1">IFERROR(__xludf.DUMMYFUNCTION("""COMPUTED_VALUE"""),"Biologia")</f>
        <v>Biologia</v>
      </c>
      <c r="F332" s="4" t="str">
        <f ca="1">IFERROR(__xludf.DUMMYFUNCTION("""COMPUTED_VALUE"""),"Botânica e Ecologia")</f>
        <v>Botânica e Ecologia</v>
      </c>
      <c r="G332" s="4"/>
      <c r="H332" s="4"/>
      <c r="I332" s="4" t="str">
        <f ca="1">IFERROR(__xludf.DUMMYFUNCTION("""COMPUTED_VALUE"""),"Amarelo")</f>
        <v>Amarelo</v>
      </c>
      <c r="J332" s="4">
        <f ca="1">IFERROR(__xludf.DUMMYFUNCTION("""COMPUTED_VALUE"""),104)</f>
        <v>104</v>
      </c>
      <c r="K332" s="4" t="str">
        <f ca="1">IFERROR(__xludf.DUMMYFUNCTION("""COMPUTED_VALUE"""),"D")</f>
        <v>D</v>
      </c>
      <c r="L332" s="4" t="str">
        <f ca="1">IFERROR(__xludf.DUMMYFUNCTION("""COMPUTED_VALUE"""),"O alemão Fritz Haber recebeu o Prêmio Nobel de química de 1918 pelo
desenvolvimento de um processo viável para a síntese da amônia (NH3
). Em seu discurso de premiação, Haber justificou a importância do feito dizendo que:
“Desde a metade do século passado"&amp;", tornou-se conhecido que um suprimento
de nitrogênio é uma necessidade básica para o aumento das safras de alimentos;
entretanto, também se sabia que as plantas não podem absorver o nitrogênio em
sua forma simples, que é o principal constituinte da atmos"&amp;"fera. Elas precisam que o
nitrogênio seja combinado [...] para poderem assimilá-lo.
Economias agrícolas basicamente mantêm o balanço do nitrogênio ligado.
No entanto, com o advento da era industrial, os produtos do solo são levados de onde
cresce a colhei"&amp;"ta para lugares distantes, onde são consumidos, fazendo com que o
nitrogênio ligado não retorne à terra da qual foi retirado.
Isso tem gerado a necessidade econômica mundial de abastecer o solo com
nitrogênio ligado. [...] A demanda por nitrogênio, tal co"&amp;"mo a do carvão, indica quão
diferente nosso modo de vida se tornou com relação ao das pessoas que, com seus
próprios corpos, fertilizam o solo que cultivam.
Desde a metade do último século, nós vínhamos aproveitando o suprimento de
nitrogênio do salitre q"&amp;"ue a natureza tinha depositado nos desertos montanhosos do
Chile. Comparando o rápido crescimento da demanda com a extensão calculada
desses depósitos, ficou claro que em meados do século atual uma emergência
seríssima seria inevitável, a menos que a quím"&amp;"ica encontrasse uma saída.”
De acordo com os argumentos de Haber, qual fenômeno teria provocado o desequilíbrio no
“balanço do nitrogênio ligado”?")</f>
        <v>O alemão Fritz Haber recebeu o Prêmio Nobel de química de 1918 pelo
desenvolvimento de um processo viável para a síntese da amônia (NH3
). Em seu discurso de premiação, Haber justificou a importância do feito dizendo que:
“Desde a metade do século passado, tornou-se conhecido que um suprimento
de nitrogênio é uma necessidade básica para o aumento das safras de alimentos;
entretanto, também se sabia que as plantas não podem absorver o nitrogênio em
sua forma simples, que é o principal constituinte da atmosfera. Elas precisam que o
nitrogênio seja combinado [...] para poderem assimilá-lo.
Economias agrícolas basicamente mantêm o balanço do nitrogênio ligado.
No entanto, com o advento da era industrial, os produtos do solo são levados de onde
cresce a colheita para lugares distantes, onde são consumidos, fazendo com que o
nitrogênio ligado não retorne à terra da qual foi retirado.
Isso tem gerado a necessidade econômica mundial de abastecer o solo com
nitrogênio ligado. [...] A demanda por nitrogênio, tal como a do carvão, indica quão
diferente nosso modo de vida se tornou com relação ao das pessoas que, com seus
próprios corpos, fertilizam o solo que cultivam.
Desde a metade do último século, nós vínhamos aproveitando o suprimento de
nitrogênio do salitre que a natureza tinha depositado nos desertos montanhosos do
Chile. Comparando o rápido crescimento da demanda com a extensão calculada
desses depósitos, ficou claro que em meados do século atual uma emergência
seríssima seria inevitável, a menos que a química encontrasse uma saída.”
De acordo com os argumentos de Haber, qual fenômeno teria provocado o desequilíbrio no
“balanço do nitrogênio ligado”?</v>
      </c>
      <c r="M332" s="4" t="str">
        <f ca="1">IFERROR(__xludf.DUMMYFUNCTION("""COMPUTED_VALUE"""),"O esgotamento das reservas de salitre no Chile.")</f>
        <v>O esgotamento das reservas de salitre no Chile.</v>
      </c>
      <c r="N332" s="4" t="str">
        <f ca="1">IFERROR(__xludf.DUMMYFUNCTION("""COMPUTED_VALUE"""),"O aumento da exploração de carvão vegetal e carvão mineral.")</f>
        <v>O aumento da exploração de carvão vegetal e carvão mineral.</v>
      </c>
      <c r="O332" s="4" t="str">
        <f ca="1">IFERROR(__xludf.DUMMYFUNCTION("""COMPUTED_VALUE"""),"A redução da fertilidade do solo nas economias agrícolas.")</f>
        <v>A redução da fertilidade do solo nas economias agrícolas.</v>
      </c>
      <c r="P332" s="4" t="str">
        <f ca="1">IFERROR(__xludf.DUMMYFUNCTION("""COMPUTED_VALUE"""),"A intensificação no fluxo de pessoas do campo para as cidades.")</f>
        <v>A intensificação no fluxo de pessoas do campo para as cidades.</v>
      </c>
      <c r="Q332" s="4" t="str">
        <f ca="1">IFERROR(__xludf.DUMMYFUNCTION("""COMPUTED_VALUE"""),"A necessidade das plantas de absorverem sais de nitrogênio disponíveis no solo.")</f>
        <v>A necessidade das plantas de absorverem sais de nitrogênio disponíveis no solo.</v>
      </c>
      <c r="R332" s="4"/>
      <c r="S332" s="4"/>
      <c r="T332" s="4"/>
      <c r="U332" s="4"/>
      <c r="V332" s="4"/>
      <c r="W332" s="4"/>
      <c r="X332" s="4"/>
      <c r="Y332" s="4"/>
      <c r="Z332" s="4"/>
    </row>
    <row r="333" spans="1:26" x14ac:dyDescent="0.25">
      <c r="A333" s="3" t="str">
        <f ca="1">IFERROR(__xludf.DUMMYFUNCTION("""COMPUTED_VALUE"""),"https://drive.google.com/open?id=1aO7t10AzC4dp8rlLaXLDZFiDFiXFkS5o")</f>
        <v>https://drive.google.com/open?id=1aO7t10AzC4dp8rlLaXLDZFiDFiXFkS5o</v>
      </c>
      <c r="B333" s="4" t="str">
        <f ca="1">IFERROR(__xludf.DUMMYFUNCTION("""COMPUTED_VALUE"""),"Enem")</f>
        <v>Enem</v>
      </c>
      <c r="C333" s="4">
        <f ca="1">IFERROR(__xludf.DUMMYFUNCTION("""COMPUTED_VALUE"""),2020)</f>
        <v>2020</v>
      </c>
      <c r="D333" s="4" t="str">
        <f ca="1">IFERROR(__xludf.DUMMYFUNCTION("""COMPUTED_VALUE"""),"Ciências da Natureza")</f>
        <v>Ciências da Natureza</v>
      </c>
      <c r="E333" s="4" t="str">
        <f ca="1">IFERROR(__xludf.DUMMYFUNCTION("""COMPUTED_VALUE"""),"Física")</f>
        <v>Física</v>
      </c>
      <c r="F333" s="4" t="str">
        <f ca="1">IFERROR(__xludf.DUMMYFUNCTION("""COMPUTED_VALUE"""),"Óptica e Térmica")</f>
        <v>Óptica e Térmica</v>
      </c>
      <c r="G333" s="4" t="str">
        <f ca="1">IFERROR(__xludf.DUMMYFUNCTION("""COMPUTED_VALUE"""),"Eletromagnetismo")</f>
        <v>Eletromagnetismo</v>
      </c>
      <c r="H333" s="4"/>
      <c r="I333" s="4" t="str">
        <f ca="1">IFERROR(__xludf.DUMMYFUNCTION("""COMPUTED_VALUE"""),"Rosa")</f>
        <v>Rosa</v>
      </c>
      <c r="J333" s="4">
        <f ca="1">IFERROR(__xludf.DUMMYFUNCTION("""COMPUTED_VALUE"""),98)</f>
        <v>98</v>
      </c>
      <c r="K333" s="4" t="str">
        <f ca="1">IFERROR(__xludf.DUMMYFUNCTION("""COMPUTED_VALUE"""),"A")</f>
        <v>A</v>
      </c>
      <c r="L333" s="4" t="str">
        <f ca="1">IFERROR(__xludf.DUMMYFUNCTION("""COMPUTED_VALUE"""),"Herschel, em 1880, começou a escrever sobre a condensação da luz solar no foco
de uma lente e queria verificar de que maneira os raios coloridos contribuem para o
aquecimento. Para isso, ele projetou sobre um anteparo o espectro solar obtido com um
prisma"&amp;", colocou termômetros nas diversas faixas de cores e verificou nos dados obtidos
que um dos termômetros iluminados indicou um aumento de temperatura maior para uma
determinada faixa de frequências.
Para verificar a hipótese de Herschel, um estudante monto"&amp;"u o dispositivo
apresentado na figura. Nesse aparato, cinco recipientes contendo água, à mesma
temperatura inicial, e separados por um material isolante térmico e refletor são
posicionados lado a lado (A, B, C, D e E) no interior de uma caixa de material "&amp;"isolante
térmico e opaco. A luz solar, ao entrar na caixa, atravessa o prisma e incide sobre os
recipientes. O estudante aguarda até que ocorra o aumento da temperatura e a afere em
cada recipiente.
Em qual dos recipientes a água terá maior temperatura ao"&amp;" final do experimento?")</f>
        <v>Herschel, em 1880, começou a escrever sobre a condensação da luz solar no foco
de uma lente e queria verificar de que maneira os raios coloridos contribuem para o
aquecimento. Para isso, ele projetou sobre um anteparo o espectro solar obtido com um
prisma, colocou termômetros nas diversas faixas de cores e verificou nos dados obtidos
que um dos termômetros iluminados indicou um aumento de temperatura maior para uma
determinada faixa de frequências.
Para verificar a hipótese de Herschel, um estudante montou o dispositivo
apresentado na figura. Nesse aparato, cinco recipientes contendo água, à mesma
temperatura inicial, e separados por um material isolante térmico e refletor são
posicionados lado a lado (A, B, C, D e E) no interior de uma caixa de material isolante
térmico e opaco. A luz solar, ao entrar na caixa, atravessa o prisma e incide sobre os
recipientes. O estudante aguarda até que ocorra o aumento da temperatura e a afere em
cada recipiente.
Em qual dos recipientes a água terá maior temperatura ao final do experimento?</v>
      </c>
      <c r="M333" s="4" t="str">
        <f ca="1">IFERROR(__xludf.DUMMYFUNCTION("""COMPUTED_VALUE"""),"A")</f>
        <v>A</v>
      </c>
      <c r="N333" s="4" t="str">
        <f ca="1">IFERROR(__xludf.DUMMYFUNCTION("""COMPUTED_VALUE"""),"B")</f>
        <v>B</v>
      </c>
      <c r="O333" s="4" t="str">
        <f ca="1">IFERROR(__xludf.DUMMYFUNCTION("""COMPUTED_VALUE"""),"C")</f>
        <v>C</v>
      </c>
      <c r="P333" s="4" t="str">
        <f ca="1">IFERROR(__xludf.DUMMYFUNCTION("""COMPUTED_VALUE"""),"D")</f>
        <v>D</v>
      </c>
      <c r="Q333" s="4" t="str">
        <f ca="1">IFERROR(__xludf.DUMMYFUNCTION("""COMPUTED_VALUE"""),"E")</f>
        <v>E</v>
      </c>
      <c r="R333" s="4"/>
      <c r="S333" s="4"/>
      <c r="T333" s="4"/>
      <c r="U333" s="4"/>
      <c r="V333" s="4"/>
      <c r="W333" s="4"/>
      <c r="X333" s="4"/>
      <c r="Y333" s="4"/>
      <c r="Z333" s="4"/>
    </row>
    <row r="334" spans="1:26" x14ac:dyDescent="0.25">
      <c r="A334" s="3" t="str">
        <f ca="1">IFERROR(__xludf.DUMMYFUNCTION("""COMPUTED_VALUE"""),"https://drive.google.com/open?id=1-cF_WJqlwIPs9bTKBhZcLC-RiLVc-h6m")</f>
        <v>https://drive.google.com/open?id=1-cF_WJqlwIPs9bTKBhZcLC-RiLVc-h6m</v>
      </c>
      <c r="B334" s="4" t="str">
        <f ca="1">IFERROR(__xludf.DUMMYFUNCTION("""COMPUTED_VALUE"""),"Enem")</f>
        <v>Enem</v>
      </c>
      <c r="C334" s="4">
        <f ca="1">IFERROR(__xludf.DUMMYFUNCTION("""COMPUTED_VALUE"""),2018)</f>
        <v>2018</v>
      </c>
      <c r="D334" s="4" t="str">
        <f ca="1">IFERROR(__xludf.DUMMYFUNCTION("""COMPUTED_VALUE"""),"Ciências da Natureza")</f>
        <v>Ciências da Natureza</v>
      </c>
      <c r="E334" s="4" t="str">
        <f ca="1">IFERROR(__xludf.DUMMYFUNCTION("""COMPUTED_VALUE"""),"Biologia")</f>
        <v>Biologia</v>
      </c>
      <c r="F334" s="4" t="str">
        <f ca="1">IFERROR(__xludf.DUMMYFUNCTION("""COMPUTED_VALUE"""),"Botânica e Ecologia")</f>
        <v>Botânica e Ecologia</v>
      </c>
      <c r="G334" s="4"/>
      <c r="H334" s="4"/>
      <c r="I334" s="4" t="str">
        <f ca="1">IFERROR(__xludf.DUMMYFUNCTION("""COMPUTED_VALUE"""),"Amarelo")</f>
        <v>Amarelo</v>
      </c>
      <c r="J334" s="4">
        <f ca="1">IFERROR(__xludf.DUMMYFUNCTION("""COMPUTED_VALUE"""),105)</f>
        <v>105</v>
      </c>
      <c r="K334" s="4" t="str">
        <f ca="1">IFERROR(__xludf.DUMMYFUNCTION("""COMPUTED_VALUE"""),"E")</f>
        <v>E</v>
      </c>
      <c r="L334" s="4" t="str">
        <f ca="1">IFERROR(__xludf.DUMMYFUNCTION("""COMPUTED_VALUE"""),"A polinização, que viabiliza o transporte do grão de pólen de uma planta até o
estigma de outra, pode ser realizada biótica ou abioticamente. Nos processos abióticos,
as plantas dependem de fatores como o vento e a água.
A estratégia evolutiva que resulta"&amp;" em polinização mais eficiente quando esta depende do vento é o(a)")</f>
        <v>A polinização, que viabiliza o transporte do grão de pólen de uma planta até o
estigma de outra, pode ser realizada biótica ou abioticamente. Nos processos abióticos,
as plantas dependem de fatores como o vento e a água.
A estratégia evolutiva que resulta em polinização mais eficiente quando esta depende do vento é o(a)</v>
      </c>
      <c r="M334" s="4" t="str">
        <f ca="1">IFERROR(__xludf.DUMMYFUNCTION("""COMPUTED_VALUE"""),"diminuição do cálice.")</f>
        <v>diminuição do cálice.</v>
      </c>
      <c r="N334" s="4" t="str">
        <f ca="1">IFERROR(__xludf.DUMMYFUNCTION("""COMPUTED_VALUE"""),"alongamento do ovário.")</f>
        <v>alongamento do ovário.</v>
      </c>
      <c r="O334" s="4" t="str">
        <f ca="1">IFERROR(__xludf.DUMMYFUNCTION("""COMPUTED_VALUE"""),"disponibilização do néctar.")</f>
        <v>disponibilização do néctar.</v>
      </c>
      <c r="P334" s="4" t="str">
        <f ca="1">IFERROR(__xludf.DUMMYFUNCTION("""COMPUTED_VALUE"""),"intensificação da cor das pétalas.")</f>
        <v>intensificação da cor das pétalas.</v>
      </c>
      <c r="Q334" s="4" t="str">
        <f ca="1">IFERROR(__xludf.DUMMYFUNCTION("""COMPUTED_VALUE"""),"aumento do número de estames.")</f>
        <v>aumento do número de estames.</v>
      </c>
      <c r="R334" s="4"/>
      <c r="S334" s="4"/>
      <c r="T334" s="4"/>
      <c r="U334" s="4"/>
      <c r="V334" s="4"/>
      <c r="W334" s="4"/>
      <c r="X334" s="4"/>
      <c r="Y334" s="4"/>
      <c r="Z334" s="4"/>
    </row>
    <row r="335" spans="1:26" x14ac:dyDescent="0.25">
      <c r="A335" s="3" t="str">
        <f ca="1">IFERROR(__xludf.DUMMYFUNCTION("""COMPUTED_VALUE"""),"https://drive.google.com/open?id=1oVPr8UHfCXih3fncyJtghI9V-PzPENCr")</f>
        <v>https://drive.google.com/open?id=1oVPr8UHfCXih3fncyJtghI9V-PzPENCr</v>
      </c>
      <c r="B335" s="4" t="str">
        <f ca="1">IFERROR(__xludf.DUMMYFUNCTION("""COMPUTED_VALUE"""),"Enem")</f>
        <v>Enem</v>
      </c>
      <c r="C335" s="4">
        <f ca="1">IFERROR(__xludf.DUMMYFUNCTION("""COMPUTED_VALUE"""),2020)</f>
        <v>2020</v>
      </c>
      <c r="D335" s="4" t="str">
        <f ca="1">IFERROR(__xludf.DUMMYFUNCTION("""COMPUTED_VALUE"""),"Ciências da Natureza")</f>
        <v>Ciências da Natureza</v>
      </c>
      <c r="E335" s="4" t="str">
        <f ca="1">IFERROR(__xludf.DUMMYFUNCTION("""COMPUTED_VALUE"""),"Física")</f>
        <v>Física</v>
      </c>
      <c r="F335" s="4" t="str">
        <f ca="1">IFERROR(__xludf.DUMMYFUNCTION("""COMPUTED_VALUE"""),"Eletromagnetismo")</f>
        <v>Eletromagnetismo</v>
      </c>
      <c r="G335" s="4"/>
      <c r="H335" s="4"/>
      <c r="I335" s="4" t="str">
        <f ca="1">IFERROR(__xludf.DUMMYFUNCTION("""COMPUTED_VALUE"""),"Rosa")</f>
        <v>Rosa</v>
      </c>
      <c r="J335" s="4">
        <f ca="1">IFERROR(__xludf.DUMMYFUNCTION("""COMPUTED_VALUE"""),100)</f>
        <v>100</v>
      </c>
      <c r="K335" s="4" t="str">
        <f ca="1">IFERROR(__xludf.DUMMYFUNCTION("""COMPUTED_VALUE"""),"B")</f>
        <v>B</v>
      </c>
      <c r="L335" s="4" t="str">
        <f ca="1">IFERROR(__xludf.DUMMYFUNCTION("""COMPUTED_VALUE"""),"Uma pessoa percebe que a bateria de seu veículo fica descarregada após cinco dias
sem uso. No início desse período, a bateria funcionava normalmente e estava com o total
de sua carga nominal, de 60 Ah. Pensando na possibilidade de haver uma corrente de
fu"&amp;"ga, que se estabelece mesmo com os dispositivos elétricos do veículo desligados, ele
associa um amperímetro digital ao circuito do veículo.
Qual dos esquemas indica a maneira com que o amperímetro deve ser ligado e a leitura
por ele realizada?")</f>
        <v>Uma pessoa percebe que a bateria de seu veículo fica descarregada após cinco dias
sem uso. No início desse período, a bateria funcionava normalmente e estava com o total
de sua carga nominal, de 60 Ah. Pensando na possibilidade de haver uma corrente de
fuga, que se estabelece mesmo com os dispositivos elétricos do veículo desligados, ele
associa um amperímetro digital ao circuito do veículo.
Qual dos esquemas indica a maneira com que o amperímetro deve ser ligado e a leitura
por ele realizada?</v>
      </c>
      <c r="M335" s="4" t="str">
        <f ca="1">IFERROR(__xludf.DUMMYFUNCTION("""COMPUTED_VALUE"""),".")</f>
        <v>.</v>
      </c>
      <c r="N335" s="4" t="str">
        <f ca="1">IFERROR(__xludf.DUMMYFUNCTION("""COMPUTED_VALUE"""),".")</f>
        <v>.</v>
      </c>
      <c r="O335" s="4" t="str">
        <f ca="1">IFERROR(__xludf.DUMMYFUNCTION("""COMPUTED_VALUE"""),".")</f>
        <v>.</v>
      </c>
      <c r="P335" s="4" t="str">
        <f ca="1">IFERROR(__xludf.DUMMYFUNCTION("""COMPUTED_VALUE"""),".")</f>
        <v>.</v>
      </c>
      <c r="Q335" s="4" t="str">
        <f ca="1">IFERROR(__xludf.DUMMYFUNCTION("""COMPUTED_VALUE"""),".")</f>
        <v>.</v>
      </c>
      <c r="R335" s="4"/>
      <c r="S335" s="4"/>
      <c r="T335" s="4"/>
      <c r="U335" s="4"/>
      <c r="V335" s="4"/>
      <c r="W335" s="4"/>
      <c r="X335" s="4"/>
      <c r="Y335" s="4"/>
      <c r="Z335" s="4"/>
    </row>
    <row r="336" spans="1:26" x14ac:dyDescent="0.25">
      <c r="A336" s="3" t="str">
        <f ca="1">IFERROR(__xludf.DUMMYFUNCTION("""COMPUTED_VALUE"""),"https://drive.google.com/open?id=1yDqsqVOSy90j16RxSw0Rx5gqEYPTRxcj")</f>
        <v>https://drive.google.com/open?id=1yDqsqVOSy90j16RxSw0Rx5gqEYPTRxcj</v>
      </c>
      <c r="B336" s="4" t="str">
        <f ca="1">IFERROR(__xludf.DUMMYFUNCTION("""COMPUTED_VALUE"""),"Enem")</f>
        <v>Enem</v>
      </c>
      <c r="C336" s="4">
        <f ca="1">IFERROR(__xludf.DUMMYFUNCTION("""COMPUTED_VALUE"""),2020)</f>
        <v>2020</v>
      </c>
      <c r="D336" s="4" t="str">
        <f ca="1">IFERROR(__xludf.DUMMYFUNCTION("""COMPUTED_VALUE"""),"Ciências da Natureza")</f>
        <v>Ciências da Natureza</v>
      </c>
      <c r="E336" s="4" t="str">
        <f ca="1">IFERROR(__xludf.DUMMYFUNCTION("""COMPUTED_VALUE"""),"Física")</f>
        <v>Física</v>
      </c>
      <c r="F336" s="4" t="str">
        <f ca="1">IFERROR(__xludf.DUMMYFUNCTION("""COMPUTED_VALUE"""),"Mecânica")</f>
        <v>Mecânica</v>
      </c>
      <c r="G336" s="4"/>
      <c r="H336" s="4"/>
      <c r="I336" s="4" t="str">
        <f ca="1">IFERROR(__xludf.DUMMYFUNCTION("""COMPUTED_VALUE"""),"Rosa")</f>
        <v>Rosa</v>
      </c>
      <c r="J336" s="4">
        <f ca="1">IFERROR(__xludf.DUMMYFUNCTION("""COMPUTED_VALUE"""),102)</f>
        <v>102</v>
      </c>
      <c r="K336" s="4" t="str">
        <f ca="1">IFERROR(__xludf.DUMMYFUNCTION("""COMPUTED_VALUE"""),"D")</f>
        <v>D</v>
      </c>
      <c r="L336" s="4" t="str">
        <f ca="1">IFERROR(__xludf.DUMMYFUNCTION("""COMPUTED_VALUE"""),"Nos desenhos animados, com frequência se vê um personagem correndo na direção
de um abismo, mas, ao invés de cair, ele continua andando no vazio e só quando percebe
que não há nada sob seus pés é que ele para de andar e cai verticalmente. No entanto,
para"&amp;" observar uma trajetória de queda num experimento real, pode-se lançar uma
bolinha, com velocidade constante (V0
), sobre a superfície de uma mesa e verificar o seu
movimento de queda até o chão.
Qual figura melhor representa a trajetória de queda da boli"&amp;"nha?")</f>
        <v>Nos desenhos animados, com frequência se vê um personagem correndo na direção
de um abismo, mas, ao invés de cair, ele continua andando no vazio e só quando percebe
que não há nada sob seus pés é que ele para de andar e cai verticalmente. No entanto,
para observar uma trajetória de queda num experimento real, pode-se lançar uma
bolinha, com velocidade constante (V0
), sobre a superfície de uma mesa e verificar o seu
movimento de queda até o chão.
Qual figura melhor representa a trajetória de queda da bolinha?</v>
      </c>
      <c r="M336" s="4" t="str">
        <f ca="1">IFERROR(__xludf.DUMMYFUNCTION("""COMPUTED_VALUE"""),".")</f>
        <v>.</v>
      </c>
      <c r="N336" s="4" t="str">
        <f ca="1">IFERROR(__xludf.DUMMYFUNCTION("""COMPUTED_VALUE"""),".")</f>
        <v>.</v>
      </c>
      <c r="O336" s="4" t="str">
        <f ca="1">IFERROR(__xludf.DUMMYFUNCTION("""COMPUTED_VALUE"""),".")</f>
        <v>.</v>
      </c>
      <c r="P336" s="4" t="str">
        <f ca="1">IFERROR(__xludf.DUMMYFUNCTION("""COMPUTED_VALUE"""),".")</f>
        <v>.</v>
      </c>
      <c r="Q336" s="4" t="str">
        <f ca="1">IFERROR(__xludf.DUMMYFUNCTION("""COMPUTED_VALUE"""),".")</f>
        <v>.</v>
      </c>
      <c r="R336" s="4"/>
      <c r="S336" s="4"/>
      <c r="T336" s="4"/>
      <c r="U336" s="4"/>
      <c r="V336" s="4"/>
      <c r="W336" s="4"/>
      <c r="X336" s="4"/>
      <c r="Y336" s="4"/>
      <c r="Z336" s="4"/>
    </row>
    <row r="337" spans="1:26" x14ac:dyDescent="0.25">
      <c r="A337" s="3" t="str">
        <f ca="1">IFERROR(__xludf.DUMMYFUNCTION("""COMPUTED_VALUE"""),"https://drive.google.com/open?id=1YiThsievsQPncO7CJcrGP_zORNLNUBy4")</f>
        <v>https://drive.google.com/open?id=1YiThsievsQPncO7CJcrGP_zORNLNUBy4</v>
      </c>
      <c r="B337" s="4" t="str">
        <f ca="1">IFERROR(__xludf.DUMMYFUNCTION("""COMPUTED_VALUE"""),"Enem")</f>
        <v>Enem</v>
      </c>
      <c r="C337" s="4">
        <f ca="1">IFERROR(__xludf.DUMMYFUNCTION("""COMPUTED_VALUE"""),2018)</f>
        <v>2018</v>
      </c>
      <c r="D337" s="4" t="str">
        <f ca="1">IFERROR(__xludf.DUMMYFUNCTION("""COMPUTED_VALUE"""),"Ciências da Natureza")</f>
        <v>Ciências da Natureza</v>
      </c>
      <c r="E337" s="4" t="str">
        <f ca="1">IFERROR(__xludf.DUMMYFUNCTION("""COMPUTED_VALUE"""),"Biologia")</f>
        <v>Biologia</v>
      </c>
      <c r="F337" s="4" t="str">
        <f ca="1">IFERROR(__xludf.DUMMYFUNCTION("""COMPUTED_VALUE"""),"Botânica e Ecologia")</f>
        <v>Botânica e Ecologia</v>
      </c>
      <c r="G337" s="4"/>
      <c r="H337" s="4"/>
      <c r="I337" s="4" t="str">
        <f ca="1">IFERROR(__xludf.DUMMYFUNCTION("""COMPUTED_VALUE"""),"Amarelo")</f>
        <v>Amarelo</v>
      </c>
      <c r="J337" s="4">
        <f ca="1">IFERROR(__xludf.DUMMYFUNCTION("""COMPUTED_VALUE"""),107)</f>
        <v>107</v>
      </c>
      <c r="K337" s="4" t="str">
        <f ca="1">IFERROR(__xludf.DUMMYFUNCTION("""COMPUTED_VALUE"""),"A")</f>
        <v>A</v>
      </c>
      <c r="L337" s="4" t="str">
        <f ca="1">IFERROR(__xludf.DUMMYFUNCTION("""COMPUTED_VALUE"""),"Companhias que fabricam jeans usam cloro para o clareamento, seguido de
lavagem. Algumas estão substituindo o cloro por substâncias ambientalmente
mais seguras como peróxidos, que podem ser degradados por enzimas chamadas peroxidases. Pensando nisso, pesq"&amp;"uisadores inseriram genes codificadores de peroxidases em leveduras cultivadas nas condições de clareamento e lavagem dos
jeans e selecionaram as sobreviventes para produção dessas enzimas.
Nesse caso, o uso dessas leveduras modificadas objetiva")</f>
        <v>Companhias que fabricam jeans usam cloro para o clareamento, seguido de
lavagem. Algumas estão substituindo o cloro por substâncias ambientalmente
mais seguras como peróxidos, que podem ser degradados por enzimas chamadas peroxidases. Pensando nisso, pesquisadores inseriram genes codificadores de peroxidases em leveduras cultivadas nas condições de clareamento e lavagem dos
jeans e selecionaram as sobreviventes para produção dessas enzimas.
Nesse caso, o uso dessas leveduras modificadas objetiva</v>
      </c>
      <c r="M337" s="4" t="str">
        <f ca="1">IFERROR(__xludf.DUMMYFUNCTION("""COMPUTED_VALUE"""),"reduzir a quantidade de resíduos tóxicos nos efluentes da lavagem.")</f>
        <v>reduzir a quantidade de resíduos tóxicos nos efluentes da lavagem.</v>
      </c>
      <c r="N337" s="4" t="str">
        <f ca="1">IFERROR(__xludf.DUMMYFUNCTION("""COMPUTED_VALUE"""),"eliminar a necessidade de tratamento da água consumida.")</f>
        <v>eliminar a necessidade de tratamento da água consumida.</v>
      </c>
      <c r="O337" s="4" t="str">
        <f ca="1">IFERROR(__xludf.DUMMYFUNCTION("""COMPUTED_VALUE"""),"elevar a capacidade de clareamento dos jeans.")</f>
        <v>elevar a capacidade de clareamento dos jeans.</v>
      </c>
      <c r="P337" s="4" t="str">
        <f ca="1">IFERROR(__xludf.DUMMYFUNCTION("""COMPUTED_VALUE"""),"aumentar a resistência do jeans a peróxidos.")</f>
        <v>aumentar a resistência do jeans a peróxidos.</v>
      </c>
      <c r="Q337" s="4" t="str">
        <f ca="1">IFERROR(__xludf.DUMMYFUNCTION("""COMPUTED_VALUE"""),"associar ação bactericida ao clareamento.")</f>
        <v>associar ação bactericida ao clareamento.</v>
      </c>
      <c r="R337" s="4"/>
      <c r="S337" s="4"/>
      <c r="T337" s="4"/>
      <c r="U337" s="4"/>
      <c r="V337" s="4"/>
      <c r="W337" s="4"/>
      <c r="X337" s="4"/>
      <c r="Y337" s="4"/>
      <c r="Z337" s="4"/>
    </row>
    <row r="338" spans="1:26" x14ac:dyDescent="0.25">
      <c r="A338" s="3" t="str">
        <f ca="1">IFERROR(__xludf.DUMMYFUNCTION("""COMPUTED_VALUE"""),"https://drive.google.com/open?id=1vl-EXStra_4MgsmX8P23_nZQ3zAYa0tt")</f>
        <v>https://drive.google.com/open?id=1vl-EXStra_4MgsmX8P23_nZQ3zAYa0tt</v>
      </c>
      <c r="B338" s="4" t="str">
        <f ca="1">IFERROR(__xludf.DUMMYFUNCTION("""COMPUTED_VALUE"""),"Enem")</f>
        <v>Enem</v>
      </c>
      <c r="C338" s="4">
        <f ca="1">IFERROR(__xludf.DUMMYFUNCTION("""COMPUTED_VALUE"""),2020)</f>
        <v>2020</v>
      </c>
      <c r="D338" s="4" t="str">
        <f ca="1">IFERROR(__xludf.DUMMYFUNCTION("""COMPUTED_VALUE"""),"Ciências da Natureza")</f>
        <v>Ciências da Natureza</v>
      </c>
      <c r="E338" s="4" t="str">
        <f ca="1">IFERROR(__xludf.DUMMYFUNCTION("""COMPUTED_VALUE"""),"Física")</f>
        <v>Física</v>
      </c>
      <c r="F338" s="4" t="str">
        <f ca="1">IFERROR(__xludf.DUMMYFUNCTION("""COMPUTED_VALUE"""),"Óptica e Térmica")</f>
        <v>Óptica e Térmica</v>
      </c>
      <c r="G338" s="4"/>
      <c r="H338" s="4"/>
      <c r="I338" s="4" t="str">
        <f ca="1">IFERROR(__xludf.DUMMYFUNCTION("""COMPUTED_VALUE"""),"Rosa")</f>
        <v>Rosa</v>
      </c>
      <c r="J338" s="4">
        <f ca="1">IFERROR(__xludf.DUMMYFUNCTION("""COMPUTED_VALUE"""),103)</f>
        <v>103</v>
      </c>
      <c r="K338" s="4" t="str">
        <f ca="1">IFERROR(__xludf.DUMMYFUNCTION("""COMPUTED_VALUE"""),"C")</f>
        <v>C</v>
      </c>
      <c r="L338" s="4" t="str">
        <f ca="1">IFERROR(__xludf.DUMMYFUNCTION("""COMPUTED_VALUE"""),"Dois engenheiros estão verificando se uma cavidade perfurada no solo está de
acordo com o planejamento de uma obra, cuja profundidade requerida é de 30 m. O teste
é feito por um dispositivo denominado oscilador de áudio de frequência variável, que
permite"&amp;" relacionar a profundidade com os valores da frequência de duas ressonâncias
consecutivas, assim como em um tubo sonoro fechado. A menor frequência de
ressonância que o aparelho mediu foi 135 Hz. Considere que a velocidade do som dentro
da cavidade perfur"&amp;"ada é de 360 m s^-1.
Se a profundidade estiver de acordo com o projeto, qual será o valor da próxima
frequência de ressonância que será medida?")</f>
        <v>Dois engenheiros estão verificando se uma cavidade perfurada no solo está de
acordo com o planejamento de uma obra, cuja profundidade requerida é de 30 m. O teste
é feito por um dispositivo denominado oscilador de áudio de frequência variável, que
permite relacionar a profundidade com os valores da frequência de duas ressonâncias
consecutivas, assim como em um tubo sonoro fechado. A menor frequência de
ressonância que o aparelho mediu foi 135 Hz. Considere que a velocidade do som dentro
da cavidade perfurada é de 360 m s^-1.
Se a profundidade estiver de acordo com o projeto, qual será o valor da próxima
frequência de ressonância que será medida?</v>
      </c>
      <c r="M338" s="4" t="str">
        <f ca="1">IFERROR(__xludf.DUMMYFUNCTION("""COMPUTED_VALUE"""),"137 Hz.")</f>
        <v>137 Hz.</v>
      </c>
      <c r="N338" s="4" t="str">
        <f ca="1">IFERROR(__xludf.DUMMYFUNCTION("""COMPUTED_VALUE"""),"138 Hz.")</f>
        <v>138 Hz.</v>
      </c>
      <c r="O338" s="4" t="str">
        <f ca="1">IFERROR(__xludf.DUMMYFUNCTION("""COMPUTED_VALUE"""),"141 Hz.")</f>
        <v>141 Hz.</v>
      </c>
      <c r="P338" s="4" t="str">
        <f ca="1">IFERROR(__xludf.DUMMYFUNCTION("""COMPUTED_VALUE"""),"144 Hz.")</f>
        <v>144 Hz.</v>
      </c>
      <c r="Q338" s="4" t="str">
        <f ca="1">IFERROR(__xludf.DUMMYFUNCTION("""COMPUTED_VALUE"""),"159 Hz.")</f>
        <v>159 Hz.</v>
      </c>
      <c r="R338" s="4"/>
      <c r="S338" s="4"/>
      <c r="T338" s="4"/>
      <c r="U338" s="4"/>
      <c r="V338" s="4"/>
      <c r="W338" s="4"/>
      <c r="X338" s="4"/>
      <c r="Y338" s="4"/>
      <c r="Z338" s="4"/>
    </row>
    <row r="339" spans="1:26" x14ac:dyDescent="0.25">
      <c r="A339" s="3" t="str">
        <f ca="1">IFERROR(__xludf.DUMMYFUNCTION("""COMPUTED_VALUE"""),"https://drive.google.com/open?id=1sTOFuN9ZkJyNW_u3DiRGPbbc0lEzhxl1")</f>
        <v>https://drive.google.com/open?id=1sTOFuN9ZkJyNW_u3DiRGPbbc0lEzhxl1</v>
      </c>
      <c r="B339" s="4" t="str">
        <f ca="1">IFERROR(__xludf.DUMMYFUNCTION("""COMPUTED_VALUE"""),"Enem")</f>
        <v>Enem</v>
      </c>
      <c r="C339" s="4">
        <f ca="1">IFERROR(__xludf.DUMMYFUNCTION("""COMPUTED_VALUE"""),2020)</f>
        <v>2020</v>
      </c>
      <c r="D339" s="4" t="str">
        <f ca="1">IFERROR(__xludf.DUMMYFUNCTION("""COMPUTED_VALUE"""),"Ciências da Natureza")</f>
        <v>Ciências da Natureza</v>
      </c>
      <c r="E339" s="4" t="str">
        <f ca="1">IFERROR(__xludf.DUMMYFUNCTION("""COMPUTED_VALUE"""),"Física")</f>
        <v>Física</v>
      </c>
      <c r="F339" s="4" t="str">
        <f ca="1">IFERROR(__xludf.DUMMYFUNCTION("""COMPUTED_VALUE"""),"Eletromagnetismo")</f>
        <v>Eletromagnetismo</v>
      </c>
      <c r="G339" s="4"/>
      <c r="H339" s="4"/>
      <c r="I339" s="4" t="str">
        <f ca="1">IFERROR(__xludf.DUMMYFUNCTION("""COMPUTED_VALUE"""),"Rosa")</f>
        <v>Rosa</v>
      </c>
      <c r="J339" s="4">
        <f ca="1">IFERROR(__xludf.DUMMYFUNCTION("""COMPUTED_VALUE"""),108)</f>
        <v>108</v>
      </c>
      <c r="K339" s="4" t="str">
        <f ca="1">IFERROR(__xludf.DUMMYFUNCTION("""COMPUTED_VALUE"""),"A")</f>
        <v>A</v>
      </c>
      <c r="L339" s="4" t="str">
        <f ca="1">IFERROR(__xludf.DUMMYFUNCTION("""COMPUTED_VALUE"""),"Embora a energia nuclear possa ser utilizada para fins pacíficos, recentes conflitos
geopolíticos têm trazido preocupações em várias partes do planeta e estimulado
discussões visando o combate ao uso de armas de destruição em massa. Além do
potencial dest"&amp;"rutivo da bomba atômica, uma grande preocupação associada ao emprego
desse artefato bélico é a poeira radioativa deixada após a bomba ser detonada.
Qual é o processo envolvido na detonação dessa bomba?")</f>
        <v>Embora a energia nuclear possa ser utilizada para fins pacíficos, recentes conflitos
geopolíticos têm trazido preocupações em várias partes do planeta e estimulado
discussões visando o combate ao uso de armas de destruição em massa. Além do
potencial destrutivo da bomba atômica, uma grande preocupação associada ao emprego
desse artefato bélico é a poeira radioativa deixada após a bomba ser detonada.
Qual é o processo envolvido na detonação dessa bomba?</v>
      </c>
      <c r="M339" s="4" t="str">
        <f ca="1">IFERROR(__xludf.DUMMYFUNCTION("""COMPUTED_VALUE"""),"Fissão nuclear do urânio, provocada por nêutrons.")</f>
        <v>Fissão nuclear do urânio, provocada por nêutrons.</v>
      </c>
      <c r="N339" s="4" t="str">
        <f ca="1">IFERROR(__xludf.DUMMYFUNCTION("""COMPUTED_VALUE""")," Fusão nuclear do hidrogênio, provocada por prótons.")</f>
        <v xml:space="preserve"> Fusão nuclear do hidrogênio, provocada por prótons.</v>
      </c>
      <c r="O339" s="4" t="str">
        <f ca="1">IFERROR(__xludf.DUMMYFUNCTION("""COMPUTED_VALUE""")," Desintegração nuclear do plutônio, provocada por elétrons.")</f>
        <v xml:space="preserve"> Desintegração nuclear do plutônio, provocada por elétrons.</v>
      </c>
      <c r="P339" s="4" t="str">
        <f ca="1">IFERROR(__xludf.DUMMYFUNCTION("""COMPUTED_VALUE"""),"Associação em cadeia de chumbo, provocada por pósitrons.")</f>
        <v>Associação em cadeia de chumbo, provocada por pósitrons.</v>
      </c>
      <c r="Q339" s="4" t="str">
        <f ca="1">IFERROR(__xludf.DUMMYFUNCTION("""COMPUTED_VALUE""")," Decaimento radioativo do carbono, provocado por partículas beta")</f>
        <v xml:space="preserve"> Decaimento radioativo do carbono, provocado por partículas beta</v>
      </c>
      <c r="R339" s="4"/>
      <c r="S339" s="4"/>
      <c r="T339" s="4"/>
      <c r="U339" s="4"/>
      <c r="V339" s="4"/>
      <c r="W339" s="4"/>
      <c r="X339" s="4"/>
      <c r="Y339" s="4"/>
      <c r="Z339" s="4"/>
    </row>
    <row r="340" spans="1:26" x14ac:dyDescent="0.25">
      <c r="A340" s="3" t="str">
        <f ca="1">IFERROR(__xludf.DUMMYFUNCTION("""COMPUTED_VALUE"""),"https://drive.google.com/open?id=19vfyBAjk7KaAGyboukU2YSSfiwxRhJmS")</f>
        <v>https://drive.google.com/open?id=19vfyBAjk7KaAGyboukU2YSSfiwxRhJmS</v>
      </c>
      <c r="B340" s="4" t="str">
        <f ca="1">IFERROR(__xludf.DUMMYFUNCTION("""COMPUTED_VALUE"""),"Enem")</f>
        <v>Enem</v>
      </c>
      <c r="C340" s="4">
        <f ca="1">IFERROR(__xludf.DUMMYFUNCTION("""COMPUTED_VALUE"""),2018)</f>
        <v>2018</v>
      </c>
      <c r="D340" s="4" t="str">
        <f ca="1">IFERROR(__xludf.DUMMYFUNCTION("""COMPUTED_VALUE"""),"Ciências da Natureza")</f>
        <v>Ciências da Natureza</v>
      </c>
      <c r="E340" s="4" t="str">
        <f ca="1">IFERROR(__xludf.DUMMYFUNCTION("""COMPUTED_VALUE"""),"Biologia")</f>
        <v>Biologia</v>
      </c>
      <c r="F340" s="4" t="str">
        <f ca="1">IFERROR(__xludf.DUMMYFUNCTION("""COMPUTED_VALUE"""),"Metabolismo Celular, Bioquímica e Genética")</f>
        <v>Metabolismo Celular, Bioquímica e Genética</v>
      </c>
      <c r="G340" s="4"/>
      <c r="H340" s="4"/>
      <c r="I340" s="4" t="str">
        <f ca="1">IFERROR(__xludf.DUMMYFUNCTION("""COMPUTED_VALUE"""),"Amarelo")</f>
        <v>Amarelo</v>
      </c>
      <c r="J340" s="4">
        <f ca="1">IFERROR(__xludf.DUMMYFUNCTION("""COMPUTED_VALUE"""),112)</f>
        <v>112</v>
      </c>
      <c r="K340" s="4" t="str">
        <f ca="1">IFERROR(__xludf.DUMMYFUNCTION("""COMPUTED_VALUE"""),"A")</f>
        <v>A</v>
      </c>
      <c r="L340" s="4" t="str">
        <f ca="1">IFERROR(__xludf.DUMMYFUNCTION("""COMPUTED_VALUE"""),"Um estudante relatou que o mapeamento do DNA da cevada foi quase todo
concluído e seu código genético desvendado. Chamou atenção para o número de genes
que compõem esse código genético e que a semente da cevada, apesar de pequena,
possui um genoma mais co"&amp;"mplexo que o humano, sendo boa parte desse código
constituída de sequências repetidas. Nesse contexto, o conceito de código genético está
abordado de forma equivocada.
Cientificamente esse conceito é definido como")</f>
        <v>Um estudante relatou que o mapeamento do DNA da cevada foi quase todo
concluído e seu código genético desvendado. Chamou atenção para o número de genes
que compõem esse código genético e que a semente da cevada, apesar de pequena,
possui um genoma mais complexo que o humano, sendo boa parte desse código
constituída de sequências repetidas. Nesse contexto, o conceito de código genético está
abordado de forma equivocada.
Cientificamente esse conceito é definido como</v>
      </c>
      <c r="M340" s="4" t="str">
        <f ca="1">IFERROR(__xludf.DUMMYFUNCTION("""COMPUTED_VALUE"""),"trincas de nucleotídeos que codificam os aminoácidos.")</f>
        <v>trincas de nucleotídeos que codificam os aminoácidos.</v>
      </c>
      <c r="N340" s="4" t="str">
        <f ca="1">IFERROR(__xludf.DUMMYFUNCTION("""COMPUTED_VALUE"""),"localização de todos os genes encontrados em um genoma.")</f>
        <v>localização de todos os genes encontrados em um genoma.</v>
      </c>
      <c r="O340" s="4" t="str">
        <f ca="1">IFERROR(__xludf.DUMMYFUNCTION("""COMPUTED_VALUE"""),"codificação de sequências  repetidas presentes em um genoma.")</f>
        <v>codificação de sequências  repetidas presentes em um genoma.</v>
      </c>
      <c r="P340" s="4" t="str">
        <f ca="1">IFERROR(__xludf.DUMMYFUNCTION("""COMPUTED_VALUE"""),"conjunto de todos os RNAs mensageiros transcritos em um organismo.")</f>
        <v>conjunto de todos os RNAs mensageiros transcritos em um organismo.</v>
      </c>
      <c r="Q340" s="4" t="str">
        <f ca="1">IFERROR(__xludf.DUMMYFUNCTION("""COMPUTED_VALUE"""),"todas as sequências de pares de bases presentes em um organismo.")</f>
        <v>todas as sequências de pares de bases presentes em um organismo.</v>
      </c>
      <c r="R340" s="4"/>
      <c r="S340" s="4"/>
      <c r="T340" s="4"/>
      <c r="U340" s="4"/>
      <c r="V340" s="4"/>
      <c r="W340" s="4"/>
      <c r="X340" s="4"/>
      <c r="Y340" s="4"/>
      <c r="Z340" s="4"/>
    </row>
    <row r="341" spans="1:26" x14ac:dyDescent="0.25">
      <c r="A341" s="3" t="str">
        <f ca="1">IFERROR(__xludf.DUMMYFUNCTION("""COMPUTED_VALUE"""),"https://drive.google.com/open?id=1d-UK4GMAdsuQ2AKQb6uKS29nSEQrYT1q")</f>
        <v>https://drive.google.com/open?id=1d-UK4GMAdsuQ2AKQb6uKS29nSEQrYT1q</v>
      </c>
      <c r="B341" s="4" t="str">
        <f ca="1">IFERROR(__xludf.DUMMYFUNCTION("""COMPUTED_VALUE"""),"Enem")</f>
        <v>Enem</v>
      </c>
      <c r="C341" s="4">
        <f ca="1">IFERROR(__xludf.DUMMYFUNCTION("""COMPUTED_VALUE"""),2020)</f>
        <v>2020</v>
      </c>
      <c r="D341" s="4" t="str">
        <f ca="1">IFERROR(__xludf.DUMMYFUNCTION("""COMPUTED_VALUE"""),"Ciências da Natureza")</f>
        <v>Ciências da Natureza</v>
      </c>
      <c r="E341" s="4" t="str">
        <f ca="1">IFERROR(__xludf.DUMMYFUNCTION("""COMPUTED_VALUE"""),"Física")</f>
        <v>Física</v>
      </c>
      <c r="F341" s="4" t="str">
        <f ca="1">IFERROR(__xludf.DUMMYFUNCTION("""COMPUTED_VALUE"""),"Óptica e Térmica")</f>
        <v>Óptica e Térmica</v>
      </c>
      <c r="G341" s="4"/>
      <c r="H341" s="4"/>
      <c r="I341" s="4" t="str">
        <f ca="1">IFERROR(__xludf.DUMMYFUNCTION("""COMPUTED_VALUE"""),"Rosa")</f>
        <v>Rosa</v>
      </c>
      <c r="J341" s="4">
        <f ca="1">IFERROR(__xludf.DUMMYFUNCTION("""COMPUTED_VALUE"""),110)</f>
        <v>110</v>
      </c>
      <c r="K341" s="4" t="str">
        <f ca="1">IFERROR(__xludf.DUMMYFUNCTION("""COMPUTED_VALUE"""),"C")</f>
        <v>C</v>
      </c>
      <c r="L341" s="4" t="str">
        <f ca="1">IFERROR(__xludf.DUMMYFUNCTION("""COMPUTED_VALUE"""),"Mesmo para peixes de aquário, como o peixe arco-íris, a temperatura da água fora
da faixa ideal (26 °C a 28 °C), bem como sua variação brusca, pode afetar a saúde
do animal. Para manter a temperatura da água dentro do aquário na média desejada,
utilizam-s"&amp;"e dispositivos de aquecimento com termostato. Por exemplo, para um aquário
de 50 L, pode-se utilizar um sistema de aquecimento de 50 W otimizado para suprir sua
taxa de resfriamento. Essa taxa pode ser considerada praticamente constante, já que
a temperat"&amp;"ura externa ao aquário é mantida pelas estufas. Utilize para a água o calor
específico 4,0 kJ kg−1 K−1 e a densidade 1 kg L−1.
Se o sistema de aquecimento for desligado por 1 h, qual o valor mais próximo para a
redução da temperatura da água do aquário?")</f>
        <v>Mesmo para peixes de aquário, como o peixe arco-íris, a temperatura da água fora
da faixa ideal (26 °C a 28 °C), bem como sua variação brusca, pode afetar a saúde
do animal. Para manter a temperatura da água dentro do aquário na média desejada,
utilizam-se dispositivos de aquecimento com termostato. Por exemplo, para um aquário
de 50 L, pode-se utilizar um sistema de aquecimento de 50 W otimizado para suprir sua
taxa de resfriamento. Essa taxa pode ser considerada praticamente constante, já que
a temperatura externa ao aquário é mantida pelas estufas. Utilize para a água o calor
específico 4,0 kJ kg−1 K−1 e a densidade 1 kg L−1.
Se o sistema de aquecimento for desligado por 1 h, qual o valor mais próximo para a
redução da temperatura da água do aquário?</v>
      </c>
      <c r="M341" s="4" t="str">
        <f ca="1">IFERROR(__xludf.DUMMYFUNCTION("""COMPUTED_VALUE"""),"4,0 °C")</f>
        <v>4,0 °C</v>
      </c>
      <c r="N341" s="4" t="str">
        <f ca="1">IFERROR(__xludf.DUMMYFUNCTION("""COMPUTED_VALUE"""),"3,6 °C")</f>
        <v>3,6 °C</v>
      </c>
      <c r="O341" s="4" t="str">
        <f ca="1">IFERROR(__xludf.DUMMYFUNCTION("""COMPUTED_VALUE""")," 0,9 °C
")</f>
        <v xml:space="preserve"> 0,9 °C
</v>
      </c>
      <c r="P341" s="4" t="str">
        <f ca="1">IFERROR(__xludf.DUMMYFUNCTION("""COMPUTED_VALUE""")," 0,6 °C")</f>
        <v xml:space="preserve"> 0,6 °C</v>
      </c>
      <c r="Q341" s="4" t="str">
        <f ca="1">IFERROR(__xludf.DUMMYFUNCTION("""COMPUTED_VALUE""")," 0,3 °C")</f>
        <v xml:space="preserve"> 0,3 °C</v>
      </c>
      <c r="R341" s="4"/>
      <c r="S341" s="4"/>
      <c r="T341" s="4"/>
      <c r="U341" s="4"/>
      <c r="V341" s="4"/>
      <c r="W341" s="4"/>
      <c r="X341" s="4"/>
      <c r="Y341" s="4"/>
      <c r="Z341" s="4"/>
    </row>
    <row r="342" spans="1:26" x14ac:dyDescent="0.25">
      <c r="A342" s="3" t="str">
        <f ca="1">IFERROR(__xludf.DUMMYFUNCTION("""COMPUTED_VALUE"""),"https://drive.google.com/open?id=1CKdn0xSI9zOSwUWAbJrBv1qTwTHISI5p")</f>
        <v>https://drive.google.com/open?id=1CKdn0xSI9zOSwUWAbJrBv1qTwTHISI5p</v>
      </c>
      <c r="B342" s="4" t="str">
        <f ca="1">IFERROR(__xludf.DUMMYFUNCTION("""COMPUTED_VALUE"""),"Enem")</f>
        <v>Enem</v>
      </c>
      <c r="C342" s="4">
        <f ca="1">IFERROR(__xludf.DUMMYFUNCTION("""COMPUTED_VALUE"""),2018)</f>
        <v>2018</v>
      </c>
      <c r="D342" s="4" t="str">
        <f ca="1">IFERROR(__xludf.DUMMYFUNCTION("""COMPUTED_VALUE"""),"Ciências da Natureza")</f>
        <v>Ciências da Natureza</v>
      </c>
      <c r="E342" s="4" t="str">
        <f ca="1">IFERROR(__xludf.DUMMYFUNCTION("""COMPUTED_VALUE"""),"Biologia")</f>
        <v>Biologia</v>
      </c>
      <c r="F342" s="4" t="str">
        <f ca="1">IFERROR(__xludf.DUMMYFUNCTION("""COMPUTED_VALUE"""),"Metabolismo Celular, Bioquímica e Genética")</f>
        <v>Metabolismo Celular, Bioquímica e Genética</v>
      </c>
      <c r="G342" s="4"/>
      <c r="H342" s="4"/>
      <c r="I342" s="4" t="str">
        <f ca="1">IFERROR(__xludf.DUMMYFUNCTION("""COMPUTED_VALUE"""),"Amarelo")</f>
        <v>Amarelo</v>
      </c>
      <c r="J342" s="4">
        <f ca="1">IFERROR(__xludf.DUMMYFUNCTION("""COMPUTED_VALUE"""),114)</f>
        <v>114</v>
      </c>
      <c r="K342" s="4" t="str">
        <f ca="1">IFERROR(__xludf.DUMMYFUNCTION("""COMPUTED_VALUE"""),"D")</f>
        <v>D</v>
      </c>
      <c r="L342" s="4" t="str">
        <f ca="1">IFERROR(__xludf.DUMMYFUNCTION("""COMPUTED_VALUE"""),"O nível metabólico de uma célula pode ser determinado pela taxa de síntese de
RNAs e proteínas, processos dependentes de energia. Essa diferença na taxa de
síntese de biomoléculas é refletida na abundância e característica morfológica dos
componentes celu"&amp;"lares. Em uma empresa de produção de hormônios proteicos a partir
do cultivo de células animais, um pesquisador deseja selecionar uma linhagem com o
metabolismo de síntese mais elevado, dentre as cinco esquematizadas na figura.
Qual linhagem deve ser esco"&amp;"lhida pelo pesquisador?")</f>
        <v>O nível metabólico de uma célula pode ser determinado pela taxa de síntese de
RNAs e proteínas, processos dependentes de energia. Essa diferença na taxa de
síntese de biomoléculas é refletida na abundância e característica morfológica dos
componentes celulares. Em uma empresa de produção de hormônios proteicos a partir
do cultivo de células animais, um pesquisador deseja selecionar uma linhagem com o
metabolismo de síntese mais elevado, dentre as cinco esquematizadas na figura.
Qual linhagem deve ser escolhida pelo pesquisador?</v>
      </c>
      <c r="M342" s="4" t="str">
        <f ca="1">IFERROR(__xludf.DUMMYFUNCTION("""COMPUTED_VALUE"""),"I")</f>
        <v>I</v>
      </c>
      <c r="N342" s="4" t="str">
        <f ca="1">IFERROR(__xludf.DUMMYFUNCTION("""COMPUTED_VALUE"""),"II")</f>
        <v>II</v>
      </c>
      <c r="O342" s="4" t="str">
        <f ca="1">IFERROR(__xludf.DUMMYFUNCTION("""COMPUTED_VALUE"""),"III")</f>
        <v>III</v>
      </c>
      <c r="P342" s="4" t="str">
        <f ca="1">IFERROR(__xludf.DUMMYFUNCTION("""COMPUTED_VALUE"""),"IV")</f>
        <v>IV</v>
      </c>
      <c r="Q342" s="4" t="str">
        <f ca="1">IFERROR(__xludf.DUMMYFUNCTION("""COMPUTED_VALUE"""),"V")</f>
        <v>V</v>
      </c>
      <c r="R342" s="4"/>
      <c r="S342" s="4"/>
      <c r="T342" s="4"/>
      <c r="U342" s="4"/>
      <c r="V342" s="4"/>
      <c r="W342" s="4"/>
      <c r="X342" s="4"/>
      <c r="Y342" s="4"/>
      <c r="Z342" s="4"/>
    </row>
    <row r="343" spans="1:26" x14ac:dyDescent="0.25">
      <c r="A343" s="3" t="str">
        <f ca="1">IFERROR(__xludf.DUMMYFUNCTION("""COMPUTED_VALUE"""),"https://drive.google.com/open?id=1LYF1sk3c0D-_wVgH5ZnLrcyNwp_Icuet")</f>
        <v>https://drive.google.com/open?id=1LYF1sk3c0D-_wVgH5ZnLrcyNwp_Icuet</v>
      </c>
      <c r="B343" s="4" t="str">
        <f ca="1">IFERROR(__xludf.DUMMYFUNCTION("""COMPUTED_VALUE"""),"Enem")</f>
        <v>Enem</v>
      </c>
      <c r="C343" s="4">
        <f ca="1">IFERROR(__xludf.DUMMYFUNCTION("""COMPUTED_VALUE"""),2020)</f>
        <v>2020</v>
      </c>
      <c r="D343" s="4" t="str">
        <f ca="1">IFERROR(__xludf.DUMMYFUNCTION("""COMPUTED_VALUE"""),"Ciências da Natureza")</f>
        <v>Ciências da Natureza</v>
      </c>
      <c r="E343" s="4" t="str">
        <f ca="1">IFERROR(__xludf.DUMMYFUNCTION("""COMPUTED_VALUE"""),"Física")</f>
        <v>Física</v>
      </c>
      <c r="F343" s="4" t="str">
        <f ca="1">IFERROR(__xludf.DUMMYFUNCTION("""COMPUTED_VALUE"""),"Eletromagnetismo")</f>
        <v>Eletromagnetismo</v>
      </c>
      <c r="G343" s="4"/>
      <c r="H343" s="4"/>
      <c r="I343" s="4" t="str">
        <f ca="1">IFERROR(__xludf.DUMMYFUNCTION("""COMPUTED_VALUE"""),"Rosa")</f>
        <v>Rosa</v>
      </c>
      <c r="J343" s="4">
        <f ca="1">IFERROR(__xludf.DUMMYFUNCTION("""COMPUTED_VALUE"""),123)</f>
        <v>123</v>
      </c>
      <c r="K343" s="4" t="str">
        <f ca="1">IFERROR(__xludf.DUMMYFUNCTION("""COMPUTED_VALUE"""),"D")</f>
        <v>D</v>
      </c>
      <c r="L343" s="4" t="str">
        <f ca="1">IFERROR(__xludf.DUMMYFUNCTION("""COMPUTED_VALUE"""),"Um estudante tem uma fonte de tensão com corrente contínua que opera em tensão
fixa de 12 V. Como precisa alimentar equipamentos que operam em tensões menores, ele
emprega quatro resistores de 100 Ω para construir um divisor de tensão. Obtém-se este
divis"&amp;"or associando os resistores, como exibido na figura. Os aparelhos podem ser ligados
entre os pontos A, B, C, D e E, dependendo da tensão especificada.
Ele tem um equipamento que opera em 9,0 V com uma resistência interna de 10 kΩ.
Entre quais pontos do di"&amp;"visor de tensão esse equipamento deve ser ligado para funcionar
corretamente e qual será o valor da intensidade da corrente nele estabelecida?")</f>
        <v>Um estudante tem uma fonte de tensão com corrente contínua que opera em tensão
fixa de 12 V. Como precisa alimentar equipamentos que operam em tensões menores, ele
emprega quatro resistores de 100 Ω para construir um divisor de tensão. Obtém-se este
divisor associando os resistores, como exibido na figura. Os aparelhos podem ser ligados
entre os pontos A, B, C, D e E, dependendo da tensão especificada.
Ele tem um equipamento que opera em 9,0 V com uma resistência interna de 10 kΩ.
Entre quais pontos do divisor de tensão esse equipamento deve ser ligado para funcionar
corretamente e qual será o valor da intensidade da corrente nele estabelecida?</v>
      </c>
      <c r="M343" s="4" t="str">
        <f ca="1">IFERROR(__xludf.DUMMYFUNCTION("""COMPUTED_VALUE"""),"Entre A e C; 30 mA.")</f>
        <v>Entre A e C; 30 mA.</v>
      </c>
      <c r="N343" s="4" t="str">
        <f ca="1">IFERROR(__xludf.DUMMYFUNCTION("""COMPUTED_VALUE"""),"Entre B e E; 30 mA.")</f>
        <v>Entre B e E; 30 mA.</v>
      </c>
      <c r="O343" s="4" t="str">
        <f ca="1">IFERROR(__xludf.DUMMYFUNCTION("""COMPUTED_VALUE"""),"Entre A e D; 1,2 mA.")</f>
        <v>Entre A e D; 1,2 mA.</v>
      </c>
      <c r="P343" s="4" t="str">
        <f ca="1">IFERROR(__xludf.DUMMYFUNCTION("""COMPUTED_VALUE"""),"Entre B e E; 0,9 mA.")</f>
        <v>Entre B e E; 0,9 mA.</v>
      </c>
      <c r="Q343" s="4" t="str">
        <f ca="1">IFERROR(__xludf.DUMMYFUNCTION("""COMPUTED_VALUE"""),"Entre A e E; 0,9 mA.")</f>
        <v>Entre A e E; 0,9 mA.</v>
      </c>
      <c r="R343" s="4"/>
      <c r="S343" s="4"/>
      <c r="T343" s="4"/>
      <c r="U343" s="4"/>
      <c r="V343" s="4"/>
      <c r="W343" s="4"/>
      <c r="X343" s="4"/>
      <c r="Y343" s="4"/>
      <c r="Z343" s="4"/>
    </row>
    <row r="344" spans="1:26" x14ac:dyDescent="0.25">
      <c r="A344" s="3" t="str">
        <f ca="1">IFERROR(__xludf.DUMMYFUNCTION("""COMPUTED_VALUE"""),"https://drive.google.com/open?id=1Fgnx9vTmVY3OVppDRtwxML85qvajgKzE")</f>
        <v>https://drive.google.com/open?id=1Fgnx9vTmVY3OVppDRtwxML85qvajgKzE</v>
      </c>
      <c r="B344" s="4" t="str">
        <f ca="1">IFERROR(__xludf.DUMMYFUNCTION("""COMPUTED_VALUE"""),"Enem")</f>
        <v>Enem</v>
      </c>
      <c r="C344" s="4">
        <f ca="1">IFERROR(__xludf.DUMMYFUNCTION("""COMPUTED_VALUE"""),2018)</f>
        <v>2018</v>
      </c>
      <c r="D344" s="4" t="str">
        <f ca="1">IFERROR(__xludf.DUMMYFUNCTION("""COMPUTED_VALUE"""),"Ciências da Natureza")</f>
        <v>Ciências da Natureza</v>
      </c>
      <c r="E344" s="4" t="str">
        <f ca="1">IFERROR(__xludf.DUMMYFUNCTION("""COMPUTED_VALUE"""),"Biologia")</f>
        <v>Biologia</v>
      </c>
      <c r="F344" s="4" t="str">
        <f ca="1">IFERROR(__xludf.DUMMYFUNCTION("""COMPUTED_VALUE"""),"Fisiologia Animal e Origem da Vida")</f>
        <v>Fisiologia Animal e Origem da Vida</v>
      </c>
      <c r="G344" s="4"/>
      <c r="H344" s="4"/>
      <c r="I344" s="4" t="str">
        <f ca="1">IFERROR(__xludf.DUMMYFUNCTION("""COMPUTED_VALUE"""),"Amarelo")</f>
        <v>Amarelo</v>
      </c>
      <c r="J344" s="4">
        <f ca="1">IFERROR(__xludf.DUMMYFUNCTION("""COMPUTED_VALUE"""),115)</f>
        <v>115</v>
      </c>
      <c r="K344" s="4" t="str">
        <f ca="1">IFERROR(__xludf.DUMMYFUNCTION("""COMPUTED_VALUE"""),"B")</f>
        <v>B</v>
      </c>
      <c r="L344" s="4" t="str">
        <f ca="1">IFERROR(__xludf.DUMMYFUNCTION("""COMPUTED_VALUE"""),"O deserto é um bioma que se localiza em regiões de pouca umidade. A fauna é,
predominantemente, composta por animais roedores, aves, répteis e artrópodes.
Uma adaptação, associada a esse bioma, presente nos seres vivos dos grupos
citados é o(a)")</f>
        <v>O deserto é um bioma que se localiza em regiões de pouca umidade. A fauna é,
predominantemente, composta por animais roedores, aves, répteis e artrópodes.
Uma adaptação, associada a esse bioma, presente nos seres vivos dos grupos
citados é o(a)</v>
      </c>
      <c r="M344" s="4" t="str">
        <f ca="1">IFERROR(__xludf.DUMMYFUNCTION("""COMPUTED_VALUE"""),"existência de numerosas glândulas sudoríparas na epiderme.")</f>
        <v>existência de numerosas glândulas sudoríparas na epiderme.</v>
      </c>
      <c r="N344" s="4" t="str">
        <f ca="1">IFERROR(__xludf.DUMMYFUNCTION("""COMPUTED_VALUE"""),"eliminação de excretas nitrogenadas de forma concentrada.")</f>
        <v>eliminação de excretas nitrogenadas de forma concentrada.</v>
      </c>
      <c r="O344" s="4" t="str">
        <f ca="1">IFERROR(__xludf.DUMMYFUNCTION("""COMPUTED_VALUE"""),"desenvolvimento do embrião no interior de ovo com casca.")</f>
        <v>desenvolvimento do embrião no interior de ovo com casca.</v>
      </c>
      <c r="P344" s="4" t="str">
        <f ca="1">IFERROR(__xludf.DUMMYFUNCTION("""COMPUTED_VALUE"""),"capacidade de controlar a temperatura corporal.")</f>
        <v>capacidade de controlar a temperatura corporal.</v>
      </c>
      <c r="Q344" s="4" t="str">
        <f ca="1">IFERROR(__xludf.DUMMYFUNCTION("""COMPUTED_VALUE"""),"respiração realizada por pulmões foliáceos.")</f>
        <v>respiração realizada por pulmões foliáceos.</v>
      </c>
      <c r="R344" s="4"/>
      <c r="S344" s="4"/>
      <c r="T344" s="4"/>
      <c r="U344" s="4"/>
      <c r="V344" s="4"/>
      <c r="W344" s="4"/>
      <c r="X344" s="4"/>
      <c r="Y344" s="4"/>
      <c r="Z344" s="4"/>
    </row>
    <row r="345" spans="1:26" x14ac:dyDescent="0.25">
      <c r="A345" s="3" t="str">
        <f ca="1">IFERROR(__xludf.DUMMYFUNCTION("""COMPUTED_VALUE"""),"https://drive.google.com/open?id=1SlvFzVfJkykZMR9wCeoGJiGvsJoxDgIj")</f>
        <v>https://drive.google.com/open?id=1SlvFzVfJkykZMR9wCeoGJiGvsJoxDgIj</v>
      </c>
      <c r="B345" s="4" t="str">
        <f ca="1">IFERROR(__xludf.DUMMYFUNCTION("""COMPUTED_VALUE"""),"Enem")</f>
        <v>Enem</v>
      </c>
      <c r="C345" s="4">
        <f ca="1">IFERROR(__xludf.DUMMYFUNCTION("""COMPUTED_VALUE"""),2020)</f>
        <v>2020</v>
      </c>
      <c r="D345" s="4" t="str">
        <f ca="1">IFERROR(__xludf.DUMMYFUNCTION("""COMPUTED_VALUE"""),"Ciências da Natureza")</f>
        <v>Ciências da Natureza</v>
      </c>
      <c r="E345" s="4" t="str">
        <f ca="1">IFERROR(__xludf.DUMMYFUNCTION("""COMPUTED_VALUE"""),"Física")</f>
        <v>Física</v>
      </c>
      <c r="F345" s="4" t="str">
        <f ca="1">IFERROR(__xludf.DUMMYFUNCTION("""COMPUTED_VALUE"""),"Eletromagnetismo")</f>
        <v>Eletromagnetismo</v>
      </c>
      <c r="G345" s="4" t="str">
        <f ca="1">IFERROR(__xludf.DUMMYFUNCTION("""COMPUTED_VALUE"""),"Óptica e Térmica")</f>
        <v>Óptica e Térmica</v>
      </c>
      <c r="H345" s="4"/>
      <c r="I345" s="4" t="str">
        <f ca="1">IFERROR(__xludf.DUMMYFUNCTION("""COMPUTED_VALUE"""),"Rosa")</f>
        <v>Rosa</v>
      </c>
      <c r="J345" s="4">
        <f ca="1">IFERROR(__xludf.DUMMYFUNCTION("""COMPUTED_VALUE"""),124)</f>
        <v>124</v>
      </c>
      <c r="K345" s="4" t="str">
        <f ca="1">IFERROR(__xludf.DUMMYFUNCTION("""COMPUTED_VALUE"""),"D")</f>
        <v>D</v>
      </c>
      <c r="L345" s="4" t="str">
        <f ca="1">IFERROR(__xludf.DUMMYFUNCTION("""COMPUTED_VALUE"""),"Pesquisadores dos Estados Unidos desenvolveram uma nova técnica, que utiliza
raios de luz infravermelha (invisíveis a olho nu) para destruir tumores. Primeiramente,
o paciente recebe uma injeção com versões modificadas de anticorpos que têm a
capacidade d"&amp;"e “grudar” apenas nas células cancerosas. Sozinhos, eles não fazem nada
contra o tumor. Entretanto, esses anticorpos estão ligados a uma molécula, denominada
IR700, que funcionará como uma “microbomba”, que irá destruir o câncer. Em seguida,
o paciente re"&amp;"cebe raios infravermelhos. Esses raios penetram no corpo e chegam até a
molécula IR700, que é ativada e libera uma substância que ataca a célula cancerosa.
Com base nas etapas de desenvolvimento, o nome apropriado para a técnica descrita é:")</f>
        <v>Pesquisadores dos Estados Unidos desenvolveram uma nova técnica, que utiliza
raios de luz infravermelha (invisíveis a olho nu) para destruir tumores. Primeiramente,
o paciente recebe uma injeção com versões modificadas de anticorpos que têm a
capacidade de “grudar” apenas nas células cancerosas. Sozinhos, eles não fazem nada
contra o tumor. Entretanto, esses anticorpos estão ligados a uma molécula, denominada
IR700, que funcionará como uma “microbomba”, que irá destruir o câncer. Em seguida,
o paciente recebe raios infravermelhos. Esses raios penetram no corpo e chegam até a
molécula IR700, que é ativada e libera uma substância que ataca a célula cancerosa.
Com base nas etapas de desenvolvimento, o nome apropriado para a técnica descrita é:</v>
      </c>
      <c r="M345" s="4" t="str">
        <f ca="1">IFERROR(__xludf.DUMMYFUNCTION("""COMPUTED_VALUE"""),"Radioterapia.")</f>
        <v>Radioterapia.</v>
      </c>
      <c r="N345" s="4" t="str">
        <f ca="1">IFERROR(__xludf.DUMMYFUNCTION("""COMPUTED_VALUE""")," Cromoterapia.")</f>
        <v xml:space="preserve"> Cromoterapia.</v>
      </c>
      <c r="O345" s="4" t="str">
        <f ca="1">IFERROR(__xludf.DUMMYFUNCTION("""COMPUTED_VALUE"""),"Quimioterapia.")</f>
        <v>Quimioterapia.</v>
      </c>
      <c r="P345" s="4" t="str">
        <f ca="1">IFERROR(__xludf.DUMMYFUNCTION("""COMPUTED_VALUE"""),"Fotoimunoterapia.")</f>
        <v>Fotoimunoterapia.</v>
      </c>
      <c r="Q345" s="4" t="str">
        <f ca="1">IFERROR(__xludf.DUMMYFUNCTION("""COMPUTED_VALUE""")," Terapia magnética.")</f>
        <v xml:space="preserve"> Terapia magnética.</v>
      </c>
      <c r="R345" s="4"/>
      <c r="S345" s="4"/>
      <c r="T345" s="4"/>
      <c r="U345" s="4"/>
      <c r="V345" s="4"/>
      <c r="W345" s="4"/>
      <c r="X345" s="4"/>
      <c r="Y345" s="4"/>
      <c r="Z345" s="4"/>
    </row>
    <row r="346" spans="1:26" x14ac:dyDescent="0.25">
      <c r="A346" s="3" t="str">
        <f ca="1">IFERROR(__xludf.DUMMYFUNCTION("""COMPUTED_VALUE"""),"https://drive.google.com/open?id=1qbARzhJ4rldx4QEB89znqUL5Q8T-w3o3")</f>
        <v>https://drive.google.com/open?id=1qbARzhJ4rldx4QEB89znqUL5Q8T-w3o3</v>
      </c>
      <c r="B346" s="4" t="str">
        <f ca="1">IFERROR(__xludf.DUMMYFUNCTION("""COMPUTED_VALUE"""),"Enem")</f>
        <v>Enem</v>
      </c>
      <c r="C346" s="4">
        <f ca="1">IFERROR(__xludf.DUMMYFUNCTION("""COMPUTED_VALUE"""),2020)</f>
        <v>2020</v>
      </c>
      <c r="D346" s="4" t="str">
        <f ca="1">IFERROR(__xludf.DUMMYFUNCTION("""COMPUTED_VALUE"""),"Ciências da Natureza")</f>
        <v>Ciências da Natureza</v>
      </c>
      <c r="E346" s="4" t="str">
        <f ca="1">IFERROR(__xludf.DUMMYFUNCTION("""COMPUTED_VALUE"""),"Física")</f>
        <v>Física</v>
      </c>
      <c r="F346" s="4" t="str">
        <f ca="1">IFERROR(__xludf.DUMMYFUNCTION("""COMPUTED_VALUE"""),"Mecânica")</f>
        <v>Mecânica</v>
      </c>
      <c r="G346" s="4"/>
      <c r="H346" s="4"/>
      <c r="I346" s="4" t="str">
        <f ca="1">IFERROR(__xludf.DUMMYFUNCTION("""COMPUTED_VALUE"""),"Rosa")</f>
        <v>Rosa</v>
      </c>
      <c r="J346" s="4">
        <f ca="1">IFERROR(__xludf.DUMMYFUNCTION("""COMPUTED_VALUE"""),126)</f>
        <v>126</v>
      </c>
      <c r="K346" s="4" t="str">
        <f ca="1">IFERROR(__xludf.DUMMYFUNCTION("""COMPUTED_VALUE"""),"D")</f>
        <v>D</v>
      </c>
      <c r="L346" s="4" t="str">
        <f ca="1">IFERROR(__xludf.DUMMYFUNCTION("""COMPUTED_VALUE"""),"Você foi contratado para sincronizar os quatro semáforos de uma avenida, indicados
pelas letras O, A, B e C, conforme a figura.
O A B C
Os semáforos estão separados por uma distância de 500 m. Segundo os dados
estatísticos da companhia controladora de trâ"&amp;"nsito, um veículo, que está inicialmente
parado no semáforo O, tipicamente parte com aceleração constante de 1 m s−2 até
atingir a velocidade de 72 km h−1 e, a partir daí, prossegue com velocidade constante.
Você deve ajustar os semáforos A, B e C de modo"&amp;" que eles mudem para a cor verde
quando o veículo estiver a 100 m de cruzá-los, para que ele não tenha que reduzir a
velocidade em nenhum momento.
Considerando essas condições, aproximadamente quanto tempo depois da abertura do
semáforo O os semáforos A, "&amp;"B e C devem abrir, respectivamente?")</f>
        <v>Você foi contratado para sincronizar os quatro semáforos de uma avenida, indicados
pelas letras O, A, B e C, conforme a figura.
O A B C
Os semáforos estão separados por uma distância de 500 m. Segundo os dados
estatísticos da companhia controladora de trânsito, um veículo, que está inicialmente
parado no semáforo O, tipicamente parte com aceleração constante de 1 m s−2 até
atingir a velocidade de 72 km h−1 e, a partir daí, prossegue com velocidade constante.
Você deve ajustar os semáforos A, B e C de modo que eles mudem para a cor verde
quando o veículo estiver a 100 m de cruzá-los, para que ele não tenha que reduzir a
velocidade em nenhum momento.
Considerando essas condições, aproximadamente quanto tempo depois da abertura do
semáforo O os semáforos A, B e C devem abrir, respectivamente?</v>
      </c>
      <c r="M346" s="4" t="str">
        <f ca="1">IFERROR(__xludf.DUMMYFUNCTION("""COMPUTED_VALUE""")," 20 s, 45 s e 70 s.")</f>
        <v xml:space="preserve"> 20 s, 45 s e 70 s.</v>
      </c>
      <c r="N346" s="4" t="str">
        <f ca="1">IFERROR(__xludf.DUMMYFUNCTION("""COMPUTED_VALUE"""),"25 s, 50 s e 75 s.")</f>
        <v>25 s, 50 s e 75 s.</v>
      </c>
      <c r="O346" s="4" t="str">
        <f ca="1">IFERROR(__xludf.DUMMYFUNCTION("""COMPUTED_VALUE""")," 28 s, 42 s e 53 s.")</f>
        <v xml:space="preserve"> 28 s, 42 s e 53 s.</v>
      </c>
      <c r="P346" s="4" t="str">
        <f ca="1">IFERROR(__xludf.DUMMYFUNCTION("""COMPUTED_VALUE""")," 30 s, 55 s e 80 s")</f>
        <v xml:space="preserve"> 30 s, 55 s e 80 s</v>
      </c>
      <c r="Q346" s="4" t="str">
        <f ca="1">IFERROR(__xludf.DUMMYFUNCTION("""COMPUTED_VALUE""")," 35 s, 60 s e 85 s.")</f>
        <v xml:space="preserve"> 35 s, 60 s e 85 s.</v>
      </c>
      <c r="R346" s="4"/>
      <c r="S346" s="4"/>
      <c r="T346" s="4"/>
      <c r="U346" s="4"/>
      <c r="V346" s="4"/>
      <c r="W346" s="4"/>
      <c r="X346" s="4"/>
      <c r="Y346" s="4"/>
      <c r="Z346" s="4"/>
    </row>
    <row r="347" spans="1:26" x14ac:dyDescent="0.25">
      <c r="A347" s="3" t="str">
        <f ca="1">IFERROR(__xludf.DUMMYFUNCTION("""COMPUTED_VALUE"""),"https://drive.google.com/open?id=1Fo67aawsTqni-8p1c6__dCSwjE18uzqP")</f>
        <v>https://drive.google.com/open?id=1Fo67aawsTqni-8p1c6__dCSwjE18uzqP</v>
      </c>
      <c r="B347" s="4" t="str">
        <f ca="1">IFERROR(__xludf.DUMMYFUNCTION("""COMPUTED_VALUE"""),"Enem")</f>
        <v>Enem</v>
      </c>
      <c r="C347" s="4">
        <f ca="1">IFERROR(__xludf.DUMMYFUNCTION("""COMPUTED_VALUE"""),2018)</f>
        <v>2018</v>
      </c>
      <c r="D347" s="4" t="str">
        <f ca="1">IFERROR(__xludf.DUMMYFUNCTION("""COMPUTED_VALUE"""),"Ciências da Natureza")</f>
        <v>Ciências da Natureza</v>
      </c>
      <c r="E347" s="4" t="str">
        <f ca="1">IFERROR(__xludf.DUMMYFUNCTION("""COMPUTED_VALUE"""),"Biologia")</f>
        <v>Biologia</v>
      </c>
      <c r="F347" s="4" t="str">
        <f ca="1">IFERROR(__xludf.DUMMYFUNCTION("""COMPUTED_VALUE"""),"Fisiologia Animal e Origem da Vida")</f>
        <v>Fisiologia Animal e Origem da Vida</v>
      </c>
      <c r="G347" s="4" t="str">
        <f ca="1">IFERROR(__xludf.DUMMYFUNCTION("""COMPUTED_VALUE"""),"Botânica e Ecologia")</f>
        <v>Botânica e Ecologia</v>
      </c>
      <c r="H347" s="4"/>
      <c r="I347" s="4" t="str">
        <f ca="1">IFERROR(__xludf.DUMMYFUNCTION("""COMPUTED_VALUE"""),"Amarelo")</f>
        <v>Amarelo</v>
      </c>
      <c r="J347" s="4">
        <f ca="1">IFERROR(__xludf.DUMMYFUNCTION("""COMPUTED_VALUE"""),120)</f>
        <v>120</v>
      </c>
      <c r="K347" s="4" t="str">
        <f ca="1">IFERROR(__xludf.DUMMYFUNCTION("""COMPUTED_VALUE"""),"D")</f>
        <v>D</v>
      </c>
      <c r="L347" s="4" t="str">
        <f ca="1">IFERROR(__xludf.DUMMYFUNCTION("""COMPUTED_VALUE"""),"O processo de formação de novas espécies é lento e repleto de nuances e
estágios intermediários, havendo uma diminuição da viabilidade entre cruzamentos.
Assim, plantas originalmente de uma mesma espécie que não cruzam mais entre si
podem ser consideradas"&amp;" como uma espécie se diferenciando. Um pesquisador realizou
cruzamentos entre nove populações — denominadas de acordo com a localização
onde são encontradas — de uma espécie de orquídea (Epidendrum denticulatum).
No diagrama estão os resultados dos cruzam"&amp;"entos entre as populações. Considere que
o doador fornece o pólen para o receptor.
Em populações de quais localidades se observa um processo de especiação evidente?")</f>
        <v>O processo de formação de novas espécies é lento e repleto de nuances e
estágios intermediários, havendo uma diminuição da viabilidade entre cruzamentos.
Assim, plantas originalmente de uma mesma espécie que não cruzam mais entre si
podem ser consideradas como uma espécie se diferenciando. Um pesquisador realizou
cruzamentos entre nove populações — denominadas de acordo com a localização
onde são encontradas — de uma espécie de orquídea (Epidendrum denticulatum).
No diagrama estão os resultados dos cruzamentos entre as populações. Considere que
o doador fornece o pólen para o receptor.
Em populações de quais localidades se observa um processo de especiação evidente?</v>
      </c>
      <c r="M347" s="4" t="str">
        <f ca="1">IFERROR(__xludf.DUMMYFUNCTION("""COMPUTED_VALUE"""),"Bertioga e Marambaia; Alcobaça e Olivença.")</f>
        <v>Bertioga e Marambaia; Alcobaça e Olivença.</v>
      </c>
      <c r="N347" s="4" t="str">
        <f ca="1">IFERROR(__xludf.DUMMYFUNCTION("""COMPUTED_VALUE"""),"Itirapina e Itapeva; Marambaia e Massambaba.")</f>
        <v>Itirapina e Itapeva; Marambaia e Massambaba.</v>
      </c>
      <c r="O347" s="4" t="str">
        <f ca="1">IFERROR(__xludf.DUMMYFUNCTION("""COMPUTED_VALUE"""),"Itirapina e Marambaia; Alcobaça e Itirapina.")</f>
        <v>Itirapina e Marambaia; Alcobaça e Itirapina.</v>
      </c>
      <c r="P347" s="4" t="str">
        <f ca="1">IFERROR(__xludf.DUMMYFUNCTION("""COMPUTED_VALUE"""),"Itirapina e Peti; Alcobaça e Marambaia.")</f>
        <v>Itirapina e Peti; Alcobaça e Marambaia.</v>
      </c>
      <c r="Q347" s="4" t="str">
        <f ca="1">IFERROR(__xludf.DUMMYFUNCTION("""COMPUTED_VALUE"""),"
Itirapina e Olivença; Marambaia e Peti.")</f>
        <v xml:space="preserve">
Itirapina e Olivença; Marambaia e Peti.</v>
      </c>
      <c r="R347" s="4"/>
      <c r="S347" s="4"/>
      <c r="T347" s="4"/>
      <c r="U347" s="4"/>
      <c r="V347" s="4"/>
      <c r="W347" s="4"/>
      <c r="X347" s="4"/>
      <c r="Y347" s="4"/>
      <c r="Z347" s="4"/>
    </row>
    <row r="348" spans="1:26" x14ac:dyDescent="0.25">
      <c r="A348" s="3" t="str">
        <f ca="1">IFERROR(__xludf.DUMMYFUNCTION("""COMPUTED_VALUE"""),"https://drive.google.com/open?id=1hZCaCtiyhAd5O-takKgh-6aCw1xoVGlI")</f>
        <v>https://drive.google.com/open?id=1hZCaCtiyhAd5O-takKgh-6aCw1xoVGlI</v>
      </c>
      <c r="B348" s="4" t="str">
        <f ca="1">IFERROR(__xludf.DUMMYFUNCTION("""COMPUTED_VALUE"""),"Enem")</f>
        <v>Enem</v>
      </c>
      <c r="C348" s="4">
        <f ca="1">IFERROR(__xludf.DUMMYFUNCTION("""COMPUTED_VALUE"""),2018)</f>
        <v>2018</v>
      </c>
      <c r="D348" s="4" t="str">
        <f ca="1">IFERROR(__xludf.DUMMYFUNCTION("""COMPUTED_VALUE"""),"Ciências da Natureza")</f>
        <v>Ciências da Natureza</v>
      </c>
      <c r="E348" s="4" t="str">
        <f ca="1">IFERROR(__xludf.DUMMYFUNCTION("""COMPUTED_VALUE"""),"Biologia")</f>
        <v>Biologia</v>
      </c>
      <c r="F348" s="4" t="str">
        <f ca="1">IFERROR(__xludf.DUMMYFUNCTION("""COMPUTED_VALUE"""),"Metabolismo Celular, Bioquímica e Genética")</f>
        <v>Metabolismo Celular, Bioquímica e Genética</v>
      </c>
      <c r="G348" s="4" t="str">
        <f ca="1">IFERROR(__xludf.DUMMYFUNCTION("""COMPUTED_VALUE"""),"Botânica e Ecologia")</f>
        <v>Botânica e Ecologia</v>
      </c>
      <c r="H348" s="4"/>
      <c r="I348" s="4" t="str">
        <f ca="1">IFERROR(__xludf.DUMMYFUNCTION("""COMPUTED_VALUE"""),"Amarelo")</f>
        <v>Amarelo</v>
      </c>
      <c r="J348" s="4">
        <f ca="1">IFERROR(__xludf.DUMMYFUNCTION("""COMPUTED_VALUE"""),121)</f>
        <v>121</v>
      </c>
      <c r="K348" s="4" t="str">
        <f ca="1">IFERROR(__xludf.DUMMYFUNCTION("""COMPUTED_VALUE"""),"C")</f>
        <v>C</v>
      </c>
      <c r="L348" s="4" t="str">
        <f ca="1">IFERROR(__xludf.DUMMYFUNCTION("""COMPUTED_VALUE"""),"O cruzamento de duas espécies da família das Anonáceas, a cherimoia (Annona
cherimola) com a fruta-pinha (Annona squamosa), resultou em uma planta híbrida
denominada de atemoia. Recomenda-se que o seu plantio seja por meio de enxertia.
Um dos benefícios d"&amp;"essa forma de plantio é a")</f>
        <v>O cruzamento de duas espécies da família das Anonáceas, a cherimoia (Annona
cherimola) com a fruta-pinha (Annona squamosa), resultou em uma planta híbrida
denominada de atemoia. Recomenda-se que o seu plantio seja por meio de enxertia.
Um dos benefícios dessa forma de plantio é a</v>
      </c>
      <c r="M348" s="4" t="str">
        <f ca="1">IFERROR(__xludf.DUMMYFUNCTION("""COMPUTED_VALUE"""),"ampliação da variabilidade genética. ")</f>
        <v xml:space="preserve">ampliação da variabilidade genética. </v>
      </c>
      <c r="N348" s="4" t="str">
        <f ca="1">IFERROR(__xludf.DUMMYFUNCTION("""COMPUTED_VALUE"""),"produção de frutos das duas espécies. ")</f>
        <v xml:space="preserve">produção de frutos das duas espécies. </v>
      </c>
      <c r="O348" s="4" t="str">
        <f ca="1">IFERROR(__xludf.DUMMYFUNCTION("""COMPUTED_VALUE"""),"manutenção do genótipo da planta híbrida.")</f>
        <v>manutenção do genótipo da planta híbrida.</v>
      </c>
      <c r="P348" s="4" t="str">
        <f ca="1">IFERROR(__xludf.DUMMYFUNCTION("""COMPUTED_VALUE"""),"reprodução de clones das plantas parentais.")</f>
        <v>reprodução de clones das plantas parentais.</v>
      </c>
      <c r="Q348" s="4" t="str">
        <f ca="1">IFERROR(__xludf.DUMMYFUNCTION("""COMPUTED_VALUE"""),"modificação do genoma decorrente da transgenia.")</f>
        <v>modificação do genoma decorrente da transgenia.</v>
      </c>
      <c r="R348" s="4"/>
      <c r="S348" s="4"/>
      <c r="T348" s="4"/>
      <c r="U348" s="4"/>
      <c r="V348" s="4"/>
      <c r="W348" s="4"/>
      <c r="X348" s="4"/>
      <c r="Y348" s="4"/>
      <c r="Z348" s="4"/>
    </row>
    <row r="349" spans="1:26" x14ac:dyDescent="0.25">
      <c r="A349" s="3" t="str">
        <f ca="1">IFERROR(__xludf.DUMMYFUNCTION("""COMPUTED_VALUE"""),"https://drive.google.com/open?id=1q-RoAdVvURyM0h0dpdCb5fk5yWtlQsgs")</f>
        <v>https://drive.google.com/open?id=1q-RoAdVvURyM0h0dpdCb5fk5yWtlQsgs</v>
      </c>
      <c r="B349" s="4" t="str">
        <f ca="1">IFERROR(__xludf.DUMMYFUNCTION("""COMPUTED_VALUE"""),"Enem")</f>
        <v>Enem</v>
      </c>
      <c r="C349" s="4">
        <f ca="1">IFERROR(__xludf.DUMMYFUNCTION("""COMPUTED_VALUE"""),2020)</f>
        <v>2020</v>
      </c>
      <c r="D349" s="4" t="str">
        <f ca="1">IFERROR(__xludf.DUMMYFUNCTION("""COMPUTED_VALUE"""),"Ciências da Natureza")</f>
        <v>Ciências da Natureza</v>
      </c>
      <c r="E349" s="4" t="str">
        <f ca="1">IFERROR(__xludf.DUMMYFUNCTION("""COMPUTED_VALUE"""),"Física")</f>
        <v>Física</v>
      </c>
      <c r="F349" s="4" t="str">
        <f ca="1">IFERROR(__xludf.DUMMYFUNCTION("""COMPUTED_VALUE"""),"Mecânica")</f>
        <v>Mecânica</v>
      </c>
      <c r="G349" s="4"/>
      <c r="H349" s="4"/>
      <c r="I349" s="4" t="str">
        <f ca="1">IFERROR(__xludf.DUMMYFUNCTION("""COMPUTED_VALUE"""),"Rosa")</f>
        <v>Rosa</v>
      </c>
      <c r="J349" s="4">
        <f ca="1">IFERROR(__xludf.DUMMYFUNCTION("""COMPUTED_VALUE"""),130)</f>
        <v>130</v>
      </c>
      <c r="K349" s="4" t="str">
        <f ca="1">IFERROR(__xludf.DUMMYFUNCTION("""COMPUTED_VALUE"""),"E")</f>
        <v>E</v>
      </c>
      <c r="L349" s="4" t="str">
        <f ca="1">IFERROR(__xludf.DUMMYFUNCTION("""COMPUTED_VALUE"""),"As panelas de pressão reduzem o tempo de cozimento dos alimentos por elevar a
temperatura de ebulição da água. Os usuários conhecedores do utensílio normalmente
abaixam a intensidade do fogo em panelas de pressão após estas iniciarem a saída dos
vapores.
"&amp;"Ao abaixar o fogo, reduz-se a chama, pois assim evita-se o(a)")</f>
        <v>As panelas de pressão reduzem o tempo de cozimento dos alimentos por elevar a
temperatura de ebulição da água. Os usuários conhecedores do utensílio normalmente
abaixam a intensidade do fogo em panelas de pressão após estas iniciarem a saída dos
vapores.
Ao abaixar o fogo, reduz-se a chama, pois assim evita-se o(a)</v>
      </c>
      <c r="M349" s="4" t="str">
        <f ca="1">IFERROR(__xludf.DUMMYFUNCTION("""COMPUTED_VALUE"""),"aumento da pressão interna e os riscos de explosão.")</f>
        <v>aumento da pressão interna e os riscos de explosão.</v>
      </c>
      <c r="N349" s="4" t="str">
        <f ca="1">IFERROR(__xludf.DUMMYFUNCTION("""COMPUTED_VALUE""")," dilatação da panela e a desconexão com sua tampa.")</f>
        <v xml:space="preserve"> dilatação da panela e a desconexão com sua tampa.</v>
      </c>
      <c r="O349" s="4" t="str">
        <f ca="1">IFERROR(__xludf.DUMMYFUNCTION("""COMPUTED_VALUE""")," perda da qualidade nutritiva do alimento.")</f>
        <v xml:space="preserve"> perda da qualidade nutritiva do alimento.</v>
      </c>
      <c r="P349" s="4" t="str">
        <f ca="1">IFERROR(__xludf.DUMMYFUNCTION("""COMPUTED_VALUE""")," deformação da borracha de vedação.")</f>
        <v xml:space="preserve"> deformação da borracha de vedação.</v>
      </c>
      <c r="Q349" s="4" t="str">
        <f ca="1">IFERROR(__xludf.DUMMYFUNCTION("""COMPUTED_VALUE""")," consumo de gás desnecessário.")</f>
        <v xml:space="preserve"> consumo de gás desnecessário.</v>
      </c>
      <c r="R349" s="4"/>
      <c r="S349" s="4"/>
      <c r="T349" s="4"/>
      <c r="U349" s="4"/>
      <c r="V349" s="4"/>
      <c r="W349" s="4"/>
      <c r="X349" s="4"/>
      <c r="Y349" s="4"/>
      <c r="Z349" s="4"/>
    </row>
    <row r="350" spans="1:26" x14ac:dyDescent="0.25">
      <c r="A350" s="3" t="str">
        <f ca="1">IFERROR(__xludf.DUMMYFUNCTION("""COMPUTED_VALUE"""),"https://drive.google.com/open?id=1T0lpDIDfcNHDXTmDe04l1vrT4C-tWFJ-")</f>
        <v>https://drive.google.com/open?id=1T0lpDIDfcNHDXTmDe04l1vrT4C-tWFJ-</v>
      </c>
      <c r="B350" s="4" t="str">
        <f ca="1">IFERROR(__xludf.DUMMYFUNCTION("""COMPUTED_VALUE"""),"Enem")</f>
        <v>Enem</v>
      </c>
      <c r="C350" s="4">
        <f ca="1">IFERROR(__xludf.DUMMYFUNCTION("""COMPUTED_VALUE"""),2020)</f>
        <v>2020</v>
      </c>
      <c r="D350" s="4" t="str">
        <f ca="1">IFERROR(__xludf.DUMMYFUNCTION("""COMPUTED_VALUE"""),"Ciências da Natureza")</f>
        <v>Ciências da Natureza</v>
      </c>
      <c r="E350" s="4" t="str">
        <f ca="1">IFERROR(__xludf.DUMMYFUNCTION("""COMPUTED_VALUE"""),"Física")</f>
        <v>Física</v>
      </c>
      <c r="F350" s="4" t="str">
        <f ca="1">IFERROR(__xludf.DUMMYFUNCTION("""COMPUTED_VALUE"""),"Óptica e Térmica")</f>
        <v>Óptica e Térmica</v>
      </c>
      <c r="G350" s="4"/>
      <c r="H350" s="4"/>
      <c r="I350" s="4" t="str">
        <f ca="1">IFERROR(__xludf.DUMMYFUNCTION("""COMPUTED_VALUE"""),"Rosa")</f>
        <v>Rosa</v>
      </c>
      <c r="J350" s="4">
        <f ca="1">IFERROR(__xludf.DUMMYFUNCTION("""COMPUTED_VALUE"""),132)</f>
        <v>132</v>
      </c>
      <c r="K350" s="4" t="str">
        <f ca="1">IFERROR(__xludf.DUMMYFUNCTION("""COMPUTED_VALUE"""),"B")</f>
        <v>B</v>
      </c>
      <c r="L350" s="4" t="str">
        <f ca="1">IFERROR(__xludf.DUMMYFUNCTION("""COMPUTED_VALUE"""),"Os fones de ouvido tradicionais transmitem a música diretamente para os nossos
ouvidos. Já os modelos dotados de tecnologia redutora de ruído — Cancelamento de
Ruído (CR) — além de transmitirem música, também reduzem todo ruído inconsistente
à nossa volta"&amp;", como o barulho de turbinas de avião e aspiradores de pó. Os fones de
ouvido CR não reduzem realmente barulhos irregulares como discursos e choros de
bebês. Mesmo assim, a supressão do ronco das turbinas do avião contribui para reduzir a
“fadiga de ruído"&amp;"”, um cansaço persistente provocado pela exposição a um barulho alto por
horas a fio. Esses aparelhos também permitem que nós ouçamos músicas ou assistamos
a vídeos no trem ou no avião a um volume muito menor (e mais seguro).
Disponível em: http://tecnolo"&amp;"gia.uol.com.br. Acesso em: 21 abr. 2015 (adaptado).
A tecnologia redutora de ruído CR utilizada na produção de fones de ouvido baseia-se em
qual fenômeno ondulatório?")</f>
        <v>Os fones de ouvido tradicionais transmitem a música diretamente para os nossos
ouvidos. Já os modelos dotados de tecnologia redutora de ruído — Cancelamento de
Ruído (CR) — além de transmitirem música, também reduzem todo ruído inconsistente
à nossa volta, como o barulho de turbinas de avião e aspiradores de pó. Os fones de
ouvido CR não reduzem realmente barulhos irregulares como discursos e choros de
bebês. Mesmo assim, a supressão do ronco das turbinas do avião contribui para reduzir a
“fadiga de ruído”, um cansaço persistente provocado pela exposição a um barulho alto por
horas a fio. Esses aparelhos também permitem que nós ouçamos músicas ou assistamos
a vídeos no trem ou no avião a um volume muito menor (e mais seguro).
Disponível em: http://tecnologia.uol.com.br. Acesso em: 21 abr. 2015 (adaptado).
A tecnologia redutora de ruído CR utilizada na produção de fones de ouvido baseia-se em
qual fenômeno ondulatório?</v>
      </c>
      <c r="M350" s="4" t="str">
        <f ca="1">IFERROR(__xludf.DUMMYFUNCTION("""COMPUTED_VALUE"""),"Absorção.")</f>
        <v>Absorção.</v>
      </c>
      <c r="N350" s="4" t="str">
        <f ca="1">IFERROR(__xludf.DUMMYFUNCTION("""COMPUTED_VALUE""")," Interferência.")</f>
        <v xml:space="preserve"> Interferência.</v>
      </c>
      <c r="O350" s="4" t="str">
        <f ca="1">IFERROR(__xludf.DUMMYFUNCTION("""COMPUTED_VALUE"""),"Polarização.")</f>
        <v>Polarização.</v>
      </c>
      <c r="P350" s="4" t="str">
        <f ca="1">IFERROR(__xludf.DUMMYFUNCTION("""COMPUTED_VALUE"""),"Reflexão.")</f>
        <v>Reflexão.</v>
      </c>
      <c r="Q350" s="4" t="str">
        <f ca="1">IFERROR(__xludf.DUMMYFUNCTION("""COMPUTED_VALUE""")," Difração.")</f>
        <v xml:space="preserve"> Difração.</v>
      </c>
      <c r="R350" s="4"/>
      <c r="S350" s="4"/>
      <c r="T350" s="4"/>
      <c r="U350" s="4"/>
      <c r="V350" s="4"/>
      <c r="W350" s="4"/>
      <c r="X350" s="4"/>
      <c r="Y350" s="4"/>
      <c r="Z350" s="4"/>
    </row>
    <row r="351" spans="1:26" x14ac:dyDescent="0.25">
      <c r="A351" s="3" t="str">
        <f ca="1">IFERROR(__xludf.DUMMYFUNCTION("""COMPUTED_VALUE"""),"https://drive.google.com/open?id=1xw7TMXurcS-l-LGFf4WRIo7O_WlpUlCl")</f>
        <v>https://drive.google.com/open?id=1xw7TMXurcS-l-LGFf4WRIo7O_WlpUlCl</v>
      </c>
      <c r="B351" s="4" t="str">
        <f ca="1">IFERROR(__xludf.DUMMYFUNCTION("""COMPUTED_VALUE"""),"Enem")</f>
        <v>Enem</v>
      </c>
      <c r="C351" s="4">
        <f ca="1">IFERROR(__xludf.DUMMYFUNCTION("""COMPUTED_VALUE"""),2018)</f>
        <v>2018</v>
      </c>
      <c r="D351" s="4" t="str">
        <f ca="1">IFERROR(__xludf.DUMMYFUNCTION("""COMPUTED_VALUE"""),"Ciências da Natureza")</f>
        <v>Ciências da Natureza</v>
      </c>
      <c r="E351" s="4" t="str">
        <f ca="1">IFERROR(__xludf.DUMMYFUNCTION("""COMPUTED_VALUE"""),"Biologia")</f>
        <v>Biologia</v>
      </c>
      <c r="F351" s="4" t="str">
        <f ca="1">IFERROR(__xludf.DUMMYFUNCTION("""COMPUTED_VALUE"""),"Fisiologia Animal e Origem da Vida")</f>
        <v>Fisiologia Animal e Origem da Vida</v>
      </c>
      <c r="G351" s="4"/>
      <c r="H351" s="4"/>
      <c r="I351" s="4" t="str">
        <f ca="1">IFERROR(__xludf.DUMMYFUNCTION("""COMPUTED_VALUE"""),"Amarelo")</f>
        <v>Amarelo</v>
      </c>
      <c r="J351" s="4">
        <f ca="1">IFERROR(__xludf.DUMMYFUNCTION("""COMPUTED_VALUE"""),123)</f>
        <v>123</v>
      </c>
      <c r="K351" s="4" t="str">
        <f ca="1">IFERROR(__xludf.DUMMYFUNCTION("""COMPUTED_VALUE"""),"C")</f>
        <v>C</v>
      </c>
      <c r="L351" s="4" t="str">
        <f ca="1">IFERROR(__xludf.DUMMYFUNCTION("""COMPUTED_VALUE"""),"A utilização de extratos de origem natural tem recebido a atenção de pesquisadores
em todo o mundo, principalmente nos países em desenvolvimento que são altamente
acometidos por doenças infecciosas e parasitárias. Um bom exemplo dessa utilização
são os pr"&amp;"odutos de origem botânica que combatem insetos.
O uso desses produtos pode auxiliar no controle da")</f>
        <v>A utilização de extratos de origem natural tem recebido a atenção de pesquisadores
em todo o mundo, principalmente nos países em desenvolvimento que são altamente
acometidos por doenças infecciosas e parasitárias. Um bom exemplo dessa utilização
são os produtos de origem botânica que combatem insetos.
O uso desses produtos pode auxiliar no controle da</v>
      </c>
      <c r="M351" s="4" t="str">
        <f ca="1">IFERROR(__xludf.DUMMYFUNCTION("""COMPUTED_VALUE"""),"esquistossomose.")</f>
        <v>esquistossomose.</v>
      </c>
      <c r="N351" s="4" t="str">
        <f ca="1">IFERROR(__xludf.DUMMYFUNCTION("""COMPUTED_VALUE"""),"leptospirose.")</f>
        <v>leptospirose.</v>
      </c>
      <c r="O351" s="4" t="str">
        <f ca="1">IFERROR(__xludf.DUMMYFUNCTION("""COMPUTED_VALUE"""),"leishmaniose.")</f>
        <v>leishmaniose.</v>
      </c>
      <c r="P351" s="4" t="str">
        <f ca="1">IFERROR(__xludf.DUMMYFUNCTION("""COMPUTED_VALUE"""),"hanseníase.")</f>
        <v>hanseníase.</v>
      </c>
      <c r="Q351" s="4" t="str">
        <f ca="1">IFERROR(__xludf.DUMMYFUNCTION("""COMPUTED_VALUE"""),"aids.")</f>
        <v>aids.</v>
      </c>
      <c r="R351" s="4"/>
      <c r="S351" s="4"/>
      <c r="T351" s="4"/>
      <c r="U351" s="4"/>
      <c r="V351" s="4"/>
      <c r="W351" s="4"/>
      <c r="X351" s="4"/>
      <c r="Y351" s="4"/>
      <c r="Z351" s="4"/>
    </row>
    <row r="352" spans="1:26" x14ac:dyDescent="0.25">
      <c r="A352" s="3" t="str">
        <f ca="1">IFERROR(__xludf.DUMMYFUNCTION("""COMPUTED_VALUE"""),"https://drive.google.com/open?id=1qQTEPL0xyAqnrwn8vBvQuT1x-F0AGRRp")</f>
        <v>https://drive.google.com/open?id=1qQTEPL0xyAqnrwn8vBvQuT1x-F0AGRRp</v>
      </c>
      <c r="B352" s="4" t="str">
        <f ca="1">IFERROR(__xludf.DUMMYFUNCTION("""COMPUTED_VALUE"""),"Enem")</f>
        <v>Enem</v>
      </c>
      <c r="C352" s="4">
        <f ca="1">IFERROR(__xludf.DUMMYFUNCTION("""COMPUTED_VALUE"""),2020)</f>
        <v>2020</v>
      </c>
      <c r="D352" s="4" t="str">
        <f ca="1">IFERROR(__xludf.DUMMYFUNCTION("""COMPUTED_VALUE"""),"Ciências da Natureza")</f>
        <v>Ciências da Natureza</v>
      </c>
      <c r="E352" s="4" t="str">
        <f ca="1">IFERROR(__xludf.DUMMYFUNCTION("""COMPUTED_VALUE"""),"Física")</f>
        <v>Física</v>
      </c>
      <c r="F352" s="4" t="str">
        <f ca="1">IFERROR(__xludf.DUMMYFUNCTION("""COMPUTED_VALUE"""),"Eletromagnetismo")</f>
        <v>Eletromagnetismo</v>
      </c>
      <c r="G352" s="4"/>
      <c r="H352" s="4"/>
      <c r="I352" s="4" t="str">
        <f ca="1">IFERROR(__xludf.DUMMYFUNCTION("""COMPUTED_VALUE"""),"Rosa")</f>
        <v>Rosa</v>
      </c>
      <c r="J352" s="4">
        <f ca="1">IFERROR(__xludf.DUMMYFUNCTION("""COMPUTED_VALUE"""),134)</f>
        <v>134</v>
      </c>
      <c r="K352" s="4" t="str">
        <f ca="1">IFERROR(__xludf.DUMMYFUNCTION("""COMPUTED_VALUE"""),"D")</f>
        <v>D</v>
      </c>
      <c r="L352" s="4" t="str">
        <f ca="1">IFERROR(__xludf.DUMMYFUNCTION("""COMPUTED_VALUE"""),"Por qual motivo ocorre a eletrização ilustrada na tirinha?")</f>
        <v>Por qual motivo ocorre a eletrização ilustrada na tirinha?</v>
      </c>
      <c r="M352" s="4" t="str">
        <f ca="1">IFERROR(__xludf.DUMMYFUNCTION("""COMPUTED_VALUE""")," Troca de átomos entre a calça e os pelos do gato.")</f>
        <v xml:space="preserve"> Troca de átomos entre a calça e os pelos do gato.</v>
      </c>
      <c r="N352" s="4" t="str">
        <f ca="1">IFERROR(__xludf.DUMMYFUNCTION("""COMPUTED_VALUE"""),"Diminuição do número de prótons nos pelos do gato.")</f>
        <v>Diminuição do número de prótons nos pelos do gato.</v>
      </c>
      <c r="O352" s="4" t="str">
        <f ca="1">IFERROR(__xludf.DUMMYFUNCTION("""COMPUTED_VALUE"""),"Criação de novas partículas eletrizadas nos pelos do gato.")</f>
        <v>Criação de novas partículas eletrizadas nos pelos do gato.</v>
      </c>
      <c r="P352" s="4" t="str">
        <f ca="1">IFERROR(__xludf.DUMMYFUNCTION("""COMPUTED_VALUE""")," Movimentação de elétrons entre a calça e os pelos do gato.")</f>
        <v xml:space="preserve"> Movimentação de elétrons entre a calça e os pelos do gato.</v>
      </c>
      <c r="Q352" s="4" t="str">
        <f ca="1">IFERROR(__xludf.DUMMYFUNCTION("""COMPUTED_VALUE"""),"Repulsão entre partículas elétricas da calça e dos pelos do gato.")</f>
        <v>Repulsão entre partículas elétricas da calça e dos pelos do gato.</v>
      </c>
      <c r="R352" s="4"/>
      <c r="S352" s="4"/>
      <c r="T352" s="4"/>
      <c r="U352" s="4"/>
      <c r="V352" s="4"/>
      <c r="W352" s="4"/>
      <c r="X352" s="4"/>
      <c r="Y352" s="4"/>
      <c r="Z352" s="4"/>
    </row>
    <row r="353" spans="1:26" x14ac:dyDescent="0.25">
      <c r="A353" s="3" t="str">
        <f ca="1">IFERROR(__xludf.DUMMYFUNCTION("""COMPUTED_VALUE"""),"https://drive.google.com/open?id=1-EG5p9L7DbojsXwFjmQESe7QANB2FR2-")</f>
        <v>https://drive.google.com/open?id=1-EG5p9L7DbojsXwFjmQESe7QANB2FR2-</v>
      </c>
      <c r="B353" s="4" t="str">
        <f ca="1">IFERROR(__xludf.DUMMYFUNCTION("""COMPUTED_VALUE"""),"Enem")</f>
        <v>Enem</v>
      </c>
      <c r="C353" s="4">
        <f ca="1">IFERROR(__xludf.DUMMYFUNCTION("""COMPUTED_VALUE"""),2018)</f>
        <v>2018</v>
      </c>
      <c r="D353" s="4" t="str">
        <f ca="1">IFERROR(__xludf.DUMMYFUNCTION("""COMPUTED_VALUE"""),"Ciências da Natureza")</f>
        <v>Ciências da Natureza</v>
      </c>
      <c r="E353" s="4" t="str">
        <f ca="1">IFERROR(__xludf.DUMMYFUNCTION("""COMPUTED_VALUE"""),"Biologia")</f>
        <v>Biologia</v>
      </c>
      <c r="F353" s="4" t="str">
        <f ca="1">IFERROR(__xludf.DUMMYFUNCTION("""COMPUTED_VALUE"""),"Fisiologia Animal e Origem da Vida")</f>
        <v>Fisiologia Animal e Origem da Vida</v>
      </c>
      <c r="G353" s="4"/>
      <c r="H353" s="4"/>
      <c r="I353" s="4" t="str">
        <f ca="1">IFERROR(__xludf.DUMMYFUNCTION("""COMPUTED_VALUE"""),"Amarelo")</f>
        <v>Amarelo</v>
      </c>
      <c r="J353" s="4">
        <f ca="1">IFERROR(__xludf.DUMMYFUNCTION("""COMPUTED_VALUE"""),126)</f>
        <v>126</v>
      </c>
      <c r="K353" s="4" t="str">
        <f ca="1">IFERROR(__xludf.DUMMYFUNCTION("""COMPUTED_VALUE"""),"E")</f>
        <v>E</v>
      </c>
      <c r="L353" s="4" t="str">
        <f ca="1">IFERROR(__xludf.DUMMYFUNCTION("""COMPUTED_VALUE"""),"Anabolismo e catabolismo são processos celulares antagônicos, que são controlados
principalmente pela ação hormonal. Por exemplo, no fígado a insulina atua como um
hormônio com ação anabólica, enquanto o glucagon tem ação catabólica e ambos são
secretados"&amp;" em resposta ao nível de glicose sanguínea.
Em caso de um indivíduo com hipoglicemia, o hormônio citado que atua no catabolismo
induzirá o organismo a")</f>
        <v>Anabolismo e catabolismo são processos celulares antagônicos, que são controlados
principalmente pela ação hormonal. Por exemplo, no fígado a insulina atua como um
hormônio com ação anabólica, enquanto o glucagon tem ação catabólica e ambos são
secretados em resposta ao nível de glicose sanguínea.
Em caso de um indivíduo com hipoglicemia, o hormônio citado que atua no catabolismo
induzirá o organismo a</v>
      </c>
      <c r="M353" s="4" t="str">
        <f ca="1">IFERROR(__xludf.DUMMYFUNCTION("""COMPUTED_VALUE"""),"realizar a fermentação lática.")</f>
        <v>realizar a fermentação lática.</v>
      </c>
      <c r="N353" s="4" t="str">
        <f ca="1">IFERROR(__xludf.DUMMYFUNCTION("""COMPUTED_VALUE"""),"metabolizar aerobicamente a glicose.")</f>
        <v>metabolizar aerobicamente a glicose.</v>
      </c>
      <c r="O353" s="4" t="str">
        <f ca="1">IFERROR(__xludf.DUMMYFUNCTION("""COMPUTED_VALUE"""),"produzir aminoácidos a partir de ácidos graxos.")</f>
        <v>produzir aminoácidos a partir de ácidos graxos.</v>
      </c>
      <c r="P353" s="4" t="str">
        <f ca="1">IFERROR(__xludf.DUMMYFUNCTION("""COMPUTED_VALUE"""),"transformar ácidos graxos em glicogênio.")</f>
        <v>transformar ácidos graxos em glicogênio.</v>
      </c>
      <c r="Q353" s="4" t="str">
        <f ca="1">IFERROR(__xludf.DUMMYFUNCTION("""COMPUTED_VALUE"""),"estimular a utilização do glicogênio.")</f>
        <v>estimular a utilização do glicogênio.</v>
      </c>
      <c r="R353" s="4"/>
      <c r="S353" s="4"/>
      <c r="T353" s="4"/>
      <c r="U353" s="4"/>
      <c r="V353" s="4"/>
      <c r="W353" s="4"/>
      <c r="X353" s="4"/>
      <c r="Y353" s="4"/>
      <c r="Z353" s="4"/>
    </row>
    <row r="354" spans="1:26" x14ac:dyDescent="0.25">
      <c r="A354" s="3" t="str">
        <f ca="1">IFERROR(__xludf.DUMMYFUNCTION("""COMPUTED_VALUE"""),"https://drive.google.com/open?id=1QMy5hYdtLgwhhYRAO8O5ifJz4QK-R5oQ")</f>
        <v>https://drive.google.com/open?id=1QMy5hYdtLgwhhYRAO8O5ifJz4QK-R5oQ</v>
      </c>
      <c r="B354" s="4" t="str">
        <f ca="1">IFERROR(__xludf.DUMMYFUNCTION("""COMPUTED_VALUE"""),"Enem")</f>
        <v>Enem</v>
      </c>
      <c r="C354" s="4">
        <f ca="1">IFERROR(__xludf.DUMMYFUNCTION("""COMPUTED_VALUE"""),2018)</f>
        <v>2018</v>
      </c>
      <c r="D354" s="4" t="str">
        <f ca="1">IFERROR(__xludf.DUMMYFUNCTION("""COMPUTED_VALUE"""),"Ciências da Natureza")</f>
        <v>Ciências da Natureza</v>
      </c>
      <c r="E354" s="4" t="str">
        <f ca="1">IFERROR(__xludf.DUMMYFUNCTION("""COMPUTED_VALUE"""),"Biologia")</f>
        <v>Biologia</v>
      </c>
      <c r="F354" s="4" t="str">
        <f ca="1">IFERROR(__xludf.DUMMYFUNCTION("""COMPUTED_VALUE"""),"Metabolismo Celular, Bioquímica e Genética")</f>
        <v>Metabolismo Celular, Bioquímica e Genética</v>
      </c>
      <c r="G354" s="4" t="str">
        <f ca="1">IFERROR(__xludf.DUMMYFUNCTION("""COMPUTED_VALUE"""),"Botânica e Ecologia")</f>
        <v>Botânica e Ecologia</v>
      </c>
      <c r="H354" s="4"/>
      <c r="I354" s="4" t="str">
        <f ca="1">IFERROR(__xludf.DUMMYFUNCTION("""COMPUTED_VALUE"""),"Amarelo")</f>
        <v>Amarelo</v>
      </c>
      <c r="J354" s="4">
        <f ca="1">IFERROR(__xludf.DUMMYFUNCTION("""COMPUTED_VALUE"""),130)</f>
        <v>130</v>
      </c>
      <c r="K354" s="4" t="str">
        <f ca="1">IFERROR(__xludf.DUMMYFUNCTION("""COMPUTED_VALUE"""),"E")</f>
        <v>E</v>
      </c>
      <c r="L354" s="4" t="str">
        <f ca="1">IFERROR(__xludf.DUMMYFUNCTION("""COMPUTED_VALUE"""),"Considere, em um fragmento ambiental, uma árvore matriz com frutos (M) e outras cinco que produziram flores e são apenas doadoras de pólen (DP1, DP2, DP4 e
DP5). Foi excluída a capacidade de autopolinização das árvores. Os genótipos da
matriz, da semente "&amp;"(S1) e das prováveis fontes de pólen foram obtidos pela análise de
dois locos (loco A e loco B) de marcadores de DNA, conforme a figura:
A progênie S1 recebeu o pólen de qual doadora?")</f>
        <v>Considere, em um fragmento ambiental, uma árvore matriz com frutos (M) e outras cinco que produziram flores e são apenas doadoras de pólen (DP1, DP2, DP4 e
DP5). Foi excluída a capacidade de autopolinização das árvores. Os genótipos da
matriz, da semente (S1) e das prováveis fontes de pólen foram obtidos pela análise de
dois locos (loco A e loco B) de marcadores de DNA, conforme a figura:
A progênie S1 recebeu o pólen de qual doadora?</v>
      </c>
      <c r="M354" s="4" t="str">
        <f ca="1">IFERROR(__xludf.DUMMYFUNCTION("""COMPUTED_VALUE"""),"DP1")</f>
        <v>DP1</v>
      </c>
      <c r="N354" s="4" t="str">
        <f ca="1">IFERROR(__xludf.DUMMYFUNCTION("""COMPUTED_VALUE"""),"DP2")</f>
        <v>DP2</v>
      </c>
      <c r="O354" s="4" t="str">
        <f ca="1">IFERROR(__xludf.DUMMYFUNCTION("""COMPUTED_VALUE"""),"DP3")</f>
        <v>DP3</v>
      </c>
      <c r="P354" s="4" t="str">
        <f ca="1">IFERROR(__xludf.DUMMYFUNCTION("""COMPUTED_VALUE"""),"DP4")</f>
        <v>DP4</v>
      </c>
      <c r="Q354" s="4" t="str">
        <f ca="1">IFERROR(__xludf.DUMMYFUNCTION("""COMPUTED_VALUE"""),"DP5")</f>
        <v>DP5</v>
      </c>
      <c r="R354" s="4"/>
      <c r="S354" s="4"/>
      <c r="T354" s="4"/>
      <c r="U354" s="4"/>
      <c r="V354" s="4"/>
      <c r="W354" s="4"/>
      <c r="X354" s="4"/>
      <c r="Y354" s="4"/>
      <c r="Z354" s="4"/>
    </row>
    <row r="355" spans="1:26" x14ac:dyDescent="0.25">
      <c r="A355" s="3" t="str">
        <f ca="1">IFERROR(__xludf.DUMMYFUNCTION("""COMPUTED_VALUE"""),"https://drive.google.com/open?id=1woKpHL_zIaf2MDPE9PcUq0ujlUOJ6cGK")</f>
        <v>https://drive.google.com/open?id=1woKpHL_zIaf2MDPE9PcUq0ujlUOJ6cGK</v>
      </c>
      <c r="B355" s="4" t="str">
        <f ca="1">IFERROR(__xludf.DUMMYFUNCTION("""COMPUTED_VALUE"""),"Enem")</f>
        <v>Enem</v>
      </c>
      <c r="C355" s="4">
        <f ca="1">IFERROR(__xludf.DUMMYFUNCTION("""COMPUTED_VALUE"""),2018)</f>
        <v>2018</v>
      </c>
      <c r="D355" s="4" t="str">
        <f ca="1">IFERROR(__xludf.DUMMYFUNCTION("""COMPUTED_VALUE"""),"Ciências da Natureza")</f>
        <v>Ciências da Natureza</v>
      </c>
      <c r="E355" s="4" t="str">
        <f ca="1">IFERROR(__xludf.DUMMYFUNCTION("""COMPUTED_VALUE"""),"Biologia")</f>
        <v>Biologia</v>
      </c>
      <c r="F355" s="4" t="str">
        <f ca="1">IFERROR(__xludf.DUMMYFUNCTION("""COMPUTED_VALUE"""),"Botânica e Ecologia")</f>
        <v>Botânica e Ecologia</v>
      </c>
      <c r="G355" s="4"/>
      <c r="H355" s="4"/>
      <c r="I355" s="4" t="str">
        <f ca="1">IFERROR(__xludf.DUMMYFUNCTION("""COMPUTED_VALUE"""),"Amarelo")</f>
        <v>Amarelo</v>
      </c>
      <c r="J355" s="4">
        <f ca="1">IFERROR(__xludf.DUMMYFUNCTION("""COMPUTED_VALUE"""),132)</f>
        <v>132</v>
      </c>
      <c r="K355" s="4" t="str">
        <f ca="1">IFERROR(__xludf.DUMMYFUNCTION("""COMPUTED_VALUE"""),"E")</f>
        <v>E</v>
      </c>
      <c r="L355" s="4" t="str">
        <f ca="1">IFERROR(__xludf.DUMMYFUNCTION("""COMPUTED_VALUE"""),"O manejo adequado do solo possibilita a manutenção de sua fertilidade à medida
que as trocas de nutrientes entre matéria orgânica, água, solo e o ar são mantidas
para garantir a produção. Algumas espécies iônicas de alumínio são tóxicas, não
só para a pla"&amp;"nta, mas para muitos organismos como as bactérias responsáveis pelas
transformações no ciclo do nitrogênio. O alumínio danifica as membranas das células
das raízes e restringe a expansão de suas paredes, com isso, a planta não cresce
adequadamente. Para p"&amp;"romover benefícios para a produção agrícola, é recomendada a
remediação do solo utilizando calcário (CaCO3).
Essa remediação promove no solo o(a)")</f>
        <v>O manejo adequado do solo possibilita a manutenção de sua fertilidade à medida
que as trocas de nutrientes entre matéria orgânica, água, solo e o ar são mantidas
para garantir a produção. Algumas espécies iônicas de alumínio são tóxicas, não
só para a planta, mas para muitos organismos como as bactérias responsáveis pelas
transformações no ciclo do nitrogênio. O alumínio danifica as membranas das células
das raízes e restringe a expansão de suas paredes, com isso, a planta não cresce
adequadamente. Para promover benefícios para a produção agrícola, é recomendada a
remediação do solo utilizando calcário (CaCO3).
Essa remediação promove no solo o(a)</v>
      </c>
      <c r="M355" s="4" t="str">
        <f ca="1">IFERROR(__xludf.DUMMYFUNCTION("""COMPUTED_VALUE"""),"diminuição do pH, deixando-o fértil.")</f>
        <v>diminuição do pH, deixando-o fértil.</v>
      </c>
      <c r="N355" s="4" t="str">
        <f ca="1">IFERROR(__xludf.DUMMYFUNCTION("""COMPUTED_VALUE"""),"solubilização do alumínio, ocorrendo sua lixiviação pela chuva.")</f>
        <v>solubilização do alumínio, ocorrendo sua lixiviação pela chuva.</v>
      </c>
      <c r="O355" s="4" t="str">
        <f ca="1">IFERROR(__xludf.DUMMYFUNCTION("""COMPUTED_VALUE"""),"interação do íon cálcio com o íon alumínio, produzindo uma liga metálica.")</f>
        <v>interação do íon cálcio com o íon alumínio, produzindo uma liga metálica.</v>
      </c>
      <c r="P355" s="4" t="str">
        <f ca="1">IFERROR(__xludf.DUMMYFUNCTION("""COMPUTED_VALUE"""),"reação do carbonato de cálcio com os íons alumínio, formando alumínio metálico.")</f>
        <v>reação do carbonato de cálcio com os íons alumínio, formando alumínio metálico.</v>
      </c>
      <c r="Q355" s="4" t="str">
        <f ca="1">IFERROR(__xludf.DUMMYFUNCTION("""COMPUTED_VALUE"""),"aumento da sua alcalinidade, tornando os íons alumínio menos disponíveis.")</f>
        <v>aumento da sua alcalinidade, tornando os íons alumínio menos disponíveis.</v>
      </c>
      <c r="R355" s="4"/>
      <c r="S355" s="4"/>
      <c r="T355" s="4"/>
      <c r="U355" s="4"/>
      <c r="V355" s="4"/>
      <c r="W355" s="4"/>
      <c r="X355" s="4"/>
      <c r="Y355" s="4"/>
      <c r="Z355" s="4"/>
    </row>
    <row r="356" spans="1:26" x14ac:dyDescent="0.25">
      <c r="A356" s="3" t="str">
        <f ca="1">IFERROR(__xludf.DUMMYFUNCTION("""COMPUTED_VALUE"""),"https://drive.google.com/open?id=1lASF0wfJp-zP5CZUi-iZvo07PUPtptkh")</f>
        <v>https://drive.google.com/open?id=1lASF0wfJp-zP5CZUi-iZvo07PUPtptkh</v>
      </c>
      <c r="B356" s="4" t="str">
        <f ca="1">IFERROR(__xludf.DUMMYFUNCTION("""COMPUTED_VALUE"""),"Enem")</f>
        <v>Enem</v>
      </c>
      <c r="C356" s="4">
        <f ca="1">IFERROR(__xludf.DUMMYFUNCTION("""COMPUTED_VALUE"""),2018)</f>
        <v>2018</v>
      </c>
      <c r="D356" s="4" t="str">
        <f ca="1">IFERROR(__xludf.DUMMYFUNCTION("""COMPUTED_VALUE"""),"Matemática")</f>
        <v>Matemática</v>
      </c>
      <c r="E356" s="4" t="str">
        <f ca="1">IFERROR(__xludf.DUMMYFUNCTION("""COMPUTED_VALUE"""),"Matemática")</f>
        <v>Matemática</v>
      </c>
      <c r="F356" s="4" t="str">
        <f ca="1">IFERROR(__xludf.DUMMYFUNCTION("""COMPUTED_VALUE"""),"Aritmética e Algebra")</f>
        <v>Aritmética e Algebra</v>
      </c>
      <c r="G356" s="4"/>
      <c r="H356" s="4"/>
      <c r="I356" s="4" t="str">
        <f ca="1">IFERROR(__xludf.DUMMYFUNCTION("""COMPUTED_VALUE"""),"Amarelo")</f>
        <v>Amarelo</v>
      </c>
      <c r="J356" s="4">
        <f ca="1">IFERROR(__xludf.DUMMYFUNCTION("""COMPUTED_VALUE"""),161)</f>
        <v>161</v>
      </c>
      <c r="K356" s="4" t="str">
        <f ca="1">IFERROR(__xludf.DUMMYFUNCTION("""COMPUTED_VALUE"""),"C")</f>
        <v>C</v>
      </c>
      <c r="L356" s="4" t="str">
        <f ca="1">IFERROR(__xludf.DUMMYFUNCTION("""COMPUTED_VALUE"""),"O Salão do Automóvel de São Paulo é um evento no qual vários fabricantes expõem 
seus modelos mais recentes de veículos, mostrando, principalmente, suas inovações em 
design e tecnologia.
Uma montadora pretende participar desse evento com dois estandes, u"&amp;"m na entrada 
e outro na região central do salão, expondo, em cada um deles, um carro compacto e 
uma caminhonete.
Para compor os estandes, foram disponibilizados pela montadora quatro carros 
compactos, de modelos distintos, e seis caminhonetes de difere"&amp;"ntes cores para serem 
escolhidos aqueles que serão expostos. A posição dos carros dentro de cada estande é 
irrelevante.
Uma expressão que fornece a quantidade de maneiras diferentes que os estandes 
podem ser compostos é:")</f>
        <v>O Salão do Automóvel de São Paulo é um evento no qual vários fabricantes expõem 
seus modelos mais recentes de veículos, mostrando, principalmente, suas inovações em 
design e tecnologia.
Uma montadora pretende participar desse evento com dois estandes, um na entrada 
e outro na região central do salão, expondo, em cada um deles, um carro compacto e 
uma caminhonete.
Para compor os estandes, foram disponibilizados pela montadora quatro carros 
compactos, de modelos distintos, e seis caminhonetes de diferentes cores para serem 
escolhidos aqueles que serão expostos. A posição dos carros dentro de cada estande é 
irrelevante.
Uma expressão que fornece a quantidade de maneiras diferentes que os estandes 
podem ser compostos é:</v>
      </c>
      <c r="M356" s="4" t="str">
        <f ca="1">IFERROR(__xludf.DUMMYFUNCTION("""COMPUTED_VALUE"""),"[IMAGEM CONTIDA NO ARQUIVO]")</f>
        <v>[IMAGEM CONTIDA NO ARQUIVO]</v>
      </c>
      <c r="N356" s="4" t="str">
        <f ca="1">IFERROR(__xludf.DUMMYFUNCTION("""COMPUTED_VALUE"""),"[IMAGEM CONTIDA NO ARQUIVO]")</f>
        <v>[IMAGEM CONTIDA NO ARQUIVO]</v>
      </c>
      <c r="O356" s="4" t="str">
        <f ca="1">IFERROR(__xludf.DUMMYFUNCTION("""COMPUTED_VALUE"""),"[IMAGEM CONTIDA NO ARQUIVO]")</f>
        <v>[IMAGEM CONTIDA NO ARQUIVO]</v>
      </c>
      <c r="P356" s="4" t="str">
        <f ca="1">IFERROR(__xludf.DUMMYFUNCTION("""COMPUTED_VALUE"""),"[IMAGEM CONTIDA NO ARQUIVO]")</f>
        <v>[IMAGEM CONTIDA NO ARQUIVO]</v>
      </c>
      <c r="Q356" s="4" t="str">
        <f ca="1">IFERROR(__xludf.DUMMYFUNCTION("""COMPUTED_VALUE"""),"[IMAGEM CONTIDA NO ARQUIVO]")</f>
        <v>[IMAGEM CONTIDA NO ARQUIVO]</v>
      </c>
      <c r="R356" s="4"/>
      <c r="S356" s="4"/>
      <c r="T356" s="4"/>
      <c r="U356" s="4"/>
      <c r="V356" s="4"/>
      <c r="W356" s="4"/>
      <c r="X356" s="4"/>
      <c r="Y356" s="4"/>
      <c r="Z356" s="4"/>
    </row>
    <row r="357" spans="1:26" x14ac:dyDescent="0.25">
      <c r="A357" s="3" t="str">
        <f ca="1">IFERROR(__xludf.DUMMYFUNCTION("""COMPUTED_VALUE"""),"https://drive.google.com/open?id=1iY5KWuoR7NNCE4lU4bxzudCKnMzkcerE")</f>
        <v>https://drive.google.com/open?id=1iY5KWuoR7NNCE4lU4bxzudCKnMzkcerE</v>
      </c>
      <c r="B357" s="4" t="str">
        <f ca="1">IFERROR(__xludf.DUMMYFUNCTION("""COMPUTED_VALUE"""),"Enem")</f>
        <v>Enem</v>
      </c>
      <c r="C357" s="4">
        <f ca="1">IFERROR(__xludf.DUMMYFUNCTION("""COMPUTED_VALUE"""),2018)</f>
        <v>2018</v>
      </c>
      <c r="D357" s="4" t="str">
        <f ca="1">IFERROR(__xludf.DUMMYFUNCTION("""COMPUTED_VALUE"""),"Matemática")</f>
        <v>Matemática</v>
      </c>
      <c r="E357" s="4" t="str">
        <f ca="1">IFERROR(__xludf.DUMMYFUNCTION("""COMPUTED_VALUE"""),"Matemática")</f>
        <v>Matemática</v>
      </c>
      <c r="F357" s="4" t="str">
        <f ca="1">IFERROR(__xludf.DUMMYFUNCTION("""COMPUTED_VALUE"""),"Aritmética e Algebra")</f>
        <v>Aritmética e Algebra</v>
      </c>
      <c r="G357" s="4"/>
      <c r="H357" s="4"/>
      <c r="I357" s="4" t="str">
        <f ca="1">IFERROR(__xludf.DUMMYFUNCTION("""COMPUTED_VALUE"""),"Amarelo")</f>
        <v>Amarelo</v>
      </c>
      <c r="J357" s="4">
        <f ca="1">IFERROR(__xludf.DUMMYFUNCTION("""COMPUTED_VALUE"""),162)</f>
        <v>162</v>
      </c>
      <c r="K357" s="4" t="str">
        <f ca="1">IFERROR(__xludf.DUMMYFUNCTION("""COMPUTED_VALUE"""),"C")</f>
        <v>C</v>
      </c>
      <c r="L357" s="4" t="str">
        <f ca="1">IFERROR(__xludf.DUMMYFUNCTION("""COMPUTED_VALUE"""),"Os alunos da disciplina de estatística, em um curso universitário, realizam quatro 
avaliações por semestre com os pesos de 20%, 10%, 30% e 40%, respectivamente. 
No final do semestre, precisam obter uma média nas quatro avaliações de, no mínimo,
60 ponto"&amp;"s para serem aprovados. Um estudante dessa disciplina obteve os seguintes 
pontos nas três primeiras avaliações: 46, 60 e 50, respectivamente.
O mínimo de pontos que esse estudante precisa obter na quarta avaliação para ser 
aprovado é:")</f>
        <v>Os alunos da disciplina de estatística, em um curso universitário, realizam quatro 
avaliações por semestre com os pesos de 20%, 10%, 30% e 40%, respectivamente. 
No final do semestre, precisam obter uma média nas quatro avaliações de, no mínimo,
60 pontos para serem aprovados. Um estudante dessa disciplina obteve os seguintes 
pontos nas três primeiras avaliações: 46, 60 e 50, respectivamente.
O mínimo de pontos que esse estudante precisa obter na quarta avaliação para ser 
aprovado é:</v>
      </c>
      <c r="M357" s="4" t="str">
        <f ca="1">IFERROR(__xludf.DUMMYFUNCTION("""COMPUTED_VALUE"""),"29,8")</f>
        <v>29,8</v>
      </c>
      <c r="N357" s="4" t="str">
        <f ca="1">IFERROR(__xludf.DUMMYFUNCTION("""COMPUTED_VALUE"""),"71")</f>
        <v>71</v>
      </c>
      <c r="O357" s="4" t="str">
        <f ca="1">IFERROR(__xludf.DUMMYFUNCTION("""COMPUTED_VALUE"""),"74,5")</f>
        <v>74,5</v>
      </c>
      <c r="P357" s="4" t="str">
        <f ca="1">IFERROR(__xludf.DUMMYFUNCTION("""COMPUTED_VALUE"""),"75,5")</f>
        <v>75,5</v>
      </c>
      <c r="Q357" s="4" t="str">
        <f ca="1">IFERROR(__xludf.DUMMYFUNCTION("""COMPUTED_VALUE"""),"84")</f>
        <v>84</v>
      </c>
      <c r="R357" s="4"/>
      <c r="S357" s="4"/>
      <c r="T357" s="4"/>
      <c r="U357" s="4"/>
      <c r="V357" s="4"/>
      <c r="W357" s="4"/>
      <c r="X357" s="4"/>
      <c r="Y357" s="4"/>
      <c r="Z357" s="4"/>
    </row>
    <row r="358" spans="1:26" x14ac:dyDescent="0.25">
      <c r="A358" s="3" t="str">
        <f ca="1">IFERROR(__xludf.DUMMYFUNCTION("""COMPUTED_VALUE"""),"https://drive.google.com/open?id=1R_lBc_vJFfHrSVsYoTEDsVKpwaNmh5DQ")</f>
        <v>https://drive.google.com/open?id=1R_lBc_vJFfHrSVsYoTEDsVKpwaNmh5DQ</v>
      </c>
      <c r="B358" s="4" t="str">
        <f ca="1">IFERROR(__xludf.DUMMYFUNCTION("""COMPUTED_VALUE"""),"Enem")</f>
        <v>Enem</v>
      </c>
      <c r="C358" s="4">
        <f ca="1">IFERROR(__xludf.DUMMYFUNCTION("""COMPUTED_VALUE"""),2018)</f>
        <v>2018</v>
      </c>
      <c r="D358" s="4" t="str">
        <f ca="1">IFERROR(__xludf.DUMMYFUNCTION("""COMPUTED_VALUE"""),"Matemática")</f>
        <v>Matemática</v>
      </c>
      <c r="E358" s="4" t="str">
        <f ca="1">IFERROR(__xludf.DUMMYFUNCTION("""COMPUTED_VALUE"""),"Matemática")</f>
        <v>Matemática</v>
      </c>
      <c r="F358" s="4" t="str">
        <f ca="1">IFERROR(__xludf.DUMMYFUNCTION("""COMPUTED_VALUE"""),"Aritmética e Algebra")</f>
        <v>Aritmética e Algebra</v>
      </c>
      <c r="G358" s="4"/>
      <c r="H358" s="4"/>
      <c r="I358" s="4" t="str">
        <f ca="1">IFERROR(__xludf.DUMMYFUNCTION("""COMPUTED_VALUE"""),"Amarelo")</f>
        <v>Amarelo</v>
      </c>
      <c r="J358" s="4">
        <f ca="1">IFERROR(__xludf.DUMMYFUNCTION("""COMPUTED_VALUE"""),163)</f>
        <v>163</v>
      </c>
      <c r="K358" s="4" t="str">
        <f ca="1">IFERROR(__xludf.DUMMYFUNCTION("""COMPUTED_VALUE"""),"D")</f>
        <v>D</v>
      </c>
      <c r="L358" s="4" t="str">
        <f ca="1">IFERROR(__xludf.DUMMYFUNCTION("""COMPUTED_VALUE"""),"O gerente do setor de recursos humanos de uma empresa está organizando uma 
avaliação em que uma das etapas é um jogo de perguntas e respostas. Para essa 
etapa, ele classificou as perguntas, pelo nível de dificuldade em fácil, médio e difícil, e
escreveu"&amp;" cada pergunta em cartões para colocação em uma urna.
Contudo, após depositar vinte perguntas de diferentes níveis na urna, ele observou 
que 25% delas eram de nível fácil. Querendo que as perguntas de nível fácil sejam a 
maioria, o gerente decidiu acres"&amp;"centar mais perguntas de nível fácil à urna, de modo que 
a probabilidade de o primeiro participante retirar, aleatoriamente, uma pergunta de nível 
fácil seja de 75%.
Com essas informações, a quantidade de perguntas de nível fácil que o gerente deve 
acr"&amp;"escentar à urna é igual a:")</f>
        <v>O gerente do setor de recursos humanos de uma empresa está organizando uma 
avaliação em que uma das etapas é um jogo de perguntas e respostas. Para essa 
etapa, ele classificou as perguntas, pelo nível de dificuldade em fácil, médio e difícil, e
escreveu cada pergunta em cartões para colocação em uma urna.
Contudo, após depositar vinte perguntas de diferentes níveis na urna, ele observou 
que 25% delas eram de nível fácil. Querendo que as perguntas de nível fácil sejam a 
maioria, o gerente decidiu acrescentar mais perguntas de nível fácil à urna, de modo que 
a probabilidade de o primeiro participante retirar, aleatoriamente, uma pergunta de nível 
fácil seja de 75%.
Com essas informações, a quantidade de perguntas de nível fácil que o gerente deve 
acrescentar à urna é igual a:</v>
      </c>
      <c r="M358" s="4" t="str">
        <f ca="1">IFERROR(__xludf.DUMMYFUNCTION("""COMPUTED_VALUE"""),"10.")</f>
        <v>10.</v>
      </c>
      <c r="N358" s="4" t="str">
        <f ca="1">IFERROR(__xludf.DUMMYFUNCTION("""COMPUTED_VALUE"""),"15.")</f>
        <v>15.</v>
      </c>
      <c r="O358" s="4" t="str">
        <f ca="1">IFERROR(__xludf.DUMMYFUNCTION("""COMPUTED_VALUE"""),"35.")</f>
        <v>35.</v>
      </c>
      <c r="P358" s="4" t="str">
        <f ca="1">IFERROR(__xludf.DUMMYFUNCTION("""COMPUTED_VALUE"""),"40.")</f>
        <v>40.</v>
      </c>
      <c r="Q358" s="4" t="str">
        <f ca="1">IFERROR(__xludf.DUMMYFUNCTION("""COMPUTED_VALUE"""),"45.")</f>
        <v>45.</v>
      </c>
      <c r="R358" s="4"/>
      <c r="S358" s="4"/>
      <c r="T358" s="4"/>
      <c r="U358" s="4"/>
      <c r="V358" s="4"/>
      <c r="W358" s="4"/>
      <c r="X358" s="4"/>
      <c r="Y358" s="4"/>
      <c r="Z358" s="4"/>
    </row>
    <row r="359" spans="1:26" x14ac:dyDescent="0.25">
      <c r="A359" s="3" t="str">
        <f ca="1">IFERROR(__xludf.DUMMYFUNCTION("""COMPUTED_VALUE"""),"https://drive.google.com/open?id=1MlAe0X2OXvR074I3sDjpAFPu2h3MN2o8")</f>
        <v>https://drive.google.com/open?id=1MlAe0X2OXvR074I3sDjpAFPu2h3MN2o8</v>
      </c>
      <c r="B359" s="4" t="str">
        <f ca="1">IFERROR(__xludf.DUMMYFUNCTION("""COMPUTED_VALUE"""),"Enem")</f>
        <v>Enem</v>
      </c>
      <c r="C359" s="4">
        <f ca="1">IFERROR(__xludf.DUMMYFUNCTION("""COMPUTED_VALUE"""),2018)</f>
        <v>2018</v>
      </c>
      <c r="D359" s="4" t="str">
        <f ca="1">IFERROR(__xludf.DUMMYFUNCTION("""COMPUTED_VALUE"""),"Matemática")</f>
        <v>Matemática</v>
      </c>
      <c r="E359" s="4" t="str">
        <f ca="1">IFERROR(__xludf.DUMMYFUNCTION("""COMPUTED_VALUE"""),"Matemática")</f>
        <v>Matemática</v>
      </c>
      <c r="F359" s="4" t="str">
        <f ca="1">IFERROR(__xludf.DUMMYFUNCTION("""COMPUTED_VALUE"""),"Geometria")</f>
        <v>Geometria</v>
      </c>
      <c r="G359" s="4"/>
      <c r="H359" s="4"/>
      <c r="I359" s="4" t="str">
        <f ca="1">IFERROR(__xludf.DUMMYFUNCTION("""COMPUTED_VALUE"""),"Amarelo")</f>
        <v>Amarelo</v>
      </c>
      <c r="J359" s="4">
        <f ca="1">IFERROR(__xludf.DUMMYFUNCTION("""COMPUTED_VALUE"""),164)</f>
        <v>164</v>
      </c>
      <c r="K359" s="4" t="str">
        <f ca="1">IFERROR(__xludf.DUMMYFUNCTION("""COMPUTED_VALUE"""),"A")</f>
        <v>A</v>
      </c>
      <c r="L359" s="4" t="str">
        <f ca="1">IFERROR(__xludf.DUMMYFUNCTION("""COMPUTED_VALUE"""),"A Transferência Eletrônica Disponivel (TED) é uma transação financeira de valores entre diferentes bancos. Um economista decide analisar os valores enviados por meio de TEDs entre cinco bancos (1, 2, 3, 4 e 5) durante um mês. Para isso, ele dispõe esses v"&amp;"alores em uma matriz A [aij], em que [IMAGEM CONTIDA NO ARQUIVO], e o elemento aij
corresponde ao total proveniente das operações feitas via TED, em milhão de real, 
transferidos do banco i para o banco j durante o mês. Observe que os elementos
aii= 0, um"&amp;"a vez que TED é uma transferência entre bancos distintos. Esta é a matriz 
obtida para essa análise:
[IMAGEM CONTIDA NO ARQUIVO]
Com base nessas informações, o banco que transferiu a maior quantia via TED é o banco:")</f>
        <v>A Transferência Eletrônica Disponivel (TED) é uma transação financeira de valores entre diferentes bancos. Um economista decide analisar os valores enviados por meio de TEDs entre cinco bancos (1, 2, 3, 4 e 5) durante um mês. Para isso, ele dispõe esses valores em uma matriz A [aij], em que [IMAGEM CONTIDA NO ARQUIVO], e o elemento aij
corresponde ao total proveniente das operações feitas via TED, em milhão de real, 
transferidos do banco i para o banco j durante o mês. Observe que os elementos
aii= 0, uma vez que TED é uma transferência entre bancos distintos. Esta é a matriz 
obtida para essa análise:
[IMAGEM CONTIDA NO ARQUIVO]
Com base nessas informações, o banco que transferiu a maior quantia via TED é o banco:</v>
      </c>
      <c r="M359" s="4" t="str">
        <f ca="1">IFERROR(__xludf.DUMMYFUNCTION("""COMPUTED_VALUE"""),"1.")</f>
        <v>1.</v>
      </c>
      <c r="N359" s="4" t="str">
        <f ca="1">IFERROR(__xludf.DUMMYFUNCTION("""COMPUTED_VALUE"""),"2.")</f>
        <v>2.</v>
      </c>
      <c r="O359" s="4" t="str">
        <f ca="1">IFERROR(__xludf.DUMMYFUNCTION("""COMPUTED_VALUE"""),"3.")</f>
        <v>3.</v>
      </c>
      <c r="P359" s="4" t="str">
        <f ca="1">IFERROR(__xludf.DUMMYFUNCTION("""COMPUTED_VALUE"""),"4.")</f>
        <v>4.</v>
      </c>
      <c r="Q359" s="4" t="str">
        <f ca="1">IFERROR(__xludf.DUMMYFUNCTION("""COMPUTED_VALUE"""),"5.")</f>
        <v>5.</v>
      </c>
      <c r="R359" s="4"/>
      <c r="S359" s="4"/>
      <c r="T359" s="4"/>
      <c r="U359" s="4"/>
      <c r="V359" s="4"/>
      <c r="W359" s="4"/>
      <c r="X359" s="4"/>
      <c r="Y359" s="4"/>
      <c r="Z359" s="4"/>
    </row>
    <row r="360" spans="1:26" x14ac:dyDescent="0.25">
      <c r="A360" s="3" t="str">
        <f ca="1">IFERROR(__xludf.DUMMYFUNCTION("""COMPUTED_VALUE"""),"https://drive.google.com/open?id=1m_jvdxOrkiVd3Gib3jEzPpz_2gZMl5Gu")</f>
        <v>https://drive.google.com/open?id=1m_jvdxOrkiVd3Gib3jEzPpz_2gZMl5Gu</v>
      </c>
      <c r="B360" s="4" t="str">
        <f ca="1">IFERROR(__xludf.DUMMYFUNCTION("""COMPUTED_VALUE"""),"Enem")</f>
        <v>Enem</v>
      </c>
      <c r="C360" s="4">
        <f ca="1">IFERROR(__xludf.DUMMYFUNCTION("""COMPUTED_VALUE"""),2018)</f>
        <v>2018</v>
      </c>
      <c r="D360" s="4" t="str">
        <f ca="1">IFERROR(__xludf.DUMMYFUNCTION("""COMPUTED_VALUE"""),"Matemática")</f>
        <v>Matemática</v>
      </c>
      <c r="E360" s="4" t="str">
        <f ca="1">IFERROR(__xludf.DUMMYFUNCTION("""COMPUTED_VALUE"""),"Matemática")</f>
        <v>Matemática</v>
      </c>
      <c r="F360" s="4" t="str">
        <f ca="1">IFERROR(__xludf.DUMMYFUNCTION("""COMPUTED_VALUE"""),"Financeira e Trigonometria")</f>
        <v>Financeira e Trigonometria</v>
      </c>
      <c r="G360" s="4"/>
      <c r="H360" s="4"/>
      <c r="I360" s="4" t="str">
        <f ca="1">IFERROR(__xludf.DUMMYFUNCTION("""COMPUTED_VALUE"""),"Amarelo")</f>
        <v>Amarelo</v>
      </c>
      <c r="J360" s="4">
        <f ca="1">IFERROR(__xludf.DUMMYFUNCTION("""COMPUTED_VALUE"""),165)</f>
        <v>165</v>
      </c>
      <c r="K360" s="4" t="str">
        <f ca="1">IFERROR(__xludf.DUMMYFUNCTION("""COMPUTED_VALUE"""),"C")</f>
        <v>C</v>
      </c>
      <c r="L360" s="4" t="str">
        <f ca="1">IFERROR(__xludf.DUMMYFUNCTION("""COMPUTED_VALUE"""),"Um contrato de empréstimo prevê que quando uma parcela é paga de forma 
antecipada, conceder-se-á uma redução de juros de acordo com o período de 
antecipação. Nesse caso, paga-se o valor presente, que é o valor, naquele momento, de 
uma quantia que dever"&amp;"ia ser paga em uma data futura. Um valor presente P submetido 
a juros compostos com taxa i, por um período de tempo n, produz um valor futuro V
determinado pela fórmula
[IMAGEM CONTIDA NO ARQUIVO]
Em um contrato de empréstimo com sessenta parcelas fixas "&amp;"mensais, de R$ 820,00, a uma taxa de juros de 1,32% ao mês, junto com a trigésima parcela será paga antecipadamente uma outra parcela, desde que o desconto seja superior a 25% do valor da parcela.
Utilize 0,2877 como aproximação para In(4/3) e 0,0131 como"&amp;" aproximação para In (1,0132).
A primeira das parcelas que poderá ser antecipada junto com a 30ª é a:")</f>
        <v>Um contrato de empréstimo prevê que quando uma parcela é paga de forma 
antecipada, conceder-se-á uma redução de juros de acordo com o período de 
antecipação. Nesse caso, paga-se o valor presente, que é o valor, naquele momento, de 
uma quantia que deveria ser paga em uma data futura. Um valor presente P submetido 
a juros compostos com taxa i, por um período de tempo n, produz um valor futuro V
determinado pela fórmula
[IMAGEM CONTIDA NO ARQUIVO]
Em um contrato de empréstimo com sessenta parcelas fixas mensais, de R$ 820,00, a uma taxa de juros de 1,32% ao mês, junto com a trigésima parcela será paga antecipadamente uma outra parcela, desde que o desconto seja superior a 25% do valor da parcela.
Utilize 0,2877 como aproximação para In(4/3) e 0,0131 como aproximação para In (1,0132).
A primeira das parcelas que poderá ser antecipada junto com a 30ª é a:</v>
      </c>
      <c r="M360" s="4" t="str">
        <f ca="1">IFERROR(__xludf.DUMMYFUNCTION("""COMPUTED_VALUE"""),"56ª")</f>
        <v>56ª</v>
      </c>
      <c r="N360" s="4" t="str">
        <f ca="1">IFERROR(__xludf.DUMMYFUNCTION("""COMPUTED_VALUE"""),"55ª")</f>
        <v>55ª</v>
      </c>
      <c r="O360" s="4" t="str">
        <f ca="1">IFERROR(__xludf.DUMMYFUNCTION("""COMPUTED_VALUE"""),"52ª")</f>
        <v>52ª</v>
      </c>
      <c r="P360" s="4" t="str">
        <f ca="1">IFERROR(__xludf.DUMMYFUNCTION("""COMPUTED_VALUE"""),"51ª")</f>
        <v>51ª</v>
      </c>
      <c r="Q360" s="4" t="str">
        <f ca="1">IFERROR(__xludf.DUMMYFUNCTION("""COMPUTED_VALUE"""),"45ª")</f>
        <v>45ª</v>
      </c>
      <c r="R360" s="4"/>
      <c r="S360" s="4"/>
      <c r="T360" s="4"/>
      <c r="U360" s="4"/>
      <c r="V360" s="4"/>
      <c r="W360" s="4"/>
      <c r="X360" s="4"/>
      <c r="Y360" s="4"/>
      <c r="Z360" s="4"/>
    </row>
    <row r="361" spans="1:26" x14ac:dyDescent="0.25">
      <c r="A361" s="3" t="str">
        <f ca="1">IFERROR(__xludf.DUMMYFUNCTION("""COMPUTED_VALUE"""),"https://drive.google.com/open?id=1eIAJmYYl9tCskbOWOZh0kXxY8PCSFhXs")</f>
        <v>https://drive.google.com/open?id=1eIAJmYYl9tCskbOWOZh0kXxY8PCSFhXs</v>
      </c>
      <c r="B361" s="4" t="str">
        <f ca="1">IFERROR(__xludf.DUMMYFUNCTION("""COMPUTED_VALUE"""),"Enem")</f>
        <v>Enem</v>
      </c>
      <c r="C361" s="4">
        <f ca="1">IFERROR(__xludf.DUMMYFUNCTION("""COMPUTED_VALUE"""),2018)</f>
        <v>2018</v>
      </c>
      <c r="D361" s="4" t="str">
        <f ca="1">IFERROR(__xludf.DUMMYFUNCTION("""COMPUTED_VALUE"""),"Matemática")</f>
        <v>Matemática</v>
      </c>
      <c r="E361" s="4" t="str">
        <f ca="1">IFERROR(__xludf.DUMMYFUNCTION("""COMPUTED_VALUE"""),"Matemática")</f>
        <v>Matemática</v>
      </c>
      <c r="F361" s="4" t="str">
        <f ca="1">IFERROR(__xludf.DUMMYFUNCTION("""COMPUTED_VALUE"""),"Geometria")</f>
        <v>Geometria</v>
      </c>
      <c r="G361" s="4"/>
      <c r="H361" s="4"/>
      <c r="I361" s="4" t="str">
        <f ca="1">IFERROR(__xludf.DUMMYFUNCTION("""COMPUTED_VALUE"""),"Amarelo")</f>
        <v>Amarelo</v>
      </c>
      <c r="J361" s="4">
        <f ca="1">IFERROR(__xludf.DUMMYFUNCTION("""COMPUTED_VALUE"""),166)</f>
        <v>166</v>
      </c>
      <c r="K361" s="4" t="str">
        <f ca="1">IFERROR(__xludf.DUMMYFUNCTION("""COMPUTED_VALUE"""),"E")</f>
        <v>E</v>
      </c>
      <c r="L361" s="4" t="str">
        <f ca="1">IFERROR(__xludf.DUMMYFUNCTION("""COMPUTED_VALUE"""),"Um jogo pedagógico utiliza-se de uma interface algébrico-geométrica do seguinte 
modo: os alunos devem eliminar os pontos do plano cartesiano dando “tiros”, 
seguindo trajetórias que devem passar pelos pontos escolhidos. Para dar os tiros, 
o aluno deve e"&amp;"screver em uma janela do programa a equação cartesiana de uma 
reta ou de uma circunferência que passa pelos pontos e pela origem do sistema de 
coordenadas. Se o tiro for dado por meio da equação da circunferência, cada ponto 
diferente da origem que for"&amp;" atingido vale 2 pontos. Se o tiro for dado por meio da 
equação de uma reta, cada ponto diferente da origem que for atingido vale 1 ponto. 
Em uma situação de jogo, ainda restam os seguintes pontos para serem eliminados:
A(0 ; 4), B(4 ; 4), C(4 ; 0), D(2"&amp;" ; 2) e E(0 ; 2).
[IMAGEM CONTIDA NO ARQUIVO]
Passando pelo ponto A, qual equação forneceria a maior pontuação?")</f>
        <v>Um jogo pedagógico utiliza-se de uma interface algébrico-geométrica do seguinte 
modo: os alunos devem eliminar os pontos do plano cartesiano dando “tiros”, 
seguindo trajetórias que devem passar pelos pontos escolhidos. Para dar os tiros, 
o aluno deve escrever em uma janela do programa a equação cartesiana de uma 
reta ou de uma circunferência que passa pelos pontos e pela origem do sistema de 
coordenadas. Se o tiro for dado por meio da equação da circunferência, cada ponto 
diferente da origem que for atingido vale 2 pontos. Se o tiro for dado por meio da 
equação de uma reta, cada ponto diferente da origem que for atingido vale 1 ponto. 
Em uma situação de jogo, ainda restam os seguintes pontos para serem eliminados:
A(0 ; 4), B(4 ; 4), C(4 ; 0), D(2 ; 2) e E(0 ; 2).
[IMAGEM CONTIDA NO ARQUIVO]
Passando pelo ponto A, qual equação forneceria a maior pontuação?</v>
      </c>
      <c r="M361" s="4" t="str">
        <f ca="1">IFERROR(__xludf.DUMMYFUNCTION("""COMPUTED_VALUE"""),"x=0")</f>
        <v>x=0</v>
      </c>
      <c r="N361" s="4" t="str">
        <f ca="1">IFERROR(__xludf.DUMMYFUNCTION("""COMPUTED_VALUE"""),"y=0")</f>
        <v>y=0</v>
      </c>
      <c r="O361" s="4" t="str">
        <f ca="1">IFERROR(__xludf.DUMMYFUNCTION("""COMPUTED_VALUE"""),"x²+y²=16")</f>
        <v>x²+y²=16</v>
      </c>
      <c r="P361" s="4" t="str">
        <f ca="1">IFERROR(__xludf.DUMMYFUNCTION("""COMPUTED_VALUE"""),"x² + (y-2)²=4")</f>
        <v>x² + (y-2)²=4</v>
      </c>
      <c r="Q361" s="4" t="str">
        <f ca="1">IFERROR(__xludf.DUMMYFUNCTION("""COMPUTED_VALUE"""),"(x-2)² + (y-2)²=8")</f>
        <v>(x-2)² + (y-2)²=8</v>
      </c>
      <c r="R361" s="4"/>
      <c r="S361" s="4"/>
      <c r="T361" s="4"/>
      <c r="U361" s="4"/>
      <c r="V361" s="4"/>
      <c r="W361" s="4"/>
      <c r="X361" s="4"/>
      <c r="Y361" s="4"/>
      <c r="Z361" s="4"/>
    </row>
    <row r="362" spans="1:26" x14ac:dyDescent="0.25">
      <c r="A362" s="3" t="str">
        <f ca="1">IFERROR(__xludf.DUMMYFUNCTION("""COMPUTED_VALUE"""),"https://drive.google.com/open?id=1_FDKv2Qgbis-payvI1sVbNFiJQm3_UFg")</f>
        <v>https://drive.google.com/open?id=1_FDKv2Qgbis-payvI1sVbNFiJQm3_UFg</v>
      </c>
      <c r="B362" s="4" t="str">
        <f ca="1">IFERROR(__xludf.DUMMYFUNCTION("""COMPUTED_VALUE"""),"Enem")</f>
        <v>Enem</v>
      </c>
      <c r="C362" s="4">
        <f ca="1">IFERROR(__xludf.DUMMYFUNCTION("""COMPUTED_VALUE"""),2018)</f>
        <v>2018</v>
      </c>
      <c r="D362" s="4" t="str">
        <f ca="1">IFERROR(__xludf.DUMMYFUNCTION("""COMPUTED_VALUE"""),"Matemática")</f>
        <v>Matemática</v>
      </c>
      <c r="E362" s="4" t="str">
        <f ca="1">IFERROR(__xludf.DUMMYFUNCTION("""COMPUTED_VALUE"""),"Matemática")</f>
        <v>Matemática</v>
      </c>
      <c r="F362" s="4" t="str">
        <f ca="1">IFERROR(__xludf.DUMMYFUNCTION("""COMPUTED_VALUE"""),"Aritmética e Algebra")</f>
        <v>Aritmética e Algebra</v>
      </c>
      <c r="G362" s="4"/>
      <c r="H362" s="4"/>
      <c r="I362" s="4" t="str">
        <f ca="1">IFERROR(__xludf.DUMMYFUNCTION("""COMPUTED_VALUE"""),"Amarelo")</f>
        <v>Amarelo</v>
      </c>
      <c r="J362" s="4">
        <f ca="1">IFERROR(__xludf.DUMMYFUNCTION("""COMPUTED_VALUE"""),167)</f>
        <v>167</v>
      </c>
      <c r="K362" s="4" t="str">
        <f ca="1">IFERROR(__xludf.DUMMYFUNCTION("""COMPUTED_VALUE"""),"D")</f>
        <v>D</v>
      </c>
      <c r="L362" s="4" t="str">
        <f ca="1">IFERROR(__xludf.DUMMYFUNCTION("""COMPUTED_VALUE"""),"Devido ao não cumprimento das metas definidas para a campanha de vacinação contra a gripe comum e o vírus H1N1 em um ano, o Ministério da Saúde anunciou a prorrogação da campanha por mais uma semana. A tabela apresenta as quantidades de pessoas vacinadas "&amp;"dentre os cinco grupos de risco até a data de início da prorrogação da campanha.
[IMAGEM CONTIDA NO ARQUIVO]
Qual é a porcentagem do total de pessoas desses grupos de risco já vacinadas?")</f>
        <v>Devido ao não cumprimento das metas definidas para a campanha de vacinação contra a gripe comum e o vírus H1N1 em um ano, o Ministério da Saúde anunciou a prorrogação da campanha por mais uma semana. A tabela apresenta as quantidades de pessoas vacinadas dentre os cinco grupos de risco até a data de início da prorrogação da campanha.
[IMAGEM CONTIDA NO ARQUIVO]
Qual é a porcentagem do total de pessoas desses grupos de risco já vacinadas?</v>
      </c>
      <c r="M362" s="4" t="str">
        <f ca="1">IFERROR(__xludf.DUMMYFUNCTION("""COMPUTED_VALUE"""),"12")</f>
        <v>12</v>
      </c>
      <c r="N362" s="4" t="str">
        <f ca="1">IFERROR(__xludf.DUMMYFUNCTION("""COMPUTED_VALUE"""),"18")</f>
        <v>18</v>
      </c>
      <c r="O362" s="4" t="str">
        <f ca="1">IFERROR(__xludf.DUMMYFUNCTION("""COMPUTED_VALUE"""),"30")</f>
        <v>30</v>
      </c>
      <c r="P362" s="4" t="str">
        <f ca="1">IFERROR(__xludf.DUMMYFUNCTION("""COMPUTED_VALUE"""),"40")</f>
        <v>40</v>
      </c>
      <c r="Q362" s="4" t="str">
        <f ca="1">IFERROR(__xludf.DUMMYFUNCTION("""COMPUTED_VALUE"""),"50")</f>
        <v>50</v>
      </c>
      <c r="R362" s="4"/>
      <c r="S362" s="4"/>
      <c r="T362" s="4"/>
      <c r="U362" s="4"/>
      <c r="V362" s="4"/>
      <c r="W362" s="4"/>
      <c r="X362" s="4"/>
      <c r="Y362" s="4"/>
      <c r="Z362" s="4"/>
    </row>
    <row r="363" spans="1:26" x14ac:dyDescent="0.25">
      <c r="A363" s="3" t="str">
        <f ca="1">IFERROR(__xludf.DUMMYFUNCTION("""COMPUTED_VALUE"""),"https://drive.google.com/open?id=1pg9ELYa-JE8ud4Mi4lxj8yAauICi0F04")</f>
        <v>https://drive.google.com/open?id=1pg9ELYa-JE8ud4Mi4lxj8yAauICi0F04</v>
      </c>
      <c r="B363" s="4" t="str">
        <f ca="1">IFERROR(__xludf.DUMMYFUNCTION("""COMPUTED_VALUE"""),"Enem")</f>
        <v>Enem</v>
      </c>
      <c r="C363" s="4">
        <f ca="1">IFERROR(__xludf.DUMMYFUNCTION("""COMPUTED_VALUE"""),2018)</f>
        <v>2018</v>
      </c>
      <c r="D363" s="4" t="str">
        <f ca="1">IFERROR(__xludf.DUMMYFUNCTION("""COMPUTED_VALUE"""),"Matemática")</f>
        <v>Matemática</v>
      </c>
      <c r="E363" s="4" t="str">
        <f ca="1">IFERROR(__xludf.DUMMYFUNCTION("""COMPUTED_VALUE"""),"Matemática")</f>
        <v>Matemática</v>
      </c>
      <c r="F363" s="4" t="str">
        <f ca="1">IFERROR(__xludf.DUMMYFUNCTION("""COMPUTED_VALUE"""),"Aritmética e Algebra")</f>
        <v>Aritmética e Algebra</v>
      </c>
      <c r="G363" s="4"/>
      <c r="H363" s="4"/>
      <c r="I363" s="4" t="str">
        <f ca="1">IFERROR(__xludf.DUMMYFUNCTION("""COMPUTED_VALUE"""),"Amarelo")</f>
        <v>Amarelo</v>
      </c>
      <c r="J363" s="4">
        <f ca="1">IFERROR(__xludf.DUMMYFUNCTION("""COMPUTED_VALUE"""),168)</f>
        <v>168</v>
      </c>
      <c r="K363" s="4" t="str">
        <f ca="1">IFERROR(__xludf.DUMMYFUNCTION("""COMPUTED_VALUE"""),"D")</f>
        <v>D</v>
      </c>
      <c r="L363" s="4" t="str">
        <f ca="1">IFERROR(__xludf.DUMMYFUNCTION("""COMPUTED_VALUE"""),"Durante uma festa de colégio, um grupo de alunos organizou uma rifa. Oitenta alunos faltaram à festa e não participaram da rifa. Entre os que compareceram, alguns compraram três bilhetes, 45 compraram 2 bilhetes, e muitos compraram apenas um. O total de a"&amp;"lunos que comprou um único bilhete era 20% do número total de bilhetes vendidos, e o total de bilhetes vendidos excedeu em 33 o número total de alunos do colégio.
Quantos alunos compraram somente um bilhete?")</f>
        <v>Durante uma festa de colégio, um grupo de alunos organizou uma rifa. Oitenta alunos faltaram à festa e não participaram da rifa. Entre os que compareceram, alguns compraram três bilhetes, 45 compraram 2 bilhetes, e muitos compraram apenas um. O total de alunos que comprou um único bilhete era 20% do número total de bilhetes vendidos, e o total de bilhetes vendidos excedeu em 33 o número total de alunos do colégio.
Quantos alunos compraram somente um bilhete?</v>
      </c>
      <c r="M363" s="4" t="str">
        <f ca="1">IFERROR(__xludf.DUMMYFUNCTION("""COMPUTED_VALUE"""),"34")</f>
        <v>34</v>
      </c>
      <c r="N363" s="4" t="str">
        <f ca="1">IFERROR(__xludf.DUMMYFUNCTION("""COMPUTED_VALUE"""),"42")</f>
        <v>42</v>
      </c>
      <c r="O363" s="4" t="str">
        <f ca="1">IFERROR(__xludf.DUMMYFUNCTION("""COMPUTED_VALUE"""),"47")</f>
        <v>47</v>
      </c>
      <c r="P363" s="4" t="str">
        <f ca="1">IFERROR(__xludf.DUMMYFUNCTION("""COMPUTED_VALUE"""),"48")</f>
        <v>48</v>
      </c>
      <c r="Q363" s="4" t="str">
        <f ca="1">IFERROR(__xludf.DUMMYFUNCTION("""COMPUTED_VALUE"""),"79")</f>
        <v>79</v>
      </c>
      <c r="R363" s="4"/>
      <c r="S363" s="4"/>
      <c r="T363" s="4"/>
      <c r="U363" s="4"/>
      <c r="V363" s="4"/>
      <c r="W363" s="4"/>
      <c r="X363" s="4"/>
      <c r="Y363" s="4"/>
      <c r="Z363" s="4"/>
    </row>
    <row r="364" spans="1:26" x14ac:dyDescent="0.25">
      <c r="A364" s="3" t="str">
        <f ca="1">IFERROR(__xludf.DUMMYFUNCTION("""COMPUTED_VALUE"""),"https://drive.google.com/open?id=1ocFfK8CpgdEjSUdg-bHbggvSk2T_1U9w")</f>
        <v>https://drive.google.com/open?id=1ocFfK8CpgdEjSUdg-bHbggvSk2T_1U9w</v>
      </c>
      <c r="B364" s="4" t="str">
        <f ca="1">IFERROR(__xludf.DUMMYFUNCTION("""COMPUTED_VALUE"""),"Enem")</f>
        <v>Enem</v>
      </c>
      <c r="C364" s="4">
        <f ca="1">IFERROR(__xludf.DUMMYFUNCTION("""COMPUTED_VALUE"""),2018)</f>
        <v>2018</v>
      </c>
      <c r="D364" s="4" t="str">
        <f ca="1">IFERROR(__xludf.DUMMYFUNCTION("""COMPUTED_VALUE"""),"Matemática")</f>
        <v>Matemática</v>
      </c>
      <c r="E364" s="4" t="str">
        <f ca="1">IFERROR(__xludf.DUMMYFUNCTION("""COMPUTED_VALUE"""),"Matemática")</f>
        <v>Matemática</v>
      </c>
      <c r="F364" s="4" t="str">
        <f ca="1">IFERROR(__xludf.DUMMYFUNCTION("""COMPUTED_VALUE"""),"Geometria")</f>
        <v>Geometria</v>
      </c>
      <c r="G364" s="4"/>
      <c r="H364" s="4"/>
      <c r="I364" s="4" t="str">
        <f ca="1">IFERROR(__xludf.DUMMYFUNCTION("""COMPUTED_VALUE"""),"Amarelo")</f>
        <v>Amarelo</v>
      </c>
      <c r="J364" s="4">
        <f ca="1">IFERROR(__xludf.DUMMYFUNCTION("""COMPUTED_VALUE"""),169)</f>
        <v>169</v>
      </c>
      <c r="K364" s="4" t="str">
        <f ca="1">IFERROR(__xludf.DUMMYFUNCTION("""COMPUTED_VALUE"""),"A")</f>
        <v>A</v>
      </c>
      <c r="L364" s="4" t="str">
        <f ca="1">IFERROR(__xludf.DUMMYFUNCTION("""COMPUTED_VALUE"""),"Um quebra-cabeça consiste em recobrir um quadrado com triângulos retângulos 
isósceles, como ilustra a figura.
[IMAGEM CONTIDA NO ARQUIVO]
Uma artesã confecciona um quebra-cabeça como o descrito, de tal modo que a menor das peças é um triângulo retângulo "&amp;"isósceles cujos catetos medem 2 cm.
O quebra-cabeça, quando montado, resultará em um quadrado cuja medida do lado, em 
centímetro, é:")</f>
        <v>Um quebra-cabeça consiste em recobrir um quadrado com triângulos retângulos 
isósceles, como ilustra a figura.
[IMAGEM CONTIDA NO ARQUIVO]
Uma artesã confecciona um quebra-cabeça como o descrito, de tal modo que a menor das peças é um triângulo retângulo isósceles cujos catetos medem 2 cm.
O quebra-cabeça, quando montado, resultará em um quadrado cuja medida do lado, em 
centímetro, é:</v>
      </c>
      <c r="M364" s="4" t="str">
        <f ca="1">IFERROR(__xludf.DUMMYFUNCTION("""COMPUTED_VALUE"""),"14")</f>
        <v>14</v>
      </c>
      <c r="N364" s="4" t="str">
        <f ca="1">IFERROR(__xludf.DUMMYFUNCTION("""COMPUTED_VALUE"""),"12")</f>
        <v>12</v>
      </c>
      <c r="O364" s="4" t="str">
        <f ca="1">IFERROR(__xludf.DUMMYFUNCTION("""COMPUTED_VALUE"""),"7 . RAIZ(2)")</f>
        <v>7 . RAIZ(2)</v>
      </c>
      <c r="P364" s="4" t="str">
        <f ca="1">IFERROR(__xludf.DUMMYFUNCTION("""COMPUTED_VALUE"""),"6 + 4 . RAIZ(2)")</f>
        <v>6 + 4 . RAIZ(2)</v>
      </c>
      <c r="Q364" s="4" t="str">
        <f ca="1">IFERROR(__xludf.DUMMYFUNCTION("""COMPUTED_VALUE"""),"6 + 2 . RAIZ(2)")</f>
        <v>6 + 2 . RAIZ(2)</v>
      </c>
      <c r="R364" s="4"/>
      <c r="S364" s="4"/>
      <c r="T364" s="4"/>
      <c r="U364" s="4"/>
      <c r="V364" s="4"/>
      <c r="W364" s="4"/>
      <c r="X364" s="4"/>
      <c r="Y364" s="4"/>
      <c r="Z364" s="4"/>
    </row>
    <row r="365" spans="1:26" x14ac:dyDescent="0.25">
      <c r="A365" s="3" t="str">
        <f ca="1">IFERROR(__xludf.DUMMYFUNCTION("""COMPUTED_VALUE"""),"https://drive.google.com/open?id=13sKCTaovZswoDUlslHH134XrLoo6jRfL")</f>
        <v>https://drive.google.com/open?id=13sKCTaovZswoDUlslHH134XrLoo6jRfL</v>
      </c>
      <c r="B365" s="4" t="str">
        <f ca="1">IFERROR(__xludf.DUMMYFUNCTION("""COMPUTED_VALUE"""),"Enem")</f>
        <v>Enem</v>
      </c>
      <c r="C365" s="4">
        <f ca="1">IFERROR(__xludf.DUMMYFUNCTION("""COMPUTED_VALUE"""),2018)</f>
        <v>2018</v>
      </c>
      <c r="D365" s="4" t="str">
        <f ca="1">IFERROR(__xludf.DUMMYFUNCTION("""COMPUTED_VALUE"""),"Matemática")</f>
        <v>Matemática</v>
      </c>
      <c r="E365" s="4" t="str">
        <f ca="1">IFERROR(__xludf.DUMMYFUNCTION("""COMPUTED_VALUE"""),"Matemática")</f>
        <v>Matemática</v>
      </c>
      <c r="F365" s="4" t="str">
        <f ca="1">IFERROR(__xludf.DUMMYFUNCTION("""COMPUTED_VALUE"""),"Geometria")</f>
        <v>Geometria</v>
      </c>
      <c r="G365" s="4" t="str">
        <f ca="1">IFERROR(__xludf.DUMMYFUNCTION("""COMPUTED_VALUE"""),"Financeira e Trigonometria")</f>
        <v>Financeira e Trigonometria</v>
      </c>
      <c r="H365" s="4"/>
      <c r="I365" s="4" t="str">
        <f ca="1">IFERROR(__xludf.DUMMYFUNCTION("""COMPUTED_VALUE"""),"Amarelo")</f>
        <v>Amarelo</v>
      </c>
      <c r="J365" s="4">
        <f ca="1">IFERROR(__xludf.DUMMYFUNCTION("""COMPUTED_VALUE"""),170)</f>
        <v>170</v>
      </c>
      <c r="K365" s="4" t="str">
        <f ca="1">IFERROR(__xludf.DUMMYFUNCTION("""COMPUTED_VALUE"""),"B")</f>
        <v>B</v>
      </c>
      <c r="L365" s="4" t="str">
        <f ca="1">IFERROR(__xludf.DUMMYFUNCTION("""COMPUTED_VALUE"""),"Para decorar um cilindro circular reto será usada uma faixa retangular de papel transparente, na qual está desenhada em negrito uma diagonal que forma 30° com a 
borda inferior. O raio da base do cilindro mede (6/ π) cm, e ao enrolar a faixa obtém-se uma "&amp;"
linha em formato de hélice, como na figura.
[IMAGEM CONTIDA NO ARQUIVO]
O valor da medida da altura do cilindro, em centímetro, é:")</f>
        <v>Para decorar um cilindro circular reto será usada uma faixa retangular de papel transparente, na qual está desenhada em negrito uma diagonal que forma 30° com a 
borda inferior. O raio da base do cilindro mede (6/ π) cm, e ao enrolar a faixa obtém-se uma 
linha em formato de hélice, como na figura.
[IMAGEM CONTIDA NO ARQUIVO]
O valor da medida da altura do cilindro, em centímetro, é:</v>
      </c>
      <c r="M365" s="4" t="str">
        <f ca="1">IFERROR(__xludf.DUMMYFUNCTION("""COMPUTED_VALUE"""),"36 . RAIZ (3)")</f>
        <v>36 . RAIZ (3)</v>
      </c>
      <c r="N365" s="4" t="str">
        <f ca="1">IFERROR(__xludf.DUMMYFUNCTION("""COMPUTED_VALUE"""),"24 . RAIZ (3)")</f>
        <v>24 . RAIZ (3)</v>
      </c>
      <c r="O365" s="4" t="str">
        <f ca="1">IFERROR(__xludf.DUMMYFUNCTION("""COMPUTED_VALUE"""),"4 . RAIZ (3)")</f>
        <v>4 . RAIZ (3)</v>
      </c>
      <c r="P365" s="4" t="str">
        <f ca="1">IFERROR(__xludf.DUMMYFUNCTION("""COMPUTED_VALUE"""),"36")</f>
        <v>36</v>
      </c>
      <c r="Q365" s="4" t="str">
        <f ca="1">IFERROR(__xludf.DUMMYFUNCTION("""COMPUTED_VALUE"""),"72")</f>
        <v>72</v>
      </c>
      <c r="R365" s="4"/>
      <c r="S365" s="4"/>
      <c r="T365" s="4"/>
      <c r="U365" s="4"/>
      <c r="V365" s="4"/>
      <c r="W365" s="4"/>
      <c r="X365" s="4"/>
      <c r="Y365" s="4"/>
      <c r="Z365" s="4"/>
    </row>
    <row r="366" spans="1:26" x14ac:dyDescent="0.25">
      <c r="A366" s="3" t="str">
        <f ca="1">IFERROR(__xludf.DUMMYFUNCTION("""COMPUTED_VALUE"""),"https://drive.google.com/open?id=1NmkGcxddX5DYXkr1uJC5q4AHcyQ7FlsS")</f>
        <v>https://drive.google.com/open?id=1NmkGcxddX5DYXkr1uJC5q4AHcyQ7FlsS</v>
      </c>
      <c r="B366" s="4" t="str">
        <f ca="1">IFERROR(__xludf.DUMMYFUNCTION("""COMPUTED_VALUE"""),"Enem")</f>
        <v>Enem</v>
      </c>
      <c r="C366" s="4">
        <f ca="1">IFERROR(__xludf.DUMMYFUNCTION("""COMPUTED_VALUE"""),2020)</f>
        <v>2020</v>
      </c>
      <c r="D366" s="4" t="str">
        <f ca="1">IFERROR(__xludf.DUMMYFUNCTION("""COMPUTED_VALUE"""),"Matemática")</f>
        <v>Matemática</v>
      </c>
      <c r="E366" s="4" t="str">
        <f ca="1">IFERROR(__xludf.DUMMYFUNCTION("""COMPUTED_VALUE"""),"Matemática")</f>
        <v>Matemática</v>
      </c>
      <c r="F366" s="4" t="str">
        <f ca="1">IFERROR(__xludf.DUMMYFUNCTION("""COMPUTED_VALUE"""),"Geometria")</f>
        <v>Geometria</v>
      </c>
      <c r="G366" s="4"/>
      <c r="H366" s="4"/>
      <c r="I366" s="4" t="str">
        <f ca="1">IFERROR(__xludf.DUMMYFUNCTION("""COMPUTED_VALUE"""),"Rosa")</f>
        <v>Rosa</v>
      </c>
      <c r="J366" s="4">
        <f ca="1">IFERROR(__xludf.DUMMYFUNCTION("""COMPUTED_VALUE"""),136)</f>
        <v>136</v>
      </c>
      <c r="K366" s="4" t="str">
        <f ca="1">IFERROR(__xludf.DUMMYFUNCTION("""COMPUTED_VALUE"""),"B")</f>
        <v>B</v>
      </c>
      <c r="L366" s="4" t="str">
        <f ca="1">IFERROR(__xludf.DUMMYFUNCTION("""COMPUTED_VALUE"""),"A Figura 1 apresenta uma casa e a planta do seu telhado, em que as setas indicam
o sentido do escoamento da água de chuva. Um pedreiro precisa fazer a planta do
escoamento da água de chuva de um telhado que tem três caídas de água, como
apresentado na Fig"&amp;"ura 2.
A figura que representa a planta do telhado da Figura 2 com o escoamento da água de
chuva que o pedreiro precisa fazer é")</f>
        <v>A Figura 1 apresenta uma casa e a planta do seu telhado, em que as setas indicam
o sentido do escoamento da água de chuva. Um pedreiro precisa fazer a planta do
escoamento da água de chuva de um telhado que tem três caídas de água, como
apresentado na Figura 2.
A figura que representa a planta do telhado da Figura 2 com o escoamento da água de
chuva que o pedreiro precisa fazer é</v>
      </c>
      <c r="M366" s="4" t="str">
        <f ca="1">IFERROR(__xludf.DUMMYFUNCTION("""COMPUTED_VALUE"""),".")</f>
        <v>.</v>
      </c>
      <c r="N366" s="4" t="str">
        <f ca="1">IFERROR(__xludf.DUMMYFUNCTION("""COMPUTED_VALUE"""),".")</f>
        <v>.</v>
      </c>
      <c r="O366" s="4" t="str">
        <f ca="1">IFERROR(__xludf.DUMMYFUNCTION("""COMPUTED_VALUE"""),".")</f>
        <v>.</v>
      </c>
      <c r="P366" s="4" t="str">
        <f ca="1">IFERROR(__xludf.DUMMYFUNCTION("""COMPUTED_VALUE"""),".")</f>
        <v>.</v>
      </c>
      <c r="Q366" s="4" t="str">
        <f ca="1">IFERROR(__xludf.DUMMYFUNCTION("""COMPUTED_VALUE"""),".")</f>
        <v>.</v>
      </c>
      <c r="R366" s="4"/>
      <c r="S366" s="4"/>
      <c r="T366" s="4"/>
      <c r="U366" s="4"/>
      <c r="V366" s="4"/>
      <c r="W366" s="4"/>
      <c r="X366" s="4"/>
      <c r="Y366" s="4"/>
      <c r="Z366" s="4"/>
    </row>
    <row r="367" spans="1:26" x14ac:dyDescent="0.25">
      <c r="A367" s="3" t="str">
        <f ca="1">IFERROR(__xludf.DUMMYFUNCTION("""COMPUTED_VALUE"""),"https://drive.google.com/open?id=1bxcTw6HFHltK3DGzbIyinJd2raTX8f9K")</f>
        <v>https://drive.google.com/open?id=1bxcTw6HFHltK3DGzbIyinJd2raTX8f9K</v>
      </c>
      <c r="B367" s="4" t="str">
        <f ca="1">IFERROR(__xludf.DUMMYFUNCTION("""COMPUTED_VALUE"""),"Enem")</f>
        <v>Enem</v>
      </c>
      <c r="C367" s="4">
        <f ca="1">IFERROR(__xludf.DUMMYFUNCTION("""COMPUTED_VALUE"""),2020)</f>
        <v>2020</v>
      </c>
      <c r="D367" s="4" t="str">
        <f ca="1">IFERROR(__xludf.DUMMYFUNCTION("""COMPUTED_VALUE"""),"Matemática")</f>
        <v>Matemática</v>
      </c>
      <c r="E367" s="4" t="str">
        <f ca="1">IFERROR(__xludf.DUMMYFUNCTION("""COMPUTED_VALUE"""),"Matemática")</f>
        <v>Matemática</v>
      </c>
      <c r="F367" s="4" t="str">
        <f ca="1">IFERROR(__xludf.DUMMYFUNCTION("""COMPUTED_VALUE"""),"Aritmética e Algebra")</f>
        <v>Aritmética e Algebra</v>
      </c>
      <c r="G367" s="4"/>
      <c r="H367" s="4"/>
      <c r="I367" s="4" t="str">
        <f ca="1">IFERROR(__xludf.DUMMYFUNCTION("""COMPUTED_VALUE"""),"Rosa")</f>
        <v>Rosa</v>
      </c>
      <c r="J367" s="4">
        <f ca="1">IFERROR(__xludf.DUMMYFUNCTION("""COMPUTED_VALUE"""),137)</f>
        <v>137</v>
      </c>
      <c r="K367" s="4" t="str">
        <f ca="1">IFERROR(__xludf.DUMMYFUNCTION("""COMPUTED_VALUE"""),"A")</f>
        <v>A</v>
      </c>
      <c r="L367" s="4" t="str">
        <f ca="1">IFERROR(__xludf.DUMMYFUNCTION("""COMPUTED_VALUE"""),"Suponha que uma equipe de corrida de automóveis disponha de cinco tipos de
pneu (I, II, III, IV, V), em que o fator de eficiência climática EC (índice que fornece o
comportamento do pneu em uso, dependendo do clima) é apresentado:
• EC do pneu I: com chuv"&amp;"a 6, sem chuva 3;
• EC do pneu II: com chuva 7, sem chuva −4;
• EC do pneu III: com chuva −2, sem chuva 10;
• EC do pneu IV: com chuva 2, sem chuva 8;
• EC do pneu V: com chuva −6, sem chuva 7.
O coeficiente de rendimento climático (CRC) de um pneu é calc"&amp;"ulado como a
soma dos produtos dos fatores de EC, com ou sem chuva, pelas correspondentes
probabilidades de se ter tais condições climáticas: ele é utilizado para determinar qual
pneu deve ser selecionado para uma dada corrida, escolhendo-se o pneu que ap"&amp;"resentar
o maior CRC naquele dia. No dia de certa corrida, a probabilidade de chover era de 70% e
o chefe da equipe calculou o CRC de cada um dos cinco tipos de pneu.
O pneu escolhido foi")</f>
        <v>Suponha que uma equipe de corrida de automóveis disponha de cinco tipos de
pneu (I, II, III, IV, V), em que o fator de eficiência climática EC (índice que fornece o
comportamento do pneu em uso, dependendo do clima) é apresentado:
• EC do pneu I: com chuva 6, sem chuva 3;
• EC do pneu II: com chuva 7, sem chuva −4;
• EC do pneu III: com chuva −2, sem chuva 10;
• EC do pneu IV: com chuva 2, sem chuva 8;
• EC do pneu V: com chuva −6, sem chuva 7.
O coeficiente de rendimento climático (CRC) de um pneu é calculado como a
soma dos produtos dos fatores de EC, com ou sem chuva, pelas correspondentes
probabilidades de se ter tais condições climáticas: ele é utilizado para determinar qual
pneu deve ser selecionado para uma dada corrida, escolhendo-se o pneu que apresentar
o maior CRC naquele dia. No dia de certa corrida, a probabilidade de chover era de 70% e
o chefe da equipe calculou o CRC de cada um dos cinco tipos de pneu.
O pneu escolhido foi</v>
      </c>
      <c r="M367" s="4" t="str">
        <f ca="1">IFERROR(__xludf.DUMMYFUNCTION("""COMPUTED_VALUE"""),"I.")</f>
        <v>I.</v>
      </c>
      <c r="N367" s="4" t="str">
        <f ca="1">IFERROR(__xludf.DUMMYFUNCTION("""COMPUTED_VALUE"""),"II.")</f>
        <v>II.</v>
      </c>
      <c r="O367" s="4" t="str">
        <f ca="1">IFERROR(__xludf.DUMMYFUNCTION("""COMPUTED_VALUE"""),"III.")</f>
        <v>III.</v>
      </c>
      <c r="P367" s="4" t="str">
        <f ca="1">IFERROR(__xludf.DUMMYFUNCTION("""COMPUTED_VALUE"""),"IV.")</f>
        <v>IV.</v>
      </c>
      <c r="Q367" s="4" t="str">
        <f ca="1">IFERROR(__xludf.DUMMYFUNCTION("""COMPUTED_VALUE"""),"V.")</f>
        <v>V.</v>
      </c>
      <c r="R367" s="4"/>
      <c r="S367" s="4"/>
      <c r="T367" s="4"/>
      <c r="U367" s="4"/>
      <c r="V367" s="4"/>
      <c r="W367" s="4"/>
      <c r="X367" s="4"/>
      <c r="Y367" s="4"/>
      <c r="Z367" s="4"/>
    </row>
    <row r="368" spans="1:26" x14ac:dyDescent="0.25">
      <c r="A368" s="3" t="str">
        <f ca="1">IFERROR(__xludf.DUMMYFUNCTION("""COMPUTED_VALUE"""),"https://drive.google.com/open?id=1RYL5Z9lFqeNLmxwRs-UBqlhxhlFIvY9O")</f>
        <v>https://drive.google.com/open?id=1RYL5Z9lFqeNLmxwRs-UBqlhxhlFIvY9O</v>
      </c>
      <c r="B368" s="4" t="str">
        <f ca="1">IFERROR(__xludf.DUMMYFUNCTION("""COMPUTED_VALUE"""),"Enem")</f>
        <v>Enem</v>
      </c>
      <c r="C368" s="4">
        <f ca="1">IFERROR(__xludf.DUMMYFUNCTION("""COMPUTED_VALUE"""),2020)</f>
        <v>2020</v>
      </c>
      <c r="D368" s="4" t="str">
        <f ca="1">IFERROR(__xludf.DUMMYFUNCTION("""COMPUTED_VALUE"""),"Matemática")</f>
        <v>Matemática</v>
      </c>
      <c r="E368" s="4" t="str">
        <f ca="1">IFERROR(__xludf.DUMMYFUNCTION("""COMPUTED_VALUE"""),"Matemática")</f>
        <v>Matemática</v>
      </c>
      <c r="F368" s="4" t="str">
        <f ca="1">IFERROR(__xludf.DUMMYFUNCTION("""COMPUTED_VALUE"""),"Aritmética e Algebra")</f>
        <v>Aritmética e Algebra</v>
      </c>
      <c r="G368" s="4"/>
      <c r="H368" s="4"/>
      <c r="I368" s="4" t="str">
        <f ca="1">IFERROR(__xludf.DUMMYFUNCTION("""COMPUTED_VALUE"""),"Rosa")</f>
        <v>Rosa</v>
      </c>
      <c r="J368" s="4">
        <f ca="1">IFERROR(__xludf.DUMMYFUNCTION("""COMPUTED_VALUE"""),138)</f>
        <v>138</v>
      </c>
      <c r="K368" s="4" t="str">
        <f ca="1">IFERROR(__xludf.DUMMYFUNCTION("""COMPUTED_VALUE"""),"E")</f>
        <v>E</v>
      </c>
      <c r="L368" s="4" t="str">
        <f ca="1">IFERROR(__xludf.DUMMYFUNCTION("""COMPUTED_VALUE"""),"Um pé de eucalipto em idade adequada para o corte rende, em média, 20 mil folhas de
papel A4. A densidade superficial do papel A4, medida pela razão da massa de uma folha
desse papel por sua área, é de 75 gramas por metro quadrado, e a área de uma folha d"&amp;"e
A4 é 0,062 metro quadrado.
Nessas condições, quantos quilogramas de papel rende, em média, um pé de eucalipto?")</f>
        <v>Um pé de eucalipto em idade adequada para o corte rende, em média, 20 mil folhas de
papel A4. A densidade superficial do papel A4, medida pela razão da massa de uma folha
desse papel por sua área, é de 75 gramas por metro quadrado, e a área de uma folha de
A4 é 0,062 metro quadrado.
Nessas condições, quantos quilogramas de papel rende, em média, um pé de eucalipto?</v>
      </c>
      <c r="M368" s="4" t="str">
        <f ca="1">IFERROR(__xludf.DUMMYFUNCTION("""COMPUTED_VALUE"""),"4 301")</f>
        <v>4 301</v>
      </c>
      <c r="N368" s="4" t="str">
        <f ca="1">IFERROR(__xludf.DUMMYFUNCTION("""COMPUTED_VALUE"""),"1 500")</f>
        <v>1 500</v>
      </c>
      <c r="O368" s="4" t="str">
        <f ca="1">IFERROR(__xludf.DUMMYFUNCTION("""COMPUTED_VALUE"""),"930")</f>
        <v>930</v>
      </c>
      <c r="P368" s="4" t="str">
        <f ca="1">IFERROR(__xludf.DUMMYFUNCTION("""COMPUTED_VALUE"""),"267")</f>
        <v>267</v>
      </c>
      <c r="Q368" s="4" t="str">
        <f ca="1">IFERROR(__xludf.DUMMYFUNCTION("""COMPUTED_VALUE"""),"93")</f>
        <v>93</v>
      </c>
      <c r="R368" s="4"/>
      <c r="S368" s="4"/>
      <c r="T368" s="4"/>
      <c r="U368" s="4"/>
      <c r="V368" s="4"/>
      <c r="W368" s="4"/>
      <c r="X368" s="4"/>
      <c r="Y368" s="4"/>
      <c r="Z368" s="4"/>
    </row>
    <row r="369" spans="1:26" x14ac:dyDescent="0.25">
      <c r="A369" s="3" t="str">
        <f ca="1">IFERROR(__xludf.DUMMYFUNCTION("""COMPUTED_VALUE"""),"https://drive.google.com/open?id=1yJ7tmjotYNxXZ7nVL_GTwM1TjzzRQqrs")</f>
        <v>https://drive.google.com/open?id=1yJ7tmjotYNxXZ7nVL_GTwM1TjzzRQqrs</v>
      </c>
      <c r="B369" s="4" t="str">
        <f ca="1">IFERROR(__xludf.DUMMYFUNCTION("""COMPUTED_VALUE"""),"Enem")</f>
        <v>Enem</v>
      </c>
      <c r="C369" s="4">
        <f ca="1">IFERROR(__xludf.DUMMYFUNCTION("""COMPUTED_VALUE"""),2020)</f>
        <v>2020</v>
      </c>
      <c r="D369" s="4" t="str">
        <f ca="1">IFERROR(__xludf.DUMMYFUNCTION("""COMPUTED_VALUE"""),"Matemática")</f>
        <v>Matemática</v>
      </c>
      <c r="E369" s="4" t="str">
        <f ca="1">IFERROR(__xludf.DUMMYFUNCTION("""COMPUTED_VALUE"""),"Matemática")</f>
        <v>Matemática</v>
      </c>
      <c r="F369" s="4" t="str">
        <f ca="1">IFERROR(__xludf.DUMMYFUNCTION("""COMPUTED_VALUE"""),"Aritmética e Algebra")</f>
        <v>Aritmética e Algebra</v>
      </c>
      <c r="G369" s="4"/>
      <c r="H369" s="4"/>
      <c r="I369" s="4" t="str">
        <f ca="1">IFERROR(__xludf.DUMMYFUNCTION("""COMPUTED_VALUE"""),"Rosa")</f>
        <v>Rosa</v>
      </c>
      <c r="J369" s="4">
        <f ca="1">IFERROR(__xludf.DUMMYFUNCTION("""COMPUTED_VALUE"""),139)</f>
        <v>139</v>
      </c>
      <c r="K369" s="4" t="str">
        <f ca="1">IFERROR(__xludf.DUMMYFUNCTION("""COMPUTED_VALUE"""),"C")</f>
        <v>C</v>
      </c>
      <c r="L369" s="4" t="str">
        <f ca="1">IFERROR(__xludf.DUMMYFUNCTION("""COMPUTED_VALUE"""),"Com o objetivo de contratar uma empresa responsável pelo serviço de atendimento ao
público, os executivos de uma agência bancária realizaram uma pesquisa de satisfação
envolvendo cinco empresas especializadas nesse segmento. Os procedimentos
analisados (c"&amp;"om pesos que medem sua importância para a agência) e as respectivas
notas que cada empresa recebeu estão organizados no quadro.
A agência bancária contratará a empresa com a maior média ponderada das notas
obtidas nos procedimentos analisados.
Após a anál"&amp;"ise dos resultados da pesquisa de satisfação, os executivos da agência
bancária contrataram a empresa 
")</f>
        <v xml:space="preserve">Com o objetivo de contratar uma empresa responsável pelo serviço de atendimento ao
público, os executivos de uma agência bancária realizaram uma pesquisa de satisfação
envolvendo cinco empresas especializadas nesse segmento. Os procedimentos
analisados (com pesos que medem sua importância para a agência) e as respectivas
notas que cada empresa recebeu estão organizados no quadro.
A agência bancária contratará a empresa com a maior média ponderada das notas
obtidas nos procedimentos analisados.
Após a análise dos resultados da pesquisa de satisfação, os executivos da agência
bancária contrataram a empresa 
</v>
      </c>
      <c r="M369" s="4" t="str">
        <f ca="1">IFERROR(__xludf.DUMMYFUNCTION("""COMPUTED_VALUE"""),"X.")</f>
        <v>X.</v>
      </c>
      <c r="N369" s="4" t="str">
        <f ca="1">IFERROR(__xludf.DUMMYFUNCTION("""COMPUTED_VALUE"""),"Y.")</f>
        <v>Y.</v>
      </c>
      <c r="O369" s="4" t="str">
        <f ca="1">IFERROR(__xludf.DUMMYFUNCTION("""COMPUTED_VALUE"""),"Z.")</f>
        <v>Z.</v>
      </c>
      <c r="P369" s="4" t="str">
        <f ca="1">IFERROR(__xludf.DUMMYFUNCTION("""COMPUTED_VALUE"""),"W.")</f>
        <v>W.</v>
      </c>
      <c r="Q369" s="4" t="str">
        <f ca="1">IFERROR(__xludf.DUMMYFUNCTION("""COMPUTED_VALUE"""),"T.")</f>
        <v>T.</v>
      </c>
      <c r="R369" s="4"/>
      <c r="S369" s="4"/>
      <c r="T369" s="4"/>
      <c r="U369" s="4"/>
      <c r="V369" s="4"/>
      <c r="W369" s="4"/>
      <c r="X369" s="4"/>
      <c r="Y369" s="4"/>
      <c r="Z369" s="4"/>
    </row>
    <row r="370" spans="1:26" x14ac:dyDescent="0.25">
      <c r="A370" s="3" t="str">
        <f ca="1">IFERROR(__xludf.DUMMYFUNCTION("""COMPUTED_VALUE"""),"https://drive.google.com/open?id=1omXsuxRtG8cgIjp6dv31QBKlqvEYA0nu")</f>
        <v>https://drive.google.com/open?id=1omXsuxRtG8cgIjp6dv31QBKlqvEYA0nu</v>
      </c>
      <c r="B370" s="4" t="str">
        <f ca="1">IFERROR(__xludf.DUMMYFUNCTION("""COMPUTED_VALUE"""),"Enem")</f>
        <v>Enem</v>
      </c>
      <c r="C370" s="4">
        <f ca="1">IFERROR(__xludf.DUMMYFUNCTION("""COMPUTED_VALUE"""),2020)</f>
        <v>2020</v>
      </c>
      <c r="D370" s="4" t="str">
        <f ca="1">IFERROR(__xludf.DUMMYFUNCTION("""COMPUTED_VALUE"""),"Matemática")</f>
        <v>Matemática</v>
      </c>
      <c r="E370" s="4" t="str">
        <f ca="1">IFERROR(__xludf.DUMMYFUNCTION("""COMPUTED_VALUE"""),"Matemática")</f>
        <v>Matemática</v>
      </c>
      <c r="F370" s="4" t="str">
        <f ca="1">IFERROR(__xludf.DUMMYFUNCTION("""COMPUTED_VALUE"""),"Aritmética e Algebra")</f>
        <v>Aritmética e Algebra</v>
      </c>
      <c r="G370" s="4"/>
      <c r="H370" s="4"/>
      <c r="I370" s="4" t="str">
        <f ca="1">IFERROR(__xludf.DUMMYFUNCTION("""COMPUTED_VALUE"""),"Rosa")</f>
        <v>Rosa</v>
      </c>
      <c r="J370" s="4">
        <f ca="1">IFERROR(__xludf.DUMMYFUNCTION("""COMPUTED_VALUE"""),140)</f>
        <v>140</v>
      </c>
      <c r="K370" s="4" t="str">
        <f ca="1">IFERROR(__xludf.DUMMYFUNCTION("""COMPUTED_VALUE"""),"D")</f>
        <v>D</v>
      </c>
      <c r="L370" s="4" t="str">
        <f ca="1">IFERROR(__xludf.DUMMYFUNCTION("""COMPUTED_VALUE"""),"O técnico de um time de basquete pretende aumentar a estatura média de sua equipe de
1,93 m para, no mínimo, 1,99 m. Para tanto, dentre os 15 jogadores que fazem parte de sua
equipe, irá substituir os quatro mais baixos, de estaturas: 1,78 m, 1,82 m, 1,84"&amp;" m e 1,86 m.
Para isso, o técnico contratou um novo jogador de 2,02 m. Os outros três jogadores que
ele ainda precisa contratar devem satisfazer à sua necessidade de aumentar a média das
estaturas da equipe. Ele fixará a média das estaturas para os três j"&amp;"ogadores que ainda
precisa contratar dentro do critério inicialmente estabelecido.
Qual deverá ser a média mínima das estaturas, em metro, que ele deverá fixar para o
grupo de três novos jogadores que ainda irá contratar?")</f>
        <v>O técnico de um time de basquete pretende aumentar a estatura média de sua equipe de
1,93 m para, no mínimo, 1,99 m. Para tanto, dentre os 15 jogadores que fazem parte de sua
equipe, irá substituir os quatro mais baixos, de estaturas: 1,78 m, 1,82 m, 1,84 m e 1,86 m.
Para isso, o técnico contratou um novo jogador de 2,02 m. Os outros três jogadores que
ele ainda precisa contratar devem satisfazer à sua necessidade de aumentar a média das
estaturas da equipe. Ele fixará a média das estaturas para os três jogadores que ainda
precisa contratar dentro do critério inicialmente estabelecido.
Qual deverá ser a média mínima das estaturas, em metro, que ele deverá fixar para o
grupo de três novos jogadores que ainda irá contratar?</v>
      </c>
      <c r="M370" s="4" t="str">
        <f ca="1">IFERROR(__xludf.DUMMYFUNCTION("""COMPUTED_VALUE"""),"1,96")</f>
        <v>1,96</v>
      </c>
      <c r="N370" s="4" t="str">
        <f ca="1">IFERROR(__xludf.DUMMYFUNCTION("""COMPUTED_VALUE"""),"1,98")</f>
        <v>1,98</v>
      </c>
      <c r="O370" s="4" t="str">
        <f ca="1">IFERROR(__xludf.DUMMYFUNCTION("""COMPUTED_VALUE"""),"2,05")</f>
        <v>2,05</v>
      </c>
      <c r="P370" s="4" t="str">
        <f ca="1">IFERROR(__xludf.DUMMYFUNCTION("""COMPUTED_VALUE"""),"2,06")</f>
        <v>2,06</v>
      </c>
      <c r="Q370" s="4" t="str">
        <f ca="1">IFERROR(__xludf.DUMMYFUNCTION("""COMPUTED_VALUE"""),"2,08")</f>
        <v>2,08</v>
      </c>
      <c r="R370" s="4"/>
      <c r="S370" s="4"/>
      <c r="T370" s="4"/>
      <c r="U370" s="4"/>
      <c r="V370" s="4"/>
      <c r="W370" s="4"/>
      <c r="X370" s="4"/>
      <c r="Y370" s="4"/>
      <c r="Z370" s="4"/>
    </row>
    <row r="371" spans="1:26" x14ac:dyDescent="0.25">
      <c r="A371" s="3" t="str">
        <f ca="1">IFERROR(__xludf.DUMMYFUNCTION("""COMPUTED_VALUE"""),"https://drive.google.com/open?id=1wkEQH6NcrH0nQSX-9y5FmsB7lCafM6S8")</f>
        <v>https://drive.google.com/open?id=1wkEQH6NcrH0nQSX-9y5FmsB7lCafM6S8</v>
      </c>
      <c r="B371" s="4" t="str">
        <f ca="1">IFERROR(__xludf.DUMMYFUNCTION("""COMPUTED_VALUE"""),"Enem")</f>
        <v>Enem</v>
      </c>
      <c r="C371" s="4">
        <f ca="1">IFERROR(__xludf.DUMMYFUNCTION("""COMPUTED_VALUE"""),2018)</f>
        <v>2018</v>
      </c>
      <c r="D371" s="4" t="str">
        <f ca="1">IFERROR(__xludf.DUMMYFUNCTION("""COMPUTED_VALUE"""),"Matemática")</f>
        <v>Matemática</v>
      </c>
      <c r="E371" s="4" t="str">
        <f ca="1">IFERROR(__xludf.DUMMYFUNCTION("""COMPUTED_VALUE"""),"Matemática")</f>
        <v>Matemática</v>
      </c>
      <c r="F371" s="4" t="str">
        <f ca="1">IFERROR(__xludf.DUMMYFUNCTION("""COMPUTED_VALUE"""),"Aritmética e Algebra")</f>
        <v>Aritmética e Algebra</v>
      </c>
      <c r="G371" s="4"/>
      <c r="H371" s="4"/>
      <c r="I371" s="4" t="str">
        <f ca="1">IFERROR(__xludf.DUMMYFUNCTION("""COMPUTED_VALUE"""),"Amarelo")</f>
        <v>Amarelo</v>
      </c>
      <c r="J371" s="4">
        <f ca="1">IFERROR(__xludf.DUMMYFUNCTION("""COMPUTED_VALUE"""),171)</f>
        <v>171</v>
      </c>
      <c r="K371" s="4" t="str">
        <f ca="1">IFERROR(__xludf.DUMMYFUNCTION("""COMPUTED_VALUE"""),"C")</f>
        <v>C</v>
      </c>
      <c r="L371" s="4" t="str">
        <f ca="1">IFERROR(__xludf.DUMMYFUNCTION("""COMPUTED_VALUE"""),"Com o avanço em ciência da computação, estamos próximos do momento em que 
o número de transistores no processador de um computador pessoal será da mesma 
ordem de grandeza que o número de neurônios em um cérebro humano, que é da ordem 
de 100 bilhões.
Um"&amp;"a das grandezas determinantes para o desempenho de um processador é a 
densidade de transistores, que é o número de transistores por centímetro quadrado. 
Em 1986, uma empresa fabricava um processador contendo 100 000 transistores 
distribuídos em 0,25 cm"&amp;"² de área. Desde então, o número de transistores por centímetro 
quadrado que se pode colocar em um processador dobra a cada dois anos (Lei de Moore).
Considere 0,30 como aproximação para log 2.
Em que ano a empresa atingiu ou atingirá a densidade de 100 "&amp;"bilhões de transistores?")</f>
        <v>Com o avanço em ciência da computação, estamos próximos do momento em que 
o número de transistores no processador de um computador pessoal será da mesma 
ordem de grandeza que o número de neurônios em um cérebro humano, que é da ordem 
de 100 bilhões.
Uma das grandezas determinantes para o desempenho de um processador é a 
densidade de transistores, que é o número de transistores por centímetro quadrado. 
Em 1986, uma empresa fabricava um processador contendo 100 000 transistores 
distribuídos em 0,25 cm² de área. Desde então, o número de transistores por centímetro 
quadrado que se pode colocar em um processador dobra a cada dois anos (Lei de Moore).
Considere 0,30 como aproximação para log 2.
Em que ano a empresa atingiu ou atingirá a densidade de 100 bilhões de transistores?</v>
      </c>
      <c r="M371" s="4" t="str">
        <f ca="1">IFERROR(__xludf.DUMMYFUNCTION("""COMPUTED_VALUE"""),"1999")</f>
        <v>1999</v>
      </c>
      <c r="N371" s="4" t="str">
        <f ca="1">IFERROR(__xludf.DUMMYFUNCTION("""COMPUTED_VALUE"""),"2002")</f>
        <v>2002</v>
      </c>
      <c r="O371" s="4" t="str">
        <f ca="1">IFERROR(__xludf.DUMMYFUNCTION("""COMPUTED_VALUE"""),"2022")</f>
        <v>2022</v>
      </c>
      <c r="P371" s="4" t="str">
        <f ca="1">IFERROR(__xludf.DUMMYFUNCTION("""COMPUTED_VALUE"""),"2026")</f>
        <v>2026</v>
      </c>
      <c r="Q371" s="4" t="str">
        <f ca="1">IFERROR(__xludf.DUMMYFUNCTION("""COMPUTED_VALUE"""),"2146")</f>
        <v>2146</v>
      </c>
      <c r="R371" s="4"/>
      <c r="S371" s="4"/>
      <c r="T371" s="4"/>
      <c r="U371" s="4"/>
      <c r="V371" s="4"/>
      <c r="W371" s="4"/>
      <c r="X371" s="4"/>
      <c r="Y371" s="4"/>
      <c r="Z371" s="4"/>
    </row>
    <row r="372" spans="1:26" x14ac:dyDescent="0.25">
      <c r="A372" s="3" t="str">
        <f ca="1">IFERROR(__xludf.DUMMYFUNCTION("""COMPUTED_VALUE"""),"https://drive.google.com/open?id=1S_dAvZM9VjZzXud-OJENlvdCQFRN-v9O")</f>
        <v>https://drive.google.com/open?id=1S_dAvZM9VjZzXud-OJENlvdCQFRN-v9O</v>
      </c>
      <c r="B372" s="4" t="str">
        <f ca="1">IFERROR(__xludf.DUMMYFUNCTION("""COMPUTED_VALUE"""),"Enem")</f>
        <v>Enem</v>
      </c>
      <c r="C372" s="4">
        <f ca="1">IFERROR(__xludf.DUMMYFUNCTION("""COMPUTED_VALUE"""),2018)</f>
        <v>2018</v>
      </c>
      <c r="D372" s="4" t="str">
        <f ca="1">IFERROR(__xludf.DUMMYFUNCTION("""COMPUTED_VALUE"""),"Matemática")</f>
        <v>Matemática</v>
      </c>
      <c r="E372" s="4" t="str">
        <f ca="1">IFERROR(__xludf.DUMMYFUNCTION("""COMPUTED_VALUE"""),"Matemática")</f>
        <v>Matemática</v>
      </c>
      <c r="F372" s="4" t="str">
        <f ca="1">IFERROR(__xludf.DUMMYFUNCTION("""COMPUTED_VALUE"""),"Aritmética e Algebra")</f>
        <v>Aritmética e Algebra</v>
      </c>
      <c r="G372" s="4"/>
      <c r="H372" s="4"/>
      <c r="I372" s="4" t="str">
        <f ca="1">IFERROR(__xludf.DUMMYFUNCTION("""COMPUTED_VALUE"""),"Amarelo")</f>
        <v>Amarelo</v>
      </c>
      <c r="J372" s="4">
        <f ca="1">IFERROR(__xludf.DUMMYFUNCTION("""COMPUTED_VALUE"""),172)</f>
        <v>172</v>
      </c>
      <c r="K372" s="4" t="str">
        <f ca="1">IFERROR(__xludf.DUMMYFUNCTION("""COMPUTED_VALUE"""),"B")</f>
        <v>B</v>
      </c>
      <c r="L372" s="4" t="str">
        <f ca="1">IFERROR(__xludf.DUMMYFUNCTION("""COMPUTED_VALUE"""),"Uma loja vende automóveis em N parcelas iguais sem juros. No momento de 
contratar o financiamento, caso o cliente queira aumentar o prazo, acrescentando
mais 5 parcelas, o valor de cada uma das parcelas diminui R$ 200,00, ou se ele 
quiser diminuir o pra"&amp;"zo, com 4 parcelas a menos, o valor de cada uma das parcelas 
sobe R$ 232,00. Considere ainda que, nas três possibilidades de pagamento, o valor 
do automóvel é o mesmo, todas são sem juros e não é dado desconto em nenhuma 
das situações.
Nessas condições"&amp;", qual é a quantidade N de parcelas a serem pagas de acordo com a 
proposta inicial da loja?")</f>
        <v>Uma loja vende automóveis em N parcelas iguais sem juros. No momento de 
contratar o financiamento, caso o cliente queira aumentar o prazo, acrescentando
mais 5 parcelas, o valor de cada uma das parcelas diminui R$ 200,00, ou se ele 
quiser diminuir o prazo, com 4 parcelas a menos, o valor de cada uma das parcelas 
sobe R$ 232,00. Considere ainda que, nas três possibilidades de pagamento, o valor 
do automóvel é o mesmo, todas são sem juros e não é dado desconto em nenhuma 
das situações.
Nessas condições, qual é a quantidade N de parcelas a serem pagas de acordo com a 
proposta inicial da loja?</v>
      </c>
      <c r="M372" s="4" t="str">
        <f ca="1">IFERROR(__xludf.DUMMYFUNCTION("""COMPUTED_VALUE"""),"20")</f>
        <v>20</v>
      </c>
      <c r="N372" s="4" t="str">
        <f ca="1">IFERROR(__xludf.DUMMYFUNCTION("""COMPUTED_VALUE"""),"24")</f>
        <v>24</v>
      </c>
      <c r="O372" s="4" t="str">
        <f ca="1">IFERROR(__xludf.DUMMYFUNCTION("""COMPUTED_VALUE"""),"29")</f>
        <v>29</v>
      </c>
      <c r="P372" s="4" t="str">
        <f ca="1">IFERROR(__xludf.DUMMYFUNCTION("""COMPUTED_VALUE"""),"40")</f>
        <v>40</v>
      </c>
      <c r="Q372" s="4" t="str">
        <f ca="1">IFERROR(__xludf.DUMMYFUNCTION("""COMPUTED_VALUE"""),"58")</f>
        <v>58</v>
      </c>
      <c r="R372" s="4"/>
      <c r="S372" s="4"/>
      <c r="T372" s="4"/>
      <c r="U372" s="4"/>
      <c r="V372" s="4"/>
      <c r="W372" s="4"/>
      <c r="X372" s="4"/>
      <c r="Y372" s="4"/>
      <c r="Z372" s="4"/>
    </row>
    <row r="373" spans="1:26" x14ac:dyDescent="0.25">
      <c r="A373" s="3" t="str">
        <f ca="1">IFERROR(__xludf.DUMMYFUNCTION("""COMPUTED_VALUE"""),"https://drive.google.com/open?id=16bMcZWrFxrKKDj3ut_TyCS6RxYSjV2Gi")</f>
        <v>https://drive.google.com/open?id=16bMcZWrFxrKKDj3ut_TyCS6RxYSjV2Gi</v>
      </c>
      <c r="B373" s="4" t="str">
        <f ca="1">IFERROR(__xludf.DUMMYFUNCTION("""COMPUTED_VALUE"""),"Enem")</f>
        <v>Enem</v>
      </c>
      <c r="C373" s="4">
        <f ca="1">IFERROR(__xludf.DUMMYFUNCTION("""COMPUTED_VALUE"""),2018)</f>
        <v>2018</v>
      </c>
      <c r="D373" s="4" t="str">
        <f ca="1">IFERROR(__xludf.DUMMYFUNCTION("""COMPUTED_VALUE"""),"Matemática")</f>
        <v>Matemática</v>
      </c>
      <c r="E373" s="4" t="str">
        <f ca="1">IFERROR(__xludf.DUMMYFUNCTION("""COMPUTED_VALUE"""),"Matemática")</f>
        <v>Matemática</v>
      </c>
      <c r="F373" s="4" t="str">
        <f ca="1">IFERROR(__xludf.DUMMYFUNCTION("""COMPUTED_VALUE"""),"Aritmética e Algebra")</f>
        <v>Aritmética e Algebra</v>
      </c>
      <c r="G373" s="4"/>
      <c r="H373" s="4"/>
      <c r="I373" s="4" t="str">
        <f ca="1">IFERROR(__xludf.DUMMYFUNCTION("""COMPUTED_VALUE"""),"Amarelo")</f>
        <v>Amarelo</v>
      </c>
      <c r="J373" s="4">
        <f ca="1">IFERROR(__xludf.DUMMYFUNCTION("""COMPUTED_VALUE"""),173)</f>
        <v>173</v>
      </c>
      <c r="K373" s="4" t="str">
        <f ca="1">IFERROR(__xludf.DUMMYFUNCTION("""COMPUTED_VALUE"""),"C")</f>
        <v>C</v>
      </c>
      <c r="L373" s="4" t="str">
        <f ca="1">IFERROR(__xludf.DUMMYFUNCTION("""COMPUTED_VALUE"""),"O salto ornamental é um esporte em que cada competidor realiza seis saltos. A nota 
em cada salto é calculada pela soma das notas dos juízes, multiplicada pela nota de 
partida (o grau de dificuldade de cada salto). Fica em primeiro lugar o atleta que obt"&amp;"iver a
maior soma das seis notas recebidas.
O atleta 10 irá realizar o último salto da final. Ele observa no quadro 1, antes de executar o salto, o recorde do quadro parcial de notas com a sua classificação e a dos três primeiros lugares até aquele moment"&amp;"o.
[IMAGEM CONTIDA NO ARQUIVO]
Ele precisa decidir com seu treinador qual salto deverá realizar. Os dados dos 
possíveis tipos de salto estão no Quadro 2.
[IMAGEM CONTIDA NO ARQUIVO]
O atleta optará pelo salto com a maior probabilidade de obter a nota est"&amp;"imada, de 
maneira que lhe permita alcançar o primeiro lugar.
Considerando essas condições, o salto que o atleta deverá escolher é o de tipo:")</f>
        <v>O salto ornamental é um esporte em que cada competidor realiza seis saltos. A nota 
em cada salto é calculada pela soma das notas dos juízes, multiplicada pela nota de 
partida (o grau de dificuldade de cada salto). Fica em primeiro lugar o atleta que obtiver a
maior soma das seis notas recebidas.
O atleta 10 irá realizar o último salto da final. Ele observa no quadro 1, antes de executar o salto, o recorde do quadro parcial de notas com a sua classificação e a dos três primeiros lugares até aquele momento.
[IMAGEM CONTIDA NO ARQUIVO]
Ele precisa decidir com seu treinador qual salto deverá realizar. Os dados dos 
possíveis tipos de salto estão no Quadro 2.
[IMAGEM CONTIDA NO ARQUIVO]
O atleta optará pelo salto com a maior probabilidade de obter a nota estimada, de 
maneira que lhe permita alcançar o primeiro lugar.
Considerando essas condições, o salto que o atleta deverá escolher é o de tipo:</v>
      </c>
      <c r="M373" s="4" t="str">
        <f ca="1">IFERROR(__xludf.DUMMYFUNCTION("""COMPUTED_VALUE"""),"T1")</f>
        <v>T1</v>
      </c>
      <c r="N373" s="4" t="str">
        <f ca="1">IFERROR(__xludf.DUMMYFUNCTION("""COMPUTED_VALUE"""),"T2")</f>
        <v>T2</v>
      </c>
      <c r="O373" s="4" t="str">
        <f ca="1">IFERROR(__xludf.DUMMYFUNCTION("""COMPUTED_VALUE"""),"T3")</f>
        <v>T3</v>
      </c>
      <c r="P373" s="4" t="str">
        <f ca="1">IFERROR(__xludf.DUMMYFUNCTION("""COMPUTED_VALUE"""),"T4")</f>
        <v>T4</v>
      </c>
      <c r="Q373" s="4" t="str">
        <f ca="1">IFERROR(__xludf.DUMMYFUNCTION("""COMPUTED_VALUE"""),"T5")</f>
        <v>T5</v>
      </c>
      <c r="R373" s="4"/>
      <c r="S373" s="4"/>
      <c r="T373" s="4"/>
      <c r="U373" s="4"/>
      <c r="V373" s="4"/>
      <c r="W373" s="4"/>
      <c r="X373" s="4"/>
      <c r="Y373" s="4"/>
      <c r="Z373" s="4"/>
    </row>
    <row r="374" spans="1:26" x14ac:dyDescent="0.25">
      <c r="A374" s="3" t="str">
        <f ca="1">IFERROR(__xludf.DUMMYFUNCTION("""COMPUTED_VALUE"""),"https://drive.google.com/open?id=1wV5e95Evk34jozB3jlW52MkmtEg1n6wl")</f>
        <v>https://drive.google.com/open?id=1wV5e95Evk34jozB3jlW52MkmtEg1n6wl</v>
      </c>
      <c r="B374" s="4" t="str">
        <f ca="1">IFERROR(__xludf.DUMMYFUNCTION("""COMPUTED_VALUE"""),"Enem")</f>
        <v>Enem</v>
      </c>
      <c r="C374" s="4">
        <f ca="1">IFERROR(__xludf.DUMMYFUNCTION("""COMPUTED_VALUE"""),2018)</f>
        <v>2018</v>
      </c>
      <c r="D374" s="4" t="str">
        <f ca="1">IFERROR(__xludf.DUMMYFUNCTION("""COMPUTED_VALUE"""),"Matemática")</f>
        <v>Matemática</v>
      </c>
      <c r="E374" s="4" t="str">
        <f ca="1">IFERROR(__xludf.DUMMYFUNCTION("""COMPUTED_VALUE"""),"Matemática")</f>
        <v>Matemática</v>
      </c>
      <c r="F374" s="4" t="str">
        <f ca="1">IFERROR(__xludf.DUMMYFUNCTION("""COMPUTED_VALUE"""),"Geometria")</f>
        <v>Geometria</v>
      </c>
      <c r="G374" s="4"/>
      <c r="H374" s="4"/>
      <c r="I374" s="4" t="str">
        <f ca="1">IFERROR(__xludf.DUMMYFUNCTION("""COMPUTED_VALUE"""),"Amarelo")</f>
        <v>Amarelo</v>
      </c>
      <c r="J374" s="4">
        <f ca="1">IFERROR(__xludf.DUMMYFUNCTION("""COMPUTED_VALUE"""),174)</f>
        <v>174</v>
      </c>
      <c r="K374" s="4" t="str">
        <f ca="1">IFERROR(__xludf.DUMMYFUNCTION("""COMPUTED_VALUE"""),"A")</f>
        <v>A</v>
      </c>
      <c r="L374" s="4" t="str">
        <f ca="1">IFERROR(__xludf.DUMMYFUNCTION("""COMPUTED_VALUE"""),"Os guindastes são fundamentais em canteiros de obras, no manejo de materiais 
pesados como vigas de aço. A figura ilustra uma sequência de estágios em que um
guindaste iça uma viga de aço que se encontra inicialmente no solo.
[ÍMAGEM CONTIDA NO ARQUIVO]
N"&amp;"a figura, o ponto O representa a projeção ortogonal do cabo de aço sobre o plano do chão e este se mantém na vertical durante todo o movimento de içamento da viga, 
que se inicia no tempo t = 0 (estágio 1) e finaliza no tempo Tf (estágio 3). Uma das 
extr"&amp;"emidades da viga é içada verticalmente a partir do ponto O, enquanto que a outra 
extremidade desliza sobre o solo em direção ao ponto O. Considere que o cabo de aço 
utilizado pelo guindaste para içar a viga fique sempre na posição vertical. Na figura o "&amp;"
ponto M representa o ponto médio do segmento que representa a viga.
O gráfico que descreve a distância do ponto M ao ponto O, em função do tempo, entre t=0 e Tf, é:")</f>
        <v>Os guindastes são fundamentais em canteiros de obras, no manejo de materiais 
pesados como vigas de aço. A figura ilustra uma sequência de estágios em que um
guindaste iça uma viga de aço que se encontra inicialmente no solo.
[ÍMAGEM CONTIDA NO ARQUIVO]
Na figura, o ponto O representa a projeção ortogonal do cabo de aço sobre o plano do chão e este se mantém na vertical durante todo o movimento de içamento da viga, 
que se inicia no tempo t = 0 (estágio 1) e finaliza no tempo Tf (estágio 3). Uma das 
extremidades da viga é içada verticalmente a partir do ponto O, enquanto que a outra 
extremidade desliza sobre o solo em direção ao ponto O. Considere que o cabo de aço 
utilizado pelo guindaste para içar a viga fique sempre na posição vertical. Na figura o 
ponto M representa o ponto médio do segmento que representa a viga.
O gráfico que descreve a distância do ponto M ao ponto O, em função do tempo, entre t=0 e Tf, é:</v>
      </c>
      <c r="M374" s="4" t="str">
        <f ca="1">IFERROR(__xludf.DUMMYFUNCTION("""COMPUTED_VALUE"""),"IMAGEM CONTIDA NO ARQUIVO")</f>
        <v>IMAGEM CONTIDA NO ARQUIVO</v>
      </c>
      <c r="N374" s="4" t="str">
        <f ca="1">IFERROR(__xludf.DUMMYFUNCTION("""COMPUTED_VALUE"""),"IMAGEM CONTIDA NO ARQUIVO")</f>
        <v>IMAGEM CONTIDA NO ARQUIVO</v>
      </c>
      <c r="O374" s="4" t="str">
        <f ca="1">IFERROR(__xludf.DUMMYFUNCTION("""COMPUTED_VALUE"""),"IMAGEM CONTIDA NO ARQUIVO")</f>
        <v>IMAGEM CONTIDA NO ARQUIVO</v>
      </c>
      <c r="P374" s="4" t="str">
        <f ca="1">IFERROR(__xludf.DUMMYFUNCTION("""COMPUTED_VALUE"""),"IMAGEM CONTIDA NO ARQUIVO")</f>
        <v>IMAGEM CONTIDA NO ARQUIVO</v>
      </c>
      <c r="Q374" s="4" t="str">
        <f ca="1">IFERROR(__xludf.DUMMYFUNCTION("""COMPUTED_VALUE"""),"IMAGEM CONTIDA NO ARQUIVO")</f>
        <v>IMAGEM CONTIDA NO ARQUIVO</v>
      </c>
      <c r="R374" s="4"/>
      <c r="S374" s="4"/>
      <c r="T374" s="4"/>
      <c r="U374" s="4"/>
      <c r="V374" s="4"/>
      <c r="W374" s="4"/>
      <c r="X374" s="4"/>
      <c r="Y374" s="4"/>
      <c r="Z374" s="4"/>
    </row>
    <row r="375" spans="1:26" x14ac:dyDescent="0.25">
      <c r="A375" s="3" t="str">
        <f ca="1">IFERROR(__xludf.DUMMYFUNCTION("""COMPUTED_VALUE"""),"https://drive.google.com/open?id=1eGlGeMcEVOIuNMb5N6s-THi0JSvMV9bP")</f>
        <v>https://drive.google.com/open?id=1eGlGeMcEVOIuNMb5N6s-THi0JSvMV9bP</v>
      </c>
      <c r="B375" s="4" t="str">
        <f ca="1">IFERROR(__xludf.DUMMYFUNCTION("""COMPUTED_VALUE"""),"Enem")</f>
        <v>Enem</v>
      </c>
      <c r="C375" s="4">
        <f ca="1">IFERROR(__xludf.DUMMYFUNCTION("""COMPUTED_VALUE"""),2018)</f>
        <v>2018</v>
      </c>
      <c r="D375" s="4" t="str">
        <f ca="1">IFERROR(__xludf.DUMMYFUNCTION("""COMPUTED_VALUE"""),"Matemática")</f>
        <v>Matemática</v>
      </c>
      <c r="E375" s="4" t="str">
        <f ca="1">IFERROR(__xludf.DUMMYFUNCTION("""COMPUTED_VALUE"""),"Matemática")</f>
        <v>Matemática</v>
      </c>
      <c r="F375" s="4" t="str">
        <f ca="1">IFERROR(__xludf.DUMMYFUNCTION("""COMPUTED_VALUE"""),"Aritmética e Algebra")</f>
        <v>Aritmética e Algebra</v>
      </c>
      <c r="G375" s="4" t="str">
        <f ca="1">IFERROR(__xludf.DUMMYFUNCTION("""COMPUTED_VALUE"""),"Geometria")</f>
        <v>Geometria</v>
      </c>
      <c r="H375" s="4"/>
      <c r="I375" s="4" t="str">
        <f ca="1">IFERROR(__xludf.DUMMYFUNCTION("""COMPUTED_VALUE"""),"Amarelo")</f>
        <v>Amarelo</v>
      </c>
      <c r="J375" s="4">
        <f ca="1">IFERROR(__xludf.DUMMYFUNCTION("""COMPUTED_VALUE"""),175)</f>
        <v>175</v>
      </c>
      <c r="K375" s="4" t="str">
        <f ca="1">IFERROR(__xludf.DUMMYFUNCTION("""COMPUTED_VALUE"""),"A")</f>
        <v>A</v>
      </c>
      <c r="L375" s="4" t="str">
        <f ca="1">IFERROR(__xludf.DUMMYFUNCTION("""COMPUTED_VALUE"""),"A inclinação de uma rampa é calculada da seguinte maneira: para cada metro 
medido na horizontal, mede-se x centímetros na vertical. Diz-se, nesse caso, que a 
rampa tem inclinação de x%, como no exemplo da figura:
[ÍMAGEM CONTIDA NO ARQUIVO]
A figura apr"&amp;"esenta um projeto de uma rampa de acesso a uma garagem residencial
cuja base, situada 2 metros abaixo do nível da rua, tem 8 metros de comprimento.
[IMAGEM CONTIDA NO ARQUIVO]
Depois de projetada a rampa, o responsável pela obra foi informado de que as 
n"&amp;"ormas técnicas do município onde ela está localizada exigem que a inclinação máxima 
de uma rampa de acesso a uma garagem residencial seja de 20%.
Se a rampa projetada tiver inclinação superior a 20%, o nível da garagem deverá ser 
alterado para diminuir "&amp;"o percentual de inclinação, mantendo o comprimento da base da 
rampa.
Para atender às normas técnicas do município, o nível da garagem deverá ser:")</f>
        <v>A inclinação de uma rampa é calculada da seguinte maneira: para cada metro 
medido na horizontal, mede-se x centímetros na vertical. Diz-se, nesse caso, que a 
rampa tem inclinação de x%, como no exemplo da figura:
[ÍMAGEM CONTIDA NO ARQUIVO]
A figura apresenta um projeto de uma rampa de acesso a uma garagem residencial
cuja base, situada 2 metros abaixo do nível da rua, tem 8 metros de comprimento.
[IMAGEM CONTIDA NO ARQUIVO]
Depois de projetada a rampa, o responsável pela obra foi informado de que as 
normas técnicas do município onde ela está localizada exigem que a inclinação máxima 
de uma rampa de acesso a uma garagem residencial seja de 20%.
Se a rampa projetada tiver inclinação superior a 20%, o nível da garagem deverá ser 
alterado para diminuir o percentual de inclinação, mantendo o comprimento da base da 
rampa.
Para atender às normas técnicas do município, o nível da garagem deverá ser:</v>
      </c>
      <c r="M375" s="4" t="str">
        <f ca="1">IFERROR(__xludf.DUMMYFUNCTION("""COMPUTED_VALUE"""),"elevado em 40 cm")</f>
        <v>elevado em 40 cm</v>
      </c>
      <c r="N375" s="4" t="str">
        <f ca="1">IFERROR(__xludf.DUMMYFUNCTION("""COMPUTED_VALUE"""),"elevado em 50 cm")</f>
        <v>elevado em 50 cm</v>
      </c>
      <c r="O375" s="4" t="str">
        <f ca="1">IFERROR(__xludf.DUMMYFUNCTION("""COMPUTED_VALUE"""),"mantido no mesmo nível")</f>
        <v>mantido no mesmo nível</v>
      </c>
      <c r="P375" s="4" t="str">
        <f ca="1">IFERROR(__xludf.DUMMYFUNCTION("""COMPUTED_VALUE"""),"rebaixado em 40 cm")</f>
        <v>rebaixado em 40 cm</v>
      </c>
      <c r="Q375" s="4" t="str">
        <f ca="1">IFERROR(__xludf.DUMMYFUNCTION("""COMPUTED_VALUE"""),"rebaixado em 50 cm")</f>
        <v>rebaixado em 50 cm</v>
      </c>
      <c r="R375" s="4"/>
      <c r="S375" s="4"/>
      <c r="T375" s="4"/>
      <c r="U375" s="4"/>
      <c r="V375" s="4"/>
      <c r="W375" s="4"/>
      <c r="X375" s="4"/>
      <c r="Y375" s="4"/>
      <c r="Z375" s="4"/>
    </row>
    <row r="376" spans="1:26" x14ac:dyDescent="0.25">
      <c r="A376" s="3" t="str">
        <f ca="1">IFERROR(__xludf.DUMMYFUNCTION("""COMPUTED_VALUE"""),"https://drive.google.com/open?id=1od6jRZh-jGUr_Cth9ugcTpG1EU6ttBps")</f>
        <v>https://drive.google.com/open?id=1od6jRZh-jGUr_Cth9ugcTpG1EU6ttBps</v>
      </c>
      <c r="B376" s="4" t="str">
        <f ca="1">IFERROR(__xludf.DUMMYFUNCTION("""COMPUTED_VALUE"""),"Enem")</f>
        <v>Enem</v>
      </c>
      <c r="C376" s="4">
        <f ca="1">IFERROR(__xludf.DUMMYFUNCTION("""COMPUTED_VALUE"""),2018)</f>
        <v>2018</v>
      </c>
      <c r="D376" s="4" t="str">
        <f ca="1">IFERROR(__xludf.DUMMYFUNCTION("""COMPUTED_VALUE"""),"Matemática")</f>
        <v>Matemática</v>
      </c>
      <c r="E376" s="4" t="str">
        <f ca="1">IFERROR(__xludf.DUMMYFUNCTION("""COMPUTED_VALUE"""),"Matemática")</f>
        <v>Matemática</v>
      </c>
      <c r="F376" s="4" t="str">
        <f ca="1">IFERROR(__xludf.DUMMYFUNCTION("""COMPUTED_VALUE"""),"Aritmética e Algebra")</f>
        <v>Aritmética e Algebra</v>
      </c>
      <c r="G376" s="4"/>
      <c r="H376" s="4"/>
      <c r="I376" s="4" t="str">
        <f ca="1">IFERROR(__xludf.DUMMYFUNCTION("""COMPUTED_VALUE"""),"Amarelo")</f>
        <v>Amarelo</v>
      </c>
      <c r="J376" s="4">
        <f ca="1">IFERROR(__xludf.DUMMYFUNCTION("""COMPUTED_VALUE"""),176)</f>
        <v>176</v>
      </c>
      <c r="K376" s="4" t="str">
        <f ca="1">IFERROR(__xludf.DUMMYFUNCTION("""COMPUTED_VALUE"""),"E")</f>
        <v>E</v>
      </c>
      <c r="L376" s="4" t="str">
        <f ca="1">IFERROR(__xludf.DUMMYFUNCTION("""COMPUTED_VALUE"""),"Para ganhar um prêmio, uma pessoa deverá retirar, sucessivamente e sem 
reposição, duas bolas pretas de uma mesma urna.
Inicialmente, as quantidades e cores das bolas são como descritas a seguir:
.  Urna A – Possui três bolas brancas, duas bolas pretas e "&amp;"uma bola verde;
.  Urna B – Possui seis bolas brancas, três bolas pretas e uma bola verde;
.  Urna C – Possui duas bolas pretas e duas bolas verdes;
.  Urna D – Possui três bolas brancas e três bolas pretas.
A pessoa deve escolher uma entre as cinco opçõe"&amp;"s apresentadas:
.  Opção 1 – Retirar, aleatoriamente, duas bolas da urna A;
.  Opção 2 – Retirar, aleatoriamente, duas bolas da urna B;
.  Opção 3 – Passar, aleatoriamente, uma bola da urna C para a urna A; após isso, 
retirar, aleatoriamente, duas bolas "&amp;"da urna A;
.  Opção 4 – Passar, aleatoriamente, uma bola da urna D para a urna C; após isso, 
retirar, aleatoriamente, duas bolas da urna C;
.  Opção 5 – Passar, aleatoriamente, uma bola da urna C para a urna D; após isso, 
retirar, aleatoriamente, duas b"&amp;"olas da urna D.
Com o objetivo de obter a maior probabilidade possível de ganhar o prêmio, a pessoa 
deve escolher a opção:
")</f>
        <v xml:space="preserve">Para ganhar um prêmio, uma pessoa deverá retirar, sucessivamente e sem 
reposição, duas bolas pretas de uma mesma urna.
Inicialmente, as quantidades e cores das bolas são como descritas a seguir:
.  Urna A – Possui três bolas brancas, duas bolas pretas e uma bola verde;
.  Urna B – Possui seis bolas brancas, três bolas pretas e uma bola verde;
.  Urna C – Possui duas bolas pretas e duas bolas verdes;
.  Urna D – Possui três bolas brancas e três bolas pretas.
A pessoa deve escolher uma entre as cinco opções apresentadas:
.  Opção 1 – Retirar, aleatoriamente, duas bolas da urna A;
.  Opção 2 – Retirar, aleatoriamente, duas bolas da urna B;
.  Opção 3 – Passar, aleatoriamente, uma bola da urna C para a urna A; após isso, 
retirar, aleatoriamente, duas bolas da urna A;
.  Opção 4 – Passar, aleatoriamente, uma bola da urna D para a urna C; após isso, 
retirar, aleatoriamente, duas bolas da urna C;
.  Opção 5 – Passar, aleatoriamente, uma bola da urna C para a urna D; após isso, 
retirar, aleatoriamente, duas bolas da urna D.
Com o objetivo de obter a maior probabilidade possível de ganhar o prêmio, a pessoa 
deve escolher a opção:
</v>
      </c>
      <c r="M376" s="4" t="str">
        <f ca="1">IFERROR(__xludf.DUMMYFUNCTION("""COMPUTED_VALUE"""),"1")</f>
        <v>1</v>
      </c>
      <c r="N376" s="4" t="str">
        <f ca="1">IFERROR(__xludf.DUMMYFUNCTION("""COMPUTED_VALUE"""),"2")</f>
        <v>2</v>
      </c>
      <c r="O376" s="4" t="str">
        <f ca="1">IFERROR(__xludf.DUMMYFUNCTION("""COMPUTED_VALUE"""),"3")</f>
        <v>3</v>
      </c>
      <c r="P376" s="4" t="str">
        <f ca="1">IFERROR(__xludf.DUMMYFUNCTION("""COMPUTED_VALUE"""),"4")</f>
        <v>4</v>
      </c>
      <c r="Q376" s="4" t="str">
        <f ca="1">IFERROR(__xludf.DUMMYFUNCTION("""COMPUTED_VALUE"""),"5")</f>
        <v>5</v>
      </c>
      <c r="R376" s="4"/>
      <c r="S376" s="4"/>
      <c r="T376" s="4"/>
      <c r="U376" s="4"/>
      <c r="V376" s="4"/>
      <c r="W376" s="4"/>
      <c r="X376" s="4"/>
      <c r="Y376" s="4"/>
      <c r="Z376" s="4"/>
    </row>
    <row r="377" spans="1:26" x14ac:dyDescent="0.25">
      <c r="A377" s="3" t="str">
        <f ca="1">IFERROR(__xludf.DUMMYFUNCTION("""COMPUTED_VALUE"""),"https://drive.google.com/open?id=1Ib-qr538UtJCFys82f_u3JVO9Uamkdl6")</f>
        <v>https://drive.google.com/open?id=1Ib-qr538UtJCFys82f_u3JVO9Uamkdl6</v>
      </c>
      <c r="B377" s="4" t="str">
        <f ca="1">IFERROR(__xludf.DUMMYFUNCTION("""COMPUTED_VALUE"""),"Enem")</f>
        <v>Enem</v>
      </c>
      <c r="C377" s="4">
        <f ca="1">IFERROR(__xludf.DUMMYFUNCTION("""COMPUTED_VALUE"""),2018)</f>
        <v>2018</v>
      </c>
      <c r="D377" s="4" t="str">
        <f ca="1">IFERROR(__xludf.DUMMYFUNCTION("""COMPUTED_VALUE"""),"Matemática")</f>
        <v>Matemática</v>
      </c>
      <c r="E377" s="4" t="str">
        <f ca="1">IFERROR(__xludf.DUMMYFUNCTION("""COMPUTED_VALUE"""),"Matemática")</f>
        <v>Matemática</v>
      </c>
      <c r="F377" s="4" t="str">
        <f ca="1">IFERROR(__xludf.DUMMYFUNCTION("""COMPUTED_VALUE"""),"Geometria")</f>
        <v>Geometria</v>
      </c>
      <c r="G377" s="4" t="str">
        <f ca="1">IFERROR(__xludf.DUMMYFUNCTION("""COMPUTED_VALUE"""),"Aritmética e Algebra")</f>
        <v>Aritmética e Algebra</v>
      </c>
      <c r="H377" s="4"/>
      <c r="I377" s="4" t="str">
        <f ca="1">IFERROR(__xludf.DUMMYFUNCTION("""COMPUTED_VALUE"""),"Amarelo")</f>
        <v>Amarelo</v>
      </c>
      <c r="J377" s="4">
        <f ca="1">IFERROR(__xludf.DUMMYFUNCTION("""COMPUTED_VALUE"""),177)</f>
        <v>177</v>
      </c>
      <c r="K377" s="4" t="str">
        <f ca="1">IFERROR(__xludf.DUMMYFUNCTION("""COMPUTED_VALUE"""),"B")</f>
        <v>B</v>
      </c>
      <c r="L377" s="4" t="str">
        <f ca="1">IFERROR(__xludf.DUMMYFUNCTION("""COMPUTED_VALUE"""),"A Ecofont possui design baseado na velha fonte Vera Sans. Porém, ela tem um 
diferencial: pequenos buraquinhos circulares congruentes, e em todo o seu corpo, 
presentes em cada símbolo. Esses furos proporcionam um gasto de tinta menor na hora 
da impressã"&amp;"o.
[IMAGEM CONTIDA NO ARQUIVO]
Suponha que a palavra ECO esteja escrita nessa fonte, com tamanho 192, e que seja composta por letras formadas por quadrados de lados x com furos circulares de raio r= x/3.
Para que a área a ser pintada seja reduzida a 1/16 "&amp;"da área inicial, pretende-se reduzir o tamanho da fonte. Sabe-se que, ao alterar o tamanho da fonte, o tamanho da letra é alterado na mesma proporção.
Nessas condições, o tamanho adequado da fonte será:")</f>
        <v>A Ecofont possui design baseado na velha fonte Vera Sans. Porém, ela tem um 
diferencial: pequenos buraquinhos circulares congruentes, e em todo o seu corpo, 
presentes em cada símbolo. Esses furos proporcionam um gasto de tinta menor na hora 
da impressão.
[IMAGEM CONTIDA NO ARQUIVO]
Suponha que a palavra ECO esteja escrita nessa fonte, com tamanho 192, e que seja composta por letras formadas por quadrados de lados x com furos circulares de raio r= x/3.
Para que a área a ser pintada seja reduzida a 1/16 da área inicial, pretende-se reduzir o tamanho da fonte. Sabe-se que, ao alterar o tamanho da fonte, o tamanho da letra é alterado na mesma proporção.
Nessas condições, o tamanho adequado da fonte será:</v>
      </c>
      <c r="M377" s="4" t="str">
        <f ca="1">IFERROR(__xludf.DUMMYFUNCTION("""COMPUTED_VALUE"""),"64")</f>
        <v>64</v>
      </c>
      <c r="N377" s="4" t="str">
        <f ca="1">IFERROR(__xludf.DUMMYFUNCTION("""COMPUTED_VALUE"""),"48")</f>
        <v>48</v>
      </c>
      <c r="O377" s="4" t="str">
        <f ca="1">IFERROR(__xludf.DUMMYFUNCTION("""COMPUTED_VALUE"""),"24")</f>
        <v>24</v>
      </c>
      <c r="P377" s="4" t="str">
        <f ca="1">IFERROR(__xludf.DUMMYFUNCTION("""COMPUTED_VALUE"""),"21")</f>
        <v>21</v>
      </c>
      <c r="Q377" s="4" t="str">
        <f ca="1">IFERROR(__xludf.DUMMYFUNCTION("""COMPUTED_VALUE"""),"12")</f>
        <v>12</v>
      </c>
      <c r="R377" s="4"/>
      <c r="S377" s="4"/>
      <c r="T377" s="4"/>
      <c r="U377" s="4"/>
      <c r="V377" s="4"/>
      <c r="W377" s="4"/>
      <c r="X377" s="4"/>
      <c r="Y377" s="4"/>
      <c r="Z377" s="4"/>
    </row>
    <row r="378" spans="1:26" x14ac:dyDescent="0.25">
      <c r="A378" s="3" t="str">
        <f ca="1">IFERROR(__xludf.DUMMYFUNCTION("""COMPUTED_VALUE"""),"https://drive.google.com/open?id=1WaXfY_-dU4DSmNJd9dnThS4vKful44j5")</f>
        <v>https://drive.google.com/open?id=1WaXfY_-dU4DSmNJd9dnThS4vKful44j5</v>
      </c>
      <c r="B378" s="4" t="str">
        <f ca="1">IFERROR(__xludf.DUMMYFUNCTION("""COMPUTED_VALUE"""),"Enem")</f>
        <v>Enem</v>
      </c>
      <c r="C378" s="4">
        <f ca="1">IFERROR(__xludf.DUMMYFUNCTION("""COMPUTED_VALUE"""),2018)</f>
        <v>2018</v>
      </c>
      <c r="D378" s="4" t="str">
        <f ca="1">IFERROR(__xludf.DUMMYFUNCTION("""COMPUTED_VALUE"""),"Matemática")</f>
        <v>Matemática</v>
      </c>
      <c r="E378" s="4" t="str">
        <f ca="1">IFERROR(__xludf.DUMMYFUNCTION("""COMPUTED_VALUE"""),"Matemática")</f>
        <v>Matemática</v>
      </c>
      <c r="F378" s="4" t="str">
        <f ca="1">IFERROR(__xludf.DUMMYFUNCTION("""COMPUTED_VALUE"""),"Aritmética e Algebra")</f>
        <v>Aritmética e Algebra</v>
      </c>
      <c r="G378" s="4"/>
      <c r="H378" s="4"/>
      <c r="I378" s="4" t="str">
        <f ca="1">IFERROR(__xludf.DUMMYFUNCTION("""COMPUTED_VALUE"""),"Amarelo")</f>
        <v>Amarelo</v>
      </c>
      <c r="J378" s="4">
        <f ca="1">IFERROR(__xludf.DUMMYFUNCTION("""COMPUTED_VALUE"""),178)</f>
        <v>178</v>
      </c>
      <c r="K378" s="4" t="str">
        <f ca="1">IFERROR(__xludf.DUMMYFUNCTION("""COMPUTED_VALUE"""),"B")</f>
        <v>B</v>
      </c>
      <c r="L378" s="4" t="str">
        <f ca="1">IFERROR(__xludf.DUMMYFUNCTION("""COMPUTED_VALUE"""),"Para criar um logotipo, um profissional da área de design gráfico deseja construi-lo
utilizando o conjunto de pontos do plano na forma de um triângulo, exatamente como 
mostra a imagem.
[IMAGEM CONTIDA NO ARQUIVO]
Para construir tal imagem utilizando uma "&amp;"ferramenta gráfica, será necessário escrever algebricamente o conjunto que representa os pontos desse gráfico.
Esse conjunto é dado pelos pares ordenados (x;y) E NXN, tais que:")</f>
        <v>Para criar um logotipo, um profissional da área de design gráfico deseja construi-lo
utilizando o conjunto de pontos do plano na forma de um triângulo, exatamente como 
mostra a imagem.
[IMAGEM CONTIDA NO ARQUIVO]
Para construir tal imagem utilizando uma ferramenta gráfica, será necessário escrever algebricamente o conjunto que representa os pontos desse gráfico.
Esse conjunto é dado pelos pares ordenados (x;y) E NXN, tais que:</v>
      </c>
      <c r="M378" s="4" t="str">
        <f ca="1">IFERROR(__xludf.DUMMYFUNCTION("""COMPUTED_VALUE"""),"IMAGEM CONTIDA NO ARQUIVO")</f>
        <v>IMAGEM CONTIDA NO ARQUIVO</v>
      </c>
      <c r="N378" s="4" t="str">
        <f ca="1">IFERROR(__xludf.DUMMYFUNCTION("""COMPUTED_VALUE"""),"IMAGEM CONTIDA NO ARQUIVO")</f>
        <v>IMAGEM CONTIDA NO ARQUIVO</v>
      </c>
      <c r="O378" s="4" t="str">
        <f ca="1">IFERROR(__xludf.DUMMYFUNCTION("""COMPUTED_VALUE"""),"IMAGEM CONTIDA NO ARQUIVO")</f>
        <v>IMAGEM CONTIDA NO ARQUIVO</v>
      </c>
      <c r="P378" s="4" t="str">
        <f ca="1">IFERROR(__xludf.DUMMYFUNCTION("""COMPUTED_VALUE"""),"IMAGEM CONTIDA NO ARQUIVO")</f>
        <v>IMAGEM CONTIDA NO ARQUIVO</v>
      </c>
      <c r="Q378" s="4" t="str">
        <f ca="1">IFERROR(__xludf.DUMMYFUNCTION("""COMPUTED_VALUE"""),"IMAGEM CONTIDA NO ARQUIVO")</f>
        <v>IMAGEM CONTIDA NO ARQUIVO</v>
      </c>
      <c r="R378" s="4"/>
      <c r="S378" s="4"/>
      <c r="T378" s="4"/>
      <c r="U378" s="4"/>
      <c r="V378" s="4"/>
      <c r="W378" s="4"/>
      <c r="X378" s="4"/>
      <c r="Y378" s="4"/>
      <c r="Z378" s="4"/>
    </row>
    <row r="379" spans="1:26" x14ac:dyDescent="0.25">
      <c r="A379" s="3" t="str">
        <f ca="1">IFERROR(__xludf.DUMMYFUNCTION("""COMPUTED_VALUE"""),"https://drive.google.com/open?id=154DqWRke41bsLOrPiXAf1yxaNxH4iosm")</f>
        <v>https://drive.google.com/open?id=154DqWRke41bsLOrPiXAf1yxaNxH4iosm</v>
      </c>
      <c r="B379" s="4" t="str">
        <f ca="1">IFERROR(__xludf.DUMMYFUNCTION("""COMPUTED_VALUE"""),"Enem")</f>
        <v>Enem</v>
      </c>
      <c r="C379" s="4">
        <f ca="1">IFERROR(__xludf.DUMMYFUNCTION("""COMPUTED_VALUE"""),2018)</f>
        <v>2018</v>
      </c>
      <c r="D379" s="4" t="str">
        <f ca="1">IFERROR(__xludf.DUMMYFUNCTION("""COMPUTED_VALUE"""),"Matemática")</f>
        <v>Matemática</v>
      </c>
      <c r="E379" s="4" t="str">
        <f ca="1">IFERROR(__xludf.DUMMYFUNCTION("""COMPUTED_VALUE"""),"Matemática")</f>
        <v>Matemática</v>
      </c>
      <c r="F379" s="4" t="str">
        <f ca="1">IFERROR(__xludf.DUMMYFUNCTION("""COMPUTED_VALUE"""),"Geometria")</f>
        <v>Geometria</v>
      </c>
      <c r="G379" s="4"/>
      <c r="H379" s="4"/>
      <c r="I379" s="4" t="str">
        <f ca="1">IFERROR(__xludf.DUMMYFUNCTION("""COMPUTED_VALUE"""),"Amarelo")</f>
        <v>Amarelo</v>
      </c>
      <c r="J379" s="4">
        <f ca="1">IFERROR(__xludf.DUMMYFUNCTION("""COMPUTED_VALUE"""),179)</f>
        <v>179</v>
      </c>
      <c r="K379" s="4" t="str">
        <f ca="1">IFERROR(__xludf.DUMMYFUNCTION("""COMPUTED_VALUE"""),"D")</f>
        <v>D</v>
      </c>
      <c r="L379" s="4" t="str">
        <f ca="1">IFERROR(__xludf.DUMMYFUNCTION("""COMPUTED_VALUE"""),"A figura mostra uma praça circular que contém um  chafariz em seu centro e, em seu entorno, um passeio. Os círculos que definem a praça e o chafariz são concêntricos.
[IMAGEM CONTIDA NO ARQUIVO]
O passeio terá seu piso revestido com ladrilhos. Sem condiçõ"&amp;"es de calcular os raios, 
pois o chafariz está cheio, um engenheiro fez a seguinte medição: esticou uma trena 
tangente ao chafariz, medindo a distância entre dois pontos A e B, conforme a figura.
Com isso, obteve a medida do segmento de reta AB: 16m.
[IM"&amp;"AGEM CONTIDA NO ARQUIVO]
Dispondo apenas dessa medida, o engenheiro calculou corretamente a medida da 
área do passeio, em metro quadrado.
A medida encontrada pelo engenheiro foi:")</f>
        <v>A figura mostra uma praça circular que contém um  chafariz em seu centro e, em seu entorno, um passeio. Os círculos que definem a praça e o chafariz são concêntricos.
[IMAGEM CONTIDA NO ARQUIVO]
O passeio terá seu piso revestido com ladrilhos. Sem condições de calcular os raios, 
pois o chafariz está cheio, um engenheiro fez a seguinte medição: esticou uma trena 
tangente ao chafariz, medindo a distância entre dois pontos A e B, conforme a figura.
Com isso, obteve a medida do segmento de reta AB: 16m.
[IMAGEM CONTIDA NO ARQUIVO]
Dispondo apenas dessa medida, o engenheiro calculou corretamente a medida da 
área do passeio, em metro quadrado.
A medida encontrada pelo engenheiro foi:</v>
      </c>
      <c r="M379" s="4" t="str">
        <f ca="1">IFERROR(__xludf.DUMMYFUNCTION("""COMPUTED_VALUE"""),"4π")</f>
        <v>4π</v>
      </c>
      <c r="N379" s="4" t="str">
        <f ca="1">IFERROR(__xludf.DUMMYFUNCTION("""COMPUTED_VALUE"""),"8π")</f>
        <v>8π</v>
      </c>
      <c r="O379" s="4" t="str">
        <f ca="1">IFERROR(__xludf.DUMMYFUNCTION("""COMPUTED_VALUE"""),"48π")</f>
        <v>48π</v>
      </c>
      <c r="P379" s="4" t="str">
        <f ca="1">IFERROR(__xludf.DUMMYFUNCTION("""COMPUTED_VALUE"""),"64π")</f>
        <v>64π</v>
      </c>
      <c r="Q379" s="4" t="str">
        <f ca="1">IFERROR(__xludf.DUMMYFUNCTION("""COMPUTED_VALUE"""),"192π")</f>
        <v>192π</v>
      </c>
      <c r="R379" s="4"/>
      <c r="S379" s="4"/>
      <c r="T379" s="4"/>
      <c r="U379" s="4"/>
      <c r="V379" s="4"/>
      <c r="W379" s="4"/>
      <c r="X379" s="4"/>
      <c r="Y379" s="4"/>
      <c r="Z379" s="4"/>
    </row>
    <row r="380" spans="1:26" x14ac:dyDescent="0.25">
      <c r="A380" s="3" t="str">
        <f ca="1">IFERROR(__xludf.DUMMYFUNCTION("""COMPUTED_VALUE"""),"https://drive.google.com/open?id=16nxt-dSNmb56MldgaTl5pKQRr2emx-V6")</f>
        <v>https://drive.google.com/open?id=16nxt-dSNmb56MldgaTl5pKQRr2emx-V6</v>
      </c>
      <c r="B380" s="4" t="str">
        <f ca="1">IFERROR(__xludf.DUMMYFUNCTION("""COMPUTED_VALUE"""),"Enem")</f>
        <v>Enem</v>
      </c>
      <c r="C380" s="4">
        <f ca="1">IFERROR(__xludf.DUMMYFUNCTION("""COMPUTED_VALUE"""),2018)</f>
        <v>2018</v>
      </c>
      <c r="D380" s="4" t="str">
        <f ca="1">IFERROR(__xludf.DUMMYFUNCTION("""COMPUTED_VALUE"""),"Matemática")</f>
        <v>Matemática</v>
      </c>
      <c r="E380" s="4" t="str">
        <f ca="1">IFERROR(__xludf.DUMMYFUNCTION("""COMPUTED_VALUE"""),"Matemática")</f>
        <v>Matemática</v>
      </c>
      <c r="F380" s="4" t="str">
        <f ca="1">IFERROR(__xludf.DUMMYFUNCTION("""COMPUTED_VALUE"""),"Geometria")</f>
        <v>Geometria</v>
      </c>
      <c r="G380" s="4"/>
      <c r="H380" s="4"/>
      <c r="I380" s="4" t="str">
        <f ca="1">IFERROR(__xludf.DUMMYFUNCTION("""COMPUTED_VALUE"""),"Amarelo")</f>
        <v>Amarelo</v>
      </c>
      <c r="J380" s="4">
        <f ca="1">IFERROR(__xludf.DUMMYFUNCTION("""COMPUTED_VALUE"""),180)</f>
        <v>180</v>
      </c>
      <c r="K380" s="4" t="str">
        <f ca="1">IFERROR(__xludf.DUMMYFUNCTION("""COMPUTED_VALUE"""),"D")</f>
        <v>D</v>
      </c>
      <c r="L380" s="4" t="str">
        <f ca="1">IFERROR(__xludf.DUMMYFUNCTION("""COMPUTED_VALUE"""),"Um designer de jogos planeja um jogo que faz uso de um tabuleiro de dimensão 
n X n, com n ≥ 2, no qual cada jogador, na sua vez, coloca uma peça sobre uma 
das casas vazias do tabuleiro. Quando uma peça é posicionada, a região formada 
pelas casas que es"&amp;"tão na mesma linha ou coluna dessa peça é chamada de zona 
de combate dessa peça. Na figura está ilustrada a zona de combate de uma peça
colocada em uma das casas de um tabuleiro de dimensão 8 X 8.
[IMAGEM CONTIDA NO ARQUIVO]
O  tabuleiro deve ser dimensi"&amp;"onado de forma que a probabilidade de se posicionar a 
segunda peça aleatoriamente, seguindo a regra do jogo, e esta ficar sobre a zona de
combate da primeira, seja inferior a 1/5 .
A dimensão mínima que o designer deve adotar para esse tabuleiro é:")</f>
        <v>Um designer de jogos planeja um jogo que faz uso de um tabuleiro de dimensão 
n X n, com n ≥ 2, no qual cada jogador, na sua vez, coloca uma peça sobre uma 
das casas vazias do tabuleiro. Quando uma peça é posicionada, a região formada 
pelas casas que estão na mesma linha ou coluna dessa peça é chamada de zona 
de combate dessa peça. Na figura está ilustrada a zona de combate de uma peça
colocada em uma das casas de um tabuleiro de dimensão 8 X 8.
[IMAGEM CONTIDA NO ARQUIVO]
O  tabuleiro deve ser dimensionado de forma que a probabilidade de se posicionar a 
segunda peça aleatoriamente, seguindo a regra do jogo, e esta ficar sobre a zona de
combate da primeira, seja inferior a 1/5 .
A dimensão mínima que o designer deve adotar para esse tabuleiro é:</v>
      </c>
      <c r="M380" s="4" t="str">
        <f ca="1">IFERROR(__xludf.DUMMYFUNCTION("""COMPUTED_VALUE"""),"4X4")</f>
        <v>4X4</v>
      </c>
      <c r="N380" s="4" t="str">
        <f ca="1">IFERROR(__xludf.DUMMYFUNCTION("""COMPUTED_VALUE"""),"6X6")</f>
        <v>6X6</v>
      </c>
      <c r="O380" s="4" t="str">
        <f ca="1">IFERROR(__xludf.DUMMYFUNCTION("""COMPUTED_VALUE"""),"9X9")</f>
        <v>9X9</v>
      </c>
      <c r="P380" s="4" t="str">
        <f ca="1">IFERROR(__xludf.DUMMYFUNCTION("""COMPUTED_VALUE"""),"10X10")</f>
        <v>10X10</v>
      </c>
      <c r="Q380" s="4" t="str">
        <f ca="1">IFERROR(__xludf.DUMMYFUNCTION("""COMPUTED_VALUE"""),"11X11")</f>
        <v>11X11</v>
      </c>
      <c r="R380" s="4"/>
      <c r="S380" s="4"/>
      <c r="T380" s="4"/>
      <c r="U380" s="4"/>
      <c r="V380" s="4"/>
      <c r="W380" s="4"/>
      <c r="X380" s="4"/>
      <c r="Y380" s="4"/>
      <c r="Z380" s="4"/>
    </row>
    <row r="381" spans="1:26" x14ac:dyDescent="0.25">
      <c r="A381" s="3" t="str">
        <f ca="1">IFERROR(__xludf.DUMMYFUNCTION("""COMPUTED_VALUE"""),"https://drive.google.com/open?id=1VnG78ozuCj8g_4woShmSClQBWOjTOPf6")</f>
        <v>https://drive.google.com/open?id=1VnG78ozuCj8g_4woShmSClQBWOjTOPf6</v>
      </c>
      <c r="B381" s="4" t="str">
        <f ca="1">IFERROR(__xludf.DUMMYFUNCTION("""COMPUTED_VALUE"""),"Enem")</f>
        <v>Enem</v>
      </c>
      <c r="C381" s="4">
        <f ca="1">IFERROR(__xludf.DUMMYFUNCTION("""COMPUTED_VALUE"""),2018)</f>
        <v>2018</v>
      </c>
      <c r="D381" s="4" t="str">
        <f ca="1">IFERROR(__xludf.DUMMYFUNCTION("""COMPUTED_VALUE"""),"Ciências da Natureza")</f>
        <v>Ciências da Natureza</v>
      </c>
      <c r="E381" s="4" t="str">
        <f ca="1">IFERROR(__xludf.DUMMYFUNCTION("""COMPUTED_VALUE"""),"Química")</f>
        <v>Química</v>
      </c>
      <c r="F381" s="4" t="str">
        <f ca="1">IFERROR(__xludf.DUMMYFUNCTION("""COMPUTED_VALUE"""),"Físico-Química")</f>
        <v>Físico-Química</v>
      </c>
      <c r="G381" s="4"/>
      <c r="H381" s="4"/>
      <c r="I381" s="4" t="str">
        <f ca="1">IFERROR(__xludf.DUMMYFUNCTION("""COMPUTED_VALUE"""),"Amarelo")</f>
        <v>Amarelo</v>
      </c>
      <c r="J381" s="4">
        <f ca="1">IFERROR(__xludf.DUMMYFUNCTION("""COMPUTED_VALUE"""),108)</f>
        <v>108</v>
      </c>
      <c r="K381" s="4" t="str">
        <f ca="1">IFERROR(__xludf.DUMMYFUNCTION("""COMPUTED_VALUE"""),"A")</f>
        <v>A</v>
      </c>
      <c r="L381" s="4" t="str">
        <f ca="1">IFERROR(__xludf.DUMMYFUNCTION("""COMPUTED_VALUE"""),"Por meio de reações químicas que envolvem carboidratos, lipídeos e proteínas,
nossas células obtêm energia e produzem gás carbônico e água. A oxidação da glicose
no organismo humano libera energia, conforme ilustra a equação química, sendo que
aproximadam"&amp;"ente 40% dela é disponibilizada para atividade muscular.
[Reação contida no arquivo]
Considere as massas molares (em g/mol): H = 1; C = 12; O = 16.
LIMA, L. M.; FRAGA, C. A. M.; BARREIRO, E. J. Química na saúde. São Paulo: Sociedade Brasileira de Química,"&amp;" 2010 (adaptado).
Na oxidação de 1,0 grama de glicose, a energia obtida para atividade muscular, em quilojoule, é mais próxima de")</f>
        <v>Por meio de reações químicas que envolvem carboidratos, lipídeos e proteínas,
nossas células obtêm energia e produzem gás carbônico e água. A oxidação da glicose
no organismo humano libera energia, conforme ilustra a equação química, sendo que
aproximadamente 40% dela é disponibilizada para atividade muscular.
[Reação contida no arquivo]
Considere as massas molares (em g/mol): H = 1; C = 12; O = 16.
LIMA, L. M.; FRAGA, C. A. M.; BARREIRO, E. J. Química na saúde. São Paulo: Sociedade Brasileira de Química, 2010 (adaptado).
Na oxidação de 1,0 grama de glicose, a energia obtida para atividade muscular, em quilojoule, é mais próxima de</v>
      </c>
      <c r="M381" s="4" t="str">
        <f ca="1">IFERROR(__xludf.DUMMYFUNCTION("""COMPUTED_VALUE"""),"6,2.")</f>
        <v>6,2.</v>
      </c>
      <c r="N381" s="4" t="str">
        <f ca="1">IFERROR(__xludf.DUMMYFUNCTION("""COMPUTED_VALUE"""),"15,6.")</f>
        <v>15,6.</v>
      </c>
      <c r="O381" s="4" t="str">
        <f ca="1">IFERROR(__xludf.DUMMYFUNCTION("""COMPUTED_VALUE"""),"70,0.")</f>
        <v>70,0.</v>
      </c>
      <c r="P381" s="4" t="str">
        <f ca="1">IFERROR(__xludf.DUMMYFUNCTION("""COMPUTED_VALUE"""),"622,2.")</f>
        <v>622,2.</v>
      </c>
      <c r="Q381" s="4" t="str">
        <f ca="1">IFERROR(__xludf.DUMMYFUNCTION("""COMPUTED_VALUE"""),"1 120,0.")</f>
        <v>1 120,0.</v>
      </c>
      <c r="R381" s="4"/>
      <c r="S381" s="4"/>
      <c r="T381" s="4"/>
      <c r="U381" s="4"/>
      <c r="V381" s="4"/>
      <c r="W381" s="4"/>
      <c r="X381" s="4"/>
      <c r="Y381" s="4"/>
      <c r="Z381" s="4"/>
    </row>
    <row r="382" spans="1:26" x14ac:dyDescent="0.25">
      <c r="A382" s="3" t="str">
        <f ca="1">IFERROR(__xludf.DUMMYFUNCTION("""COMPUTED_VALUE"""),"https://drive.google.com/open?id=1SlvyGEix33ilaog6VvRFuk3AgXBR_Vim")</f>
        <v>https://drive.google.com/open?id=1SlvyGEix33ilaog6VvRFuk3AgXBR_Vim</v>
      </c>
      <c r="B382" s="4" t="str">
        <f ca="1">IFERROR(__xludf.DUMMYFUNCTION("""COMPUTED_VALUE"""),"Enem")</f>
        <v>Enem</v>
      </c>
      <c r="C382" s="4">
        <f ca="1">IFERROR(__xludf.DUMMYFUNCTION("""COMPUTED_VALUE"""),2018)</f>
        <v>2018</v>
      </c>
      <c r="D382" s="4" t="str">
        <f ca="1">IFERROR(__xludf.DUMMYFUNCTION("""COMPUTED_VALUE"""),"Ciências da Natureza")</f>
        <v>Ciências da Natureza</v>
      </c>
      <c r="E382" s="4" t="str">
        <f ca="1">IFERROR(__xludf.DUMMYFUNCTION("""COMPUTED_VALUE"""),"Química")</f>
        <v>Química</v>
      </c>
      <c r="F382" s="4" t="str">
        <f ca="1">IFERROR(__xludf.DUMMYFUNCTION("""COMPUTED_VALUE"""),"Físico-Química")</f>
        <v>Físico-Química</v>
      </c>
      <c r="G382" s="4"/>
      <c r="H382" s="4"/>
      <c r="I382" s="4" t="str">
        <f ca="1">IFERROR(__xludf.DUMMYFUNCTION("""COMPUTED_VALUE"""),"Amarelo")</f>
        <v>Amarelo</v>
      </c>
      <c r="J382" s="4">
        <f ca="1">IFERROR(__xludf.DUMMYFUNCTION("""COMPUTED_VALUE"""),113)</f>
        <v>113</v>
      </c>
      <c r="K382" s="4" t="str">
        <f ca="1">IFERROR(__xludf.DUMMYFUNCTION("""COMPUTED_VALUE"""),"B")</f>
        <v>B</v>
      </c>
      <c r="L382" s="4" t="str">
        <f ca="1">IFERROR(__xludf.DUMMYFUNCTION("""COMPUTED_VALUE"""),"Células solares à base de TiO2 sensibilizadas por corantes (S) são promissoras e poderão vir a substituir as células de silício. Nessas células, o corante adsorvido sobre o TiO2 é responsável por absorver a energia luminosa (hv), e o corante excitado (S*)"&amp;" é capaz de transferir elétrons para o TiO2. Um esquema dessa célula e os processos envolvidos estão ilustrados na figura. A conversão de energia solar em elétrica ocorre por meio da sequência de reações apresentadas.
[Figura contida no arquivo]
LONGO, C."&amp;"; DE PAOLI, M.-A. Dye-Sensitized Solar Cells: A Successful Combination of Materials. Journal of the Brazilian Chemical Society, n. 6, 2003 (adaptado).
A reação 3 é fundamental para o contínuo funcionamento da célula solar, pois")</f>
        <v>Células solares à base de TiO2 sensibilizadas por corantes (S) são promissoras e poderão vir a substituir as células de silício. Nessas células, o corante adsorvido sobre o TiO2 é responsável por absorver a energia luminosa (hv), e o corante excitado (S*) é capaz de transferir elétrons para o TiO2. Um esquema dessa célula e os processos envolvidos estão ilustrados na figura. A conversão de energia solar em elétrica ocorre por meio da sequência de reações apresentadas.
[Figura contida no arquivo]
LONGO, C.; DE PAOLI, M.-A. Dye-Sensitized Solar Cells: A Successful Combination of Materials. Journal of the Brazilian Chemical Society, n. 6, 2003 (adaptado).
A reação 3 é fundamental para o contínuo funcionamento da célula solar, pois</v>
      </c>
      <c r="M382" s="4" t="str">
        <f ca="1">IFERROR(__xludf.DUMMYFUNCTION("""COMPUTED_VALUE"""),"reduz íons I- a I3-.")</f>
        <v>reduz íons I- a I3-.</v>
      </c>
      <c r="N382" s="4" t="str">
        <f ca="1">IFERROR(__xludf.DUMMYFUNCTION("""COMPUTED_VALUE"""),"regenera o corante.")</f>
        <v>regenera o corante.</v>
      </c>
      <c r="O382" s="4" t="str">
        <f ca="1">IFERROR(__xludf.DUMMYFUNCTION("""COMPUTED_VALUE"""),"garante que a reação 4 ocorra.")</f>
        <v>garante que a reação 4 ocorra.</v>
      </c>
      <c r="P382" s="4" t="str">
        <f ca="1">IFERROR(__xludf.DUMMYFUNCTION("""COMPUTED_VALUE"""),"promove a oxidação do corante.")</f>
        <v>promove a oxidação do corante.</v>
      </c>
      <c r="Q382" s="4" t="str">
        <f ca="1">IFERROR(__xludf.DUMMYFUNCTION("""COMPUTED_VALUE"""),"transfere elétrons para o eletrodo de TiO2.")</f>
        <v>transfere elétrons para o eletrodo de TiO2.</v>
      </c>
      <c r="R382" s="4"/>
      <c r="S382" s="4"/>
      <c r="T382" s="4"/>
      <c r="U382" s="4"/>
      <c r="V382" s="4"/>
      <c r="W382" s="4"/>
      <c r="X382" s="4"/>
      <c r="Y382" s="4"/>
      <c r="Z382" s="4"/>
    </row>
    <row r="383" spans="1:26" x14ac:dyDescent="0.25">
      <c r="A383" s="3" t="str">
        <f ca="1">IFERROR(__xludf.DUMMYFUNCTION("""COMPUTED_VALUE"""),"https://drive.google.com/open?id=1JrWgrWhS6eKUTvrGXedQtsNMz6b4eX8d")</f>
        <v>https://drive.google.com/open?id=1JrWgrWhS6eKUTvrGXedQtsNMz6b4eX8d</v>
      </c>
      <c r="B383" s="4" t="str">
        <f ca="1">IFERROR(__xludf.DUMMYFUNCTION("""COMPUTED_VALUE"""),"Enem")</f>
        <v>Enem</v>
      </c>
      <c r="C383" s="4">
        <f ca="1">IFERROR(__xludf.DUMMYFUNCTION("""COMPUTED_VALUE"""),2018)</f>
        <v>2018</v>
      </c>
      <c r="D383" s="4" t="str">
        <f ca="1">IFERROR(__xludf.DUMMYFUNCTION("""COMPUTED_VALUE"""),"Ciências da Natureza")</f>
        <v>Ciências da Natureza</v>
      </c>
      <c r="E383" s="4" t="str">
        <f ca="1">IFERROR(__xludf.DUMMYFUNCTION("""COMPUTED_VALUE"""),"Química")</f>
        <v>Química</v>
      </c>
      <c r="F383" s="4" t="str">
        <f ca="1">IFERROR(__xludf.DUMMYFUNCTION("""COMPUTED_VALUE"""),"Físico-Química")</f>
        <v>Físico-Química</v>
      </c>
      <c r="G383" s="4"/>
      <c r="H383" s="4"/>
      <c r="I383" s="4" t="str">
        <f ca="1">IFERROR(__xludf.DUMMYFUNCTION("""COMPUTED_VALUE"""),"Amarelo")</f>
        <v>Amarelo</v>
      </c>
      <c r="J383" s="4">
        <f ca="1">IFERROR(__xludf.DUMMYFUNCTION("""COMPUTED_VALUE"""),116)</f>
        <v>116</v>
      </c>
      <c r="K383" s="4" t="str">
        <f ca="1">IFERROR(__xludf.DUMMYFUNCTION("""COMPUTED_VALUE"""),"C")</f>
        <v>C</v>
      </c>
      <c r="L383" s="4" t="str">
        <f ca="1">IFERROR(__xludf.DUMMYFUNCTION("""COMPUTED_VALUE"""),"O sulfeto de mercúrio(II) foi usado como pigmento vermelho para pinturas de quadros e murais. Esse pigmento, conhecido como vermilion, escurece com o passar dos anos, fenômeno cuja origem é alvo de pesquisas. Aventou-se a hipótese de que o vermilion seja "&amp;"decomposto sob a ação da luz, produzindo uma fina camada de mercúrio metálico na superfície. Essa reação seria catalisada por íon cloreto presente na umidade do ar.
WOGAN, T. Mercury's Dark Influence on Art. Disponível em: www.chemistryworld.com. Acesso e"&amp;"m: 26 abr. 2018 (adaptado).
Segundo a hipótese proposta, o íon cloreto atua na decomposição fotoquímica do vermilion")</f>
        <v>O sulfeto de mercúrio(II) foi usado como pigmento vermelho para pinturas de quadros e murais. Esse pigmento, conhecido como vermilion, escurece com o passar dos anos, fenômeno cuja origem é alvo de pesquisas. Aventou-se a hipótese de que o vermilion seja decomposto sob a ação da luz, produzindo uma fina camada de mercúrio metálico na superfície. Essa reação seria catalisada por íon cloreto presente na umidade do ar.
WOGAN, T. Mercury's Dark Influence on Art. Disponível em: www.chemistryworld.com. Acesso em: 26 abr. 2018 (adaptado).
Segundo a hipótese proposta, o íon cloreto atua na decomposição fotoquímica do vermilion</v>
      </c>
      <c r="M383" s="4" t="str">
        <f ca="1">IFERROR(__xludf.DUMMYFUNCTION("""COMPUTED_VALUE"""),"reagindo como agente oxidante.")</f>
        <v>reagindo como agente oxidante.</v>
      </c>
      <c r="N383" s="4" t="str">
        <f ca="1">IFERROR(__xludf.DUMMYFUNCTION("""COMPUTED_VALUE"""),"deslocando o equilíbrio químico.")</f>
        <v>deslocando o equilíbrio químico.</v>
      </c>
      <c r="O383" s="4" t="str">
        <f ca="1">IFERROR(__xludf.DUMMYFUNCTION("""COMPUTED_VALUE"""),"diminuindo a energia de ativação.")</f>
        <v>diminuindo a energia de ativação.</v>
      </c>
      <c r="P383" s="4" t="str">
        <f ca="1">IFERROR(__xludf.DUMMYFUNCTION("""COMPUTED_VALUE"""),"precipitando cloreto de mercúrio.")</f>
        <v>precipitando cloreto de mercúrio.</v>
      </c>
      <c r="Q383" s="4" t="str">
        <f ca="1">IFERROR(__xludf.DUMMYFUNCTION("""COMPUTED_VALUE"""),"absorvendo a energia da luz visível.")</f>
        <v>absorvendo a energia da luz visível.</v>
      </c>
      <c r="R383" s="4"/>
      <c r="S383" s="4"/>
      <c r="T383" s="4"/>
      <c r="U383" s="4"/>
      <c r="V383" s="4"/>
      <c r="W383" s="4"/>
      <c r="X383" s="4"/>
      <c r="Y383" s="4"/>
      <c r="Z383" s="4"/>
    </row>
    <row r="384" spans="1:26" x14ac:dyDescent="0.25">
      <c r="A384" s="3" t="str">
        <f ca="1">IFERROR(__xludf.DUMMYFUNCTION("""COMPUTED_VALUE"""),"https://drive.google.com/open?id=1P1QzKRenSYIg3PeIqDvX90E6RbH4RARw")</f>
        <v>https://drive.google.com/open?id=1P1QzKRenSYIg3PeIqDvX90E6RbH4RARw</v>
      </c>
      <c r="B384" s="4" t="str">
        <f ca="1">IFERROR(__xludf.DUMMYFUNCTION("""COMPUTED_VALUE"""),"Enem")</f>
        <v>Enem</v>
      </c>
      <c r="C384" s="4">
        <f ca="1">IFERROR(__xludf.DUMMYFUNCTION("""COMPUTED_VALUE"""),2018)</f>
        <v>2018</v>
      </c>
      <c r="D384" s="4" t="str">
        <f ca="1">IFERROR(__xludf.DUMMYFUNCTION("""COMPUTED_VALUE"""),"Ciências da Natureza")</f>
        <v>Ciências da Natureza</v>
      </c>
      <c r="E384" s="4" t="str">
        <f ca="1">IFERROR(__xludf.DUMMYFUNCTION("""COMPUTED_VALUE"""),"Química")</f>
        <v>Química</v>
      </c>
      <c r="F384" s="4" t="str">
        <f ca="1">IFERROR(__xludf.DUMMYFUNCTION("""COMPUTED_VALUE"""),"Físico-Química")</f>
        <v>Físico-Química</v>
      </c>
      <c r="G384" s="4"/>
      <c r="H384" s="4"/>
      <c r="I384" s="4" t="str">
        <f ca="1">IFERROR(__xludf.DUMMYFUNCTION("""COMPUTED_VALUE"""),"Amarelo")</f>
        <v>Amarelo</v>
      </c>
      <c r="J384" s="4">
        <f ca="1">IFERROR(__xludf.DUMMYFUNCTION("""COMPUTED_VALUE"""),122)</f>
        <v>122</v>
      </c>
      <c r="K384" s="4" t="str">
        <f ca="1">IFERROR(__xludf.DUMMYFUNCTION("""COMPUTED_VALUE"""),"B")</f>
        <v>B</v>
      </c>
      <c r="L384" s="4" t="str">
        <f ca="1">IFERROR(__xludf.DUMMYFUNCTION("""COMPUTED_VALUE"""),"Alguns materiais sólidos são compostos por átomos que interagem entre si formando ligações que podem ser covalentes, iônicas ou metálicas. A figura apresenta a energia potencial de ligação em função da distância interatômica em um sólido cristalino. Anali"&amp;"sando essa figura, observa-se que, na temperatura de zero Kelvin, a distância de equilíbrio da ligação entre os átomos (R0) corresponde ao valor mínimo de energia potencial. Acima dessa temperatura, a energia térmica fornecida aos átomos aumenta sua
energ"&amp;"ia cinética e faz com que eles oscilem em torno de uma posição de equilíbrio média (círculos cheios), que é diferente para cada temperatura. A distância de ligação pode variar sobre toda a extensão das linhas horizontais, identificadas com o valor da temp"&amp;"eratura, de T1 a T4 (temperaturas crescentes).
[Figura contida no arquivo].
O deslocamento observado na distância média revela o fenômeno da")</f>
        <v>Alguns materiais sólidos são compostos por átomos que interagem entre si formando ligações que podem ser covalentes, iônicas ou metálicas. A figura apresenta a energia potencial de ligação em função da distância interatômica em um sólido cristalino. Analisando essa figura, observa-se que, na temperatura de zero Kelvin, a distância de equilíbrio da ligação entre os átomos (R0) corresponde ao valor mínimo de energia potencial. Acima dessa temperatura, a energia térmica fornecida aos átomos aumenta sua
energia cinética e faz com que eles oscilem em torno de uma posição de equilíbrio média (círculos cheios), que é diferente para cada temperatura. A distância de ligação pode variar sobre toda a extensão das linhas horizontais, identificadas com o valor da temperatura, de T1 a T4 (temperaturas crescentes).
[Figura contida no arquivo].
O deslocamento observado na distância média revela o fenômeno da</v>
      </c>
      <c r="M384" s="4" t="str">
        <f ca="1">IFERROR(__xludf.DUMMYFUNCTION("""COMPUTED_VALUE"""),"ionização.")</f>
        <v>ionização.</v>
      </c>
      <c r="N384" s="4" t="str">
        <f ca="1">IFERROR(__xludf.DUMMYFUNCTION("""COMPUTED_VALUE"""),"dilatação.")</f>
        <v>dilatação.</v>
      </c>
      <c r="O384" s="4" t="str">
        <f ca="1">IFERROR(__xludf.DUMMYFUNCTION("""COMPUTED_VALUE"""),"dissociação.")</f>
        <v>dissociação.</v>
      </c>
      <c r="P384" s="4" t="str">
        <f ca="1">IFERROR(__xludf.DUMMYFUNCTION("""COMPUTED_VALUE"""),"quebra de ligações covalentes.")</f>
        <v>quebra de ligações covalentes.</v>
      </c>
      <c r="Q384" s="4" t="str">
        <f ca="1">IFERROR(__xludf.DUMMYFUNCTION("""COMPUTED_VALUE"""),"formação de ligações metálicas.")</f>
        <v>formação de ligações metálicas.</v>
      </c>
      <c r="R384" s="4"/>
      <c r="S384" s="4"/>
      <c r="T384" s="4"/>
      <c r="U384" s="4"/>
      <c r="V384" s="4"/>
      <c r="W384" s="4"/>
      <c r="X384" s="4"/>
      <c r="Y384" s="4"/>
      <c r="Z384" s="4"/>
    </row>
    <row r="385" spans="1:26" x14ac:dyDescent="0.25">
      <c r="A385" s="3" t="str">
        <f ca="1">IFERROR(__xludf.DUMMYFUNCTION("""COMPUTED_VALUE"""),"https://drive.google.com/open?id=197Rz0kSFEwNxXtNgE8EOV2TudcCMsJG6")</f>
        <v>https://drive.google.com/open?id=197Rz0kSFEwNxXtNgE8EOV2TudcCMsJG6</v>
      </c>
      <c r="B385" s="4" t="str">
        <f ca="1">IFERROR(__xludf.DUMMYFUNCTION("""COMPUTED_VALUE"""),"Enem")</f>
        <v>Enem</v>
      </c>
      <c r="C385" s="4">
        <f ca="1">IFERROR(__xludf.DUMMYFUNCTION("""COMPUTED_VALUE"""),2018)</f>
        <v>2018</v>
      </c>
      <c r="D385" s="4" t="str">
        <f ca="1">IFERROR(__xludf.DUMMYFUNCTION("""COMPUTED_VALUE"""),"Ciências da Natureza")</f>
        <v>Ciências da Natureza</v>
      </c>
      <c r="E385" s="4" t="str">
        <f ca="1">IFERROR(__xludf.DUMMYFUNCTION("""COMPUTED_VALUE"""),"Química")</f>
        <v>Química</v>
      </c>
      <c r="F385" s="4" t="str">
        <f ca="1">IFERROR(__xludf.DUMMYFUNCTION("""COMPUTED_VALUE"""),"Físico-Química")</f>
        <v>Físico-Química</v>
      </c>
      <c r="G385" s="4"/>
      <c r="H385" s="4"/>
      <c r="I385" s="4" t="str">
        <f ca="1">IFERROR(__xludf.DUMMYFUNCTION("""COMPUTED_VALUE"""),"Amarelo")</f>
        <v>Amarelo</v>
      </c>
      <c r="J385" s="4">
        <f ca="1">IFERROR(__xludf.DUMMYFUNCTION("""COMPUTED_VALUE"""),125)</f>
        <v>125</v>
      </c>
      <c r="K385" s="4" t="str">
        <f ca="1">IFERROR(__xludf.DUMMYFUNCTION("""COMPUTED_VALUE"""),"D")</f>
        <v>D</v>
      </c>
      <c r="L385" s="4" t="str">
        <f ca="1">IFERROR(__xludf.DUMMYFUNCTION("""COMPUTED_VALUE"""),"Em 1938 o arqueólogo alemão Wilhelm Konig, diretor do Museu Nacional do Iraque, encontrou um objeto estranho na coleção da instituição, que poderia ter sido usado como uma pilha, similar às utilizadas em nossos dias. A suposta pilha, datada de cerca de 20"&amp;"0 a.C., é constituída de um pequeno vaso de barro (argila) no qual foram instalados um tubo de cobre, uma barra de ferro (aparentemente corroída por ácido) e uma tampa de betume (asfalto), conforme ilustrado. Considere os potenciais-padrão de redução:
E° "&amp;"(Fe2+|Fe) = -0,44 V; E° (H+|H2) = 0,00 V; e E° (Cu2+|Cu) = +0,34 V.
[Figura contida no arquivo]. 
As pilhas de Bagdá e a acupuntura. Disponível em: http://jornalggn.com.br. Acesso em: 14 dez. 2014 (adaptado).
Nessa suposta pilha, qual dos componentes atua"&amp;"ria como cátodo?")</f>
        <v>Em 1938 o arqueólogo alemão Wilhelm Konig, diretor do Museu Nacional do Iraque, encontrou um objeto estranho na coleção da instituição, que poderia ter sido usado como uma pilha, similar às utilizadas em nossos dias. A suposta pilha, datada de cerca de 200 a.C., é constituída de um pequeno vaso de barro (argila) no qual foram instalados um tubo de cobre, uma barra de ferro (aparentemente corroída por ácido) e uma tampa de betume (asfalto), conforme ilustrado. Considere os potenciais-padrão de redução:
E° (Fe2+|Fe) = -0,44 V; E° (H+|H2) = 0,00 V; e E° (Cu2+|Cu) = +0,34 V.
[Figura contida no arquivo]. 
As pilhas de Bagdá e a acupuntura. Disponível em: http://jornalggn.com.br. Acesso em: 14 dez. 2014 (adaptado).
Nessa suposta pilha, qual dos componentes atuaria como cátodo?</v>
      </c>
      <c r="M385" s="4" t="str">
        <f ca="1">IFERROR(__xludf.DUMMYFUNCTION("""COMPUTED_VALUE"""),"A tampa de betume.")</f>
        <v>A tampa de betume.</v>
      </c>
      <c r="N385" s="4" t="str">
        <f ca="1">IFERROR(__xludf.DUMMYFUNCTION("""COMPUTED_VALUE"""),"O vestígio de ácido.")</f>
        <v>O vestígio de ácido.</v>
      </c>
      <c r="O385" s="4" t="str">
        <f ca="1">IFERROR(__xludf.DUMMYFUNCTION("""COMPUTED_VALUE"""),"A barra de ferro.")</f>
        <v>A barra de ferro.</v>
      </c>
      <c r="P385" s="4" t="str">
        <f ca="1">IFERROR(__xludf.DUMMYFUNCTION("""COMPUTED_VALUE"""),"O tubo de cobre.")</f>
        <v>O tubo de cobre.</v>
      </c>
      <c r="Q385" s="4" t="str">
        <f ca="1">IFERROR(__xludf.DUMMYFUNCTION("""COMPUTED_VALUE"""),"O vaso de barro.")</f>
        <v>O vaso de barro.</v>
      </c>
      <c r="R385" s="4"/>
      <c r="S385" s="4"/>
      <c r="T385" s="4"/>
      <c r="U385" s="4"/>
      <c r="V385" s="4"/>
      <c r="W385" s="4"/>
      <c r="X385" s="4"/>
      <c r="Y385" s="4"/>
      <c r="Z385" s="4"/>
    </row>
    <row r="386" spans="1:26" x14ac:dyDescent="0.25">
      <c r="A386" s="3" t="str">
        <f ca="1">IFERROR(__xludf.DUMMYFUNCTION("""COMPUTED_VALUE"""),"https://drive.google.com/open?id=1BOIjHZuvFq5LL91K343gwsILmeJg8OJo")</f>
        <v>https://drive.google.com/open?id=1BOIjHZuvFq5LL91K343gwsILmeJg8OJo</v>
      </c>
      <c r="B386" s="4" t="str">
        <f ca="1">IFERROR(__xludf.DUMMYFUNCTION("""COMPUTED_VALUE"""),"Enem")</f>
        <v>Enem</v>
      </c>
      <c r="C386" s="4">
        <f ca="1">IFERROR(__xludf.DUMMYFUNCTION("""COMPUTED_VALUE"""),2018)</f>
        <v>2018</v>
      </c>
      <c r="D386" s="4" t="str">
        <f ca="1">IFERROR(__xludf.DUMMYFUNCTION("""COMPUTED_VALUE"""),"Ciências da Natureza")</f>
        <v>Ciências da Natureza</v>
      </c>
      <c r="E386" s="4" t="str">
        <f ca="1">IFERROR(__xludf.DUMMYFUNCTION("""COMPUTED_VALUE"""),"Química")</f>
        <v>Química</v>
      </c>
      <c r="F386" s="4" t="str">
        <f ca="1">IFERROR(__xludf.DUMMYFUNCTION("""COMPUTED_VALUE"""),"Físico-Química")</f>
        <v>Físico-Química</v>
      </c>
      <c r="G386" s="4"/>
      <c r="H386" s="4"/>
      <c r="I386" s="4" t="str">
        <f ca="1">IFERROR(__xludf.DUMMYFUNCTION("""COMPUTED_VALUE"""),"Amarelo")</f>
        <v>Amarelo</v>
      </c>
      <c r="J386" s="4">
        <f ca="1">IFERROR(__xludf.DUMMYFUNCTION("""COMPUTED_VALUE"""),132)</f>
        <v>132</v>
      </c>
      <c r="K386" s="4" t="str">
        <f ca="1">IFERROR(__xludf.DUMMYFUNCTION("""COMPUTED_VALUE"""),"E")</f>
        <v>E</v>
      </c>
      <c r="L386" s="4" t="str">
        <f ca="1">IFERROR(__xludf.DUMMYFUNCTION("""COMPUTED_VALUE"""),"O manejo adequado do solo possibilita a manutenção de sua fertilidade à medida que as trocas de nutrientes entre matéria orgânica, água, solo e o ar são mantidas para garantir a produção. Algumas espécies iônicas de alumínio são tóxicas, não só para a pla"&amp;"nta, mas para muitos organismos como as bactérias responsáveis pelas transformações no ciclo do nitrogênio. O alumínio danifica as membranas das células das raízes e restringe a expansão de suas paredes, com isso, a planta não cresce adequadamente. Para p"&amp;"romover benefícios para a produção agrícola, é recomendada a
remediação do solo utilizando calcário (CaCO3).
BRADY, N. C.; WEIL, R. R. Elementos da natureza e propriedades dos solos.
Porto Alegre: Bookman, 2013 (adaptado).
Essa remediação promove no solo "&amp;"o(a)")</f>
        <v>O manejo adequado do solo possibilita a manutenção de sua fertilidade à medida que as trocas de nutrientes entre matéria orgânica, água, solo e o ar são mantidas para garantir a produção. Algumas espécies iônicas de alumínio são tóxicas, não só para a planta, mas para muitos organismos como as bactérias responsáveis pelas transformações no ciclo do nitrogênio. O alumínio danifica as membranas das células das raízes e restringe a expansão de suas paredes, com isso, a planta não cresce adequadamente. Para promover benefícios para a produção agrícola, é recomendada a
remediação do solo utilizando calcário (CaCO3).
BRADY, N. C.; WEIL, R. R. Elementos da natureza e propriedades dos solos.
Porto Alegre: Bookman, 2013 (adaptado).
Essa remediação promove no solo o(a)</v>
      </c>
      <c r="M386" s="4" t="str">
        <f ca="1">IFERROR(__xludf.DUMMYFUNCTION("""COMPUTED_VALUE"""),"diminuição do pH, deixando-o fértil.")</f>
        <v>diminuição do pH, deixando-o fértil.</v>
      </c>
      <c r="N386" s="4" t="str">
        <f ca="1">IFERROR(__xludf.DUMMYFUNCTION("""COMPUTED_VALUE"""),"solubilização do alumínio, ocorrendo sua lixiviação pela chuva.")</f>
        <v>solubilização do alumínio, ocorrendo sua lixiviação pela chuva.</v>
      </c>
      <c r="O386" s="4" t="str">
        <f ca="1">IFERROR(__xludf.DUMMYFUNCTION("""COMPUTED_VALUE"""),"interação do íon cálcio com o íon alumínio, produzindo uma liga metálica.")</f>
        <v>interação do íon cálcio com o íon alumínio, produzindo uma liga metálica.</v>
      </c>
      <c r="P386" s="4" t="str">
        <f ca="1">IFERROR(__xludf.DUMMYFUNCTION("""COMPUTED_VALUE"""),"reação do carbonato de cálcio com os íons alumínio, formando alumínio metálico.")</f>
        <v>reação do carbonato de cálcio com os íons alumínio, formando alumínio metálico.</v>
      </c>
      <c r="Q386" s="4" t="str">
        <f ca="1">IFERROR(__xludf.DUMMYFUNCTION("""COMPUTED_VALUE"""),"aumento da sua alcalinidade, tornando os íons alumínio menos disponíveis.")</f>
        <v>aumento da sua alcalinidade, tornando os íons alumínio menos disponíveis.</v>
      </c>
      <c r="R386" s="4"/>
      <c r="S386" s="4"/>
      <c r="T386" s="4"/>
      <c r="U386" s="4"/>
      <c r="V386" s="4"/>
      <c r="W386" s="4"/>
      <c r="X386" s="4"/>
      <c r="Y386" s="4"/>
      <c r="Z386" s="4"/>
    </row>
    <row r="387" spans="1:26" x14ac:dyDescent="0.25">
      <c r="A387" s="3" t="str">
        <f ca="1">IFERROR(__xludf.DUMMYFUNCTION("""COMPUTED_VALUE"""),"https://drive.google.com/open?id=1KNPiXc53wzrK2UL2IZLkhwFM_VUxkLUf")</f>
        <v>https://drive.google.com/open?id=1KNPiXc53wzrK2UL2IZLkhwFM_VUxkLUf</v>
      </c>
      <c r="B387" s="4" t="str">
        <f ca="1">IFERROR(__xludf.DUMMYFUNCTION("""COMPUTED_VALUE"""),"Enem")</f>
        <v>Enem</v>
      </c>
      <c r="C387" s="4">
        <f ca="1">IFERROR(__xludf.DUMMYFUNCTION("""COMPUTED_VALUE"""),2018)</f>
        <v>2018</v>
      </c>
      <c r="D387" s="4" t="str">
        <f ca="1">IFERROR(__xludf.DUMMYFUNCTION("""COMPUTED_VALUE"""),"Ciências da Natureza")</f>
        <v>Ciências da Natureza</v>
      </c>
      <c r="E387" s="4" t="str">
        <f ca="1">IFERROR(__xludf.DUMMYFUNCTION("""COMPUTED_VALUE"""),"Química")</f>
        <v>Química</v>
      </c>
      <c r="F387" s="4" t="str">
        <f ca="1">IFERROR(__xludf.DUMMYFUNCTION("""COMPUTED_VALUE"""),"Química Geral")</f>
        <v>Química Geral</v>
      </c>
      <c r="G387" s="4"/>
      <c r="H387" s="4"/>
      <c r="I387" s="4" t="str">
        <f ca="1">IFERROR(__xludf.DUMMYFUNCTION("""COMPUTED_VALUE"""),"Amarelo")</f>
        <v>Amarelo</v>
      </c>
      <c r="J387" s="4">
        <f ca="1">IFERROR(__xludf.DUMMYFUNCTION("""COMPUTED_VALUE"""),94)</f>
        <v>94</v>
      </c>
      <c r="K387" s="4" t="str">
        <f ca="1">IFERROR(__xludf.DUMMYFUNCTION("""COMPUTED_VALUE"""),"C")</f>
        <v>C</v>
      </c>
      <c r="L387" s="4" t="str">
        <f ca="1">IFERROR(__xludf.DUMMYFUNCTION("""COMPUTED_VALUE"""),"A identificação de riscos de produtos perigosos para o transporte rodoviário é 
obrigatória e realizada por meio da sinalização composta por um painel de segurança, de cor alaranjada, e um rótulo de risco. As informações inseridas no painel de segurança e"&amp;" no rótulo de risco, conforme determina a legislação, permitem que se identifique o produto transportado e os perigos a ele associados.
A sinalização mostrada identifica uma substância que está sendo transportada em um caminhão. 
[Figura contida no arquiv"&amp;"o].
Os três algarismos da parte superior do painel indicam o “Número de risco”.
O número 268 indica tratar-se de um gás (2), tóxico (6) e corrosivo (8). Os quatro dígitos da parte inferior correspondem ao ""Número ONU"", que identifica o produto transport"&amp;"ado. 
BRASIL. Resolução n. 420, de 12/02/2004, da Agência Nacional de Transportes Terrestres (ANTT)/Ministério dos Transportes (adaptado).
ABNT. NB 7500: identificação para o transporte terrestre, manuseio, movimentação e armazenamento de produtos. Rio de"&amp;" Janeiro, 2004 (adaptado). 
Considerando a identificação apresenta no caminhão, o código 1005 corresponde à substância")</f>
        <v>A identificação de riscos de produtos perigosos para o transporte rodoviário é 
obrigatória e realizada por meio da sinalização composta por um painel de segurança, de cor alaranjada, e um rótulo de risco. As informações inseridas no painel de segurança e no rótulo de risco, conforme determina a legislação, permitem que se identifique o produto transportado e os perigos a ele associados.
A sinalização mostrada identifica uma substância que está sendo transportada em um caminhão. 
[Figura contida no arquivo].
Os três algarismos da parte superior do painel indicam o “Número de risco”.
O número 268 indica tratar-se de um gás (2), tóxico (6) e corrosivo (8). Os quatro dígitos da parte inferior correspondem ao "Número ONU", que identifica o produto transportado. 
BRASIL. Resolução n. 420, de 12/02/2004, da Agência Nacional de Transportes Terrestres (ANTT)/Ministério dos Transportes (adaptado).
ABNT. NB 7500: identificação para o transporte terrestre, manuseio, movimentação e armazenamento de produtos. Rio de Janeiro, 2004 (adaptado). 
Considerando a identificação apresenta no caminhão, o código 1005 corresponde à substância</v>
      </c>
      <c r="M387" s="4" t="str">
        <f ca="1">IFERROR(__xludf.DUMMYFUNCTION("""COMPUTED_VALUE"""),"eteno (C2H4).")</f>
        <v>eteno (C2H4).</v>
      </c>
      <c r="N387" s="4" t="str">
        <f ca="1">IFERROR(__xludf.DUMMYFUNCTION("""COMPUTED_VALUE"""),"nitrogênio (N2).")</f>
        <v>nitrogênio (N2).</v>
      </c>
      <c r="O387" s="4" t="str">
        <f ca="1">IFERROR(__xludf.DUMMYFUNCTION("""COMPUTED_VALUE"""),"amônia (NH3).")</f>
        <v>amônia (NH3).</v>
      </c>
      <c r="P387" s="4" t="str">
        <f ca="1">IFERROR(__xludf.DUMMYFUNCTION("""COMPUTED_VALUE"""),"propano (C3H8).")</f>
        <v>propano (C3H8).</v>
      </c>
      <c r="Q387" s="4" t="str">
        <f ca="1">IFERROR(__xludf.DUMMYFUNCTION("""COMPUTED_VALUE"""),"dióxido de carbono (CO2).")</f>
        <v>dióxido de carbono (CO2).</v>
      </c>
      <c r="R387" s="4"/>
      <c r="S387" s="4"/>
      <c r="T387" s="4"/>
      <c r="U387" s="4"/>
      <c r="V387" s="4"/>
      <c r="W387" s="4"/>
      <c r="X387" s="4"/>
      <c r="Y387" s="4"/>
      <c r="Z387" s="4"/>
    </row>
    <row r="388" spans="1:26" x14ac:dyDescent="0.25">
      <c r="A388" s="3" t="str">
        <f ca="1">IFERROR(__xludf.DUMMYFUNCTION("""COMPUTED_VALUE"""),"https://drive.google.com/open?id=1uCdK0GLasONHydiHFrltbdHLXBECRTgp")</f>
        <v>https://drive.google.com/open?id=1uCdK0GLasONHydiHFrltbdHLXBECRTgp</v>
      </c>
      <c r="B388" s="4" t="str">
        <f ca="1">IFERROR(__xludf.DUMMYFUNCTION("""COMPUTED_VALUE"""),"Enem")</f>
        <v>Enem</v>
      </c>
      <c r="C388" s="4">
        <f ca="1">IFERROR(__xludf.DUMMYFUNCTION("""COMPUTED_VALUE"""),2018)</f>
        <v>2018</v>
      </c>
      <c r="D388" s="4" t="str">
        <f ca="1">IFERROR(__xludf.DUMMYFUNCTION("""COMPUTED_VALUE"""),"Ciências da Natureza")</f>
        <v>Ciências da Natureza</v>
      </c>
      <c r="E388" s="4" t="str">
        <f ca="1">IFERROR(__xludf.DUMMYFUNCTION("""COMPUTED_VALUE"""),"Química")</f>
        <v>Química</v>
      </c>
      <c r="F388" s="4" t="str">
        <f ca="1">IFERROR(__xludf.DUMMYFUNCTION("""COMPUTED_VALUE"""),"Química Geral")</f>
        <v>Química Geral</v>
      </c>
      <c r="G388" s="4"/>
      <c r="H388" s="4"/>
      <c r="I388" s="4" t="str">
        <f ca="1">IFERROR(__xludf.DUMMYFUNCTION("""COMPUTED_VALUE"""),"Amarelo")</f>
        <v>Amarelo</v>
      </c>
      <c r="J388" s="4">
        <f ca="1">IFERROR(__xludf.DUMMYFUNCTION("""COMPUTED_VALUE"""),97)</f>
        <v>97</v>
      </c>
      <c r="K388" s="4" t="str">
        <f ca="1">IFERROR(__xludf.DUMMYFUNCTION("""COMPUTED_VALUE"""),"B")</f>
        <v>B</v>
      </c>
      <c r="L388" s="4" t="str">
        <f ca="1">IFERROR(__xludf.DUMMYFUNCTION("""COMPUTED_VALUE"""),"O grafeno é uma forma alotrópica do carbono constituído por uma folha planar (arranjo bidimensional) de átomos de carbono compactados e com a espessura de apenas um átomo. Sua estrutura é hexagonal, conforme a figura. 
[Figura contida no arquivo].
Nesse a"&amp;"rranjo, os átomos de carbono possuem hibridação")</f>
        <v>O grafeno é uma forma alotrópica do carbono constituído por uma folha planar (arranjo bidimensional) de átomos de carbono compactados e com a espessura de apenas um átomo. Sua estrutura é hexagonal, conforme a figura. 
[Figura contida no arquivo].
Nesse arranjo, os átomos de carbono possuem hibridação</v>
      </c>
      <c r="M388" s="4" t="str">
        <f ca="1">IFERROR(__xludf.DUMMYFUNCTION("""COMPUTED_VALUE"""),"sp de geometria linear.")</f>
        <v>sp de geometria linear.</v>
      </c>
      <c r="N388" s="4" t="str">
        <f ca="1">IFERROR(__xludf.DUMMYFUNCTION("""COMPUTED_VALUE"""),"sp2 de geometria trigonal planar.")</f>
        <v>sp2 de geometria trigonal planar.</v>
      </c>
      <c r="O388" s="4" t="str">
        <f ca="1">IFERROR(__xludf.DUMMYFUNCTION("""COMPUTED_VALUE"""),"sp3 alternados com carbonos com hibridação sp de geometria linear.")</f>
        <v>sp3 alternados com carbonos com hibridação sp de geometria linear.</v>
      </c>
      <c r="P388" s="4" t="str">
        <f ca="1">IFERROR(__xludf.DUMMYFUNCTION("""COMPUTED_VALUE"""),"sp3d de geometria planar.")</f>
        <v>sp3d de geometria planar.</v>
      </c>
      <c r="Q388" s="4" t="str">
        <f ca="1">IFERROR(__xludf.DUMMYFUNCTION("""COMPUTED_VALUE"""),"sp3d2 com geometria hexagonal planar.")</f>
        <v>sp3d2 com geometria hexagonal planar.</v>
      </c>
      <c r="R388" s="4"/>
      <c r="S388" s="4"/>
      <c r="T388" s="4"/>
      <c r="U388" s="4"/>
      <c r="V388" s="4"/>
      <c r="W388" s="4"/>
      <c r="X388" s="4"/>
      <c r="Y388" s="4"/>
      <c r="Z388" s="4"/>
    </row>
    <row r="389" spans="1:26" x14ac:dyDescent="0.25">
      <c r="A389" s="3" t="str">
        <f ca="1">IFERROR(__xludf.DUMMYFUNCTION("""COMPUTED_VALUE"""),"https://drive.google.com/open?id=1OEDYfS_F4Xr6YoMZFRkl5vnIsxzJDeME")</f>
        <v>https://drive.google.com/open?id=1OEDYfS_F4Xr6YoMZFRkl5vnIsxzJDeME</v>
      </c>
      <c r="B389" s="4" t="str">
        <f ca="1">IFERROR(__xludf.DUMMYFUNCTION("""COMPUTED_VALUE"""),"Enem")</f>
        <v>Enem</v>
      </c>
      <c r="C389" s="4">
        <f ca="1">IFERROR(__xludf.DUMMYFUNCTION("""COMPUTED_VALUE"""),2018)</f>
        <v>2018</v>
      </c>
      <c r="D389" s="4" t="str">
        <f ca="1">IFERROR(__xludf.DUMMYFUNCTION("""COMPUTED_VALUE"""),"Ciências da Natureza")</f>
        <v>Ciências da Natureza</v>
      </c>
      <c r="E389" s="4" t="str">
        <f ca="1">IFERROR(__xludf.DUMMYFUNCTION("""COMPUTED_VALUE"""),"Química")</f>
        <v>Química</v>
      </c>
      <c r="F389" s="4" t="str">
        <f ca="1">IFERROR(__xludf.DUMMYFUNCTION("""COMPUTED_VALUE"""),"Química Geral")</f>
        <v>Química Geral</v>
      </c>
      <c r="G389" s="4"/>
      <c r="H389" s="4"/>
      <c r="I389" s="4" t="str">
        <f ca="1">IFERROR(__xludf.DUMMYFUNCTION("""COMPUTED_VALUE"""),"Amarelo")</f>
        <v>Amarelo</v>
      </c>
      <c r="J389" s="4">
        <f ca="1">IFERROR(__xludf.DUMMYFUNCTION("""COMPUTED_VALUE"""),119)</f>
        <v>119</v>
      </c>
      <c r="K389" s="4" t="str">
        <f ca="1">IFERROR(__xludf.DUMMYFUNCTION("""COMPUTED_VALUE"""),"C")</f>
        <v>C</v>
      </c>
      <c r="L389" s="4" t="str">
        <f ca="1">IFERROR(__xludf.DUMMYFUNCTION("""COMPUTED_VALUE"""),"Na mitologia grega, Nióbia era a filha de Tântalo, dois personagens conhecidos pelo sofrimento. O elemento químico de número atômico (Z) igual a 41 tem propriedades químicas e físicas tão parecidas com as do elemento de número atômico 73 que chegaram a se"&amp;"r confundidos. Por isso, em homenagem a esses dois personagens da mitologia grega, foi conferindo a esses elementos os nomes de nióbio (Z = 41) e tântalo (Z = 73). Esses dois elementos químicos adquiriram grande importância econômica na metalurgia, na pro"&amp;"dução de supercondutores e em outras aplicações na indústria de
ponta, exatamente pelas propriedades químicas e físicas comuns aos dois.
KEAN, S. A colher que desaparece: e outras histórias reais de loucura, amor e morte a partir dos elementos químicos. R"&amp;"io de Janeiro: Zahar, 2011 (adaptado). 
A importância econômica e tecnológica desses elementos, pela similaridade de suas propriedades químicas e físicas, deve-se a")</f>
        <v>Na mitologia grega, Nióbia era a filha de Tântalo, dois personagens conhecidos pelo sofrimento. O elemento químico de número atômico (Z) igual a 41 tem propriedades químicas e físicas tão parecidas com as do elemento de número atômico 73 que chegaram a ser confundidos. Por isso, em homenagem a esses dois personagens da mitologia grega, foi conferindo a esses elementos os nomes de nióbio (Z = 41) e tântalo (Z = 73). Esses dois elementos químicos adquiriram grande importância econômica na metalurgia, na produção de supercondutores e em outras aplicações na indústria de
ponta, exatamente pelas propriedades químicas e físicas comuns aos dois.
KEAN, S. A colher que desaparece: e outras histórias reais de loucura, amor e morte a partir dos elementos químicos. Rio de Janeiro: Zahar, 2011 (adaptado). 
A importância econômica e tecnológica desses elementos, pela similaridade de suas propriedades químicas e físicas, deve-se a</v>
      </c>
      <c r="M389" s="4" t="str">
        <f ca="1">IFERROR(__xludf.DUMMYFUNCTION("""COMPUTED_VALUE"""),"terem elétrons no subnível f.")</f>
        <v>terem elétrons no subnível f.</v>
      </c>
      <c r="N389" s="4" t="str">
        <f ca="1">IFERROR(__xludf.DUMMYFUNCTION("""COMPUTED_VALUE"""),"serem elementos de transição interna.")</f>
        <v>serem elementos de transição interna.</v>
      </c>
      <c r="O389" s="4" t="str">
        <f ca="1">IFERROR(__xludf.DUMMYFUNCTION("""COMPUTED_VALUE"""),"pertencerem ao mesmo grupo na tabela periódica.")</f>
        <v>pertencerem ao mesmo grupo na tabela periódica.</v>
      </c>
      <c r="P389" s="4" t="str">
        <f ca="1">IFERROR(__xludf.DUMMYFUNCTION("""COMPUTED_VALUE"""),"terem seus elétrons mais externos nos níveis 4 e 5, respectivamente.")</f>
        <v>terem seus elétrons mais externos nos níveis 4 e 5, respectivamente.</v>
      </c>
      <c r="Q389" s="4" t="str">
        <f ca="1">IFERROR(__xludf.DUMMYFUNCTION("""COMPUTED_VALUE"""),"estarem localizados na família dos alcalinos terrosos e alcalinos, respectivamente.")</f>
        <v>estarem localizados na família dos alcalinos terrosos e alcalinos, respectivamente.</v>
      </c>
      <c r="R389" s="4"/>
      <c r="S389" s="4"/>
      <c r="T389" s="4"/>
      <c r="U389" s="4"/>
      <c r="V389" s="4"/>
      <c r="W389" s="4"/>
      <c r="X389" s="4"/>
      <c r="Y389" s="4"/>
      <c r="Z389" s="4"/>
    </row>
    <row r="390" spans="1:26" x14ac:dyDescent="0.25">
      <c r="A390" s="3" t="str">
        <f ca="1">IFERROR(__xludf.DUMMYFUNCTION("""COMPUTED_VALUE"""),"https://drive.google.com/open?id=1-3Shj3dw4r7tbiGrwU01WSrnVmCfywfd")</f>
        <v>https://drive.google.com/open?id=1-3Shj3dw4r7tbiGrwU01WSrnVmCfywfd</v>
      </c>
      <c r="B390" s="4" t="str">
        <f ca="1">IFERROR(__xludf.DUMMYFUNCTION("""COMPUTED_VALUE"""),"Enem")</f>
        <v>Enem</v>
      </c>
      <c r="C390" s="4">
        <f ca="1">IFERROR(__xludf.DUMMYFUNCTION("""COMPUTED_VALUE"""),2018)</f>
        <v>2018</v>
      </c>
      <c r="D390" s="4" t="str">
        <f ca="1">IFERROR(__xludf.DUMMYFUNCTION("""COMPUTED_VALUE"""),"Ciências da Natureza")</f>
        <v>Ciências da Natureza</v>
      </c>
      <c r="E390" s="4" t="str">
        <f ca="1">IFERROR(__xludf.DUMMYFUNCTION("""COMPUTED_VALUE"""),"Química")</f>
        <v>Química</v>
      </c>
      <c r="F390" s="4" t="str">
        <f ca="1">IFERROR(__xludf.DUMMYFUNCTION("""COMPUTED_VALUE"""),"Química Geral")</f>
        <v>Química Geral</v>
      </c>
      <c r="G390" s="4"/>
      <c r="H390" s="4"/>
      <c r="I390" s="4" t="str">
        <f ca="1">IFERROR(__xludf.DUMMYFUNCTION("""COMPUTED_VALUE"""),"Amarelo")</f>
        <v>Amarelo</v>
      </c>
      <c r="J390" s="4">
        <f ca="1">IFERROR(__xludf.DUMMYFUNCTION("""COMPUTED_VALUE"""),127)</f>
        <v>127</v>
      </c>
      <c r="K390" s="4" t="str">
        <f ca="1">IFERROR(__xludf.DUMMYFUNCTION("""COMPUTED_VALUE"""),"D")</f>
        <v>D</v>
      </c>
      <c r="L390" s="4" t="str">
        <f ca="1">IFERROR(__xludf.DUMMYFUNCTION("""COMPUTED_VALUE"""),"Usando um densímetro cuja menor divisão da escala, isto é, a diferença entre duas marcações consecutivas, é de 5,0 × 10^-2 g cm-3, um estudante realizou um teste de densidade: colocou este instrumento na água pura e observou que ele atingiu o repouso na p"&amp;"osição mostrada.
[Figura contida no arquivo]. 
Em dois outros recipientes A e B contendo 2 litros de água pura, em cada um, ele adicionou 100 g e 200 g de NaCl, respectivamente.
Quando o cloreto de sódio é adicionado à água pura ocorre sua dissociação
for"&amp;"mando os íons Na+ e Cl-. Considere que esses íons ocupam os espaços
intermoleculares na solução.
Nestes recipientes, a posição de equilíbrio do densímetro está representada em:")</f>
        <v>Usando um densímetro cuja menor divisão da escala, isto é, a diferença entre duas marcações consecutivas, é de 5,0 × 10^-2 g cm-3, um estudante realizou um teste de densidade: colocou este instrumento na água pura e observou que ele atingiu o repouso na posição mostrada.
[Figura contida no arquivo]. 
Em dois outros recipientes A e B contendo 2 litros de água pura, em cada um, ele adicionou 100 g e 200 g de NaCl, respectivamente.
Quando o cloreto de sódio é adicionado à água pura ocorre sua dissociação
formando os íons Na+ e Cl-. Considere que esses íons ocupam os espaços
intermoleculares na solução.
Nestes recipientes, a posição de equilíbrio do densímetro está representada em:</v>
      </c>
      <c r="M390" s="4" t="str">
        <f ca="1">IFERROR(__xludf.DUMMYFUNCTION("""COMPUTED_VALUE"""),"[Figura contida no arquivo]. ")</f>
        <v xml:space="preserve">[Figura contida no arquivo]. </v>
      </c>
      <c r="N390" s="4" t="str">
        <f ca="1">IFERROR(__xludf.DUMMYFUNCTION("""COMPUTED_VALUE"""),"[Figura contida no arquivo]. ")</f>
        <v xml:space="preserve">[Figura contida no arquivo]. </v>
      </c>
      <c r="O390" s="4" t="str">
        <f ca="1">IFERROR(__xludf.DUMMYFUNCTION("""COMPUTED_VALUE"""),"[Figura contida no arquivo]. ")</f>
        <v xml:space="preserve">[Figura contida no arquivo]. </v>
      </c>
      <c r="P390" s="4" t="str">
        <f ca="1">IFERROR(__xludf.DUMMYFUNCTION("""COMPUTED_VALUE"""),"[Figura contida no arquivo]. ")</f>
        <v xml:space="preserve">[Figura contida no arquivo]. </v>
      </c>
      <c r="Q390" s="4" t="str">
        <f ca="1">IFERROR(__xludf.DUMMYFUNCTION("""COMPUTED_VALUE"""),"[Figura contida no arquivo]. ")</f>
        <v xml:space="preserve">[Figura contida no arquivo]. </v>
      </c>
      <c r="R390" s="4"/>
      <c r="S390" s="4"/>
      <c r="T390" s="4"/>
      <c r="U390" s="4"/>
      <c r="V390" s="4"/>
      <c r="W390" s="4"/>
      <c r="X390" s="4"/>
      <c r="Y390" s="4"/>
      <c r="Z390" s="4"/>
    </row>
    <row r="391" spans="1:26" x14ac:dyDescent="0.25">
      <c r="A391" s="3" t="str">
        <f ca="1">IFERROR(__xludf.DUMMYFUNCTION("""COMPUTED_VALUE"""),"https://drive.google.com/open?id=1aGH0tkRPCs2mH4i4o4sZ8gkq4rle5sla")</f>
        <v>https://drive.google.com/open?id=1aGH0tkRPCs2mH4i4o4sZ8gkq4rle5sla</v>
      </c>
      <c r="B391" s="4" t="str">
        <f ca="1">IFERROR(__xludf.DUMMYFUNCTION("""COMPUTED_VALUE"""),"Enem")</f>
        <v>Enem</v>
      </c>
      <c r="C391" s="4">
        <f ca="1">IFERROR(__xludf.DUMMYFUNCTION("""COMPUTED_VALUE"""),2018)</f>
        <v>2018</v>
      </c>
      <c r="D391" s="4" t="str">
        <f ca="1">IFERROR(__xludf.DUMMYFUNCTION("""COMPUTED_VALUE"""),"Ciências da Natureza")</f>
        <v>Ciências da Natureza</v>
      </c>
      <c r="E391" s="4" t="str">
        <f ca="1">IFERROR(__xludf.DUMMYFUNCTION("""COMPUTED_VALUE"""),"Química")</f>
        <v>Química</v>
      </c>
      <c r="F391" s="4" t="str">
        <f ca="1">IFERROR(__xludf.DUMMYFUNCTION("""COMPUTED_VALUE"""),"Química Orgânica")</f>
        <v>Química Orgânica</v>
      </c>
      <c r="G391" s="4"/>
      <c r="H391" s="4"/>
      <c r="I391" s="4" t="str">
        <f ca="1">IFERROR(__xludf.DUMMYFUNCTION("""COMPUTED_VALUE"""),"Amarelo")</f>
        <v>Amarelo</v>
      </c>
      <c r="J391" s="4">
        <f ca="1">IFERROR(__xludf.DUMMYFUNCTION("""COMPUTED_VALUE"""),99)</f>
        <v>99</v>
      </c>
      <c r="K391" s="4" t="str">
        <f ca="1">IFERROR(__xludf.DUMMYFUNCTION("""COMPUTED_VALUE"""),"B")</f>
        <v>B</v>
      </c>
      <c r="L391" s="4" t="str">
        <f ca="1">IFERROR(__xludf.DUMMYFUNCTION("""COMPUTED_VALUE"""),"Pesquisas demonstram que nanodispositivos baseados em movimentos de
dimensões atômicas, induzidos por luz, poderão ter aplicações em tecnologias futuras, substituindo micromotores, sem a necessidade de componentes mecânicos. Exemplo de movimento molecular"&amp;" induzido pela luz pode ser observado pela flexão de uma lâmina delgada de silício, ligado a um polímero de azobenzeno e a um material suporte, em dois comprimentos de onda, conforme ilustrado na figura. Com a aplicação de luz ocorrem  reações reversíveis"&amp;" da cadeia do polímero, que promovem o movimento observado.
[Figura contida no arquivo]. 
TOMA, H. E. A nanotecnologia das moléculas. Química Nova na Escola,
n. 21, maio 2005 (adaptado).
O fenômeno de movimento molecular, promovido pela incidência de luz,"&amp;" decorre do(a)")</f>
        <v>Pesquisas demonstram que nanodispositivos baseados em movimentos de
dimensões atômicas, induzidos por luz, poderão ter aplicações em tecnologias futuras, substituindo micromotores, sem a necessidade de componentes mecânicos. Exemplo de movimento molecular induzido pela luz pode ser observado pela flexão de uma lâmina delgada de silício, ligado a um polímero de azobenzeno e a um material suporte, em dois comprimentos de onda, conforme ilustrado na figura. Com a aplicação de luz ocorrem  reações reversíveis da cadeia do polímero, que promovem o movimento observado.
[Figura contida no arquivo]. 
TOMA, H. E. A nanotecnologia das moléculas. Química Nova na Escola,
n. 21, maio 2005 (adaptado).
O fenômeno de movimento molecular, promovido pela incidência de luz, decorre do(a)</v>
      </c>
      <c r="M391" s="4" t="str">
        <f ca="1">IFERROR(__xludf.DUMMYFUNCTION("""COMPUTED_VALUE"""),"movimento vibracional dos átomos, que leva ao encurtamento e à relaxação das ligações.")</f>
        <v>movimento vibracional dos átomos, que leva ao encurtamento e à relaxação das ligações.</v>
      </c>
      <c r="N391" s="4" t="str">
        <f ca="1">IFERROR(__xludf.DUMMYFUNCTION("""COMPUTED_VALUE"""),"isomerização das ligações N=N, sendo a forma cis do polímero mais compacta que a trans.")</f>
        <v>isomerização das ligações N=N, sendo a forma cis do polímero mais compacta que a trans.</v>
      </c>
      <c r="O391" s="4" t="str">
        <f ca="1">IFERROR(__xludf.DUMMYFUNCTION("""COMPUTED_VALUE"""),"tautomerização das unidades monoméricas do polímero, que leva a um composto mais compacto.")</f>
        <v>tautomerização das unidades monoméricas do polímero, que leva a um composto mais compacto.</v>
      </c>
      <c r="P391" s="4" t="str">
        <f ca="1">IFERROR(__xludf.DUMMYFUNCTION("""COMPUTED_VALUE"""),"ressonância entre os elétrons pi do grupo azo e os do anel aromático que encurta as ligações duplas.")</f>
        <v>ressonância entre os elétrons pi do grupo azo e os do anel aromático que encurta as ligações duplas.</v>
      </c>
      <c r="Q391" s="4" t="str">
        <f ca="1">IFERROR(__xludf.DUMMYFUNCTION("""COMPUTED_VALUE"""),"variação conformacional das ligações N=N, que resulta em estruturas com diferentes áreas de superfície.")</f>
        <v>variação conformacional das ligações N=N, que resulta em estruturas com diferentes áreas de superfície.</v>
      </c>
      <c r="R391" s="4"/>
      <c r="S391" s="4"/>
      <c r="T391" s="4"/>
      <c r="U391" s="4"/>
      <c r="V391" s="4"/>
      <c r="W391" s="4"/>
      <c r="X391" s="4"/>
      <c r="Y391" s="4"/>
      <c r="Z391" s="4"/>
    </row>
    <row r="392" spans="1:26" x14ac:dyDescent="0.25">
      <c r="A392" s="3" t="str">
        <f ca="1">IFERROR(__xludf.DUMMYFUNCTION("""COMPUTED_VALUE"""),"https://drive.google.com/open?id=1Qy6QB4U3LERm3qDw697zXeUmaewdLjrd")</f>
        <v>https://drive.google.com/open?id=1Qy6QB4U3LERm3qDw697zXeUmaewdLjrd</v>
      </c>
      <c r="B392" s="4" t="str">
        <f ca="1">IFERROR(__xludf.DUMMYFUNCTION("""COMPUTED_VALUE"""),"Enem")</f>
        <v>Enem</v>
      </c>
      <c r="C392" s="4">
        <f ca="1">IFERROR(__xludf.DUMMYFUNCTION("""COMPUTED_VALUE"""),2018)</f>
        <v>2018</v>
      </c>
      <c r="D392" s="4" t="str">
        <f ca="1">IFERROR(__xludf.DUMMYFUNCTION("""COMPUTED_VALUE"""),"Ciências da Natureza")</f>
        <v>Ciências da Natureza</v>
      </c>
      <c r="E392" s="4" t="str">
        <f ca="1">IFERROR(__xludf.DUMMYFUNCTION("""COMPUTED_VALUE"""),"Química")</f>
        <v>Química</v>
      </c>
      <c r="F392" s="4" t="str">
        <f ca="1">IFERROR(__xludf.DUMMYFUNCTION("""COMPUTED_VALUE"""),"Química Orgânica")</f>
        <v>Química Orgânica</v>
      </c>
      <c r="G392" s="4"/>
      <c r="H392" s="4"/>
      <c r="I392" s="4" t="str">
        <f ca="1">IFERROR(__xludf.DUMMYFUNCTION("""COMPUTED_VALUE"""),"Amarelo")</f>
        <v>Amarelo</v>
      </c>
      <c r="J392" s="4">
        <f ca="1">IFERROR(__xludf.DUMMYFUNCTION("""COMPUTED_VALUE"""),101)</f>
        <v>101</v>
      </c>
      <c r="K392" s="4" t="str">
        <f ca="1">IFERROR(__xludf.DUMMYFUNCTION("""COMPUTED_VALUE"""),"A")</f>
        <v>A</v>
      </c>
      <c r="L392" s="4" t="str">
        <f ca="1">IFERROR(__xludf.DUMMYFUNCTION("""COMPUTED_VALUE"""),"As abelhas utilizam a sinalização química para distinguir a abelha-rainha de uma operária, sendo capazes de reconhecer diferenças entre moléculas. A rainha produz o sinalizador químico conhecido como ácido 9-hidroxidec-2-enoico, enquanto as abelhas-operár"&amp;"ias produzem ácido 10-hidroxidec-2-enoico. Nós podemos distinguir as abelhas-operárias e rainhas por sua aparência, mas, entre si, elas usam essa sinalização química para perceber a diferença. Pode-se dizer que veem por meio da química.
LE COUTEUR, P.; BU"&amp;"RRESON, J. Os botões de Napoleão: as 17 moléculas que mudaram a história. Rio de Janeiro: Jorge Zahar, 2006 (adaptado). 
As moléculas dos sinalizadores químicos produzidas pelas abelhas rainha e operária possuem diferença na")</f>
        <v>As abelhas utilizam a sinalização química para distinguir a abelha-rainha de uma operária, sendo capazes de reconhecer diferenças entre moléculas. A rainha produz o sinalizador químico conhecido como ácido 9-hidroxidec-2-enoico, enquanto as abelhas-operárias produzem ácido 10-hidroxidec-2-enoico. Nós podemos distinguir as abelhas-operárias e rainhas por sua aparência, mas, entre si, elas usam essa sinalização química para perceber a diferença. Pode-se dizer que veem por meio da química.
LE COUTEUR, P.; BURRESON, J. Os botões de Napoleão: as 17 moléculas que mudaram a história. Rio de Janeiro: Jorge Zahar, 2006 (adaptado). 
As moléculas dos sinalizadores químicos produzidas pelas abelhas rainha e operária possuem diferença na</v>
      </c>
      <c r="M392" s="4" t="str">
        <f ca="1">IFERROR(__xludf.DUMMYFUNCTION("""COMPUTED_VALUE"""),"fórmula estrutural.")</f>
        <v>fórmula estrutural.</v>
      </c>
      <c r="N392" s="4" t="str">
        <f ca="1">IFERROR(__xludf.DUMMYFUNCTION("""COMPUTED_VALUE"""),"fórmula molecular.")</f>
        <v>fórmula molecular.</v>
      </c>
      <c r="O392" s="4" t="str">
        <f ca="1">IFERROR(__xludf.DUMMYFUNCTION("""COMPUTED_VALUE"""),"identificação dos tipos de ligação. ")</f>
        <v xml:space="preserve">identificação dos tipos de ligação. </v>
      </c>
      <c r="P392" s="4" t="str">
        <f ca="1">IFERROR(__xludf.DUMMYFUNCTION("""COMPUTED_VALUE"""),"contagem do número de carbonos.")</f>
        <v>contagem do número de carbonos.</v>
      </c>
      <c r="Q392" s="4" t="str">
        <f ca="1">IFERROR(__xludf.DUMMYFUNCTION("""COMPUTED_VALUE"""),"identificação dos grupos funcionais. ")</f>
        <v xml:space="preserve">identificação dos grupos funcionais. </v>
      </c>
      <c r="R392" s="4"/>
      <c r="S392" s="4"/>
      <c r="T392" s="4"/>
      <c r="U392" s="4"/>
      <c r="V392" s="4"/>
      <c r="W392" s="4"/>
      <c r="X392" s="4"/>
      <c r="Y392" s="4"/>
      <c r="Z392" s="4"/>
    </row>
    <row r="393" spans="1:26" x14ac:dyDescent="0.25">
      <c r="A393" s="3" t="str">
        <f ca="1">IFERROR(__xludf.DUMMYFUNCTION("""COMPUTED_VALUE"""),"https://drive.google.com/open?id=1HMwdqmcNKVknGpgpwusX-wGAPZmi2jSa")</f>
        <v>https://drive.google.com/open?id=1HMwdqmcNKVknGpgpwusX-wGAPZmi2jSa</v>
      </c>
      <c r="B393" s="4" t="str">
        <f ca="1">IFERROR(__xludf.DUMMYFUNCTION("""COMPUTED_VALUE"""),"Enem")</f>
        <v>Enem</v>
      </c>
      <c r="C393" s="4">
        <f ca="1">IFERROR(__xludf.DUMMYFUNCTION("""COMPUTED_VALUE"""),2018)</f>
        <v>2018</v>
      </c>
      <c r="D393" s="4" t="str">
        <f ca="1">IFERROR(__xludf.DUMMYFUNCTION("""COMPUTED_VALUE"""),"Ciências da Natureza")</f>
        <v>Ciências da Natureza</v>
      </c>
      <c r="E393" s="4" t="str">
        <f ca="1">IFERROR(__xludf.DUMMYFUNCTION("""COMPUTED_VALUE"""),"Química")</f>
        <v>Química</v>
      </c>
      <c r="F393" s="4" t="str">
        <f ca="1">IFERROR(__xludf.DUMMYFUNCTION("""COMPUTED_VALUE"""),"Química Orgânica")</f>
        <v>Química Orgânica</v>
      </c>
      <c r="G393" s="4"/>
      <c r="H393" s="4"/>
      <c r="I393" s="4" t="str">
        <f ca="1">IFERROR(__xludf.DUMMYFUNCTION("""COMPUTED_VALUE"""),"Amarelo")</f>
        <v>Amarelo</v>
      </c>
      <c r="J393" s="4">
        <f ca="1">IFERROR(__xludf.DUMMYFUNCTION("""COMPUTED_VALUE"""),111)</f>
        <v>111</v>
      </c>
      <c r="K393" s="4" t="str">
        <f ca="1">IFERROR(__xludf.DUMMYFUNCTION("""COMPUTED_VALUE"""),"D")</f>
        <v>D</v>
      </c>
      <c r="L393" s="4" t="str">
        <f ca="1">IFERROR(__xludf.DUMMYFUNCTION("""COMPUTED_VALUE"""),"A hidroxilamina (NH2OH) é extremamente reativa em reações de substituição
nucleofílica, justificando sua utilização em diversos processos. A reação de substituição nucleofílica entre o anidrido acético e a hidroxilamina está representada.
[Figura contida "&amp;"no arquivo]. 
O produto A é favorecido em relação ao B, por um fator de 105. Em um estudo de possível substituição do uso de hidroxilamina, foram testadas as moléculas numeradas de 1 a 5.
[Figura contida no arquivo]. 
Dentre as moléculas testadas, qual de"&amp;"las apresentou menor reatividade?")</f>
        <v>A hidroxilamina (NH2OH) é extremamente reativa em reações de substituição
nucleofílica, justificando sua utilização em diversos processos. A reação de substituição nucleofílica entre o anidrido acético e a hidroxilamina está representada.
[Figura contida no arquivo]. 
O produto A é favorecido em relação ao B, por um fator de 105. Em um estudo de possível substituição do uso de hidroxilamina, foram testadas as moléculas numeradas de 1 a 5.
[Figura contida no arquivo]. 
Dentre as moléculas testadas, qual delas apresentou menor reatividade?</v>
      </c>
      <c r="M393" s="4" t="str">
        <f ca="1">IFERROR(__xludf.DUMMYFUNCTION("""COMPUTED_VALUE"""),"1")</f>
        <v>1</v>
      </c>
      <c r="N393" s="4" t="str">
        <f ca="1">IFERROR(__xludf.DUMMYFUNCTION("""COMPUTED_VALUE"""),"2")</f>
        <v>2</v>
      </c>
      <c r="O393" s="4" t="str">
        <f ca="1">IFERROR(__xludf.DUMMYFUNCTION("""COMPUTED_VALUE"""),"3")</f>
        <v>3</v>
      </c>
      <c r="P393" s="4" t="str">
        <f ca="1">IFERROR(__xludf.DUMMYFUNCTION("""COMPUTED_VALUE"""),"4")</f>
        <v>4</v>
      </c>
      <c r="Q393" s="4" t="str">
        <f ca="1">IFERROR(__xludf.DUMMYFUNCTION("""COMPUTED_VALUE"""),"5")</f>
        <v>5</v>
      </c>
      <c r="R393" s="4"/>
      <c r="S393" s="4"/>
      <c r="T393" s="4"/>
      <c r="U393" s="4"/>
      <c r="V393" s="4"/>
      <c r="W393" s="4"/>
      <c r="X393" s="4"/>
      <c r="Y393" s="4"/>
      <c r="Z393" s="4"/>
    </row>
    <row r="394" spans="1:26" x14ac:dyDescent="0.25">
      <c r="A394" s="3" t="str">
        <f ca="1">IFERROR(__xludf.DUMMYFUNCTION("""COMPUTED_VALUE"""),"https://drive.google.com/open?id=1tSErR0uuLQGAyiApoiCsC6LfYExP5Vdt")</f>
        <v>https://drive.google.com/open?id=1tSErR0uuLQGAyiApoiCsC6LfYExP5Vdt</v>
      </c>
      <c r="B394" s="4" t="str">
        <f ca="1">IFERROR(__xludf.DUMMYFUNCTION("""COMPUTED_VALUE"""),"Enem")</f>
        <v>Enem</v>
      </c>
      <c r="C394" s="4">
        <f ca="1">IFERROR(__xludf.DUMMYFUNCTION("""COMPUTED_VALUE"""),2018)</f>
        <v>2018</v>
      </c>
      <c r="D394" s="4" t="str">
        <f ca="1">IFERROR(__xludf.DUMMYFUNCTION("""COMPUTED_VALUE"""),"Ciências da Natureza")</f>
        <v>Ciências da Natureza</v>
      </c>
      <c r="E394" s="4" t="str">
        <f ca="1">IFERROR(__xludf.DUMMYFUNCTION("""COMPUTED_VALUE"""),"Química")</f>
        <v>Química</v>
      </c>
      <c r="F394" s="4" t="str">
        <f ca="1">IFERROR(__xludf.DUMMYFUNCTION("""COMPUTED_VALUE"""),"Química Orgânica")</f>
        <v>Química Orgânica</v>
      </c>
      <c r="G394" s="4"/>
      <c r="H394" s="4"/>
      <c r="I394" s="4" t="str">
        <f ca="1">IFERROR(__xludf.DUMMYFUNCTION("""COMPUTED_VALUE"""),"Amarelo")</f>
        <v>Amarelo</v>
      </c>
      <c r="J394" s="4">
        <f ca="1">IFERROR(__xludf.DUMMYFUNCTION("""COMPUTED_VALUE"""),129)</f>
        <v>129</v>
      </c>
      <c r="K394" s="4" t="str">
        <f ca="1">IFERROR(__xludf.DUMMYFUNCTION("""COMPUTED_VALUE"""),"B")</f>
        <v>B</v>
      </c>
      <c r="L394" s="4" t="str">
        <f ca="1">IFERROR(__xludf.DUMMYFUNCTION("""COMPUTED_VALUE"""),"Tensoativos são compostos orgânicos que possuem comportamento anfifílico, isto é, possuem duas regiões, uma hidrofóbica. O principal tensoativo aniônico sintético surgiu na década de 1940 e teve grande aceitação no mercado de detergentes em razão do melho"&amp;"r desempenho comparado ao do sabão. No entanto, o uso desse produto provocou grandes problemas ambientais, dentre eles a resistência à degradação biológica, por causa dos diversos carbonos terciários na cadeia que compõe a porção hidrofóbica desse tensoat"&amp;"ivo aniônico. As ramificações na cadeia dificultaram sua degradação levando à persistência no meio ambiente por longos períodos. Isso levou a sua substituição na maioria dos países por tensoativos biodegradáveis, ou seja, com cadeias alquílicas lineares.
"&amp;"PENTEADO, J. C. P.; EL SEOUD, O. A.; CARVALHO, L. R. F. [...]: uma abordagem ambiental e analítica. Química Nova, n. 5, 2006 (adaptado). 
Qual a fórmula estrutural do tensoativo persistente no ambiente mencionado no texto?")</f>
        <v>Tensoativos são compostos orgânicos que possuem comportamento anfifílico, isto é, possuem duas regiões, uma hidrofóbica. O principal tensoativo aniônico sintético surgiu na década de 1940 e teve grande aceitação no mercado de detergentes em razão do melhor desempenho comparado ao do sabão. No entanto, o uso desse produto provocou grandes problemas ambientais, dentre eles a resistência à degradação biológica, por causa dos diversos carbonos terciários na cadeia que compõe a porção hidrofóbica desse tensoativo aniônico. As ramificações na cadeia dificultaram sua degradação levando à persistência no meio ambiente por longos períodos. Isso levou a sua substituição na maioria dos países por tensoativos biodegradáveis, ou seja, com cadeias alquílicas lineares.
PENTEADO, J. C. P.; EL SEOUD, O. A.; CARVALHO, L. R. F. [...]: uma abordagem ambiental e analítica. Química Nova, n. 5, 2006 (adaptado). 
Qual a fórmula estrutural do tensoativo persistente no ambiente mencionado no texto?</v>
      </c>
      <c r="M394" s="4" t="str">
        <f ca="1">IFERROR(__xludf.DUMMYFUNCTION("""COMPUTED_VALUE"""),"[Figura contida no arquivo]")</f>
        <v>[Figura contida no arquivo]</v>
      </c>
      <c r="N394" s="4" t="str">
        <f ca="1">IFERROR(__xludf.DUMMYFUNCTION("""COMPUTED_VALUE"""),"[Figura contida no arquivo]")</f>
        <v>[Figura contida no arquivo]</v>
      </c>
      <c r="O394" s="4" t="str">
        <f ca="1">IFERROR(__xludf.DUMMYFUNCTION("""COMPUTED_VALUE"""),"[Figura contida no arquivo]")</f>
        <v>[Figura contida no arquivo]</v>
      </c>
      <c r="P394" s="4" t="str">
        <f ca="1">IFERROR(__xludf.DUMMYFUNCTION("""COMPUTED_VALUE"""),"[Figura contida no arquivo]")</f>
        <v>[Figura contida no arquivo]</v>
      </c>
      <c r="Q394" s="4" t="str">
        <f ca="1">IFERROR(__xludf.DUMMYFUNCTION("""COMPUTED_VALUE"""),"[Figura contida no arquivo]")</f>
        <v>[Figura contida no arquivo]</v>
      </c>
      <c r="R394" s="4"/>
      <c r="S394" s="4"/>
      <c r="T394" s="4"/>
      <c r="U394" s="4"/>
      <c r="V394" s="4"/>
      <c r="W394" s="4"/>
      <c r="X394" s="4"/>
      <c r="Y394" s="4"/>
      <c r="Z394" s="4"/>
    </row>
    <row r="395" spans="1:26" x14ac:dyDescent="0.25">
      <c r="A395" s="3" t="str">
        <f ca="1">IFERROR(__xludf.DUMMYFUNCTION("""COMPUTED_VALUE"""),"https://drive.google.com/open?id=1LiS9el9VPKwAH512WTaD-BU7x8gljh4Q")</f>
        <v>https://drive.google.com/open?id=1LiS9el9VPKwAH512WTaD-BU7x8gljh4Q</v>
      </c>
      <c r="B395" s="4" t="str">
        <f ca="1">IFERROR(__xludf.DUMMYFUNCTION("""COMPUTED_VALUE"""),"Enem")</f>
        <v>Enem</v>
      </c>
      <c r="C395" s="4">
        <f ca="1">IFERROR(__xludf.DUMMYFUNCTION("""COMPUTED_VALUE"""),2018)</f>
        <v>2018</v>
      </c>
      <c r="D395" s="4" t="str">
        <f ca="1">IFERROR(__xludf.DUMMYFUNCTION("""COMPUTED_VALUE"""),"Ciências da Natureza")</f>
        <v>Ciências da Natureza</v>
      </c>
      <c r="E395" s="4" t="str">
        <f ca="1">IFERROR(__xludf.DUMMYFUNCTION("""COMPUTED_VALUE"""),"Química")</f>
        <v>Química</v>
      </c>
      <c r="F395" s="4" t="str">
        <f ca="1">IFERROR(__xludf.DUMMYFUNCTION("""COMPUTED_VALUE"""),"Química Orgânica")</f>
        <v>Química Orgânica</v>
      </c>
      <c r="G395" s="4"/>
      <c r="H395" s="4"/>
      <c r="I395" s="4" t="str">
        <f ca="1">IFERROR(__xludf.DUMMYFUNCTION("""COMPUTED_VALUE"""),"Amarelo")</f>
        <v>Amarelo</v>
      </c>
      <c r="J395" s="4">
        <f ca="1">IFERROR(__xludf.DUMMYFUNCTION("""COMPUTED_VALUE"""),135)</f>
        <v>135</v>
      </c>
      <c r="K395" s="4" t="str">
        <f ca="1">IFERROR(__xludf.DUMMYFUNCTION("""COMPUTED_VALUE"""),"A")</f>
        <v>A</v>
      </c>
      <c r="L395" s="4" t="str">
        <f ca="1">IFERROR(__xludf.DUMMYFUNCTION("""COMPUTED_VALUE"""),"O petróleo é uma fonte de energia de baixo custo e de larga utilização como
matéria-prima para uma grande variedade de produtos. É um óleo formado de
várias substâncias de origem orgânica, em sua maioria hidrocarbonetos de
diferentes massas molares. São u"&amp;"tilizadas técnicas de separação para obtenção dos componentes comercializáveis do petróleo. Além disso, para aumentar a quantidade de frações comercializáveis, otimizando o produto de origem fóssil, utiliza-se o processo de craqueamento.
O que ocorre ness"&amp;"e processo?")</f>
        <v>O petróleo é uma fonte de energia de baixo custo e de larga utilização como
matéria-prima para uma grande variedade de produtos. É um óleo formado de
várias substâncias de origem orgânica, em sua maioria hidrocarbonetos de
diferentes massas molares. São utilizadas técnicas de separação para obtenção dos componentes comercializáveis do petróleo. Além disso, para aumentar a quantidade de frações comercializáveis, otimizando o produto de origem fóssil, utiliza-se o processo de craqueamento.
O que ocorre nesse processo?</v>
      </c>
      <c r="M395" s="4" t="str">
        <f ca="1">IFERROR(__xludf.DUMMYFUNCTION("""COMPUTED_VALUE"""),"Transformação das frações do petróleo em outras moléculas menores.")</f>
        <v>Transformação das frações do petróleo em outras moléculas menores.</v>
      </c>
      <c r="N395" s="4" t="str">
        <f ca="1">IFERROR(__xludf.DUMMYFUNCTION("""COMPUTED_VALUE"""),"Reação de óxido-redução com transferência de elétrons entre as moléculas.")</f>
        <v>Reação de óxido-redução com transferência de elétrons entre as moléculas.</v>
      </c>
      <c r="O395" s="4" t="str">
        <f ca="1">IFERROR(__xludf.DUMMYFUNCTION("""COMPUTED_VALUE"""),"Solubilização das frações do petróleo com a utilização de diferentes solventes.")</f>
        <v>Solubilização das frações do petróleo com a utilização de diferentes solventes.</v>
      </c>
      <c r="P395" s="4" t="str">
        <f ca="1">IFERROR(__xludf.DUMMYFUNCTION("""COMPUTED_VALUE"""),"Decantação das moléculas com diferentes massas molares pelo uso de centrífugas.")</f>
        <v>Decantação das moléculas com diferentes massas molares pelo uso de centrífugas.</v>
      </c>
      <c r="Q395" s="4" t="str">
        <f ca="1">IFERROR(__xludf.DUMMYFUNCTION("""COMPUTED_VALUE"""),"Separação dos diferentes componentes do petróleo em função de suas temperaturas de ebulição.")</f>
        <v>Separação dos diferentes componentes do petróleo em função de suas temperaturas de ebulição.</v>
      </c>
      <c r="R395" s="4"/>
      <c r="S395" s="4"/>
      <c r="T395" s="4"/>
      <c r="U395" s="4"/>
      <c r="V395" s="4"/>
      <c r="W395" s="4"/>
      <c r="X395" s="4"/>
      <c r="Y395" s="4"/>
      <c r="Z395" s="4"/>
    </row>
    <row r="396" spans="1:26" x14ac:dyDescent="0.25">
      <c r="A396" s="3" t="str">
        <f ca="1">IFERROR(__xludf.DUMMYFUNCTION("""COMPUTED_VALUE"""),"https://drive.google.com/open?id=1JEz9cggDv6t28xhyXjkC95nVYIBIN8Ir")</f>
        <v>https://drive.google.com/open?id=1JEz9cggDv6t28xhyXjkC95nVYIBIN8Ir</v>
      </c>
      <c r="B396" s="4" t="str">
        <f ca="1">IFERROR(__xludf.DUMMYFUNCTION("""COMPUTED_VALUE"""),"Enem")</f>
        <v>Enem</v>
      </c>
      <c r="C396" s="4">
        <f ca="1">IFERROR(__xludf.DUMMYFUNCTION("""COMPUTED_VALUE"""),2020)</f>
        <v>2020</v>
      </c>
      <c r="D396" s="4" t="str">
        <f ca="1">IFERROR(__xludf.DUMMYFUNCTION("""COMPUTED_VALUE"""),"Ciências da Natureza")</f>
        <v>Ciências da Natureza</v>
      </c>
      <c r="E396" s="4" t="str">
        <f ca="1">IFERROR(__xludf.DUMMYFUNCTION("""COMPUTED_VALUE"""),"Química")</f>
        <v>Química</v>
      </c>
      <c r="F396" s="4" t="str">
        <f ca="1">IFERROR(__xludf.DUMMYFUNCTION("""COMPUTED_VALUE"""),"Físico-Química")</f>
        <v>Físico-Química</v>
      </c>
      <c r="G396" s="4"/>
      <c r="H396" s="4"/>
      <c r="I396" s="4" t="str">
        <f ca="1">IFERROR(__xludf.DUMMYFUNCTION("""COMPUTED_VALUE"""),"Rosa")</f>
        <v>Rosa</v>
      </c>
      <c r="J396" s="4">
        <f ca="1">IFERROR(__xludf.DUMMYFUNCTION("""COMPUTED_VALUE"""),93)</f>
        <v>93</v>
      </c>
      <c r="K396" s="4" t="str">
        <f ca="1">IFERROR(__xludf.DUMMYFUNCTION("""COMPUTED_VALUE"""),"D")</f>
        <v>D</v>
      </c>
      <c r="L396" s="4" t="str">
        <f ca="1">IFERROR(__xludf.DUMMYFUNCTION("""COMPUTED_VALUE"""),"As moedas despertam o interesse de colecionadores, numismatas e investidores há bastante tempo. Uma moeda de 100% cobre, circulante no período do Brasil Colônia, pode ser bastante valiosa. O elevado valor gera a necessidade de realização de testes que val"&amp;"idem a procedência da moeda, bem como a veracidade de sua composição. Sabendo que a densidade do cobre metálico é próxima de 9 g cm−³, um investidor negocia a aquisição de um lote de quatro moedas A, B, C e D fabricadas supostamente de 100% cobre e massas"&amp;" 26 g, 27 g, 10 g e 36 g, respectivamente. Com o objetivo de testar a densidade das moedas, foi realizado um procedimento em que elas foram sequencialmente inseridas em uma proveta contendo 5 mL de água, conforme esquematizado.
[Figura contida no arquivo]"&amp;"
Com base nos dados obtidos, o investidor adquiriu as moedas:
")</f>
        <v xml:space="preserve">As moedas despertam o interesse de colecionadores, numismatas e investidores há bastante tempo. Uma moeda de 100% cobre, circulante no período do Brasil Colônia, pode ser bastante valiosa. O elevado valor gera a necessidade de realização de testes que validem a procedência da moeda, bem como a veracidade de sua composição. Sabendo que a densidade do cobre metálico é próxima de 9 g cm−³, um investidor negocia a aquisição de um lote de quatro moedas A, B, C e D fabricadas supostamente de 100% cobre e massas 26 g, 27 g, 10 g e 36 g, respectivamente. Com o objetivo de testar a densidade das moedas, foi realizado um procedimento em que elas foram sequencialmente inseridas em uma proveta contendo 5 mL de água, conforme esquematizado.
[Figura contida no arquivo]
Com base nos dados obtidos, o investidor adquiriu as moedas:
</v>
      </c>
      <c r="M396" s="4" t="str">
        <f ca="1">IFERROR(__xludf.DUMMYFUNCTION("""COMPUTED_VALUE""")," A e B")</f>
        <v xml:space="preserve"> A e B</v>
      </c>
      <c r="N396" s="4" t="str">
        <f ca="1">IFERROR(__xludf.DUMMYFUNCTION("""COMPUTED_VALUE"""),"A e C")</f>
        <v>A e C</v>
      </c>
      <c r="O396" s="4" t="str">
        <f ca="1">IFERROR(__xludf.DUMMYFUNCTION("""COMPUTED_VALUE""")," B e C")</f>
        <v xml:space="preserve"> B e C</v>
      </c>
      <c r="P396" s="4" t="str">
        <f ca="1">IFERROR(__xludf.DUMMYFUNCTION("""COMPUTED_VALUE""")," B e D")</f>
        <v xml:space="preserve"> B e D</v>
      </c>
      <c r="Q396" s="4" t="str">
        <f ca="1">IFERROR(__xludf.DUMMYFUNCTION("""COMPUTED_VALUE"""),"C e D")</f>
        <v>C e D</v>
      </c>
      <c r="R396" s="4"/>
      <c r="S396" s="4"/>
      <c r="T396" s="4"/>
      <c r="U396" s="4"/>
      <c r="V396" s="4"/>
      <c r="W396" s="4"/>
      <c r="X396" s="4"/>
      <c r="Y396" s="4"/>
      <c r="Z396" s="4"/>
    </row>
    <row r="397" spans="1:26" x14ac:dyDescent="0.25">
      <c r="A397" s="3" t="str">
        <f ca="1">IFERROR(__xludf.DUMMYFUNCTION("""COMPUTED_VALUE"""),"https://drive.google.com/open?id=1HCEF5c1m_wRB-2YlPHyDnr-2GWc4FkNp")</f>
        <v>https://drive.google.com/open?id=1HCEF5c1m_wRB-2YlPHyDnr-2GWc4FkNp</v>
      </c>
      <c r="B397" s="4" t="str">
        <f ca="1">IFERROR(__xludf.DUMMYFUNCTION("""COMPUTED_VALUE"""),"Enem")</f>
        <v>Enem</v>
      </c>
      <c r="C397" s="4">
        <f ca="1">IFERROR(__xludf.DUMMYFUNCTION("""COMPUTED_VALUE"""),2020)</f>
        <v>2020</v>
      </c>
      <c r="D397" s="4" t="str">
        <f ca="1">IFERROR(__xludf.DUMMYFUNCTION("""COMPUTED_VALUE"""),"Ciências da Natureza")</f>
        <v>Ciências da Natureza</v>
      </c>
      <c r="E397" s="4" t="str">
        <f ca="1">IFERROR(__xludf.DUMMYFUNCTION("""COMPUTED_VALUE"""),"Química")</f>
        <v>Química</v>
      </c>
      <c r="F397" s="4" t="str">
        <f ca="1">IFERROR(__xludf.DUMMYFUNCTION("""COMPUTED_VALUE"""),"Físico-Química")</f>
        <v>Físico-Química</v>
      </c>
      <c r="G397" s="4"/>
      <c r="H397" s="4"/>
      <c r="I397" s="4" t="str">
        <f ca="1">IFERROR(__xludf.DUMMYFUNCTION("""COMPUTED_VALUE"""),"Rosa")</f>
        <v>Rosa</v>
      </c>
      <c r="J397" s="4">
        <f ca="1">IFERROR(__xludf.DUMMYFUNCTION("""COMPUTED_VALUE"""),112)</f>
        <v>112</v>
      </c>
      <c r="K397" s="4" t="str">
        <f ca="1">IFERROR(__xludf.DUMMYFUNCTION("""COMPUTED_VALUE"""),"C")</f>
        <v>C</v>
      </c>
      <c r="L397" s="4" t="str">
        <f ca="1">IFERROR(__xludf.DUMMYFUNCTION("""COMPUTED_VALUE"""),"O exame parasitológico de fezes é utilizado para detectar ovos de parasitos. Um dos métodos utilizados, denominado de centrífugo-flutuação, considera a densidade dos ovos em relação a uma solução de densidade 1,15 g mL−1. Assim, ovos que flutuam na superf"&amp;"ície dessa solução são detectados. Os dados de densidade dos ovos de alguns parasitos estão apresentados na tabela.
[Figura contida no arquivo]
ZERBINI, A. M. Identificação e análise de viabilidade de ovos de helmintos em um sistema de tratamento de esgot"&amp;"os domésticos constituídos de reatores anaeróbios e rampas de escoamento superficial. Belo Horizonte: Prosab, 2001 (adaptado). Considerando-se a densidade dos ovos e da solução, ovos de quais parasitos podem ser detectados por esse método?")</f>
        <v>O exame parasitológico de fezes é utilizado para detectar ovos de parasitos. Um dos métodos utilizados, denominado de centrífugo-flutuação, considera a densidade dos ovos em relação a uma solução de densidade 1,15 g mL−1. Assim, ovos que flutuam na superfície dessa solução são detectados. Os dados de densidade dos ovos de alguns parasitos estão apresentados na tabela.
[Figura contida no arquivo]
ZERBINI, A. M. Identificação e análise de viabilidade de ovos de helmintos em um sistema de tratamento de esgotos domésticos constituídos de reatores anaeróbios e rampas de escoamento superficial. Belo Horizonte: Prosab, 2001 (adaptado). Considerando-se a densidade dos ovos e da solução, ovos de quais parasitos podem ser detectados por esse método?</v>
      </c>
      <c r="M397" s="4" t="str">
        <f ca="1">IFERROR(__xludf.DUMMYFUNCTION("""COMPUTED_VALUE"""),"A. lumbricoides, A. suum e S. mansoni")</f>
        <v>A. lumbricoides, A. suum e S. mansoni</v>
      </c>
      <c r="N397" s="4" t="str">
        <f ca="1">IFERROR(__xludf.DUMMYFUNCTION("""COMPUTED_VALUE"""),"S. mansoni, T. saginata e Ancylostoma")</f>
        <v>S. mansoni, T. saginata e Ancylostoma</v>
      </c>
      <c r="O397" s="4" t="str">
        <f ca="1">IFERROR(__xludf.DUMMYFUNCTION("""COMPUTED_VALUE""")," Ancylostoma, A. lumbricoides e A. suum.")</f>
        <v xml:space="preserve"> Ancylostoma, A. lumbricoides e A. suum.</v>
      </c>
      <c r="P397" s="4" t="str">
        <f ca="1">IFERROR(__xludf.DUMMYFUNCTION("""COMPUTED_VALUE"""),"T. saginata, S. mansoni e A. lumbricoides")</f>
        <v>T. saginata, S. mansoni e A. lumbricoides</v>
      </c>
      <c r="Q397" s="4" t="str">
        <f ca="1">IFERROR(__xludf.DUMMYFUNCTION("""COMPUTED_VALUE"""),"A. lumbricoides, A. suum e T. saginata.")</f>
        <v>A. lumbricoides, A. suum e T. saginata.</v>
      </c>
      <c r="R397" s="4"/>
      <c r="S397" s="4"/>
      <c r="T397" s="4"/>
      <c r="U397" s="4"/>
      <c r="V397" s="4"/>
      <c r="W397" s="4"/>
      <c r="X397" s="4"/>
      <c r="Y397" s="4"/>
      <c r="Z397" s="4"/>
    </row>
    <row r="398" spans="1:26" x14ac:dyDescent="0.25">
      <c r="A398" s="3" t="str">
        <f ca="1">IFERROR(__xludf.DUMMYFUNCTION("""COMPUTED_VALUE"""),"https://drive.google.com/open?id=1NdktZB83ilrVe7ZSL31bHGWi_zWBwAX2")</f>
        <v>https://drive.google.com/open?id=1NdktZB83ilrVe7ZSL31bHGWi_zWBwAX2</v>
      </c>
      <c r="B398" s="4" t="str">
        <f ca="1">IFERROR(__xludf.DUMMYFUNCTION("""COMPUTED_VALUE"""),"Enem")</f>
        <v>Enem</v>
      </c>
      <c r="C398" s="4">
        <f ca="1">IFERROR(__xludf.DUMMYFUNCTION("""COMPUTED_VALUE"""),2020)</f>
        <v>2020</v>
      </c>
      <c r="D398" s="4" t="str">
        <f ca="1">IFERROR(__xludf.DUMMYFUNCTION("""COMPUTED_VALUE"""),"Ciências da Natureza")</f>
        <v>Ciências da Natureza</v>
      </c>
      <c r="E398" s="4" t="str">
        <f ca="1">IFERROR(__xludf.DUMMYFUNCTION("""COMPUTED_VALUE"""),"Química")</f>
        <v>Química</v>
      </c>
      <c r="F398" s="4" t="str">
        <f ca="1">IFERROR(__xludf.DUMMYFUNCTION("""COMPUTED_VALUE"""),"Físico-Química")</f>
        <v>Físico-Química</v>
      </c>
      <c r="G398" s="4"/>
      <c r="H398" s="4"/>
      <c r="I398" s="4" t="str">
        <f ca="1">IFERROR(__xludf.DUMMYFUNCTION("""COMPUTED_VALUE"""),"Rosa")</f>
        <v>Rosa</v>
      </c>
      <c r="J398" s="4">
        <f ca="1">IFERROR(__xludf.DUMMYFUNCTION("""COMPUTED_VALUE"""),117)</f>
        <v>117</v>
      </c>
      <c r="K398" s="4" t="str">
        <f ca="1">IFERROR(__xludf.DUMMYFUNCTION("""COMPUTED_VALUE"""),"B")</f>
        <v>B</v>
      </c>
      <c r="L398" s="4" t="str">
        <f ca="1">IFERROR(__xludf.DUMMYFUNCTION("""COMPUTED_VALUE"""),"A sacarase (ou invertase) é uma enzima que atua no intestino humano hidrolisando o dissacarídeo sacarose nos monossacarídeos glicose e frutose. Em um estudo cinético da reação de hidrólise da sacarose (C12H22O11), foram dissolvidos 171 g de sacarose em 50"&amp;"0 mL de água. Observou-se que, a cada 100 minutos de reação, a concentração de sacarose foi reduzida à metade, qualquer que fosse o momento escolhido como tempo inicial. As massas molares dos elementos H, C e O são iguais a 1, 12 e 16 g mol−1, respectivam"&amp;"ente. Qual é a concentração de sacarose depois de 400 minutos do início da reação de hidrólise?")</f>
        <v>A sacarase (ou invertase) é uma enzima que atua no intestino humano hidrolisando o dissacarídeo sacarose nos monossacarídeos glicose e frutose. Em um estudo cinético da reação de hidrólise da sacarose (C12H22O11), foram dissolvidos 171 g de sacarose em 500 mL de água. Observou-se que, a cada 100 minutos de reação, a concentração de sacarose foi reduzida à metade, qualquer que fosse o momento escolhido como tempo inicial. As massas molares dos elementos H, C e O são iguais a 1, 12 e 16 g mol−1, respectivamente. Qual é a concentração de sacarose depois de 400 minutos do início da reação de hidrólise?</v>
      </c>
      <c r="M398" s="4" t="str">
        <f ca="1">IFERROR(__xludf.DUMMYFUNCTION("""COMPUTED_VALUE""")," 2,50 × 10−3 mol L−1")</f>
        <v xml:space="preserve"> 2,50 × 10−3 mol L−1</v>
      </c>
      <c r="N398" s="4" t="str">
        <f ca="1">IFERROR(__xludf.DUMMYFUNCTION("""COMPUTED_VALUE""")," 6,25 × 10−2 mol L−1")</f>
        <v xml:space="preserve"> 6,25 × 10−2 mol L−1</v>
      </c>
      <c r="O398" s="4" t="str">
        <f ca="1">IFERROR(__xludf.DUMMYFUNCTION("""COMPUTED_VALUE"""),"1,25 × 10−1 mol L−1")</f>
        <v>1,25 × 10−1 mol L−1</v>
      </c>
      <c r="P398" s="4" t="str">
        <f ca="1">IFERROR(__xludf.DUMMYFUNCTION("""COMPUTED_VALUE"""),"2,50 × 10−1 mol L−1")</f>
        <v>2,50 × 10−1 mol L−1</v>
      </c>
      <c r="Q398" s="4" t="str">
        <f ca="1">IFERROR(__xludf.DUMMYFUNCTION("""COMPUTED_VALUE"""),"4,27 × 10−1 mol L−1")</f>
        <v>4,27 × 10−1 mol L−1</v>
      </c>
      <c r="R398" s="4"/>
      <c r="S398" s="4"/>
      <c r="T398" s="4"/>
      <c r="U398" s="4"/>
      <c r="V398" s="4"/>
      <c r="W398" s="4"/>
      <c r="X398" s="4"/>
      <c r="Y398" s="4"/>
      <c r="Z398" s="4"/>
    </row>
    <row r="399" spans="1:26" x14ac:dyDescent="0.25">
      <c r="A399" s="3" t="str">
        <f ca="1">IFERROR(__xludf.DUMMYFUNCTION("""COMPUTED_VALUE"""),"https://drive.google.com/open?id=1W0frMdPODw3DAlXl5kNdtsyY0isk9x6n")</f>
        <v>https://drive.google.com/open?id=1W0frMdPODw3DAlXl5kNdtsyY0isk9x6n</v>
      </c>
      <c r="B399" s="4" t="str">
        <f ca="1">IFERROR(__xludf.DUMMYFUNCTION("""COMPUTED_VALUE"""),"Enem")</f>
        <v>Enem</v>
      </c>
      <c r="C399" s="4">
        <f ca="1">IFERROR(__xludf.DUMMYFUNCTION("""COMPUTED_VALUE"""),2020)</f>
        <v>2020</v>
      </c>
      <c r="D399" s="4" t="str">
        <f ca="1">IFERROR(__xludf.DUMMYFUNCTION("""COMPUTED_VALUE"""),"Ciências da Natureza")</f>
        <v>Ciências da Natureza</v>
      </c>
      <c r="E399" s="4" t="str">
        <f ca="1">IFERROR(__xludf.DUMMYFUNCTION("""COMPUTED_VALUE"""),"Química")</f>
        <v>Química</v>
      </c>
      <c r="F399" s="4" t="str">
        <f ca="1">IFERROR(__xludf.DUMMYFUNCTION("""COMPUTED_VALUE"""),"Físico-Química")</f>
        <v>Físico-Química</v>
      </c>
      <c r="G399" s="4"/>
      <c r="H399" s="4"/>
      <c r="I399" s="4" t="str">
        <f ca="1">IFERROR(__xludf.DUMMYFUNCTION("""COMPUTED_VALUE"""),"Rosa")</f>
        <v>Rosa</v>
      </c>
      <c r="J399" s="4">
        <f ca="1">IFERROR(__xludf.DUMMYFUNCTION("""COMPUTED_VALUE"""),120)</f>
        <v>120</v>
      </c>
      <c r="K399" s="4" t="str">
        <f ca="1">IFERROR(__xludf.DUMMYFUNCTION("""COMPUTED_VALUE"""),"D")</f>
        <v>D</v>
      </c>
      <c r="L399" s="4" t="str">
        <f ca="1">IFERROR(__xludf.DUMMYFUNCTION("""COMPUTED_VALUE"""),"A obtenção de óleos vegetais, de maneira geral, passa pelas etapas descritas no
quadro.
[Figura contida no arquivo]
Qual das subetapas do processo é realizada em função apenas da polaridade das
substâncias?")</f>
        <v>A obtenção de óleos vegetais, de maneira geral, passa pelas etapas descritas no
quadro.
[Figura contida no arquivo]
Qual das subetapas do processo é realizada em função apenas da polaridade das
substâncias?</v>
      </c>
      <c r="M399" s="4" t="str">
        <f ca="1">IFERROR(__xludf.DUMMYFUNCTION("""COMPUTED_VALUE"""),"Trituração")</f>
        <v>Trituração</v>
      </c>
      <c r="N399" s="4" t="str">
        <f ca="1">IFERROR(__xludf.DUMMYFUNCTION("""COMPUTED_VALUE"""),"Cozimento")</f>
        <v>Cozimento</v>
      </c>
      <c r="O399" s="4" t="str">
        <f ca="1">IFERROR(__xludf.DUMMYFUNCTION("""COMPUTED_VALUE"""),"Prensagem")</f>
        <v>Prensagem</v>
      </c>
      <c r="P399" s="4" t="str">
        <f ca="1">IFERROR(__xludf.DUMMYFUNCTION("""COMPUTED_VALUE"""),"Extração")</f>
        <v>Extração</v>
      </c>
      <c r="Q399" s="4" t="str">
        <f ca="1">IFERROR(__xludf.DUMMYFUNCTION("""COMPUTED_VALUE"""),"Destilação")</f>
        <v>Destilação</v>
      </c>
      <c r="R399" s="4"/>
      <c r="S399" s="4"/>
      <c r="T399" s="4"/>
      <c r="U399" s="4"/>
      <c r="V399" s="4"/>
      <c r="W399" s="4"/>
      <c r="X399" s="4"/>
      <c r="Y399" s="4"/>
      <c r="Z399" s="4"/>
    </row>
    <row r="400" spans="1:26" x14ac:dyDescent="0.25">
      <c r="A400" s="3" t="str">
        <f ca="1">IFERROR(__xludf.DUMMYFUNCTION("""COMPUTED_VALUE"""),"https://drive.google.com/open?id=1zcooi5v5K2wxplI2ieWc6hugFEQtVIS0")</f>
        <v>https://drive.google.com/open?id=1zcooi5v5K2wxplI2ieWc6hugFEQtVIS0</v>
      </c>
      <c r="B400" s="4" t="str">
        <f ca="1">IFERROR(__xludf.DUMMYFUNCTION("""COMPUTED_VALUE"""),"Enem")</f>
        <v>Enem</v>
      </c>
      <c r="C400" s="4">
        <f ca="1">IFERROR(__xludf.DUMMYFUNCTION("""COMPUTED_VALUE"""),2020)</f>
        <v>2020</v>
      </c>
      <c r="D400" s="4" t="str">
        <f ca="1">IFERROR(__xludf.DUMMYFUNCTION("""COMPUTED_VALUE"""),"Ciências da Natureza")</f>
        <v>Ciências da Natureza</v>
      </c>
      <c r="E400" s="4" t="str">
        <f ca="1">IFERROR(__xludf.DUMMYFUNCTION("""COMPUTED_VALUE"""),"Química")</f>
        <v>Química</v>
      </c>
      <c r="F400" s="4" t="str">
        <f ca="1">IFERROR(__xludf.DUMMYFUNCTION("""COMPUTED_VALUE"""),"Físico-Química")</f>
        <v>Físico-Química</v>
      </c>
      <c r="G400" s="4"/>
      <c r="H400" s="4"/>
      <c r="I400" s="4" t="str">
        <f ca="1">IFERROR(__xludf.DUMMYFUNCTION("""COMPUTED_VALUE"""),"Rosa")</f>
        <v>Rosa</v>
      </c>
      <c r="J400" s="4">
        <f ca="1">IFERROR(__xludf.DUMMYFUNCTION("""COMPUTED_VALUE"""),91)</f>
        <v>91</v>
      </c>
      <c r="K400" s="4" t="str">
        <f ca="1">IFERROR(__xludf.DUMMYFUNCTION("""COMPUTED_VALUE"""),"D")</f>
        <v>D</v>
      </c>
      <c r="L400" s="4" t="str">
        <f ca="1">IFERROR(__xludf.DUMMYFUNCTION("""COMPUTED_VALUE"""),"Megaespetáculos com queima de grande quantidade de fogos de artifício em festas de final de ano são muito comuns no Brasil. Após a queima, grande quantidade de material particulado permanece suspensa no ar. Entre os resíduos, encontram-se compostos de sód"&amp;"io, potássio, bário, cálcio, chumbo, antimônio, cromo, além de percloratos e gases, como os dióxidos de nitrogênio e enxofre. BRUNNING, A. The Chemistry of Firework Pollution. Disponível em: www.compoundchem.com. Acesso em: 1 dez. 2017 (adaptado). Esses e"&amp;"spetáculos promovem riscos ambientais, porque")</f>
        <v>Megaespetáculos com queima de grande quantidade de fogos de artifício em festas de final de ano são muito comuns no Brasil. Após a queima, grande quantidade de material particulado permanece suspensa no ar. Entre os resíduos, encontram-se compostos de sódio, potássio, bário, cálcio, chumbo, antimônio, cromo, além de percloratos e gases, como os dióxidos de nitrogênio e enxofre. BRUNNING, A. The Chemistry of Firework Pollution. Disponível em: www.compoundchem.com. Acesso em: 1 dez. 2017 (adaptado). Esses espetáculos promovem riscos ambientais, porque</v>
      </c>
      <c r="M400" s="4" t="str">
        <f ca="1">IFERROR(__xludf.DUMMYFUNCTION("""COMPUTED_VALUE"""),"A as substâncias resultantes da queima de fogos de artifício são inflamáveis.
")</f>
        <v xml:space="preserve">A as substâncias resultantes da queima de fogos de artifício são inflamáveis.
</v>
      </c>
      <c r="N400" s="4" t="str">
        <f ca="1">IFERROR(__xludf.DUMMYFUNCTION("""COMPUTED_VALUE"""),"os resíduos produzidos na queima de fogos de artifício ainda são explosivos.")</f>
        <v>os resíduos produzidos na queima de fogos de artifício ainda são explosivos.</v>
      </c>
      <c r="O400" s="4" t="str">
        <f ca="1">IFERROR(__xludf.DUMMYFUNCTION("""COMPUTED_VALUE"""),"o sódio e o potássio são os principais responsáveis pela toxicidade do produto da
queima.")</f>
        <v>o sódio e o potássio são os principais responsáveis pela toxicidade do produto da
queima.</v>
      </c>
      <c r="P400" s="4" t="str">
        <f ca="1">IFERROR(__xludf.DUMMYFUNCTION("""COMPUTED_VALUE"""),"os produtos da queima contêm metais pesados e gases tóxicos que resultam em
poluição atmosférica.")</f>
        <v>os produtos da queima contêm metais pesados e gases tóxicos que resultam em
poluição atmosférica.</v>
      </c>
      <c r="Q400" s="4" t="str">
        <f ca="1">IFERROR(__xludf.DUMMYFUNCTION("""COMPUTED_VALUE"""),"o material particulado gerado se deposita na superfície das folhas das plantas
impedindo os processos de respiração celular.")</f>
        <v>o material particulado gerado se deposita na superfície das folhas das plantas
impedindo os processos de respiração celular.</v>
      </c>
      <c r="R400" s="4"/>
      <c r="S400" s="4"/>
      <c r="T400" s="4"/>
      <c r="U400" s="4"/>
      <c r="V400" s="4"/>
      <c r="W400" s="4"/>
      <c r="X400" s="4"/>
      <c r="Y400" s="4"/>
      <c r="Z400" s="4"/>
    </row>
    <row r="401" spans="1:26" x14ac:dyDescent="0.25">
      <c r="A401" s="3" t="str">
        <f ca="1">IFERROR(__xludf.DUMMYFUNCTION("""COMPUTED_VALUE"""),"https://drive.google.com/open?id=12Jgl5nTh8O2ykCr-OyBw32MtCTOVlPyh")</f>
        <v>https://drive.google.com/open?id=12Jgl5nTh8O2ykCr-OyBw32MtCTOVlPyh</v>
      </c>
      <c r="B401" s="4" t="str">
        <f ca="1">IFERROR(__xludf.DUMMYFUNCTION("""COMPUTED_VALUE"""),"Enem")</f>
        <v>Enem</v>
      </c>
      <c r="C401" s="4">
        <f ca="1">IFERROR(__xludf.DUMMYFUNCTION("""COMPUTED_VALUE"""),2020)</f>
        <v>2020</v>
      </c>
      <c r="D401" s="4" t="str">
        <f ca="1">IFERROR(__xludf.DUMMYFUNCTION("""COMPUTED_VALUE"""),"Ciências da Natureza")</f>
        <v>Ciências da Natureza</v>
      </c>
      <c r="E401" s="4" t="str">
        <f ca="1">IFERROR(__xludf.DUMMYFUNCTION("""COMPUTED_VALUE"""),"Química")</f>
        <v>Química</v>
      </c>
      <c r="F401" s="4" t="str">
        <f ca="1">IFERROR(__xludf.DUMMYFUNCTION("""COMPUTED_VALUE"""),"Química Geral")</f>
        <v>Química Geral</v>
      </c>
      <c r="G401" s="4"/>
      <c r="H401" s="4"/>
      <c r="I401" s="4" t="str">
        <f ca="1">IFERROR(__xludf.DUMMYFUNCTION("""COMPUTED_VALUE"""),"Rosa")</f>
        <v>Rosa</v>
      </c>
      <c r="J401" s="4">
        <f ca="1">IFERROR(__xludf.DUMMYFUNCTION("""COMPUTED_VALUE"""),99)</f>
        <v>99</v>
      </c>
      <c r="K401" s="4" t="str">
        <f ca="1">IFERROR(__xludf.DUMMYFUNCTION("""COMPUTED_VALUE"""),"E")</f>
        <v>E</v>
      </c>
      <c r="L401" s="4" t="str">
        <f ca="1">IFERROR(__xludf.DUMMYFUNCTION("""COMPUTED_VALUE"""),"A Química Verde é um ramo da química que prega o desenvolvimento de processos
eficientes, que transformem a maior parte do reagente em produto, de forma mais rápida e
seletiva, que utilizem poucos reagentes, que produzam somente o produto desejado, evitan"&amp;"do
a formação de coprodutos e que utilizem solventes não agressivos ao meio ambiente. Assim,
as indústrias contornariam problemas relacionados à poluição ambiental e ao desperdício de
água e energia.
O perfil de um processo que segue todos os princípios d"&amp;"esse ramo da química pode ser
representado por:")</f>
        <v>A Química Verde é um ramo da química que prega o desenvolvimento de processos
eficientes, que transformem a maior parte do reagente em produto, de forma mais rápida e
seletiva, que utilizem poucos reagentes, que produzam somente o produto desejado, evitando
a formação de coprodutos e que utilizem solventes não agressivos ao meio ambiente. Assim,
as indústrias contornariam problemas relacionados à poluição ambiental e ao desperdício de
água e energia.
O perfil de um processo que segue todos os princípios desse ramo da química pode ser
representado por:</v>
      </c>
      <c r="M401" s="4" t="str">
        <f ca="1">IFERROR(__xludf.DUMMYFUNCTION("""COMPUTED_VALUE"""),"A + B + C → D (a reação ocorre a altas pressões).
B
C
D 
E")</f>
        <v>A + B + C → D (a reação ocorre a altas pressões).
B
C
D 
E</v>
      </c>
      <c r="N401" s="4" t="str">
        <f ca="1">IFERROR(__xludf.DUMMYFUNCTION("""COMPUTED_VALUE""")," A + B → C + D (a reação é fortemente endotérmica).")</f>
        <v xml:space="preserve"> A + B → C + D (a reação é fortemente endotérmica).</v>
      </c>
      <c r="O401" s="4" t="str">
        <f ca="1">IFERROR(__xludf.DUMMYFUNCTION("""COMPUTED_VALUE""")," A + 3B → C (a reação ocorre com uso de solvente orgânico).")</f>
        <v xml:space="preserve"> A + 3B → C (a reação ocorre com uso de solvente orgânico).</v>
      </c>
      <c r="P401" s="4" t="str">
        <f ca="1">IFERROR(__xludf.DUMMYFUNCTION("""COMPUTED_VALUE"""),"3A + 2B → 2C → 3D + 2E (a reação ocorrre sob pressão atmosférica).")</f>
        <v>3A + 2B → 2C → 3D + 2E (a reação ocorrre sob pressão atmosférica).</v>
      </c>
      <c r="Q401" s="4" t="str">
        <f ca="1">IFERROR(__xludf.DUMMYFUNCTION("""COMPUTED_VALUE""")," A + 1/2B → C (a reação ocorre com o uso de um catalisador contendo um metal não
tóxico).")</f>
        <v xml:space="preserve"> A + 1/2B → C (a reação ocorre com o uso de um catalisador contendo um metal não
tóxico).</v>
      </c>
      <c r="R401" s="4"/>
      <c r="S401" s="4"/>
      <c r="T401" s="4"/>
      <c r="U401" s="4"/>
      <c r="V401" s="4"/>
      <c r="W401" s="4"/>
      <c r="X401" s="4"/>
      <c r="Y401" s="4"/>
      <c r="Z401" s="4"/>
    </row>
    <row r="402" spans="1:26" x14ac:dyDescent="0.25">
      <c r="A402" s="3" t="str">
        <f ca="1">IFERROR(__xludf.DUMMYFUNCTION("""COMPUTED_VALUE"""),"https://drive.google.com/open?id=13ZHothuZ8Q8piA1go9xkKnNLKg3Wlet1")</f>
        <v>https://drive.google.com/open?id=13ZHothuZ8Q8piA1go9xkKnNLKg3Wlet1</v>
      </c>
      <c r="B402" s="4" t="str">
        <f ca="1">IFERROR(__xludf.DUMMYFUNCTION("""COMPUTED_VALUE"""),"Enem")</f>
        <v>Enem</v>
      </c>
      <c r="C402" s="4">
        <f ca="1">IFERROR(__xludf.DUMMYFUNCTION("""COMPUTED_VALUE"""),2020)</f>
        <v>2020</v>
      </c>
      <c r="D402" s="4" t="str">
        <f ca="1">IFERROR(__xludf.DUMMYFUNCTION("""COMPUTED_VALUE"""),"Ciências da Natureza")</f>
        <v>Ciências da Natureza</v>
      </c>
      <c r="E402" s="4" t="str">
        <f ca="1">IFERROR(__xludf.DUMMYFUNCTION("""COMPUTED_VALUE"""),"Química")</f>
        <v>Química</v>
      </c>
      <c r="F402" s="4" t="str">
        <f ca="1">IFERROR(__xludf.DUMMYFUNCTION("""COMPUTED_VALUE"""),"Química Geral")</f>
        <v>Química Geral</v>
      </c>
      <c r="G402" s="4"/>
      <c r="H402" s="4"/>
      <c r="I402" s="4" t="str">
        <f ca="1">IFERROR(__xludf.DUMMYFUNCTION("""COMPUTED_VALUE"""),"Rosa")</f>
        <v>Rosa</v>
      </c>
      <c r="J402" s="4">
        <f ca="1">IFERROR(__xludf.DUMMYFUNCTION("""COMPUTED_VALUE"""),106)</f>
        <v>106</v>
      </c>
      <c r="K402" s="4" t="str">
        <f ca="1">IFERROR(__xludf.DUMMYFUNCTION("""COMPUTED_VALUE"""),"A")</f>
        <v>A</v>
      </c>
      <c r="L402" s="4" t="str">
        <f ca="1">IFERROR(__xludf.DUMMYFUNCTION("""COMPUTED_VALUE"""),"
O crescimento da frota de veículos em circulação no mundo tem levado à busca e desenvolvimento de tecnologias que permitam minimizar emissões de poluentes atmosféricos. O uso de veículos elétricos é uma das propostas mais propagandeadas por serem de emis"&amp;"são zero. Podemos comparar a emissão de carbono na forma de CO2 (massa molar igual a 44 g mol−1) para os dois tipos de carros (a combustão e elétrico). Considere que os veículos tradicionais a combustão, movidos a etanol (massa molar igual a 46 g mol−1), "&amp;"emitem uma média de 2,6 mol de CO2 por quilômetro rodado, e os elétricos emitem o equivalente a 0,45 mol de CO2 por quilômetro rodado (considerando as emissões na geração e transmissão da eletricidade). A reação de combustão do etanol pode ser representad"&amp;"a pela equação química: C2 H5 OH (l) + 3 O2 (g) → 2 CO2 (g) + 3 H2 O (g) Foram analisadas as emissões de CO2 envolvidas em dois veículos, um movido a etanol e outro elétrico, em um mesmo trajeto de 1 000 km. CHIARADIA, C. A. Estudo da viabilidade da impla"&amp;"ntação de frotas de veículos elétricos e híbridos elétricos no atual cenário econômico, político, energético e ambiental brasileiro. Guaratinguetá: Unesp, 2015 (adaptado). A quantidade equivalente de etanol economizada, em quilograma, com o uso do veículo"&amp;" elétrico nesse trajeto, é mais próxima de
")</f>
        <v xml:space="preserve">
O crescimento da frota de veículos em circulação no mundo tem levado à busca e desenvolvimento de tecnologias que permitam minimizar emissões de poluentes atmosféricos. O uso de veículos elétricos é uma das propostas mais propagandeadas por serem de emissão zero. Podemos comparar a emissão de carbono na forma de CO2 (massa molar igual a 44 g mol−1) para os dois tipos de carros (a combustão e elétrico). Considere que os veículos tradicionais a combustão, movidos a etanol (massa molar igual a 46 g mol−1), emitem uma média de 2,6 mol de CO2 por quilômetro rodado, e os elétricos emitem o equivalente a 0,45 mol de CO2 por quilômetro rodado (considerando as emissões na geração e transmissão da eletricidade). A reação de combustão do etanol pode ser representada pela equação química: C2 H5 OH (l) + 3 O2 (g) → 2 CO2 (g) + 3 H2 O (g) Foram analisadas as emissões de CO2 envolvidas em dois veículos, um movido a etanol e outro elétrico, em um mesmo trajeto de 1 000 km. CHIARADIA, C. A. Estudo da viabilidade da implantação de frotas de veículos elétricos e híbridos elétricos no atual cenário econômico, político, energético e ambiental brasileiro. Guaratinguetá: Unesp, 2015 (adaptado). A quantidade equivalente de etanol economizada, em quilograma, com o uso do veículo elétrico nesse trajeto, é mais próxima de
</v>
      </c>
      <c r="M402" s="4" t="str">
        <f ca="1">IFERROR(__xludf.DUMMYFUNCTION("""COMPUTED_VALUE"""),"50.")</f>
        <v>50.</v>
      </c>
      <c r="N402" s="4" t="str">
        <f ca="1">IFERROR(__xludf.DUMMYFUNCTION("""COMPUTED_VALUE""")," 60.")</f>
        <v xml:space="preserve"> 60.</v>
      </c>
      <c r="O402" s="4" t="str">
        <f ca="1">IFERROR(__xludf.DUMMYFUNCTION("""COMPUTED_VALUE""")," 95.")</f>
        <v xml:space="preserve"> 95.</v>
      </c>
      <c r="P402" s="4" t="str">
        <f ca="1">IFERROR(__xludf.DUMMYFUNCTION("""COMPUTED_VALUE""")," 99.")</f>
        <v xml:space="preserve"> 99.</v>
      </c>
      <c r="Q402" s="4" t="str">
        <f ca="1">IFERROR(__xludf.DUMMYFUNCTION("""COMPUTED_VALUE""")," 120.")</f>
        <v xml:space="preserve"> 120.</v>
      </c>
      <c r="R402" s="4"/>
      <c r="S402" s="4"/>
      <c r="T402" s="4"/>
      <c r="U402" s="4"/>
      <c r="V402" s="4"/>
      <c r="W402" s="4"/>
      <c r="X402" s="4"/>
      <c r="Y402" s="4"/>
      <c r="Z402" s="4"/>
    </row>
    <row r="403" spans="1:26" x14ac:dyDescent="0.25">
      <c r="A403" s="3" t="str">
        <f ca="1">IFERROR(__xludf.DUMMYFUNCTION("""COMPUTED_VALUE"""),"https://drive.google.com/open?id=1B1B1aOi8HCDqXLVOaZUgYKpx5G2M3qmm")</f>
        <v>https://drive.google.com/open?id=1B1B1aOi8HCDqXLVOaZUgYKpx5G2M3qmm</v>
      </c>
      <c r="B403" s="4" t="str">
        <f ca="1">IFERROR(__xludf.DUMMYFUNCTION("""COMPUTED_VALUE"""),"Enem")</f>
        <v>Enem</v>
      </c>
      <c r="C403" s="4">
        <f ca="1">IFERROR(__xludf.DUMMYFUNCTION("""COMPUTED_VALUE"""),2020)</f>
        <v>2020</v>
      </c>
      <c r="D403" s="4" t="str">
        <f ca="1">IFERROR(__xludf.DUMMYFUNCTION("""COMPUTED_VALUE"""),"Ciências da Natureza")</f>
        <v>Ciências da Natureza</v>
      </c>
      <c r="E403" s="4" t="str">
        <f ca="1">IFERROR(__xludf.DUMMYFUNCTION("""COMPUTED_VALUE"""),"Química")</f>
        <v>Química</v>
      </c>
      <c r="F403" s="4" t="str">
        <f ca="1">IFERROR(__xludf.DUMMYFUNCTION("""COMPUTED_VALUE"""),"Química Geral")</f>
        <v>Química Geral</v>
      </c>
      <c r="G403" s="4"/>
      <c r="H403" s="4"/>
      <c r="I403" s="4" t="str">
        <f ca="1">IFERROR(__xludf.DUMMYFUNCTION("""COMPUTED_VALUE"""),"Rosa")</f>
        <v>Rosa</v>
      </c>
      <c r="J403" s="4">
        <f ca="1">IFERROR(__xludf.DUMMYFUNCTION("""COMPUTED_VALUE"""),108)</f>
        <v>108</v>
      </c>
      <c r="K403" s="4" t="str">
        <f ca="1">IFERROR(__xludf.DUMMYFUNCTION("""COMPUTED_VALUE"""),"A")</f>
        <v>A</v>
      </c>
      <c r="L403" s="4" t="str">
        <f ca="1">IFERROR(__xludf.DUMMYFUNCTION("""COMPUTED_VALUE"""),"
Embora a energia nuclear possa ser utilizada para fins pacíficos, recentes conflitos geopolíticos têm trazido preocupações em várias partes do planeta e estimulado discussões visando o combate ao uso de armas de destruição em massa. Além do potencial des"&amp;"trutivo da bomba atômica, uma grande preocupação associada ao emprego desse artefato bélico é a poeira radioativa deixada após a bomba ser detonada. Qual é o processo envolvido na detonação dessa bomba?
")</f>
        <v xml:space="preserve">
Embora a energia nuclear possa ser utilizada para fins pacíficos, recentes conflitos geopolíticos têm trazido preocupações em várias partes do planeta e estimulado discussões visando o combate ao uso de armas de destruição em massa. Além do potencial destrutivo da bomba atômica, uma grande preocupação associada ao emprego desse artefato bélico é a poeira radioativa deixada após a bomba ser detonada. Qual é o processo envolvido na detonação dessa bomba?
</v>
      </c>
      <c r="M403" s="4" t="str">
        <f ca="1">IFERROR(__xludf.DUMMYFUNCTION("""COMPUTED_VALUE"""),"Fissão nuclear do urânio, provocada por nêutrons.")</f>
        <v>Fissão nuclear do urânio, provocada por nêutrons.</v>
      </c>
      <c r="N403" s="4" t="str">
        <f ca="1">IFERROR(__xludf.DUMMYFUNCTION("""COMPUTED_VALUE""")," Fusão nuclear do hidrogênio, provocada por prótons.")</f>
        <v xml:space="preserve"> Fusão nuclear do hidrogênio, provocada por prótons.</v>
      </c>
      <c r="O403" s="4" t="str">
        <f ca="1">IFERROR(__xludf.DUMMYFUNCTION("""COMPUTED_VALUE"""),"Desintegração nuclear do plutônio, provocada por elétrons.")</f>
        <v>Desintegração nuclear do plutônio, provocada por elétrons.</v>
      </c>
      <c r="P403" s="4" t="str">
        <f ca="1">IFERROR(__xludf.DUMMYFUNCTION("""COMPUTED_VALUE"""),"Associação em cadeia de chumbo, provocada por pósitrons.")</f>
        <v>Associação em cadeia de chumbo, provocada por pósitrons.</v>
      </c>
      <c r="Q403" s="4" t="str">
        <f ca="1">IFERROR(__xludf.DUMMYFUNCTION("""COMPUTED_VALUE"""),"Decaimento radioativo do carbono, provocado por partículas beta.")</f>
        <v>Decaimento radioativo do carbono, provocado por partículas beta.</v>
      </c>
      <c r="R403" s="4"/>
      <c r="S403" s="4"/>
      <c r="T403" s="4"/>
      <c r="U403" s="4"/>
      <c r="V403" s="4"/>
      <c r="W403" s="4"/>
      <c r="X403" s="4"/>
      <c r="Y403" s="4"/>
      <c r="Z403" s="4"/>
    </row>
    <row r="404" spans="1:26" x14ac:dyDescent="0.25">
      <c r="A404" s="3" t="str">
        <f ca="1">IFERROR(__xludf.DUMMYFUNCTION("""COMPUTED_VALUE"""),"https://drive.google.com/open?id=13eGMW5nFGUVaKfhuzACezV2nX8MrRBec")</f>
        <v>https://drive.google.com/open?id=13eGMW5nFGUVaKfhuzACezV2nX8MrRBec</v>
      </c>
      <c r="B404" s="4" t="str">
        <f ca="1">IFERROR(__xludf.DUMMYFUNCTION("""COMPUTED_VALUE"""),"Enem")</f>
        <v>Enem</v>
      </c>
      <c r="C404" s="4">
        <f ca="1">IFERROR(__xludf.DUMMYFUNCTION("""COMPUTED_VALUE"""),2020)</f>
        <v>2020</v>
      </c>
      <c r="D404" s="4" t="str">
        <f ca="1">IFERROR(__xludf.DUMMYFUNCTION("""COMPUTED_VALUE"""),"Ciências da Natureza")</f>
        <v>Ciências da Natureza</v>
      </c>
      <c r="E404" s="4" t="str">
        <f ca="1">IFERROR(__xludf.DUMMYFUNCTION("""COMPUTED_VALUE"""),"Química")</f>
        <v>Química</v>
      </c>
      <c r="F404" s="4" t="str">
        <f ca="1">IFERROR(__xludf.DUMMYFUNCTION("""COMPUTED_VALUE"""),"Química Geral")</f>
        <v>Química Geral</v>
      </c>
      <c r="G404" s="4"/>
      <c r="H404" s="4"/>
      <c r="I404" s="4" t="str">
        <f ca="1">IFERROR(__xludf.DUMMYFUNCTION("""COMPUTED_VALUE"""),"Rosa")</f>
        <v>Rosa</v>
      </c>
      <c r="J404" s="4">
        <f ca="1">IFERROR(__xludf.DUMMYFUNCTION("""COMPUTED_VALUE"""),113)</f>
        <v>113</v>
      </c>
      <c r="K404" s="4" t="str">
        <f ca="1">IFERROR(__xludf.DUMMYFUNCTION("""COMPUTED_VALUE"""),"E")</f>
        <v>E</v>
      </c>
      <c r="L404" s="4" t="str">
        <f ca="1">IFERROR(__xludf.DUMMYFUNCTION("""COMPUTED_VALUE"""),"Em seu laboratório, um técnico em química foi incumbido de tratar um resíduo,
evitando seu descarte direto no meio ambiente. Ao encontrar o frasco, observou a
seguinte informação: “Resíduo: mistura de acetato de etila e água”.
Considere os dados do acetat"&amp;"o de etila:
• Baixa solubilidade em água;
• Massa específica = 0,9 g cm−3;
• Temperatura de fusão = −83 °C;
• Pressão de vapor maior que a da água.
A fim de tratar o resíduo, recuperando o acetato de etila, o técnico deve")</f>
        <v>Em seu laboratório, um técnico em química foi incumbido de tratar um resíduo,
evitando seu descarte direto no meio ambiente. Ao encontrar o frasco, observou a
seguinte informação: “Resíduo: mistura de acetato de etila e água”.
Considere os dados do acetato de etila:
• Baixa solubilidade em água;
• Massa específica = 0,9 g cm−3;
• Temperatura de fusão = −83 °C;
• Pressão de vapor maior que a da água.
A fim de tratar o resíduo, recuperando o acetato de etila, o técnico deve</v>
      </c>
      <c r="M404" s="4" t="str">
        <f ca="1">IFERROR(__xludf.DUMMYFUNCTION("""COMPUTED_VALUE"""),"evaporar o acetato de etila sem alterar o conteúdo de água.")</f>
        <v>evaporar o acetato de etila sem alterar o conteúdo de água.</v>
      </c>
      <c r="N404" s="4" t="str">
        <f ca="1">IFERROR(__xludf.DUMMYFUNCTION("""COMPUTED_VALUE""")," filtrar a mistura utilizando um funil comum e um papel de filtro.")</f>
        <v xml:space="preserve"> filtrar a mistura utilizando um funil comum e um papel de filtro.</v>
      </c>
      <c r="O404" s="4" t="str">
        <f ca="1">IFERROR(__xludf.DUMMYFUNCTION("""COMPUTED_VALUE"""),"realizar uma destilação simples para separar a água do acetato de etila.")</f>
        <v>realizar uma destilação simples para separar a água do acetato de etila.</v>
      </c>
      <c r="P404" s="4" t="str">
        <f ca="1">IFERROR(__xludf.DUMMYFUNCTION("""COMPUTED_VALUE"""),"proceder a uma centrifugação da mistura para remover o acetato de etila.")</f>
        <v>proceder a uma centrifugação da mistura para remover o acetato de etila.</v>
      </c>
      <c r="Q404" s="4" t="str">
        <f ca="1">IFERROR(__xludf.DUMMYFUNCTION("""COMPUTED_VALUE"""),"decantar a mistura separando os dois componentes em um funil adequado")</f>
        <v>decantar a mistura separando os dois componentes em um funil adequado</v>
      </c>
      <c r="R404" s="4"/>
      <c r="S404" s="4"/>
      <c r="T404" s="4"/>
      <c r="U404" s="4"/>
      <c r="V404" s="4"/>
      <c r="W404" s="4"/>
      <c r="X404" s="4"/>
      <c r="Y404" s="4"/>
      <c r="Z404" s="4"/>
    </row>
    <row r="405" spans="1:26" x14ac:dyDescent="0.25">
      <c r="A405" s="3" t="str">
        <f ca="1">IFERROR(__xludf.DUMMYFUNCTION("""COMPUTED_VALUE"""),"https://drive.google.com/open?id=1jlIDxe5exYndsr1Mop-RBMgh3Zbz8x6E")</f>
        <v>https://drive.google.com/open?id=1jlIDxe5exYndsr1Mop-RBMgh3Zbz8x6E</v>
      </c>
      <c r="B405" s="4" t="str">
        <f ca="1">IFERROR(__xludf.DUMMYFUNCTION("""COMPUTED_VALUE"""),"Enem")</f>
        <v>Enem</v>
      </c>
      <c r="C405" s="4">
        <f ca="1">IFERROR(__xludf.DUMMYFUNCTION("""COMPUTED_VALUE"""),2020)</f>
        <v>2020</v>
      </c>
      <c r="D405" s="4" t="str">
        <f ca="1">IFERROR(__xludf.DUMMYFUNCTION("""COMPUTED_VALUE"""),"Ciências da Natureza")</f>
        <v>Ciências da Natureza</v>
      </c>
      <c r="E405" s="4" t="str">
        <f ca="1">IFERROR(__xludf.DUMMYFUNCTION("""COMPUTED_VALUE"""),"Química")</f>
        <v>Química</v>
      </c>
      <c r="F405" s="4" t="str">
        <f ca="1">IFERROR(__xludf.DUMMYFUNCTION("""COMPUTED_VALUE"""),"Química Geral")</f>
        <v>Química Geral</v>
      </c>
      <c r="G405" s="4"/>
      <c r="H405" s="4"/>
      <c r="I405" s="4" t="str">
        <f ca="1">IFERROR(__xludf.DUMMYFUNCTION("""COMPUTED_VALUE"""),"Rosa")</f>
        <v>Rosa</v>
      </c>
      <c r="J405" s="4">
        <f ca="1">IFERROR(__xludf.DUMMYFUNCTION("""COMPUTED_VALUE"""),121)</f>
        <v>121</v>
      </c>
      <c r="K405" s="4" t="str">
        <f ca="1">IFERROR(__xludf.DUMMYFUNCTION("""COMPUTED_VALUE"""),"A")</f>
        <v>A</v>
      </c>
      <c r="L405" s="4" t="str">
        <f ca="1">IFERROR(__xludf.DUMMYFUNCTION("""COMPUTED_VALUE"""),"O dióxido de carbono passa para o estado sólido (gelo seco) a −78 °C e retorna ao
estado gasoso à temperatura ambiente. O gás é facilmente solubilizado em água, capaz
de absorver radiação infravermelha da superfície da terra e não conduz eletricidade. Ele"&amp;"
é utilizado como matéria-prima para a fotossíntese até o limite de saturação. Após a fixação
pelos organismos autotróficos, o gás retorna ao meio ambiente pela respiração aeróbica,
fermentação, decomposição ou por resíduos industriais, queima de combustí"&amp;"veis fósseis e
queimadas. Apesar da sua importância ecológica, seu excesso causa perturbações no
equilíbrio ambiental.
Considerando as propriedades descritas, o aumento atmosférico da substância afetará os
organismos aquáticos em razão da")</f>
        <v>O dióxido de carbono passa para o estado sólido (gelo seco) a −78 °C e retorna ao
estado gasoso à temperatura ambiente. O gás é facilmente solubilizado em água, capaz
de absorver radiação infravermelha da superfície da terra e não conduz eletricidade. Ele
é utilizado como matéria-prima para a fotossíntese até o limite de saturação. Após a fixação
pelos organismos autotróficos, o gás retorna ao meio ambiente pela respiração aeróbica,
fermentação, decomposição ou por resíduos industriais, queima de combustíveis fósseis e
queimadas. Apesar da sua importância ecológica, seu excesso causa perturbações no
equilíbrio ambiental.
Considerando as propriedades descritas, o aumento atmosférico da substância afetará os
organismos aquáticos em razão da</v>
      </c>
      <c r="M405" s="4" t="str">
        <f ca="1">IFERROR(__xludf.DUMMYFUNCTION("""COMPUTED_VALUE""")," redução do potencial hidrogeniônico da água.")</f>
        <v xml:space="preserve"> redução do potencial hidrogeniônico da água.</v>
      </c>
      <c r="N405" s="4" t="str">
        <f ca="1">IFERROR(__xludf.DUMMYFUNCTION("""COMPUTED_VALUE"""),"restrição da aerobiose pelo excesso de poluentes.")</f>
        <v>restrição da aerobiose pelo excesso de poluentes.</v>
      </c>
      <c r="O405" s="4" t="str">
        <f ca="1">IFERROR(__xludf.DUMMYFUNCTION("""COMPUTED_VALUE"""),"diminuição da emissão de oxigênio pelos autótrofos.")</f>
        <v>diminuição da emissão de oxigênio pelos autótrofos.</v>
      </c>
      <c r="P405" s="4" t="str">
        <f ca="1">IFERROR(__xludf.DUMMYFUNCTION("""COMPUTED_VALUE""")," limitação de transferência de energia entre os seres vivos.")</f>
        <v xml:space="preserve"> limitação de transferência de energia entre os seres vivos.</v>
      </c>
      <c r="Q405" s="4" t="str">
        <f ca="1">IFERROR(__xludf.DUMMYFUNCTION("""COMPUTED_VALUE"""),"retração dos oceanos pelo congelamento do gás nos polos.")</f>
        <v>retração dos oceanos pelo congelamento do gás nos polos.</v>
      </c>
      <c r="R405" s="4"/>
      <c r="S405" s="4"/>
      <c r="T405" s="4"/>
      <c r="U405" s="4"/>
      <c r="V405" s="4"/>
      <c r="W405" s="4"/>
      <c r="X405" s="4"/>
      <c r="Y405" s="4"/>
      <c r="Z405" s="4"/>
    </row>
    <row r="406" spans="1:26" x14ac:dyDescent="0.25">
      <c r="A406" s="3" t="str">
        <f ca="1">IFERROR(__xludf.DUMMYFUNCTION("""COMPUTED_VALUE"""),"https://drive.google.com/open?id=1bnWMMsVuKJmFpo4CiJ94AK5wxjk-70eJ")</f>
        <v>https://drive.google.com/open?id=1bnWMMsVuKJmFpo4CiJ94AK5wxjk-70eJ</v>
      </c>
      <c r="B406" s="4" t="str">
        <f ca="1">IFERROR(__xludf.DUMMYFUNCTION("""COMPUTED_VALUE"""),"Enem")</f>
        <v>Enem</v>
      </c>
      <c r="C406" s="4">
        <f ca="1">IFERROR(__xludf.DUMMYFUNCTION("""COMPUTED_VALUE"""),2020)</f>
        <v>2020</v>
      </c>
      <c r="D406" s="4" t="str">
        <f ca="1">IFERROR(__xludf.DUMMYFUNCTION("""COMPUTED_VALUE"""),"Ciências da Natureza")</f>
        <v>Ciências da Natureza</v>
      </c>
      <c r="E406" s="4" t="str">
        <f ca="1">IFERROR(__xludf.DUMMYFUNCTION("""COMPUTED_VALUE"""),"Química")</f>
        <v>Química</v>
      </c>
      <c r="F406" s="4" t="str">
        <f ca="1">IFERROR(__xludf.DUMMYFUNCTION("""COMPUTED_VALUE"""),"Química Geral")</f>
        <v>Química Geral</v>
      </c>
      <c r="G406" s="4"/>
      <c r="H406" s="4"/>
      <c r="I406" s="4" t="str">
        <f ca="1">IFERROR(__xludf.DUMMYFUNCTION("""COMPUTED_VALUE"""),"Rosa")</f>
        <v>Rosa</v>
      </c>
      <c r="J406" s="4">
        <f ca="1">IFERROR(__xludf.DUMMYFUNCTION("""COMPUTED_VALUE"""),122)</f>
        <v>122</v>
      </c>
      <c r="K406" s="4" t="str">
        <f ca="1">IFERROR(__xludf.DUMMYFUNCTION("""COMPUTED_VALUE"""),"E")</f>
        <v>E</v>
      </c>
      <c r="L406" s="4" t="str">
        <f ca="1">IFERROR(__xludf.DUMMYFUNCTION("""COMPUTED_VALUE"""),"Grupos de proteção ao meio ambiente conseguem resgatar muitas aves aquáticas
vítimas de vazamentos de petróleo. Essas aves são lavadas com água e detergente
neutro para a retirada completa do óleo de seu corpo e, posteriormente, são aquecidas,
medicadas, "&amp;"desintoxicadas e alimentadas. Mesmo após esses cuidados, o retorno ao
ambiente não pode ser imediato, pois elas precisam recuperar a capacidade de flutuação.
Para flutuar, essas aves precisam")</f>
        <v>Grupos de proteção ao meio ambiente conseguem resgatar muitas aves aquáticas
vítimas de vazamentos de petróleo. Essas aves são lavadas com água e detergente
neutro para a retirada completa do óleo de seu corpo e, posteriormente, são aquecidas,
medicadas, desintoxicadas e alimentadas. Mesmo após esses cuidados, o retorno ao
ambiente não pode ser imediato, pois elas precisam recuperar a capacidade de flutuação.
Para flutuar, essas aves precisam</v>
      </c>
      <c r="M406" s="4" t="str">
        <f ca="1">IFERROR(__xludf.DUMMYFUNCTION("""COMPUTED_VALUE""")," recuperar o tônus muscular.")</f>
        <v xml:space="preserve"> recuperar o tônus muscular.</v>
      </c>
      <c r="N406" s="4" t="str">
        <f ca="1">IFERROR(__xludf.DUMMYFUNCTION("""COMPUTED_VALUE""")," restaurar a massa corporal.")</f>
        <v xml:space="preserve"> restaurar a massa corporal.</v>
      </c>
      <c r="O406" s="4" t="str">
        <f ca="1">IFERROR(__xludf.DUMMYFUNCTION("""COMPUTED_VALUE""")," substituir as penas danificadas.")</f>
        <v xml:space="preserve"> substituir as penas danificadas.</v>
      </c>
      <c r="P406" s="4" t="str">
        <f ca="1">IFERROR(__xludf.DUMMYFUNCTION("""COMPUTED_VALUE""")," restabelecer a capacidade de homeotermia.")</f>
        <v xml:space="preserve"> restabelecer a capacidade de homeotermia.</v>
      </c>
      <c r="Q406" s="4" t="str">
        <f ca="1">IFERROR(__xludf.DUMMYFUNCTION("""COMPUTED_VALUE"""),"refazer a camada de cera impermeabilizante das penas.")</f>
        <v>refazer a camada de cera impermeabilizante das penas.</v>
      </c>
      <c r="R406" s="4"/>
      <c r="S406" s="4"/>
      <c r="T406" s="4"/>
      <c r="U406" s="4"/>
      <c r="V406" s="4"/>
      <c r="W406" s="4"/>
      <c r="X406" s="4"/>
      <c r="Y406" s="4"/>
      <c r="Z406" s="4"/>
    </row>
    <row r="407" spans="1:26" x14ac:dyDescent="0.25">
      <c r="A407" s="3" t="str">
        <f ca="1">IFERROR(__xludf.DUMMYFUNCTION("""COMPUTED_VALUE"""),"https://drive.google.com/open?id=19rM8BhCj5MnYjzFQP2XPzAaXY7PFaKTv")</f>
        <v>https://drive.google.com/open?id=19rM8BhCj5MnYjzFQP2XPzAaXY7PFaKTv</v>
      </c>
      <c r="B407" s="4" t="str">
        <f ca="1">IFERROR(__xludf.DUMMYFUNCTION("""COMPUTED_VALUE"""),"Enem")</f>
        <v>Enem</v>
      </c>
      <c r="C407" s="4">
        <f ca="1">IFERROR(__xludf.DUMMYFUNCTION("""COMPUTED_VALUE"""),2020)</f>
        <v>2020</v>
      </c>
      <c r="D407" s="4" t="str">
        <f ca="1">IFERROR(__xludf.DUMMYFUNCTION("""COMPUTED_VALUE"""),"Ciências da Natureza")</f>
        <v>Ciências da Natureza</v>
      </c>
      <c r="E407" s="4" t="str">
        <f ca="1">IFERROR(__xludf.DUMMYFUNCTION("""COMPUTED_VALUE"""),"Química")</f>
        <v>Química</v>
      </c>
      <c r="F407" s="4" t="str">
        <f ca="1">IFERROR(__xludf.DUMMYFUNCTION("""COMPUTED_VALUE"""),"Química Geral")</f>
        <v>Química Geral</v>
      </c>
      <c r="G407" s="4"/>
      <c r="H407" s="4"/>
      <c r="I407" s="4" t="str">
        <f ca="1">IFERROR(__xludf.DUMMYFUNCTION("""COMPUTED_VALUE"""),"Rosa")</f>
        <v>Rosa</v>
      </c>
      <c r="J407" s="4">
        <f ca="1">IFERROR(__xludf.DUMMYFUNCTION("""COMPUTED_VALUE"""),127)</f>
        <v>127</v>
      </c>
      <c r="K407" s="4" t="str">
        <f ca="1">IFERROR(__xludf.DUMMYFUNCTION("""COMPUTED_VALUE"""),"E")</f>
        <v>E</v>
      </c>
      <c r="L407" s="4" t="str">
        <f ca="1">IFERROR(__xludf.DUMMYFUNCTION("""COMPUTED_VALUE"""),"Nos dias atuais, o amplo uso de objetos de plástico gera bastante lixo, que muitas
vezes é eliminado pela população por meio da queima. Esse procedimento é prejudicial
ao meio ambiente por lançar substâncias poluentes. Para constatar esse problema, um
est"&amp;"udante analisou a decomposição térmica do policloreto de vinila (PVC), um tipo de
plástico, cuja estrutura é representada na figura.
[Figura contida no arquivo]
Para realizar esse experimento, o estudante colocou uma amostra de filme de PVC em
um tubo de "&amp;"ensaio e o aqueceu, promovendo a decomposição térmica. Houve a liberação
majoritária de um gás diatômico heteronuclear que foi recolhido em um recipiente
acoplado ao tubo de ensaio. Esse gás, quando borbulhado em solução alcalina diluída
contendo indicado"&amp;"r ácido-base, alterou a cor da solução. Além disso, em contato com uma
solução aquosa de carbonato de sódio (Na2CO3), liberou gás carbônico.
Qual foi o gás liberado majoritariamente na decomposição térmica desse tipo de plástico?")</f>
        <v>Nos dias atuais, o amplo uso de objetos de plástico gera bastante lixo, que muitas
vezes é eliminado pela população por meio da queima. Esse procedimento é prejudicial
ao meio ambiente por lançar substâncias poluentes. Para constatar esse problema, um
estudante analisou a decomposição térmica do policloreto de vinila (PVC), um tipo de
plástico, cuja estrutura é representada na figura.
[Figura contida no arquivo]
Para realizar esse experimento, o estudante colocou uma amostra de filme de PVC em
um tubo de ensaio e o aqueceu, promovendo a decomposição térmica. Houve a liberação
majoritária de um gás diatômico heteronuclear que foi recolhido em um recipiente
acoplado ao tubo de ensaio. Esse gás, quando borbulhado em solução alcalina diluída
contendo indicador ácido-base, alterou a cor da solução. Além disso, em contato com uma
solução aquosa de carbonato de sódio (Na2CO3), liberou gás carbônico.
Qual foi o gás liberado majoritariamente na decomposição térmica desse tipo de plástico?</v>
      </c>
      <c r="M407" s="4" t="str">
        <f ca="1">IFERROR(__xludf.DUMMYFUNCTION("""COMPUTED_VALUE"""),"H2")</f>
        <v>H2</v>
      </c>
      <c r="N407" s="4" t="str">
        <f ca="1">IFERROR(__xludf.DUMMYFUNCTION("""COMPUTED_VALUE""")," Cl2")</f>
        <v xml:space="preserve"> Cl2</v>
      </c>
      <c r="O407" s="4" t="str">
        <f ca="1">IFERROR(__xludf.DUMMYFUNCTION("""COMPUTED_VALUE""")," CO")</f>
        <v xml:space="preserve"> CO</v>
      </c>
      <c r="P407" s="4" t="str">
        <f ca="1">IFERROR(__xludf.DUMMYFUNCTION("""COMPUTED_VALUE""")," CO2")</f>
        <v xml:space="preserve"> CO2</v>
      </c>
      <c r="Q407" s="4" t="str">
        <f ca="1">IFERROR(__xludf.DUMMYFUNCTION("""COMPUTED_VALUE"""),"HCl")</f>
        <v>HCl</v>
      </c>
      <c r="R407" s="4"/>
      <c r="S407" s="4"/>
      <c r="T407" s="4"/>
      <c r="U407" s="4"/>
      <c r="V407" s="4"/>
      <c r="W407" s="4"/>
      <c r="X407" s="4"/>
      <c r="Y407" s="4"/>
      <c r="Z407" s="4"/>
    </row>
    <row r="408" spans="1:26" x14ac:dyDescent="0.25">
      <c r="A408" s="3" t="str">
        <f ca="1">IFERROR(__xludf.DUMMYFUNCTION("""COMPUTED_VALUE"""),"https://drive.google.com/open?id=17T6tdzh4ez1Y3vpWWAo8WnLPUgkT4Znf")</f>
        <v>https://drive.google.com/open?id=17T6tdzh4ez1Y3vpWWAo8WnLPUgkT4Znf</v>
      </c>
      <c r="B408" s="4" t="str">
        <f ca="1">IFERROR(__xludf.DUMMYFUNCTION("""COMPUTED_VALUE"""),"Enem")</f>
        <v>Enem</v>
      </c>
      <c r="C408" s="4">
        <f ca="1">IFERROR(__xludf.DUMMYFUNCTION("""COMPUTED_VALUE"""),2020)</f>
        <v>2020</v>
      </c>
      <c r="D408" s="4" t="str">
        <f ca="1">IFERROR(__xludf.DUMMYFUNCTION("""COMPUTED_VALUE"""),"Ciências da Natureza")</f>
        <v>Ciências da Natureza</v>
      </c>
      <c r="E408" s="4" t="str">
        <f ca="1">IFERROR(__xludf.DUMMYFUNCTION("""COMPUTED_VALUE"""),"Química")</f>
        <v>Química</v>
      </c>
      <c r="F408" s="4" t="str">
        <f ca="1">IFERROR(__xludf.DUMMYFUNCTION("""COMPUTED_VALUE"""),"Química Geral")</f>
        <v>Química Geral</v>
      </c>
      <c r="G408" s="4"/>
      <c r="H408" s="4"/>
      <c r="I408" s="4" t="str">
        <f ca="1">IFERROR(__xludf.DUMMYFUNCTION("""COMPUTED_VALUE"""),"Rosa")</f>
        <v>Rosa</v>
      </c>
      <c r="J408" s="4">
        <f ca="1">IFERROR(__xludf.DUMMYFUNCTION("""COMPUTED_VALUE"""),131)</f>
        <v>131</v>
      </c>
      <c r="K408" s="4" t="str">
        <f ca="1">IFERROR(__xludf.DUMMYFUNCTION("""COMPUTED_VALUE"""),"D")</f>
        <v>D</v>
      </c>
      <c r="L408" s="4" t="str">
        <f ca="1">IFERROR(__xludf.DUMMYFUNCTION("""COMPUTED_VALUE"""),"A nanotecnologia pode ser caracterizada quando os compostos estão na ordem de
milionésimos de milímetros, como na utilização de nanomateriais catalíticos nos processos
industriais. O uso desses materiais aumenta a eficiência da produção, consome menos
ene"&amp;"rgia e gera menores quantidades de resíduos. O sucesso dessa aplicação tecnológica
muitas vezes está relacionado ao aumento da velocidade da reação química envolvida.
O êxito da aplicação dessa tecnologia é por causa da realização de reações químicas que
"&amp;"ocorrem em condições de")</f>
        <v>A nanotecnologia pode ser caracterizada quando os compostos estão na ordem de
milionésimos de milímetros, como na utilização de nanomateriais catalíticos nos processos
industriais. O uso desses materiais aumenta a eficiência da produção, consome menos
energia e gera menores quantidades de resíduos. O sucesso dessa aplicação tecnológica
muitas vezes está relacionado ao aumento da velocidade da reação química envolvida.
O êxito da aplicação dessa tecnologia é por causa da realização de reações químicas que
ocorrem em condições de</v>
      </c>
      <c r="M408" s="4" t="str">
        <f ca="1">IFERROR(__xludf.DUMMYFUNCTION("""COMPUTED_VALUE""")," alta pressão.")</f>
        <v xml:space="preserve"> alta pressão.</v>
      </c>
      <c r="N408" s="4" t="str">
        <f ca="1">IFERROR(__xludf.DUMMYFUNCTION("""COMPUTED_VALUE""")," alta temperatura.")</f>
        <v xml:space="preserve"> alta temperatura.</v>
      </c>
      <c r="O408" s="4" t="str">
        <f ca="1">IFERROR(__xludf.DUMMYFUNCTION("""COMPUTED_VALUE"""),"excesso de reagentes.")</f>
        <v>excesso de reagentes.</v>
      </c>
      <c r="P408" s="4" t="str">
        <f ca="1">IFERROR(__xludf.DUMMYFUNCTION("""COMPUTED_VALUE""")," maior superfície de contato.")</f>
        <v xml:space="preserve"> maior superfície de contato.</v>
      </c>
      <c r="Q408" s="4" t="str">
        <f ca="1">IFERROR(__xludf.DUMMYFUNCTION("""COMPUTED_VALUE"""),"elevada energia de ativação.")</f>
        <v>elevada energia de ativação.</v>
      </c>
      <c r="R408" s="4"/>
      <c r="S408" s="4"/>
      <c r="T408" s="4"/>
      <c r="U408" s="4"/>
      <c r="V408" s="4"/>
      <c r="W408" s="4"/>
      <c r="X408" s="4"/>
      <c r="Y408" s="4"/>
      <c r="Z408" s="4"/>
    </row>
    <row r="409" spans="1:26" x14ac:dyDescent="0.25">
      <c r="A409" s="3" t="str">
        <f ca="1">IFERROR(__xludf.DUMMYFUNCTION("""COMPUTED_VALUE"""),"https://drive.google.com/open?id=16AooVCfuapwqZ35XCyUGZgnIl25dGsET")</f>
        <v>https://drive.google.com/open?id=16AooVCfuapwqZ35XCyUGZgnIl25dGsET</v>
      </c>
      <c r="B409" s="4" t="str">
        <f ca="1">IFERROR(__xludf.DUMMYFUNCTION("""COMPUTED_VALUE"""),"Enem")</f>
        <v>Enem</v>
      </c>
      <c r="C409" s="4">
        <f ca="1">IFERROR(__xludf.DUMMYFUNCTION("""COMPUTED_VALUE"""),2020)</f>
        <v>2020</v>
      </c>
      <c r="D409" s="4" t="str">
        <f ca="1">IFERROR(__xludf.DUMMYFUNCTION("""COMPUTED_VALUE"""),"Ciências da Natureza")</f>
        <v>Ciências da Natureza</v>
      </c>
      <c r="E409" s="4" t="str">
        <f ca="1">IFERROR(__xludf.DUMMYFUNCTION("""COMPUTED_VALUE"""),"Química")</f>
        <v>Química</v>
      </c>
      <c r="F409" s="4" t="str">
        <f ca="1">IFERROR(__xludf.DUMMYFUNCTION("""COMPUTED_VALUE"""),"Química Geral")</f>
        <v>Química Geral</v>
      </c>
      <c r="G409" s="4"/>
      <c r="H409" s="4"/>
      <c r="I409" s="4" t="str">
        <f ca="1">IFERROR(__xludf.DUMMYFUNCTION("""COMPUTED_VALUE"""),"Rosa")</f>
        <v>Rosa</v>
      </c>
      <c r="J409" s="4">
        <f ca="1">IFERROR(__xludf.DUMMYFUNCTION("""COMPUTED_VALUE"""),133)</f>
        <v>133</v>
      </c>
      <c r="K409" s="4" t="str">
        <f ca="1">IFERROR(__xludf.DUMMYFUNCTION("""COMPUTED_VALUE"""),"D")</f>
        <v>D</v>
      </c>
      <c r="L409" s="4" t="str">
        <f ca="1">IFERROR(__xludf.DUMMYFUNCTION("""COMPUTED_VALUE"""),"QUESTÃO 133
Para garantir que produtos eletrônicos estejam armazenados de forma adequada
antes da venda, algumas empresas utilizam cartões indicadores de umidade nas
embalagens desses produtos. Alguns desses cartões contêm um sal de cobalto que muda
de co"&amp;"r em presença de água, de acordo com a equação química:
[Figura contida no arquivo]
Como você procederia para reutilizar, num curto intervalo de tempo, um cartão que já
estivesse com a coloração rosa?")</f>
        <v>QUESTÃO 133
Para garantir que produtos eletrônicos estejam armazenados de forma adequada
antes da venda, algumas empresas utilizam cartões indicadores de umidade nas
embalagens desses produtos. Alguns desses cartões contêm um sal de cobalto que muda
de cor em presença de água, de acordo com a equação química:
[Figura contida no arquivo]
Como você procederia para reutilizar, num curto intervalo de tempo, um cartão que já
estivesse com a coloração rosa?</v>
      </c>
      <c r="M409" s="4" t="str">
        <f ca="1">IFERROR(__xludf.DUMMYFUNCTION("""COMPUTED_VALUE"""),"Resfriaria no congelador.")</f>
        <v>Resfriaria no congelador.</v>
      </c>
      <c r="N409" s="4" t="str">
        <f ca="1">IFERROR(__xludf.DUMMYFUNCTION("""COMPUTED_VALUE""")," Borrifaria com spray de água.")</f>
        <v xml:space="preserve"> Borrifaria com spray de água.</v>
      </c>
      <c r="O409" s="4" t="str">
        <f ca="1">IFERROR(__xludf.DUMMYFUNCTION("""COMPUTED_VALUE""")," Envolveria com papel alumínio.")</f>
        <v xml:space="preserve"> Envolveria com papel alumínio.</v>
      </c>
      <c r="P409" s="4" t="str">
        <f ca="1">IFERROR(__xludf.DUMMYFUNCTION("""COMPUTED_VALUE""")," Aqueceria com secador de cabelos.")</f>
        <v xml:space="preserve"> Aqueceria com secador de cabelos.</v>
      </c>
      <c r="Q409" s="4" t="str">
        <f ca="1">IFERROR(__xludf.DUMMYFUNCTION("""COMPUTED_VALUE""")," Embrulharia em guardanapo de papel.")</f>
        <v xml:space="preserve"> Embrulharia em guardanapo de papel.</v>
      </c>
      <c r="R409" s="4"/>
      <c r="S409" s="4"/>
      <c r="T409" s="4"/>
      <c r="U409" s="4"/>
      <c r="V409" s="4"/>
      <c r="W409" s="4"/>
      <c r="X409" s="4"/>
      <c r="Y409" s="4"/>
      <c r="Z409" s="4"/>
    </row>
    <row r="410" spans="1:26" x14ac:dyDescent="0.25">
      <c r="A410" s="3" t="str">
        <f ca="1">IFERROR(__xludf.DUMMYFUNCTION("""COMPUTED_VALUE"""),"https://drive.google.com/open?id=1YPdEULf85HlD5LH26LNELDIHaAuf-4Bs")</f>
        <v>https://drive.google.com/open?id=1YPdEULf85HlD5LH26LNELDIHaAuf-4Bs</v>
      </c>
      <c r="B410" s="4" t="str">
        <f ca="1">IFERROR(__xludf.DUMMYFUNCTION("""COMPUTED_VALUE"""),"Enem")</f>
        <v>Enem</v>
      </c>
      <c r="C410" s="4">
        <f ca="1">IFERROR(__xludf.DUMMYFUNCTION("""COMPUTED_VALUE"""),2020)</f>
        <v>2020</v>
      </c>
      <c r="D410" s="4" t="str">
        <f ca="1">IFERROR(__xludf.DUMMYFUNCTION("""COMPUTED_VALUE"""),"Ciências da Natureza")</f>
        <v>Ciências da Natureza</v>
      </c>
      <c r="E410" s="4" t="str">
        <f ca="1">IFERROR(__xludf.DUMMYFUNCTION("""COMPUTED_VALUE"""),"Química")</f>
        <v>Química</v>
      </c>
      <c r="F410" s="4" t="str">
        <f ca="1">IFERROR(__xludf.DUMMYFUNCTION("""COMPUTED_VALUE"""),"Química Orgânica")</f>
        <v>Química Orgânica</v>
      </c>
      <c r="G410" s="4"/>
      <c r="H410" s="4"/>
      <c r="I410" s="4" t="str">
        <f ca="1">IFERROR(__xludf.DUMMYFUNCTION("""COMPUTED_VALUE"""),"Rosa")</f>
        <v>Rosa</v>
      </c>
      <c r="J410" s="4">
        <f ca="1">IFERROR(__xludf.DUMMYFUNCTION("""COMPUTED_VALUE"""),101)</f>
        <v>101</v>
      </c>
      <c r="K410" s="4" t="str">
        <f ca="1">IFERROR(__xludf.DUMMYFUNCTION("""COMPUTED_VALUE"""),"A")</f>
        <v>A</v>
      </c>
      <c r="L410" s="4" t="str">
        <f ca="1">IFERROR(__xludf.DUMMYFUNCTION("""COMPUTED_VALUE"""),"Um microempresário do ramo de cosméticos utiliza óleos essenciais e quer produzir
um creme com fragrância de rosas. O principal componente do óleo de rosas tem
cadeia poli-insaturada e hidroxila em carbono terminal. O catálogo dos óleos essenciais
apresen"&amp;"ta, para escolha da essência, estas estruturas químicas:
[Figura contida no arquivo]
Qual substância o empresário deverá utilizar?")</f>
        <v>Um microempresário do ramo de cosméticos utiliza óleos essenciais e quer produzir
um creme com fragrância de rosas. O principal componente do óleo de rosas tem
cadeia poli-insaturada e hidroxila em carbono terminal. O catálogo dos óleos essenciais
apresenta, para escolha da essência, estas estruturas químicas:
[Figura contida no arquivo]
Qual substância o empresário deverá utilizar?</v>
      </c>
      <c r="M410" s="4" t="str">
        <f ca="1">IFERROR(__xludf.DUMMYFUNCTION("""COMPUTED_VALUE"""),"1")</f>
        <v>1</v>
      </c>
      <c r="N410" s="4" t="str">
        <f ca="1">IFERROR(__xludf.DUMMYFUNCTION("""COMPUTED_VALUE"""),"2")</f>
        <v>2</v>
      </c>
      <c r="O410" s="4" t="str">
        <f ca="1">IFERROR(__xludf.DUMMYFUNCTION("""COMPUTED_VALUE"""),"3")</f>
        <v>3</v>
      </c>
      <c r="P410" s="4" t="str">
        <f ca="1">IFERROR(__xludf.DUMMYFUNCTION("""COMPUTED_VALUE"""),"4")</f>
        <v>4</v>
      </c>
      <c r="Q410" s="4" t="str">
        <f ca="1">IFERROR(__xludf.DUMMYFUNCTION("""COMPUTED_VALUE"""),"5")</f>
        <v>5</v>
      </c>
      <c r="R410" s="4"/>
      <c r="S410" s="4"/>
      <c r="T410" s="4"/>
      <c r="U410" s="4"/>
      <c r="V410" s="4"/>
      <c r="W410" s="4"/>
      <c r="X410" s="4"/>
      <c r="Y410" s="4"/>
      <c r="Z410" s="4"/>
    </row>
    <row r="411" spans="1:26" x14ac:dyDescent="0.25">
      <c r="A411" s="3" t="str">
        <f ca="1">IFERROR(__xludf.DUMMYFUNCTION("""COMPUTED_VALUE"""),"https://drive.google.com/open?id=15gaaT21DMkoCXDadtYm_-n2wtOXoH5VG")</f>
        <v>https://drive.google.com/open?id=15gaaT21DMkoCXDadtYm_-n2wtOXoH5VG</v>
      </c>
      <c r="B411" s="4" t="str">
        <f ca="1">IFERROR(__xludf.DUMMYFUNCTION("""COMPUTED_VALUE"""),"Enem")</f>
        <v>Enem</v>
      </c>
      <c r="C411" s="4">
        <f ca="1">IFERROR(__xludf.DUMMYFUNCTION("""COMPUTED_VALUE"""),2020)</f>
        <v>2020</v>
      </c>
      <c r="D411" s="4" t="str">
        <f ca="1">IFERROR(__xludf.DUMMYFUNCTION("""COMPUTED_VALUE"""),"Ciências da Natureza")</f>
        <v>Ciências da Natureza</v>
      </c>
      <c r="E411" s="4" t="str">
        <f ca="1">IFERROR(__xludf.DUMMYFUNCTION("""COMPUTED_VALUE"""),"Química")</f>
        <v>Química</v>
      </c>
      <c r="F411" s="4" t="str">
        <f ca="1">IFERROR(__xludf.DUMMYFUNCTION("""COMPUTED_VALUE"""),"Química Orgânica")</f>
        <v>Química Orgânica</v>
      </c>
      <c r="G411" s="4"/>
      <c r="H411" s="4"/>
      <c r="I411" s="4" t="str">
        <f ca="1">IFERROR(__xludf.DUMMYFUNCTION("""COMPUTED_VALUE"""),"Rosa")</f>
        <v>Rosa</v>
      </c>
      <c r="J411" s="4">
        <f ca="1">IFERROR(__xludf.DUMMYFUNCTION("""COMPUTED_VALUE"""),118)</f>
        <v>118</v>
      </c>
      <c r="K411" s="4" t="str">
        <f ca="1">IFERROR(__xludf.DUMMYFUNCTION("""COMPUTED_VALUE"""),"D")</f>
        <v>D</v>
      </c>
      <c r="L411" s="4" t="str">
        <f ca="1">IFERROR(__xludf.DUMMYFUNCTION("""COMPUTED_VALUE"""),"Grandes reservatórios de óleo leve de melhor qualidade e que produz petróleo mais
fino foram descobertos no litoral brasileiro numa camada denominada pré-sal, formada há
150 milhões de anos.
A  utilização desse recurso energético acarreta para o ambiente "&amp;"um desequilíbrio no ciclo do
")</f>
        <v xml:space="preserve">Grandes reservatórios de óleo leve de melhor qualidade e que produz petróleo mais
fino foram descobertos no litoral brasileiro numa camada denominada pré-sal, formada há
150 milhões de anos.
A  utilização desse recurso energético acarreta para o ambiente um desequilíbrio no ciclo do
</v>
      </c>
      <c r="M411" s="4" t="str">
        <f ca="1">IFERROR(__xludf.DUMMYFUNCTION("""COMPUTED_VALUE"""),"nitrogênio, devido à nitrificação ambiental transformando amônia em nitrito.")</f>
        <v>nitrogênio, devido à nitrificação ambiental transformando amônia em nitrito.</v>
      </c>
      <c r="N411" s="4" t="str">
        <f ca="1">IFERROR(__xludf.DUMMYFUNCTION("""COMPUTED_VALUE"""),"nitrogênio, devido ao aumento dos compostos nitrogenados no ambiente terrestre.")</f>
        <v>nitrogênio, devido ao aumento dos compostos nitrogenados no ambiente terrestre.</v>
      </c>
      <c r="O411" s="4" t="str">
        <f ca="1">IFERROR(__xludf.DUMMYFUNCTION("""COMPUTED_VALUE"""),"carbono, devido ao aumento dos carbonatos dissolvidos no ambiente marinho.")</f>
        <v>carbono, devido ao aumento dos carbonatos dissolvidos no ambiente marinho.</v>
      </c>
      <c r="P411" s="4" t="str">
        <f ca="1">IFERROR(__xludf.DUMMYFUNCTION("""COMPUTED_VALUE""")," carbono, devido à liberação das cadeias carbônicas aprisionadas abaixo dos
sedimentos.")</f>
        <v xml:space="preserve"> carbono, devido à liberação das cadeias carbônicas aprisionadas abaixo dos
sedimentos.</v>
      </c>
      <c r="Q411" s="4" t="str">
        <f ca="1">IFERROR(__xludf.DUMMYFUNCTION("""COMPUTED_VALUE""")," fósforo, devido à liberação dos fosfatos acumulados no ambiente marinho.
")</f>
        <v xml:space="preserve"> fósforo, devido à liberação dos fosfatos acumulados no ambiente marinho.
</v>
      </c>
      <c r="R411" s="4"/>
      <c r="S411" s="4"/>
      <c r="T411" s="4"/>
      <c r="U411" s="4"/>
      <c r="V411" s="4"/>
      <c r="W411" s="4"/>
      <c r="X411" s="4"/>
      <c r="Y411" s="4"/>
      <c r="Z411" s="4"/>
    </row>
    <row r="412" spans="1:26" x14ac:dyDescent="0.25">
      <c r="A412" s="3" t="str">
        <f ca="1">IFERROR(__xludf.DUMMYFUNCTION("""COMPUTED_VALUE"""),"https://drive.google.com/open?id=1PiXBTHpzXBTpv49lIFjnsr0EisZQDlC6")</f>
        <v>https://drive.google.com/open?id=1PiXBTHpzXBTpv49lIFjnsr0EisZQDlC6</v>
      </c>
      <c r="B412" s="4" t="str">
        <f ca="1">IFERROR(__xludf.DUMMYFUNCTION("""COMPUTED_VALUE"""),"Enem")</f>
        <v>Enem</v>
      </c>
      <c r="C412" s="4">
        <f ca="1">IFERROR(__xludf.DUMMYFUNCTION("""COMPUTED_VALUE"""),2020)</f>
        <v>2020</v>
      </c>
      <c r="D412" s="4" t="str">
        <f ca="1">IFERROR(__xludf.DUMMYFUNCTION("""COMPUTED_VALUE"""),"Ciências da Natureza")</f>
        <v>Ciências da Natureza</v>
      </c>
      <c r="E412" s="4" t="str">
        <f ca="1">IFERROR(__xludf.DUMMYFUNCTION("""COMPUTED_VALUE"""),"Química")</f>
        <v>Química</v>
      </c>
      <c r="F412" s="4" t="str">
        <f ca="1">IFERROR(__xludf.DUMMYFUNCTION("""COMPUTED_VALUE"""),"Química Orgânica")</f>
        <v>Química Orgânica</v>
      </c>
      <c r="G412" s="4"/>
      <c r="H412" s="4"/>
      <c r="I412" s="4" t="str">
        <f ca="1">IFERROR(__xludf.DUMMYFUNCTION("""COMPUTED_VALUE"""),"Rosa")</f>
        <v>Rosa</v>
      </c>
      <c r="J412" s="4">
        <f ca="1">IFERROR(__xludf.DUMMYFUNCTION("""COMPUTED_VALUE"""),135)</f>
        <v>135</v>
      </c>
      <c r="K412" s="4" t="str">
        <f ca="1">IFERROR(__xludf.DUMMYFUNCTION("""COMPUTED_VALUE"""),"D")</f>
        <v>D</v>
      </c>
      <c r="L412" s="4" t="str">
        <f ca="1">IFERROR(__xludf.DUMMYFUNCTION("""COMPUTED_VALUE"""),"A enorme quantidade de resíduos gerados pelo consumo crescente da sociedade traz
para a humanidade uma preocupação socioambiental, em especial pela quantidade de lixo
produzido. Além da reciclagem e do reúso, pode-se melhorar ainda mais a qualidade de
vid"&amp;"a, substituindo polímeros convencionais por polímeros biodegradáveis.
Esses polímeros têm grandes vantagens socioambientais em relação aos convencionais
porque
")</f>
        <v xml:space="preserve">A enorme quantidade de resíduos gerados pelo consumo crescente da sociedade traz
para a humanidade uma preocupação socioambiental, em especial pela quantidade de lixo
produzido. Além da reciclagem e do reúso, pode-se melhorar ainda mais a qualidade de
vida, substituindo polímeros convencionais por polímeros biodegradáveis.
Esses polímeros têm grandes vantagens socioambientais em relação aos convencionais
porque
</v>
      </c>
      <c r="M412" s="4" t="str">
        <f ca="1">IFERROR(__xludf.DUMMYFUNCTION("""COMPUTED_VALUE""")," não são tóxicos.")</f>
        <v xml:space="preserve"> não são tóxicos.</v>
      </c>
      <c r="N412" s="4" t="str">
        <f ca="1">IFERROR(__xludf.DUMMYFUNCTION("""COMPUTED_VALUE"""),"não precisam ser reciclados.")</f>
        <v>não precisam ser reciclados.</v>
      </c>
      <c r="O412" s="4" t="str">
        <f ca="1">IFERROR(__xludf.DUMMYFUNCTION("""COMPUTED_VALUE"""),"não causam poluição ambiental quando descartados.")</f>
        <v>não causam poluição ambiental quando descartados.</v>
      </c>
      <c r="P412" s="4" t="str">
        <f ca="1">IFERROR(__xludf.DUMMYFUNCTION("""COMPUTED_VALUE"""),"são degradados em um tempo bastante menor que os convencionais.")</f>
        <v>são degradados em um tempo bastante menor que os convencionais.</v>
      </c>
      <c r="Q412" s="4" t="str">
        <f ca="1">IFERROR(__xludf.DUMMYFUNCTION("""COMPUTED_VALUE"""),"apresentam propriedades mecânicas semelhantes aos convencionais")</f>
        <v>apresentam propriedades mecânicas semelhantes aos convencionais</v>
      </c>
      <c r="R412" s="4"/>
      <c r="S412" s="4"/>
      <c r="T412" s="4"/>
      <c r="U412" s="4"/>
      <c r="V412" s="4"/>
      <c r="W412" s="4"/>
      <c r="X412" s="4"/>
      <c r="Y412" s="4"/>
      <c r="Z412" s="4"/>
    </row>
    <row r="413" spans="1:26" x14ac:dyDescent="0.25">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spans="1:26" x14ac:dyDescent="0.25">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spans="1:26" x14ac:dyDescent="0.25">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spans="1:26" x14ac:dyDescent="0.25">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spans="1:26" x14ac:dyDescent="0.25">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spans="1:26" x14ac:dyDescent="0.25">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spans="1:26" x14ac:dyDescent="0.25">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spans="1:26" x14ac:dyDescent="0.25">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spans="1:26" x14ac:dyDescent="0.25">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spans="1:26" x14ac:dyDescent="0.25">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spans="1:26" x14ac:dyDescent="0.25">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spans="1:26" x14ac:dyDescent="0.25">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spans="1:26" x14ac:dyDescent="0.25">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spans="1:26" x14ac:dyDescent="0.25">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spans="1:26" x14ac:dyDescent="0.25">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spans="1:26" x14ac:dyDescent="0.25">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spans="1:26" x14ac:dyDescent="0.25">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spans="1:26" x14ac:dyDescent="0.25">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spans="1:26" x14ac:dyDescent="0.25">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spans="1:26" x14ac:dyDescent="0.25">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spans="1:26" x14ac:dyDescent="0.25">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spans="1:26" x14ac:dyDescent="0.25">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spans="1:26" x14ac:dyDescent="0.25">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spans="1:26" x14ac:dyDescent="0.25">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spans="1:26" x14ac:dyDescent="0.25">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spans="1:26" x14ac:dyDescent="0.25">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spans="1:26" x14ac:dyDescent="0.25">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spans="1:26" x14ac:dyDescent="0.25">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spans="1:26" x14ac:dyDescent="0.25">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spans="1:26" x14ac:dyDescent="0.25">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spans="1:26" x14ac:dyDescent="0.25">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spans="1:26" x14ac:dyDescent="0.25">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spans="1:26" x14ac:dyDescent="0.25">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spans="1:26" x14ac:dyDescent="0.25">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spans="1:26" x14ac:dyDescent="0.25">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spans="1:26" x14ac:dyDescent="0.25">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spans="1:26" x14ac:dyDescent="0.25">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spans="1:26" x14ac:dyDescent="0.25">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spans="1:26" x14ac:dyDescent="0.25">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spans="1:26" x14ac:dyDescent="0.25">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spans="1:26" x14ac:dyDescent="0.25">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spans="1:26" x14ac:dyDescent="0.25">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spans="1:26" x14ac:dyDescent="0.25">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spans="1:26" x14ac:dyDescent="0.25">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spans="1:26" x14ac:dyDescent="0.25">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spans="1:26" x14ac:dyDescent="0.25">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spans="1:26" x14ac:dyDescent="0.25">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spans="1:26" x14ac:dyDescent="0.25">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spans="1:26" x14ac:dyDescent="0.25">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spans="1:26" x14ac:dyDescent="0.25">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spans="1:26" x14ac:dyDescent="0.25">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spans="1:26" x14ac:dyDescent="0.25">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spans="1:26" x14ac:dyDescent="0.25">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spans="1:26" x14ac:dyDescent="0.25">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spans="1:26" x14ac:dyDescent="0.25">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spans="1:26" x14ac:dyDescent="0.25">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spans="1:26" x14ac:dyDescent="0.25">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spans="1:26" x14ac:dyDescent="0.25">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spans="1:26" x14ac:dyDescent="0.25">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spans="1:26" x14ac:dyDescent="0.25">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spans="1:26" x14ac:dyDescent="0.25">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spans="1:26" x14ac:dyDescent="0.25">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spans="1:26" x14ac:dyDescent="0.25">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spans="1:26" x14ac:dyDescent="0.25">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spans="1:26" x14ac:dyDescent="0.25">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spans="1:26" x14ac:dyDescent="0.25">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spans="1:26" x14ac:dyDescent="0.25">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spans="1:26" x14ac:dyDescent="0.25">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spans="1:26" x14ac:dyDescent="0.25">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spans="1:26" x14ac:dyDescent="0.25">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spans="1:26" x14ac:dyDescent="0.25">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spans="1:26" x14ac:dyDescent="0.25">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spans="1:26" x14ac:dyDescent="0.25">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spans="1:26" x14ac:dyDescent="0.25">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spans="1:26" x14ac:dyDescent="0.25">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spans="1:26" x14ac:dyDescent="0.25">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spans="1:26" x14ac:dyDescent="0.25">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spans="1:26" x14ac:dyDescent="0.25">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spans="1:26" x14ac:dyDescent="0.25">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spans="1:26" x14ac:dyDescent="0.25">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spans="1:26" x14ac:dyDescent="0.25">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spans="1:26" x14ac:dyDescent="0.25">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spans="1:26" x14ac:dyDescent="0.25">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spans="1:26" x14ac:dyDescent="0.25">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spans="1:26" x14ac:dyDescent="0.25">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spans="1:26" x14ac:dyDescent="0.25">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spans="1:26" x14ac:dyDescent="0.25">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spans="1:26" x14ac:dyDescent="0.25">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spans="1:26" x14ac:dyDescent="0.25">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spans="1:26" x14ac:dyDescent="0.25">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spans="1:26" x14ac:dyDescent="0.25">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spans="1:26" x14ac:dyDescent="0.25">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spans="1:26" x14ac:dyDescent="0.25">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spans="1:26" x14ac:dyDescent="0.25">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spans="1:26" x14ac:dyDescent="0.25">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spans="1:26" x14ac:dyDescent="0.25">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spans="1:26" x14ac:dyDescent="0.25">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spans="1:26" x14ac:dyDescent="0.25">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spans="1:26" x14ac:dyDescent="0.25">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spans="1:26" x14ac:dyDescent="0.25">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spans="1:26" x14ac:dyDescent="0.25">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spans="1:26" x14ac:dyDescent="0.25">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spans="1:26" x14ac:dyDescent="0.25">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spans="1:26" x14ac:dyDescent="0.25">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spans="1:26" x14ac:dyDescent="0.25">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spans="1:26" x14ac:dyDescent="0.25">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spans="1:26" x14ac:dyDescent="0.25">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spans="1:26" x14ac:dyDescent="0.25">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spans="1:26" x14ac:dyDescent="0.25">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spans="1:26" x14ac:dyDescent="0.25">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spans="1:26" x14ac:dyDescent="0.25">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spans="1:26" x14ac:dyDescent="0.25">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spans="1:26" x14ac:dyDescent="0.25">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spans="1:26" x14ac:dyDescent="0.25">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spans="1:26" x14ac:dyDescent="0.25">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spans="1:26" x14ac:dyDescent="0.25">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spans="1:26" x14ac:dyDescent="0.25">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spans="1:26" x14ac:dyDescent="0.25">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spans="1:26" x14ac:dyDescent="0.25">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spans="1:26" x14ac:dyDescent="0.25">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spans="1:26" x14ac:dyDescent="0.25">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spans="1:26" x14ac:dyDescent="0.25">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spans="1:26" x14ac:dyDescent="0.25">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spans="1:26" x14ac:dyDescent="0.25">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spans="1:26" x14ac:dyDescent="0.25">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spans="1:26" x14ac:dyDescent="0.25">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spans="1:26" x14ac:dyDescent="0.25">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spans="1:26" x14ac:dyDescent="0.25">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spans="1:26" x14ac:dyDescent="0.25">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spans="1:26" x14ac:dyDescent="0.25">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spans="1:26" x14ac:dyDescent="0.25">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spans="1:26" x14ac:dyDescent="0.25">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spans="1:26" x14ac:dyDescent="0.25">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spans="1:26" x14ac:dyDescent="0.25">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spans="1:26" x14ac:dyDescent="0.25">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spans="1:26" x14ac:dyDescent="0.25">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spans="1:26" x14ac:dyDescent="0.25">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spans="1:26" x14ac:dyDescent="0.25">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spans="1:26" x14ac:dyDescent="0.25">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spans="1:26" x14ac:dyDescent="0.25">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spans="1:26" x14ac:dyDescent="0.25">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spans="1:26" x14ac:dyDescent="0.25">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spans="1:26" x14ac:dyDescent="0.25">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spans="1:26" x14ac:dyDescent="0.25">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spans="1:26" x14ac:dyDescent="0.25">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spans="1:26" x14ac:dyDescent="0.25">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spans="1:26" x14ac:dyDescent="0.25">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spans="1:26" x14ac:dyDescent="0.25">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spans="1:26" x14ac:dyDescent="0.25">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spans="1:26" x14ac:dyDescent="0.25">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spans="1:26" x14ac:dyDescent="0.25">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spans="1:26" x14ac:dyDescent="0.25">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spans="1:26" x14ac:dyDescent="0.25">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spans="1:26" x14ac:dyDescent="0.25">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spans="1:26" x14ac:dyDescent="0.25">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spans="1:26" x14ac:dyDescent="0.25">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spans="1:26" x14ac:dyDescent="0.25">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spans="1:26" x14ac:dyDescent="0.25">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spans="1:26" x14ac:dyDescent="0.25">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spans="1:26" x14ac:dyDescent="0.25">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spans="1:26" x14ac:dyDescent="0.25">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spans="1:26" x14ac:dyDescent="0.25">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spans="1:26" x14ac:dyDescent="0.25">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spans="1:26" x14ac:dyDescent="0.25">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spans="1:26" x14ac:dyDescent="0.25">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spans="1:26" x14ac:dyDescent="0.25">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spans="1:26" x14ac:dyDescent="0.25">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spans="1:26" x14ac:dyDescent="0.25">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spans="1:26" x14ac:dyDescent="0.25">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spans="1:26" x14ac:dyDescent="0.25">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spans="1:26" x14ac:dyDescent="0.25">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spans="1:26" x14ac:dyDescent="0.25">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spans="1:26" x14ac:dyDescent="0.25">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spans="1:26" x14ac:dyDescent="0.25">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spans="1:26" x14ac:dyDescent="0.25">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spans="1:26" x14ac:dyDescent="0.25">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spans="1:26" x14ac:dyDescent="0.25">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spans="1:26" x14ac:dyDescent="0.25">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spans="1:26" x14ac:dyDescent="0.25">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spans="1:26" x14ac:dyDescent="0.25">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spans="1:26" x14ac:dyDescent="0.25">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spans="1:26" x14ac:dyDescent="0.25">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spans="1:26" x14ac:dyDescent="0.25">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spans="1:26" x14ac:dyDescent="0.25">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spans="1:26" x14ac:dyDescent="0.25">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spans="1:26" x14ac:dyDescent="0.25">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spans="1:26" x14ac:dyDescent="0.25">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spans="1:26" x14ac:dyDescent="0.25">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spans="1:26" x14ac:dyDescent="0.25">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spans="1:26" x14ac:dyDescent="0.25">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spans="1:26" x14ac:dyDescent="0.25">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spans="1:26" x14ac:dyDescent="0.25">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spans="1:26" x14ac:dyDescent="0.25">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spans="1:26" x14ac:dyDescent="0.25">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spans="1:26" x14ac:dyDescent="0.25">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spans="1:26" x14ac:dyDescent="0.25">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spans="1:26" x14ac:dyDescent="0.25">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spans="1:26" x14ac:dyDescent="0.25">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spans="1:26" x14ac:dyDescent="0.25">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spans="1:26" x14ac:dyDescent="0.25">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spans="1:26" x14ac:dyDescent="0.25">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spans="1:26" x14ac:dyDescent="0.25">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spans="1:26" x14ac:dyDescent="0.25">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spans="1:26" x14ac:dyDescent="0.25">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spans="1:26" x14ac:dyDescent="0.25">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spans="1:26" x14ac:dyDescent="0.25">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spans="1:26" x14ac:dyDescent="0.25">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spans="1:26" x14ac:dyDescent="0.25">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spans="1:26" x14ac:dyDescent="0.25">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spans="1:26" x14ac:dyDescent="0.25">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spans="1:26" x14ac:dyDescent="0.25">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spans="1:26" x14ac:dyDescent="0.25">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spans="1:26" x14ac:dyDescent="0.25">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spans="1:26" x14ac:dyDescent="0.25">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spans="1:26" x14ac:dyDescent="0.25">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spans="1:26" x14ac:dyDescent="0.25">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spans="1:26" x14ac:dyDescent="0.25">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spans="1:26" x14ac:dyDescent="0.25">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spans="1:26" x14ac:dyDescent="0.25">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spans="1:26" x14ac:dyDescent="0.25">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spans="1:26" x14ac:dyDescent="0.25">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spans="1:26" x14ac:dyDescent="0.25">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spans="1:26" x14ac:dyDescent="0.25">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spans="1:26" x14ac:dyDescent="0.25">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spans="1:26" x14ac:dyDescent="0.25">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spans="1:26" x14ac:dyDescent="0.25">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spans="1:26" x14ac:dyDescent="0.25">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spans="1:26" x14ac:dyDescent="0.25">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spans="1:26" x14ac:dyDescent="0.25">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spans="1:26" x14ac:dyDescent="0.25">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spans="1:26" x14ac:dyDescent="0.25">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spans="1:26" x14ac:dyDescent="0.25">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spans="1:26" x14ac:dyDescent="0.25">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spans="1:26" x14ac:dyDescent="0.25">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spans="1:26" x14ac:dyDescent="0.25">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spans="1:26" x14ac:dyDescent="0.25">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spans="1:26" x14ac:dyDescent="0.25">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spans="1:26" x14ac:dyDescent="0.25">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spans="1:26" x14ac:dyDescent="0.25">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spans="1:26" x14ac:dyDescent="0.25">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spans="1:26" x14ac:dyDescent="0.25">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spans="1:26" x14ac:dyDescent="0.25">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spans="1:26" x14ac:dyDescent="0.25">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spans="1:26" x14ac:dyDescent="0.25">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spans="1:26" x14ac:dyDescent="0.25">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spans="1:26" x14ac:dyDescent="0.25">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spans="1:26" x14ac:dyDescent="0.25">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spans="1:26" x14ac:dyDescent="0.25">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spans="1:26" x14ac:dyDescent="0.25">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spans="1:26" x14ac:dyDescent="0.25">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spans="1:26" x14ac:dyDescent="0.25">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spans="1:26" x14ac:dyDescent="0.25">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spans="1:26" x14ac:dyDescent="0.25">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spans="1:26" x14ac:dyDescent="0.25">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spans="1:26" x14ac:dyDescent="0.25">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spans="1:26" x14ac:dyDescent="0.25">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spans="1:26" x14ac:dyDescent="0.25">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spans="1:26" x14ac:dyDescent="0.25">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spans="1:26" x14ac:dyDescent="0.25">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spans="1:26" x14ac:dyDescent="0.25">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spans="1:26" x14ac:dyDescent="0.25">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spans="1:26" x14ac:dyDescent="0.25">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spans="1:26" x14ac:dyDescent="0.25">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spans="1:26" x14ac:dyDescent="0.25">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spans="1:26" x14ac:dyDescent="0.25">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spans="1:26" x14ac:dyDescent="0.25">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spans="1:26" x14ac:dyDescent="0.25">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spans="1:26" x14ac:dyDescent="0.25">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spans="1:26" x14ac:dyDescent="0.25">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spans="1:26" x14ac:dyDescent="0.25">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spans="1:26" x14ac:dyDescent="0.25">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spans="1:26" x14ac:dyDescent="0.25">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spans="1:26" x14ac:dyDescent="0.25">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spans="1:26" x14ac:dyDescent="0.25">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spans="1:26" x14ac:dyDescent="0.25">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spans="1:26" x14ac:dyDescent="0.25">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spans="1:26" x14ac:dyDescent="0.25">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spans="1:26" x14ac:dyDescent="0.25">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spans="1:26" x14ac:dyDescent="0.25">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spans="1:26" x14ac:dyDescent="0.25">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spans="1:26" x14ac:dyDescent="0.25">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spans="1:26" x14ac:dyDescent="0.25">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spans="1:26" x14ac:dyDescent="0.25">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spans="1:26" x14ac:dyDescent="0.25">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spans="1:26" x14ac:dyDescent="0.25">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spans="1:26" x14ac:dyDescent="0.25">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spans="1:26" x14ac:dyDescent="0.25">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spans="1:26" x14ac:dyDescent="0.25">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spans="1:26" x14ac:dyDescent="0.25">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spans="1:26" x14ac:dyDescent="0.25">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spans="1:26" x14ac:dyDescent="0.25">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spans="1:26" x14ac:dyDescent="0.25">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spans="1:26" x14ac:dyDescent="0.25">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spans="1:26" x14ac:dyDescent="0.25">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spans="1:26" x14ac:dyDescent="0.25">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spans="1:26" x14ac:dyDescent="0.25">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spans="1:26" x14ac:dyDescent="0.25">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spans="1:26" x14ac:dyDescent="0.25">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spans="1:26" x14ac:dyDescent="0.25">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spans="1:26" x14ac:dyDescent="0.25">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spans="1:26" x14ac:dyDescent="0.25">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spans="1:26" x14ac:dyDescent="0.25">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spans="1:26" x14ac:dyDescent="0.25">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spans="1:26" x14ac:dyDescent="0.25">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spans="1:26" x14ac:dyDescent="0.25">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spans="1:26" x14ac:dyDescent="0.25">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spans="1:26" x14ac:dyDescent="0.25">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spans="1:26" x14ac:dyDescent="0.25">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spans="1:26" x14ac:dyDescent="0.25">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spans="1:26" x14ac:dyDescent="0.25">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spans="1:26" x14ac:dyDescent="0.25">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spans="1:26" x14ac:dyDescent="0.25">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spans="1:26" x14ac:dyDescent="0.25">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spans="1:26" x14ac:dyDescent="0.25">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spans="1:26" x14ac:dyDescent="0.25">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spans="1:26" x14ac:dyDescent="0.25">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spans="1:26" x14ac:dyDescent="0.25">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spans="1:26" x14ac:dyDescent="0.25">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spans="1:26" x14ac:dyDescent="0.25">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spans="1:26" x14ac:dyDescent="0.25">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spans="1:26" x14ac:dyDescent="0.25">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spans="1:26" x14ac:dyDescent="0.25">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spans="1:26" x14ac:dyDescent="0.25">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spans="1:26" x14ac:dyDescent="0.25">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spans="1:26" x14ac:dyDescent="0.25">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spans="1:26" x14ac:dyDescent="0.25">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spans="1:26" x14ac:dyDescent="0.25">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spans="1:26" x14ac:dyDescent="0.25">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spans="1:26" x14ac:dyDescent="0.25">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spans="1:26" x14ac:dyDescent="0.25">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spans="1:26" x14ac:dyDescent="0.25">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spans="1:26" x14ac:dyDescent="0.25">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spans="1:26" x14ac:dyDescent="0.25">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spans="1:26" x14ac:dyDescent="0.25">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spans="1:26" x14ac:dyDescent="0.25">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spans="1:26" x14ac:dyDescent="0.25">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spans="1:26" x14ac:dyDescent="0.25">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spans="1:26" x14ac:dyDescent="0.25">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spans="1:26" x14ac:dyDescent="0.25">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spans="1:26" x14ac:dyDescent="0.25">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spans="1:26" x14ac:dyDescent="0.25">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spans="1:26" x14ac:dyDescent="0.25">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spans="1:26" x14ac:dyDescent="0.25">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spans="1:26" x14ac:dyDescent="0.25">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spans="1:26" x14ac:dyDescent="0.25">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spans="1:26" x14ac:dyDescent="0.25">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spans="1:26" x14ac:dyDescent="0.25">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spans="1:26" x14ac:dyDescent="0.25">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spans="1:26" x14ac:dyDescent="0.25">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spans="1:26" x14ac:dyDescent="0.25">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spans="1:26" x14ac:dyDescent="0.25">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spans="1:26" x14ac:dyDescent="0.25">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spans="1:26" x14ac:dyDescent="0.25">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spans="1:26" x14ac:dyDescent="0.25">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spans="1:26" x14ac:dyDescent="0.25">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spans="1:26" x14ac:dyDescent="0.25">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spans="1:26" x14ac:dyDescent="0.25">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spans="1:26" x14ac:dyDescent="0.25">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spans="1:26" x14ac:dyDescent="0.25">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spans="1:26" x14ac:dyDescent="0.25">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spans="1:26" x14ac:dyDescent="0.25">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spans="1:26" x14ac:dyDescent="0.25">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spans="1:26" x14ac:dyDescent="0.25">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spans="1:26" x14ac:dyDescent="0.25">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spans="1:26" x14ac:dyDescent="0.25">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spans="1:26" x14ac:dyDescent="0.25">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spans="1:26" x14ac:dyDescent="0.25">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spans="1:26" x14ac:dyDescent="0.25">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spans="1:26" x14ac:dyDescent="0.25">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spans="1:26" x14ac:dyDescent="0.25">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spans="1:26" x14ac:dyDescent="0.25">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spans="1:26" x14ac:dyDescent="0.25">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spans="1:26" x14ac:dyDescent="0.25">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spans="1:26" x14ac:dyDescent="0.25">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spans="1:26" x14ac:dyDescent="0.25">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spans="1:26" x14ac:dyDescent="0.25">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spans="1:26" x14ac:dyDescent="0.25">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spans="1:26" x14ac:dyDescent="0.25">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spans="1:26" x14ac:dyDescent="0.25">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spans="1:26" x14ac:dyDescent="0.25">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spans="1:26" x14ac:dyDescent="0.25">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spans="1:26" x14ac:dyDescent="0.25">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spans="1:26" x14ac:dyDescent="0.25">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spans="1:26" x14ac:dyDescent="0.25">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spans="1:26" x14ac:dyDescent="0.25">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spans="1:26" x14ac:dyDescent="0.25">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spans="1:26" x14ac:dyDescent="0.25">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spans="1:26" x14ac:dyDescent="0.25">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spans="1:26" x14ac:dyDescent="0.25">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spans="1:26" x14ac:dyDescent="0.25">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spans="1:26" x14ac:dyDescent="0.25">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spans="1:26" x14ac:dyDescent="0.25">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spans="1:26" x14ac:dyDescent="0.25">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spans="1:26" x14ac:dyDescent="0.25">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spans="1:26" x14ac:dyDescent="0.25">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spans="1:26" x14ac:dyDescent="0.25">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spans="1:26" x14ac:dyDescent="0.25">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spans="1:26" x14ac:dyDescent="0.25">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spans="1:26" x14ac:dyDescent="0.25">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spans="1:26" x14ac:dyDescent="0.25">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spans="1:26" x14ac:dyDescent="0.25">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spans="1:26" x14ac:dyDescent="0.25">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spans="1:26" x14ac:dyDescent="0.25">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spans="1:26" x14ac:dyDescent="0.25">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spans="1:26" x14ac:dyDescent="0.25">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spans="1:26" x14ac:dyDescent="0.25">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spans="1:26" x14ac:dyDescent="0.25">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spans="1:26" x14ac:dyDescent="0.25">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spans="1:26" x14ac:dyDescent="0.25">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spans="1:26" x14ac:dyDescent="0.25">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spans="1:26" x14ac:dyDescent="0.25">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spans="1:26" x14ac:dyDescent="0.25">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spans="1:26" x14ac:dyDescent="0.25">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spans="1:26" x14ac:dyDescent="0.25">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spans="1:26" x14ac:dyDescent="0.25">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spans="1:26" x14ac:dyDescent="0.25">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spans="1:26" x14ac:dyDescent="0.25">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spans="1:26" x14ac:dyDescent="0.25">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spans="1:26" x14ac:dyDescent="0.25">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spans="1:26" x14ac:dyDescent="0.25">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spans="1:26" x14ac:dyDescent="0.25">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spans="1:26" x14ac:dyDescent="0.25">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spans="1:26" x14ac:dyDescent="0.25">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spans="1:26" x14ac:dyDescent="0.25">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spans="1:26" x14ac:dyDescent="0.25">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spans="1:26" x14ac:dyDescent="0.25">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spans="1:26" x14ac:dyDescent="0.25">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spans="1:26" x14ac:dyDescent="0.25">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spans="1:26" x14ac:dyDescent="0.25">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spans="1:26" x14ac:dyDescent="0.25">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spans="1:26" x14ac:dyDescent="0.25">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spans="1:26" x14ac:dyDescent="0.25">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spans="1:26" x14ac:dyDescent="0.25">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spans="1:26" x14ac:dyDescent="0.25">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spans="1:26" x14ac:dyDescent="0.25">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spans="1:26" x14ac:dyDescent="0.25">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spans="1:26" x14ac:dyDescent="0.25">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spans="1:26" x14ac:dyDescent="0.25">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spans="1:26" x14ac:dyDescent="0.25">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spans="1:26" x14ac:dyDescent="0.25">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spans="1:26" x14ac:dyDescent="0.25">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spans="1:26" x14ac:dyDescent="0.25">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spans="1:26" x14ac:dyDescent="0.25">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spans="1:26" x14ac:dyDescent="0.25">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spans="1:26" x14ac:dyDescent="0.25">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spans="1:26" x14ac:dyDescent="0.25">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spans="1:26" x14ac:dyDescent="0.25">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spans="1:26" x14ac:dyDescent="0.25">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spans="1:26" x14ac:dyDescent="0.25">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spans="1:26" x14ac:dyDescent="0.25">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spans="1:26" x14ac:dyDescent="0.25">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spans="1:26" x14ac:dyDescent="0.25">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spans="1:26" x14ac:dyDescent="0.25">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spans="1:26" x14ac:dyDescent="0.25">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spans="1:26" x14ac:dyDescent="0.25">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spans="1:26" x14ac:dyDescent="0.25">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spans="1:26" x14ac:dyDescent="0.25">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spans="1:26" x14ac:dyDescent="0.25">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spans="1:26" x14ac:dyDescent="0.25">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spans="1:26" x14ac:dyDescent="0.25">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spans="1:26" x14ac:dyDescent="0.25">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spans="1:26" x14ac:dyDescent="0.25">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spans="1:26" x14ac:dyDescent="0.25">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spans="1:26" x14ac:dyDescent="0.25">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spans="1:26" x14ac:dyDescent="0.25">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spans="1:26" x14ac:dyDescent="0.25">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spans="1:26" x14ac:dyDescent="0.25">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spans="1:26" x14ac:dyDescent="0.25">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spans="1:26" x14ac:dyDescent="0.25">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spans="1:26" x14ac:dyDescent="0.25">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spans="1:26" x14ac:dyDescent="0.25">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spans="1:26" x14ac:dyDescent="0.25">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spans="1:26" x14ac:dyDescent="0.25">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spans="1:26" x14ac:dyDescent="0.25">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spans="1:26" x14ac:dyDescent="0.25">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spans="1:26" x14ac:dyDescent="0.25">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spans="1:26" x14ac:dyDescent="0.25">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spans="1:26" x14ac:dyDescent="0.25">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spans="1:26" x14ac:dyDescent="0.25">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spans="1:26" x14ac:dyDescent="0.25">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spans="1:26" x14ac:dyDescent="0.25">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spans="1:26" x14ac:dyDescent="0.25">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spans="1:26" x14ac:dyDescent="0.25">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spans="1:26" x14ac:dyDescent="0.25">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spans="1:26" x14ac:dyDescent="0.25">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spans="1:26" x14ac:dyDescent="0.25">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spans="1:26" x14ac:dyDescent="0.25">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spans="1:26" x14ac:dyDescent="0.25">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spans="1:26" x14ac:dyDescent="0.25">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spans="1:26" x14ac:dyDescent="0.25">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spans="1:26" x14ac:dyDescent="0.25">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spans="1:26" x14ac:dyDescent="0.25">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spans="1:26" x14ac:dyDescent="0.25">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spans="1:26" x14ac:dyDescent="0.25">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spans="1:26" x14ac:dyDescent="0.25">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spans="1:26" x14ac:dyDescent="0.25">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spans="1:26" x14ac:dyDescent="0.25">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spans="1:26" x14ac:dyDescent="0.25">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spans="1:26" x14ac:dyDescent="0.25">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spans="1:26" x14ac:dyDescent="0.25">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spans="1:26" x14ac:dyDescent="0.25">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spans="1:26" x14ac:dyDescent="0.25">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spans="1:26" x14ac:dyDescent="0.25">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spans="1:26" x14ac:dyDescent="0.25">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spans="1:26" x14ac:dyDescent="0.25">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spans="1:26" x14ac:dyDescent="0.25">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spans="1:26" x14ac:dyDescent="0.25">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spans="1:26" x14ac:dyDescent="0.25">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spans="1:26" x14ac:dyDescent="0.25">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spans="1:26" x14ac:dyDescent="0.25">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spans="1:26" x14ac:dyDescent="0.25">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spans="1:26" x14ac:dyDescent="0.25">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spans="1:26" x14ac:dyDescent="0.25">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spans="1:26" x14ac:dyDescent="0.25">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spans="1:26" x14ac:dyDescent="0.25">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spans="1:26" x14ac:dyDescent="0.25">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spans="1:26" x14ac:dyDescent="0.25">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spans="1:26" x14ac:dyDescent="0.25">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spans="1:26" x14ac:dyDescent="0.25">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spans="1:26" x14ac:dyDescent="0.25">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spans="1:26" x14ac:dyDescent="0.25">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spans="1:26" x14ac:dyDescent="0.25">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spans="1:26" x14ac:dyDescent="0.25">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spans="1:26" x14ac:dyDescent="0.25">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spans="1:26" x14ac:dyDescent="0.25">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spans="1:26" x14ac:dyDescent="0.25">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spans="1:26" x14ac:dyDescent="0.25">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spans="1:26" x14ac:dyDescent="0.25">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spans="1:26" x14ac:dyDescent="0.25">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spans="1:26" x14ac:dyDescent="0.25">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spans="1:26" x14ac:dyDescent="0.25">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spans="1:26" x14ac:dyDescent="0.25">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spans="1:26" x14ac:dyDescent="0.25">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spans="1:26" x14ac:dyDescent="0.25">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spans="1:26" x14ac:dyDescent="0.25">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spans="1:26" x14ac:dyDescent="0.25">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spans="1:26" x14ac:dyDescent="0.25">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spans="1:26" x14ac:dyDescent="0.25">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spans="1:26" x14ac:dyDescent="0.25">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spans="1:26" x14ac:dyDescent="0.25">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spans="1:26" x14ac:dyDescent="0.25">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spans="1:26" x14ac:dyDescent="0.25">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spans="1:26" x14ac:dyDescent="0.25">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spans="1:26" x14ac:dyDescent="0.25">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spans="1:26" x14ac:dyDescent="0.25">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spans="1:26" x14ac:dyDescent="0.25">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spans="1:26" x14ac:dyDescent="0.25">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spans="1:26" x14ac:dyDescent="0.25">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spans="1:26" x14ac:dyDescent="0.25">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spans="1:26" x14ac:dyDescent="0.25">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spans="1:26" x14ac:dyDescent="0.25">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spans="1:26" x14ac:dyDescent="0.25">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spans="1:26" x14ac:dyDescent="0.25">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spans="1:26" x14ac:dyDescent="0.25">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spans="1:26" x14ac:dyDescent="0.25">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spans="1:26" x14ac:dyDescent="0.25">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spans="1:26" x14ac:dyDescent="0.25">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spans="1:26" x14ac:dyDescent="0.25">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spans="1:26" x14ac:dyDescent="0.25">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spans="1:26" x14ac:dyDescent="0.25">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spans="1:26" x14ac:dyDescent="0.25">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spans="1:26" x14ac:dyDescent="0.25">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spans="1:26" x14ac:dyDescent="0.25">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spans="1:26" x14ac:dyDescent="0.25">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spans="1:26" x14ac:dyDescent="0.25">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spans="1:26" x14ac:dyDescent="0.25">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spans="1:26" x14ac:dyDescent="0.25">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spans="1:26" x14ac:dyDescent="0.25">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spans="1:26" x14ac:dyDescent="0.25">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spans="1:26" x14ac:dyDescent="0.25">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spans="1:26" x14ac:dyDescent="0.25">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spans="1:26" x14ac:dyDescent="0.25">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spans="1:26" x14ac:dyDescent="0.25">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spans="1:26" x14ac:dyDescent="0.25">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spans="1:26" x14ac:dyDescent="0.25">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spans="1:26" x14ac:dyDescent="0.25">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spans="1:26" x14ac:dyDescent="0.25">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spans="1:26" x14ac:dyDescent="0.25">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spans="1:26" x14ac:dyDescent="0.25">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spans="1:26" x14ac:dyDescent="0.25">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spans="1:26" x14ac:dyDescent="0.25">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spans="1:26" x14ac:dyDescent="0.25">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spans="1:26" x14ac:dyDescent="0.25">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spans="1:26" x14ac:dyDescent="0.25">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spans="1:26" x14ac:dyDescent="0.25">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spans="1:26" x14ac:dyDescent="0.25">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spans="1:26" x14ac:dyDescent="0.25">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spans="1:26" x14ac:dyDescent="0.25">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hyperlinks>
    <hyperlink ref="A3" r:id="rId1" display="https://drive.google.com/open?id=1NL94g-7XybFSKTZgLX8eoEOTR7FKCSXQ" xr:uid="{56D22670-AE29-40F2-A160-B0F15ECE669F}"/>
    <hyperlink ref="A4" r:id="rId2" display="https://drive.google.com/open?id=1W94bxs_7Z2-9dY7FBHCUS86gYt4Ot4GN" xr:uid="{6EA7F521-33E1-471E-A6EA-AED126DD23A1}"/>
    <hyperlink ref="A5" r:id="rId3" display="https://drive.google.com/open?id=1yC594PHRYdASnExHXFvIV00MkjuuQbOk" xr:uid="{C87F7F79-9BF8-4964-ADF9-DD0E10EDCFD1}"/>
    <hyperlink ref="A6" r:id="rId4" display="https://drive.google.com/open?id=1_OChKYB3zALFaKVcWoIrvrI-vTqRqpXn" xr:uid="{5C7DE156-9C33-4704-8C7E-FE27F89CAAF7}"/>
    <hyperlink ref="A7" r:id="rId5" display="https://drive.google.com/open?id=1uzDafALIDiDvi4mGpEydY-hD1lvCAHFf" xr:uid="{B13368E8-C0C5-4359-A6C9-7B2598F6C839}"/>
    <hyperlink ref="A8" r:id="rId6" display="https://drive.google.com/open?id=1-C8HtaadAShQcjP0QHweCuz155BZBsqa" xr:uid="{FE58E532-B691-43EF-8A26-C39FD65F4351}"/>
    <hyperlink ref="A9" r:id="rId7" display="https://drive.google.com/open?id=1r_Hxkz7t81ZvNmGdYvsf6zas4nGYeUjx" xr:uid="{6335E530-8A01-43D9-A285-8599D109B2D8}"/>
    <hyperlink ref="A10" r:id="rId8" display="https://drive.google.com/open?id=1p96KNTNepar8SQY1dWS4CXXjqtorkjYp" xr:uid="{DB35ADFD-6B9E-41D8-B0C6-0965D00333D0}"/>
    <hyperlink ref="A11" r:id="rId9" display="https://drive.google.com/open?id=1ByFEUzfnLHfdyA1zdFXnRhG4FeRr-Oua" xr:uid="{B3A6B0B5-F3EC-47FC-81B9-21015D49F4F5}"/>
    <hyperlink ref="A12" r:id="rId10" display="https://drive.google.com/open?id=135ICu-nTszGnTy5HeGacY_0w-z3ugk95" xr:uid="{CAAB8414-A196-4721-867F-3027266FFE9B}"/>
    <hyperlink ref="A13" r:id="rId11" display="https://drive.google.com/open?id=1RuSFsGGjpDV7Z_RMwdeJr60dwaiELRMM" xr:uid="{6939B77B-D040-472A-A9FD-04DD030F5500}"/>
    <hyperlink ref="A14" r:id="rId12" display="https://drive.google.com/open?id=1KdFQmBYdp-9DOTGHsh0fZZMzjN74oZnz" xr:uid="{3E1C827B-F52D-430C-B3E1-A4199D5908AF}"/>
    <hyperlink ref="A15" r:id="rId13" display="https://drive.google.com/open?id=1MTTpFHPyYTMzeEVcIGHGV2i76jJxSe3_" xr:uid="{7790EED2-1557-481E-8A16-CB109C5DEF4C}"/>
    <hyperlink ref="A16" r:id="rId14" display="https://drive.google.com/open?id=1Rk_iB589r0ZtTgPU99o2w2gKgbME94Mm" xr:uid="{749E78FF-C2AF-4CFB-9EDA-F9CF7A3D3261}"/>
    <hyperlink ref="A17" r:id="rId15" display="https://drive.google.com/open?id=1EF9DaX4W3zpjiErNVOmoqCe0GDKAL4y6" xr:uid="{E510A6E9-7A4F-4FA1-A899-0F6B330303AB}"/>
    <hyperlink ref="A18" r:id="rId16" display="https://drive.google.com/open?id=1KCmXWUiMBX2aNJdE3eHhnZ-KKIwgiGsB" xr:uid="{F0F2BA2F-D304-4BBA-A2C1-D7734D674341}"/>
    <hyperlink ref="A19" r:id="rId17" display="https://drive.google.com/open?id=1PYl-Hdoh7Vke95qA2n8IltEdDadvlY5D" xr:uid="{D111B4D4-BF5E-4478-B078-DDCA4E9B2C50}"/>
    <hyperlink ref="A20" r:id="rId18" display="https://drive.google.com/open?id=1ORRrwk4uMkG-Mx6XU5jgpo55m9qYqTXq" xr:uid="{F8C98433-5EA7-4C66-86CE-76A97EDE4DAC}"/>
    <hyperlink ref="A21" r:id="rId19" display="https://drive.google.com/open?id=132IEnJiZ5dtzWAjQWBcgAsGfPMGHjHtv" xr:uid="{CF40ADA2-D65B-4D00-9388-5EB7082F2A7A}"/>
    <hyperlink ref="A22" r:id="rId20" display="https://drive.google.com/open?id=1M229EJy5i7Nz08phWw2Wjk1cipPitI14" xr:uid="{4AEFE4F1-FA33-42EF-8600-28C0DCF833A6}"/>
    <hyperlink ref="A23" r:id="rId21" display="https://drive.google.com/open?id=1dUMTCyjRypsydrj08-k6OsWvQPzmIIlC" xr:uid="{19652071-788E-42FB-B6B0-136E8D2DA0AB}"/>
    <hyperlink ref="A24" r:id="rId22" display="https://drive.google.com/open?id=1Z9gGaJHiSFvTXMwznSNrPArtaHuqJufp" xr:uid="{F34FB0F0-B70A-4D03-91E6-505B922FF448}"/>
    <hyperlink ref="A25" r:id="rId23" display="https://drive.google.com/open?id=1ewME9Qe9bUU5H1FnEbFWqXsPLhU6RpjA" xr:uid="{7FF8CD23-16EC-4556-97B9-EB020994CD5C}"/>
    <hyperlink ref="A26" r:id="rId24" display="https://drive.google.com/open?id=1Lr6_P8bw9gVAhImAgDCpZ12iJfmwP7M7" xr:uid="{8E602870-D9DC-4B07-B495-8953B3E5B678}"/>
    <hyperlink ref="A27" r:id="rId25" display="https://drive.google.com/open?id=13E-f3R8EniH08UWsUvE7i1j7cCPkq7hc" xr:uid="{0ABBE99C-1AD0-4C1B-A8F5-BAEFB93CD6E8}"/>
    <hyperlink ref="A28" r:id="rId26" display="https://drive.google.com/open?id=1pazox9q6mRBAYc2UPy6FMsBJEHaXnQsJ" xr:uid="{F4662167-BB26-4182-BFC9-B2F8077F39D2}"/>
    <hyperlink ref="A29" r:id="rId27" display="https://drive.google.com/open?id=1rI2XVZdHqHtn2FGNZU1SuGF54qO-pRDZ" xr:uid="{709BA5B3-9CCD-4DB3-AC3E-D54A497EC43A}"/>
    <hyperlink ref="A30" r:id="rId28" display="https://drive.google.com/open?id=1Fajx3W91ZYUeazTy9teqMEqfotqihoLn" xr:uid="{7763FFA8-A036-4BF8-B357-03F2D72F7C2A}"/>
    <hyperlink ref="A31" r:id="rId29" display="https://drive.google.com/open?id=1vvIZ2hSqjXoxlAwxqTe50O9M3qPWTKi7" xr:uid="{83EFEED2-7C63-4583-B37E-A85C7AE3B1FB}"/>
    <hyperlink ref="A32" r:id="rId30" display="https://drive.google.com/open?id=1kywtTt-ZdCFMbk7B8Z1Qomf_57KoJADR" xr:uid="{A4658547-C464-43A6-A642-5BBDB5F39097}"/>
    <hyperlink ref="A33" r:id="rId31" display="https://drive.google.com/open?id=1lEhdQ36teqoR2-cE1TviDr_MKiYRMRBO" xr:uid="{1F456C6C-482C-4A7E-B3C8-28BA08351973}"/>
    <hyperlink ref="A34" r:id="rId32" display="https://drive.google.com/open?id=1tlRMbSV292t1f4WpaDRLMdqqY7JRmkAp" xr:uid="{9DFB373D-88C0-4FC9-8A5A-FFD4E539EC5A}"/>
    <hyperlink ref="A35" r:id="rId33" display="https://drive.google.com/open?id=1uu785Ijmm5i5hF1K63duqKTKxGcynaNl" xr:uid="{6576E0DD-2B9A-44AF-9DEE-AB0CDEB22BDF}"/>
    <hyperlink ref="A36" r:id="rId34" display="https://drive.google.com/open?id=1yRDd5R0-wP2OWRxoEcHykhLFLcFyaVgk" xr:uid="{E96C37F4-32E4-4114-BA5F-7D26328DF5B2}"/>
    <hyperlink ref="A37" r:id="rId35" display="https://drive.google.com/open?id=15E22_LrVcx56GbhEOBU46KAi6mfeBWTy" xr:uid="{41201C94-5862-403E-B4AE-5390E8B2DE57}"/>
    <hyperlink ref="A38" r:id="rId36" display="https://drive.google.com/open?id=1UuFIWlbjDb-HalIeajSh0TStzEH7Khtr" xr:uid="{00829271-9DD5-4954-A3FA-3DB5D422AA0C}"/>
    <hyperlink ref="A39" r:id="rId37" display="https://drive.google.com/open?id=1ZR1rhznUwxAQclUYF6tqXvdKhGuWq9Ta" xr:uid="{BCD2637E-DCB7-4A6C-A0C7-3BF14293E3E7}"/>
    <hyperlink ref="A40" r:id="rId38" display="https://drive.google.com/open?id=1L9d9arx-xDaz0JIx57HqiAt-I1okdIiI" xr:uid="{33F838F7-DE05-48A7-9A90-EEABC5D91DB5}"/>
    <hyperlink ref="A41" r:id="rId39" display="https://drive.google.com/open?id=1hQ40B9afsrCQZFsdn4vY4zgGKPW6EOmY" xr:uid="{6AD44490-C70D-4EB8-B142-E17FB8B30409}"/>
    <hyperlink ref="A42" r:id="rId40" display="https://drive.google.com/open?id=1FPM1V_XlBmHdPHFmJzjszrXiag7j86eh" xr:uid="{58D7B0C0-7C38-40A6-953D-79FDC4CAA90C}"/>
    <hyperlink ref="A43" r:id="rId41" display="https://drive.google.com/open?id=1fD0GYjVJCKiLY2xqKdkiGaB0qE7zMerg" xr:uid="{DF640ED8-C5C8-493E-ACFA-7A4F4A155719}"/>
    <hyperlink ref="A44" r:id="rId42" display="https://drive.google.com/open?id=1adcOIeS8WPunZcUsqvchJpcqj1qtOmqw" xr:uid="{B604D6ED-A704-4319-BA81-966E65516887}"/>
    <hyperlink ref="A45" r:id="rId43" display="https://drive.google.com/open?id=1rUU8lBoVaTW6M1lo72OMt943he_AKbcy" xr:uid="{7C66BA50-354C-4C95-A0A4-3B0C60F30E95}"/>
    <hyperlink ref="A46" r:id="rId44" display="https://drive.google.com/open?id=1Uxn6aDc8498h7BYqFrKq8Z-y2p3BadmZ" xr:uid="{5B550259-1C98-43E4-9F92-2224835D740E}"/>
    <hyperlink ref="A47" r:id="rId45" display="https://drive.google.com/open?id=1GQTHkPIFEZZlimFiohJ9JAtja7-XPbiS" xr:uid="{B8279D2E-6ED9-4534-BE84-61E323B92086}"/>
    <hyperlink ref="A48" r:id="rId46" display="https://drive.google.com/open?id=1S9fgBnGZZQgbWX3inKlrorqQ1B9QM4iT" xr:uid="{55DDADF3-A4FF-4F8E-8C7B-1D791589C9D7}"/>
    <hyperlink ref="A49" r:id="rId47" display="https://drive.google.com/open?id=1NfG_j96BGZdXV8oBQHgHgDbEsXNId1bQ" xr:uid="{852A1135-6CCD-4181-86B1-4FDB993E42AB}"/>
    <hyperlink ref="A50" r:id="rId48" display="https://drive.google.com/open?id=1nQXghGbqYcgUMmrLLxWIShh988mf-i-S" xr:uid="{E17171E7-C93E-41B0-BD58-6DD9EB980A5A}"/>
    <hyperlink ref="A51" r:id="rId49" display="https://drive.google.com/open?id=1Fb_gSJOrlw0FUnDuPaByNMLu3Y0EpObV" xr:uid="{D3DCFC7A-B262-46E3-B2F8-DA8C12C54159}"/>
    <hyperlink ref="A52" r:id="rId50" display="https://drive.google.com/open?id=1iyxAiDKlRRbyVtODY80-ncAdZ38AGrC8" xr:uid="{CAFED585-48C9-46B7-A9D4-7F135C71234A}"/>
    <hyperlink ref="A53" r:id="rId51" display="https://drive.google.com/open?id=1RX4O-IQN33YEVfTrFwekF9m_xFtCZXkh" xr:uid="{6FBAEC5A-169B-48D4-B3CF-9FF8889CF51B}"/>
    <hyperlink ref="A54" r:id="rId52" display="https://drive.google.com/open?id=1EgthPuR8Zhc6vekWTuZZvTdSyFZYRm-A" xr:uid="{AFAC52EF-A81D-4F79-8FCC-C2CD34D12306}"/>
    <hyperlink ref="A55" r:id="rId53" display="https://drive.google.com/open?id=1mqtMmPSA7WP8_zCbXIk3wJqzuhujQZoP" xr:uid="{47086AB2-DA95-48C7-8335-06A3CF50850C}"/>
    <hyperlink ref="A56" r:id="rId54" display="https://drive.google.com/open?id=1n9Qa1HwKCOhVWXGwtBahrkHDEt-zh6i9" xr:uid="{6E2DB710-0E3F-4D04-9A38-1C23C3950AED}"/>
    <hyperlink ref="A57" r:id="rId55" display="https://drive.google.com/open?id=1wRY2eSa5SY5MSOlaJK6TrCe_3TtmC2T3" xr:uid="{9372712C-8E7D-46D5-B5CA-2C0AB20D7681}"/>
    <hyperlink ref="A58" r:id="rId56" display="https://drive.google.com/open?id=1TKcBDI1dkVnlY65t2vCSt_yAwMkS5-Oz" xr:uid="{B322E7F9-26CB-4DEF-8A58-6BB704AA72C5}"/>
    <hyperlink ref="A59" r:id="rId57" display="https://drive.google.com/open?id=1GDqefiWkPRpPRC_TDB5xrUtkLShKTWC2" xr:uid="{6744583D-837E-4F96-A3AD-3D2C7BDD1CD8}"/>
    <hyperlink ref="A60" r:id="rId58" display="https://drive.google.com/open?id=1YE73np9jxPZ3rLrri_bO2gjwVjCAfvBN" xr:uid="{5FCCC7BB-0E98-4EE1-AAD3-4D40B127E2D6}"/>
    <hyperlink ref="A61" r:id="rId59" display="https://drive.google.com/open?id=1S-_4n-V8Tf_iuxqJYjR3Nv2Gj8oy6OhE" xr:uid="{FCE522EE-D371-4E7C-B292-4A832A9F8327}"/>
    <hyperlink ref="A62" r:id="rId60" display="https://drive.google.com/open?id=1LnGTO01S93F21u5q432zK3kIeHLiRikD" xr:uid="{E25A0261-A85F-4983-93BB-5A464A3301E5}"/>
    <hyperlink ref="A63" r:id="rId61" display="https://drive.google.com/open?id=1IQkfULACka2A1hijfhRsi7iArS-IXl6B" xr:uid="{CA0CAB4F-AFDE-49AF-8F2D-967BA5C8D026}"/>
    <hyperlink ref="A64" r:id="rId62" display="https://drive.google.com/open?id=15vGyAFLjwLpOzIzwcu4lyeYSdgJKo6Ne" xr:uid="{6C0FC6B9-52CD-41DD-A06C-0FE20F279411}"/>
    <hyperlink ref="A65" r:id="rId63" display="https://drive.google.com/open?id=1z-IqDCMAmZg9J8MDK9mcDeLOmJv_9sci" xr:uid="{69F333D0-7AC3-4BC0-907C-93A4AEE5337D}"/>
    <hyperlink ref="A66" r:id="rId64" display="https://drive.google.com/open?id=1h_SckoDRWeGkt-D783iNptVuA3DpL4tW" xr:uid="{7F3C29B8-3BBE-4936-8D49-F504BB1C1F2F}"/>
    <hyperlink ref="A67" r:id="rId65" display="https://drive.google.com/open?id=1HFCYZ_vH8xISsT3hNA16ow2h2KqXgjpE" xr:uid="{88F70AC7-7F27-4E1C-9BE3-278DDCECACB0}"/>
    <hyperlink ref="A68" r:id="rId66" display="https://drive.google.com/open?id=1B-G-3yozFa-djBSBT4wu6WT4Qcrwae-n" xr:uid="{98A7A23C-797F-44B2-80F2-5C3DE97442FE}"/>
    <hyperlink ref="A69" r:id="rId67" display="https://drive.google.com/open?id=1nPIZ3ZQ8ARMv_0LEd7x5FI1xTIcrfYql" xr:uid="{527C23F8-887B-48CA-ADFD-3453E3E0A866}"/>
    <hyperlink ref="A70" r:id="rId68" display="https://drive.google.com/open?id=1WaLJIWXqQk6YHdyRTD9KnGIgh703astR" xr:uid="{2C4C2906-F4CE-4186-A781-7BA78AD4E48C}"/>
    <hyperlink ref="A71" r:id="rId69" display="https://drive.google.com/open?id=1OM08pH11kirVVZWGz267olVn1NJyuVD9" xr:uid="{9F2DB2FC-F774-408A-A791-6FDC8500BD2A}"/>
    <hyperlink ref="A72" r:id="rId70" display="https://drive.google.com/open?id=19IA3ziA80GpL4OeOnRnDE-GppPRaBjyj" xr:uid="{86BAE6CB-A95B-4F95-B234-DBACDB8B6716}"/>
    <hyperlink ref="A73" r:id="rId71" display="https://drive.google.com/open?id=1vHSubPRDJZMn4uMwb-R3KljA3IyYq4al" xr:uid="{D0E7119F-2430-47CB-BDDE-1A19361D85EC}"/>
    <hyperlink ref="A74" r:id="rId72" display="https://drive.google.com/open?id=1-rigo8wXxrWQ2WDfjt2o3oyATbfMdbvJ" xr:uid="{D8E7DF33-499F-4D23-993F-D70FB62E059D}"/>
    <hyperlink ref="A75" r:id="rId73" display="https://drive.google.com/open?id=1YrAFNwYXPKKdbSLDuHgSYrwjHQhJURPn" xr:uid="{B58106EE-1F2E-48B4-BABD-A3310BDD8535}"/>
    <hyperlink ref="A76" r:id="rId74" display="https://drive.google.com/open?id=1vdrArF8NH9JkVSaA6tkFCwkcOIQVjvGu" xr:uid="{7901671A-A8A9-476A-91F1-42A2582F08B9}"/>
    <hyperlink ref="A77" r:id="rId75" display="https://drive.google.com/open?id=1MvUrXdH_ql0F_QudnOMKVva5ivwpk2Hr" xr:uid="{F54BC04B-A960-4BB9-B120-E1BA4DDF4BF4}"/>
    <hyperlink ref="A78" r:id="rId76" display="https://drive.google.com/open?id=1vLP0xbx2AuARSTb8JSFa_n3sPyvSGAtn" xr:uid="{87ED2B9B-A457-4E0E-A786-5B77BA1F214C}"/>
    <hyperlink ref="A79" r:id="rId77" display="https://drive.google.com/open?id=1vb6SpnFpO7QpjL2NKKt3zcZffgjslj3K" xr:uid="{89BCB17B-AB43-465C-A3DD-DEF0B8BC2636}"/>
    <hyperlink ref="A80" r:id="rId78" display="https://drive.google.com/open?id=15xdJnqzGszobad7URuO_lUfVxHcgivwk" xr:uid="{81B00C84-1E4F-490D-833F-64247BE5F9F6}"/>
    <hyperlink ref="A81" r:id="rId79" display="https://drive.google.com/open?id=14Bv8y_3du3aUApVTkh9lMshEAH7dN1ug" xr:uid="{B159020B-7F30-47AB-8D0C-E7224D8B9012}"/>
    <hyperlink ref="A82" r:id="rId80" display="https://drive.google.com/open?id=1cvRewWdWPWUOPDpFm5glm9STq65-PRzQ" xr:uid="{E27A994A-E01E-4EFC-98FA-9C3BE4E23EE5}"/>
    <hyperlink ref="A83" r:id="rId81" display="https://drive.google.com/open?id=1Fb1xXFTBQQpc6DBpSD_w0maptRy-fk8e" xr:uid="{4C92A0C2-FB4E-4A0C-A9D0-2710183AE26B}"/>
    <hyperlink ref="A84" r:id="rId82" display="https://drive.google.com/open?id=1uAheop3lSl_XZi3VWAoSDnPlZrOtZgzf" xr:uid="{00F73B93-A3DB-4473-B898-F13C0F1D19F6}"/>
    <hyperlink ref="A85" r:id="rId83" display="https://drive.google.com/open?id=16orVnjjB-g9Qq6UcwSa26Jbw7QSb-eVN" xr:uid="{AD3AEEBF-0EF6-4967-A815-680B5DFDF535}"/>
    <hyperlink ref="A86" r:id="rId84" display="https://drive.google.com/open?id=1ykvpp3K38nSriDoNDB58c9P-7pjLCmzc" xr:uid="{CD4B1087-2D3C-482E-80FE-75EF03C4D169}"/>
    <hyperlink ref="A87" r:id="rId85" display="https://drive.google.com/open?id=19AQ5kfEefB6y84-_g3ozlKyxmT5m1yZi" xr:uid="{D8E579E4-3970-45DA-A5B7-8B04DE96B0E4}"/>
    <hyperlink ref="A88" r:id="rId86" display="https://drive.google.com/open?id=1UpZW17UMtU_Yn4Zbh8UwC_a6VF7FR1De" xr:uid="{D430D182-7094-4337-9734-61A04D8874BA}"/>
    <hyperlink ref="A89" r:id="rId87" display="https://drive.google.com/open?id=1CYL-JEu1m_NmjeNgx6ZFJcYaWjuotkHz" xr:uid="{3246E167-A5CA-4166-963F-E34E92446AD2}"/>
    <hyperlink ref="A90" r:id="rId88" display="https://drive.google.com/open?id=1HId2s5OCE9AGyUxf9PbjLJJtWDH_OEoJ" xr:uid="{FC554F0A-1732-456E-9D88-767987A8D8FC}"/>
    <hyperlink ref="A91" r:id="rId89" display="https://drive.google.com/open?id=1Ind4ZLaOr5EW4Vjo56f_G9QQ4dmq8_xa" xr:uid="{C571532A-E3EF-4C54-A130-BD081296D2F6}"/>
    <hyperlink ref="A92" r:id="rId90" display="https://drive.google.com/open?id=1DbhU2WJAYm1gpf6aS-ePuZ09bn5JcdAs" xr:uid="{40DA9C5D-58F3-4DCB-90C3-4B15496612B4}"/>
    <hyperlink ref="A93" r:id="rId91" display="https://drive.google.com/open?id=1ONus_lRoFRa7HGeVFP6NJcxTFEHF6Hny" xr:uid="{3DA2BADA-457A-4966-922D-BEF79E564D0A}"/>
    <hyperlink ref="A94" r:id="rId92" display="https://drive.google.com/open?id=16jeb4iL4gKmZ0f3fwubaaTbDsPkHjZeX" xr:uid="{23744D9D-9DFE-40DD-B665-4B5753A20427}"/>
    <hyperlink ref="A95" r:id="rId93" display="https://drive.google.com/open?id=1DMaorImdwq1KsxuynZYpwBuxX9ha4T3W" xr:uid="{6B228130-D839-47E7-8DD9-E3E08A5FF26F}"/>
    <hyperlink ref="A96" r:id="rId94" display="https://drive.google.com/open?id=12wJ06s4N1NmGQuDjk7kfBEVsCXf834rJ" xr:uid="{ECA9297D-9C9C-4C10-B3FF-CC5ADD060478}"/>
    <hyperlink ref="A97" r:id="rId95" display="https://drive.google.com/open?id=1Sv-CtUVQLNPBLBph1dkJkJwzM7lLvwFg" xr:uid="{483C142B-761E-42AB-B73F-4A3D79ED842D}"/>
    <hyperlink ref="A98" r:id="rId96" display="https://drive.google.com/open?id=1QC8LVv1-6-DdU9RebfNPorXi1xOyrbR8" xr:uid="{2CA836E8-C3FE-4B46-ABF0-F4CCF4B67D0A}"/>
    <hyperlink ref="A99" r:id="rId97" display="https://drive.google.com/open?id=1BwcruElr9-djNKE0aOT7wWHLAUjwyBDG" xr:uid="{8B344642-6E2E-4FC0-B75B-99744BB92BF1}"/>
    <hyperlink ref="A100" r:id="rId98" display="https://drive.google.com/open?id=1MowGKBs4nVoP3rvaM3sCJPezFwd8DV5i" xr:uid="{D737CC59-204A-46E4-933D-3936D4FF874F}"/>
    <hyperlink ref="A101" r:id="rId99" display="https://drive.google.com/open?id=1JnMZZ1F1Ig4jFsudxFxhnPwVwRJhgCxd" xr:uid="{01BE8B17-E5B5-4F42-87CC-C2139B8E27B7}"/>
    <hyperlink ref="A102" r:id="rId100" display="https://drive.google.com/open?id=11QZw9AwR3iac6mXk0ygtj_p2ZzGKGnxe" xr:uid="{166D789E-4364-423C-B359-3629BEF039E3}"/>
    <hyperlink ref="A103" r:id="rId101" display="https://drive.google.com/open?id=1p13_hcjfbEhgGwgCS2UufCs9nEYsyeyy" xr:uid="{42EC5393-E4E8-47D6-A7A6-1819142A4A66}"/>
    <hyperlink ref="A104" r:id="rId102" display="https://drive.google.com/open?id=1Y-0kNtJM9zL6o3vYwuBAev7jLQWuJ9pU" xr:uid="{E12B8818-1DBB-4B0D-96D2-885EAE674A4F}"/>
    <hyperlink ref="A105" r:id="rId103" display="https://drive.google.com/open?id=1GZ6mZzL0cbpOEbvnmBa9hQ2qupBULvwI" xr:uid="{5E3DDA86-7BF4-4663-8AFA-327A5520C292}"/>
    <hyperlink ref="A106" r:id="rId104" display="https://drive.google.com/open?id=1BHVWnXWsSVxHdyjuHS2IVNlrSYfPT9cZ" xr:uid="{DF2B6451-B07E-4CDC-9806-A1F3D9D83025}"/>
    <hyperlink ref="A107" r:id="rId105" display="https://drive.google.com/open?id=1jcogJRrj8WE2o8CODTYkZ5i4SFH7wzkx" xr:uid="{B23D983E-6E7C-4D92-ACEA-7508E0A3C517}"/>
    <hyperlink ref="A108" r:id="rId106" display="https://drive.google.com/open?id=1BO3b--hkAHXvopUSKRGe90BVssQ9uwb6" xr:uid="{A33CD72C-71AB-4E85-8E09-771C43176C3A}"/>
    <hyperlink ref="A109" r:id="rId107" display="https://drive.google.com/open?id=137fgTpOFGX32bK_DpeGGIC-ov595TO17" xr:uid="{F89E3F2C-627A-4AF7-B3BE-C2C45AC11CB6}"/>
    <hyperlink ref="A110" r:id="rId108" display="https://drive.google.com/open?id=10zZxHII0ar3JqDtJD1b2ROfNwWFhvq13" xr:uid="{D752B682-422A-41F1-A4CE-7F0FBADF997A}"/>
    <hyperlink ref="A111" r:id="rId109" display="https://drive.google.com/open?id=13YkTf8-O7GM6-87B19EMyB5QKd3yyOfj" xr:uid="{2EEBCBEF-A271-4151-814C-B84AF51CD113}"/>
    <hyperlink ref="A112" r:id="rId110" display="https://drive.google.com/open?id=1DrtoMc2OvmYH7SFQcEFe3LybUFsD2Ziy" xr:uid="{F7E7351C-1751-4E12-B8C0-F7187C4DD0F0}"/>
    <hyperlink ref="A113" r:id="rId111" display="https://drive.google.com/open?id=1Pbm7zidEC3Z67dtP6cE62pwTkGv65cEp" xr:uid="{A6DD7960-22A2-4720-8473-31AEECD68066}"/>
    <hyperlink ref="A114" r:id="rId112" display="https://drive.google.com/open?id=1RwyTu3NwuNJsBjQOqfr4IgESawaaaASD" xr:uid="{C6AC8663-3EE1-4D80-A41E-5DB6C574ACC5}"/>
    <hyperlink ref="A115" r:id="rId113" display="https://drive.google.com/open?id=1uDtiaJjuX7-K0145GTyhVD67vWPq9n-R" xr:uid="{79E44884-0268-4955-87FA-D77F8713DC91}"/>
    <hyperlink ref="A116" r:id="rId114" display="https://drive.google.com/open?id=1U3Ic2Fd2ZCvCl8nLZvuzsivwuINaPlLr" xr:uid="{0D839AC9-853B-43F6-A4B6-FF107569388A}"/>
    <hyperlink ref="A117" r:id="rId115" display="https://drive.google.com/open?id=1I3w-FfMGm_9pguQGzA0zEC8Oqo3itWL1" xr:uid="{1B799CB3-E632-4C4D-A123-8D53BAEC72EF}"/>
    <hyperlink ref="A118" r:id="rId116" display="https://drive.google.com/open?id=1VWAsV3SYeDXhamjMVk3esak5QwR8CXsu" xr:uid="{88983FAB-BF5C-4F22-B297-96AD4726BCC6}"/>
    <hyperlink ref="A119" r:id="rId117" display="https://drive.google.com/open?id=1EiT1zqAJyXn8YR8Q8bSKqEN5szbQjNpP" xr:uid="{AED434F1-9890-4E73-9782-DBB60CAFE67C}"/>
    <hyperlink ref="A120" r:id="rId118" display="https://drive.google.com/open?id=18eqQvfA0sKYFUUoZ6fm0CgH1fGgpLsmQ" xr:uid="{512940BB-3BE1-4E77-8216-86641C2DFACE}"/>
    <hyperlink ref="A121" r:id="rId119" display="https://drive.google.com/open?id=1ffkoKHEo8wYyUGQ10x4dNwjCXlDy4x8-" xr:uid="{533588AF-1096-4F04-BD4E-D23C75FBAD8E}"/>
    <hyperlink ref="A122" r:id="rId120" display="https://drive.google.com/open?id=1JpeCOr9Q1qseJu2HGo7gwXpkMEJ5Sxps" xr:uid="{9E03DF0C-8150-4D6D-AE5A-981586A52B3A}"/>
    <hyperlink ref="A123" r:id="rId121" display="https://drive.google.com/open?id=1TulMV1MLzHI0W_hn0WdlYhqeQrcdpdQZ" xr:uid="{88D33045-940E-498B-BD59-C8079AE4B565}"/>
    <hyperlink ref="A124" r:id="rId122" display="https://drive.google.com/open?id=1cRfWbGO5HDLNvl7fHjSLhEgRluD92u1M" xr:uid="{767B4544-5149-4E85-BE90-4FC0C0F353E6}"/>
    <hyperlink ref="A125" r:id="rId123" display="https://drive.google.com/open?id=1oVU0Tp6NHGicSIv18P11SgGccIUqsh0N" xr:uid="{425E4CDA-44E8-49E4-A7F0-DC791C9C34D1}"/>
    <hyperlink ref="A126" r:id="rId124" display="https://drive.google.com/open?id=1HGck9r0yUGegbgHkBaxYvDxSlp2A8do_" xr:uid="{C9489464-5FC5-4D3C-9C68-8F8EFB865430}"/>
    <hyperlink ref="A127" r:id="rId125" display="https://drive.google.com/open?id=1nk465PDBr0HOCaUk6sQdfhdUp0g0ist7" xr:uid="{6E91B5EA-BB65-4E2A-A5BD-397D28A56D9E}"/>
    <hyperlink ref="A128" r:id="rId126" display="https://drive.google.com/open?id=1MJkETpROneOvWMBgSz8iJbgM1TKc20qe" xr:uid="{050EF3C4-FFE7-4D68-8896-D4D701B1BCFE}"/>
    <hyperlink ref="A129" r:id="rId127" display="https://drive.google.com/open?id=1qDtihalOEUQ07991VaH1Cc0aUzHy1GfS" xr:uid="{362C29CC-86A1-4FD2-B41B-312001BC3B8F}"/>
    <hyperlink ref="A130" r:id="rId128" display="https://drive.google.com/open?id=1YnDWl0sxoCRvNIzWLzK5myGTsJ8uswhn" xr:uid="{C099C6BE-57CD-40DC-97A0-80D6C63849CF}"/>
    <hyperlink ref="A131" r:id="rId129" display="https://drive.google.com/open?id=1abH39npmAMxfu5iA8IuamqlTXnRE8eX8" xr:uid="{26C06C0E-5192-4289-9A13-5FB650F6A4C7}"/>
    <hyperlink ref="A132" r:id="rId130" display="https://drive.google.com/open?id=1TVojd2X2BGJZeORsXuU0FSY4IBEiPunq" xr:uid="{EC7B6394-275A-4D87-A726-296142DF50A2}"/>
    <hyperlink ref="A133" r:id="rId131" display="https://drive.google.com/open?id=1mRKBFVq0cODVyagwTS3lre3wTyYjUlDP" xr:uid="{15B43124-EDA1-40CB-B2C1-DAAC112C0AE8}"/>
    <hyperlink ref="A134" r:id="rId132" display="https://drive.google.com/open?id=14twLiKWPk-Adh0eSkffy78XVoBqQmRwF" xr:uid="{77B06B95-4453-42F5-8493-99945A38F806}"/>
    <hyperlink ref="A135" r:id="rId133" display="https://drive.google.com/open?id=1_aCUYxQvIv1SDm6h9qUv2SkpjPmSy5fA" xr:uid="{E6A786D4-599F-4B4C-964F-A78421FA916D}"/>
    <hyperlink ref="A136" r:id="rId134" display="https://drive.google.com/open?id=1jXsd9H4eCm0nSxVNcNRJcVxY4Gvrc126" xr:uid="{191C3CC8-0388-4A54-8A4E-B59AD83B4F80}"/>
    <hyperlink ref="A137" r:id="rId135" display="https://drive.google.com/open?id=1Doh8TojWc3FzRincyG9XxtUES6tu2DTD" xr:uid="{467F1B1A-E50A-45E3-86BC-1A6085CDF2B1}"/>
    <hyperlink ref="A138" r:id="rId136" display="https://drive.google.com/open?id=13eEBLrhPFeylDmP5j-leUpObx3C-en-Y" xr:uid="{0898B9F1-9AE6-40A7-9830-3906D4290059}"/>
    <hyperlink ref="A139" r:id="rId137" display="https://drive.google.com/open?id=11uZHyQaBU74wlS08FDIB4g0rr6WLselm" xr:uid="{3D1A2CBE-CE8F-4E7C-B05D-60D44609D206}"/>
    <hyperlink ref="A140" r:id="rId138" display="https://drive.google.com/open?id=1f1fT-coijxvXGyqcO2nOpK7T5RdPbbKX" xr:uid="{9ABB2915-1B48-4595-9877-AC3C519389A0}"/>
    <hyperlink ref="A141" r:id="rId139" display="https://drive.google.com/open?id=1RyxCL9W6Oz3h6OzioQ9PVEJdIDuQLkki" xr:uid="{0C795EA2-1FD9-483B-8387-03E0DD397BAA}"/>
    <hyperlink ref="A142" r:id="rId140" display="https://drive.google.com/open?id=1I8dP6jKzgC11rQkhWXFHihShLWr0Yu45" xr:uid="{5A555726-EFBB-4E5B-B155-A0BD06E50422}"/>
    <hyperlink ref="A143" r:id="rId141" display="https://drive.google.com/open?id=1sUPyaOPRMBxHTCXnpk6QxBgn3Rnu8Bhrhttps://drive.google.com/open?id=1-KG0DeizlSpJgyeqzWBhp_AXK9UIaoIM" xr:uid="{FD65149C-8E55-497A-8EDA-9E33E2EE6AA3}"/>
    <hyperlink ref="A144" r:id="rId142" display="https://drive.google.com/open?id=1LLb5UVZ9qjFIadDmgnqt0kFehDZAvE_rhttps://drive.google.com/open?id=1-_TDkjqJhQ2jy1XbbKb5hi_lN8rYJIW1" xr:uid="{5B4FB8B9-02FC-4C15-B629-63DD7E11411A}"/>
    <hyperlink ref="A145" r:id="rId143" display="https://drive.google.com/open?id=12zUL6jw8xYiO6z9kNhc0iqkiHVAfFCRzhttps://drive.google.com/open?id=1aH9htJrxSfKXQ3UpFwJRwfG4NNpmlt8L" xr:uid="{FA30B03F-8735-4CBA-825C-719BFAFED769}"/>
    <hyperlink ref="A146" r:id="rId144" display="https://drive.google.com/open?id=1pUwzCOiwCVkrjNEt2FuMotBuYoNaTitnhttps://drive.google.com/open?id=1k973UnhUTDlM10S1UoPsJldtYcN49Nn_" xr:uid="{6B3C17F9-0C76-4F85-866F-854F74E041AF}"/>
    <hyperlink ref="A147" r:id="rId145" display="https://drive.google.com/open?id=1stbxBH-HX0LcL1uraWe0p33d27xbHMU6https://drive.google.com/open?id=1vlc0BSCnymqSPSofCIgu_QVoYXXYuOfy" xr:uid="{626E1706-A39B-4F8A-AD07-1271771B2D62}"/>
    <hyperlink ref="A148" r:id="rId146" display="https://drive.google.com/open?id=1vCTpIVIyMupMZzZhhXjixc1HVAk0_zI_https://drive.google.com/open?id=1lsC86tdWB3bWIJm9elaBzxzI9r6xpqWh" xr:uid="{A0E4D81C-FB8A-41CB-8766-B910BA04006D}"/>
    <hyperlink ref="A149" r:id="rId147" display="https://drive.google.com/open?id=1oAzbKUPROwZn3gEcmGypAOH8IXHJX5hyhttps://drive.google.com/open?id=1XJUYKuOHKgXV-ejMfrhw9cEyDDbSPigi" xr:uid="{FC0C63FC-03D2-4AC1-B212-B04B66750CA0}"/>
    <hyperlink ref="A150" r:id="rId148" display="https://drive.google.com/open?id=1iBMsXpWH7DgNbiRPDDRlf3tR5c00kVNphttps://drive.google.com/open?id=1v_z3KgcwMpj7p8rdGy_LlnmIk5xke9_m" xr:uid="{FBDC5CFC-F22C-4F0A-BD64-033F0A176765}"/>
    <hyperlink ref="A151" r:id="rId149" display="https://drive.google.com/open?id=16ufMy_vgel02YE_LwrSnsm6G5f-HFMiShttps://drive.google.com/open?id=1c71SD3cUiHzU_umC6pq6YmIuRv_MKPm7" xr:uid="{2007A6AA-930A-4BF3-9C37-02B15597D5DF}"/>
    <hyperlink ref="A152" r:id="rId150" display="https://drive.google.com/open?id=1mQp1rs4JgNtFhpVj4mfqcWKAb8EUOQ-Chttps://drive.google.com/open?id=11vl4LNQiJ1TDkfOxmHAk3GoIHrfy8Vao" xr:uid="{DE1C66D4-62C6-40AC-A8CC-F6907D3E4AE0}"/>
    <hyperlink ref="A153" r:id="rId151" display="https://drive.google.com/open?id=1UJ3iFF_7L33FJUfNesMnbdIDqfJTb5_uhttps://drive.google.com/open?id=1kmFDmTqJF5DN13Zoc0Uxe0Rk9765GDl7" xr:uid="{3A9D43F7-624D-4737-82D8-20523C895DF5}"/>
    <hyperlink ref="A154" r:id="rId152" display="https://drive.google.com/open?id=1bONn3hw8ScikEiYZ7dXoPVWfKu8MOc8Chttps://drive.google.com/open?id=1iKGZkLh-iSjjrxLuPqGLeKmmpMECDNHD" xr:uid="{86696B8E-D364-4F45-8B4C-028ED4FD51B7}"/>
    <hyperlink ref="A155" r:id="rId153" display="https://drive.google.com/open?id=1AQLL-zzuGtkE9IGct9Py-2ApP-td_Ourhttps://drive.google.com/open?id=1rM0Dg-f2-X1v3E3yuPbAIB_aKMeRRqre" xr:uid="{E823546D-BF10-44DD-87E6-C95158F3890C}"/>
    <hyperlink ref="A156" r:id="rId154" display="https://drive.google.com/open?id=1yDlChVeed_586p7Q1KCCcNL6WI5HzyEehttps://drive.google.com/open?id=15NzyqVmVQ81RNDdqbZimtz1L9meu3VXB" xr:uid="{838A2335-BFCB-4D90-9D05-90E6ABFFCBF5}"/>
    <hyperlink ref="A157" r:id="rId155" display="https://drive.google.com/open?id=1zVWOfvIA5TWMRCbuWcxoOvVdkO0DlOLHhttps://drive.google.com/open?id=1FETaYmJN2yYSQSh1aYekzHIG0AjpNyWF" xr:uid="{6A23D560-0F34-442C-B17B-91D0D7CF82E6}"/>
    <hyperlink ref="A158" r:id="rId156" display="https://drive.google.com/open?id=15Czp3uw0VRNcYgCrBq68D98bVit7O-4zhttps://drive.google.com/open?id=1g100bGvfc9l8thp3hbu7SpMakF2xhryE" xr:uid="{89160F85-BD2B-4504-86A5-F7ECD5C00347}"/>
    <hyperlink ref="A159" r:id="rId157" display="https://drive.google.com/open?id=1IZYyBDTCFBl-IIi92gwM3i5ZmhPRazUKhttps://drive.google.com/open?id=14AcbRHzuxmSWnwLUY8F3EiuDWEkqKkNj" xr:uid="{7C53D9B6-27EE-4AD8-B498-D65BC5414CF9}"/>
    <hyperlink ref="A160" r:id="rId158" display="https://drive.google.com/open?id=1yHMV3O4MtWJOsKOgusJSbxvrlPN3gmuVhttps://drive.google.com/open?id=1C9TDFgxe8nJTsg4aWy40E3kTEtFrLwKt" xr:uid="{521A7DA9-2606-42E1-B2B9-81538AEE9BB6}"/>
    <hyperlink ref="A161" r:id="rId159" display="https://drive.google.com/open?id=16MFDCTcUo3sybB3gDqAoOXJx-tD_L08whttps://drive.google.com/open?id=1pE0mlfAFSrhnxpSHuDpIcj1TrHNJWxn0" xr:uid="{7CAA252A-5E60-4AC3-BC86-D8EFB91D57CF}"/>
    <hyperlink ref="A162" r:id="rId160" display="https://drive.google.com/open?id=12_IaxRvoIVsvtkC29BvvXZmasWOmqx93https://drive.google.com/open?id=1SfmkgPudUmbc_7P18wvghsurzfAh2wIg" xr:uid="{5F011DED-EF98-44F8-82D2-73E5792C039A}"/>
    <hyperlink ref="A163" r:id="rId161" display="https://drive.google.com/open?id=1p2DGJBGfisg5kTM9sxfSdG0fB9H4l44Nhttps://drive.google.com/open?id=1Rmot-LA8wJMP80PDIix9iuEhYVx-Vxw_" xr:uid="{72026322-9311-4349-9A8C-28910BCD7FAE}"/>
    <hyperlink ref="A164" r:id="rId162" display="https://drive.google.com/open?id=1I8UYaXpgmXnTiCT4oeGwV0eIFQx9aViDhttps://drive.google.com/open?id=1HF9RkamLFO89vHB-VEIYTGb9AKfr2rES" xr:uid="{66E19594-36EF-4411-9A15-55ED363631C8}"/>
    <hyperlink ref="A165" r:id="rId163" display="https://drive.google.com/open?id=1eP831VaOQMjFuUB9SPx3JrEOKysTiRT9https://drive.google.com/open?id=1Dv5EEq0NvOurEK7O9T59VaEFhWWIhhSZ" xr:uid="{7578DAD0-62B8-4D57-83B1-7B5A024C9242}"/>
    <hyperlink ref="A166" r:id="rId164" display="https://drive.google.com/open?id=1JLTuc_d2q3se3TrAGn32pJdN7v82kqPGhttps://drive.google.com/open?id=1EPYnPKn-fVQASBt6zitC5mfoDscFrAJ2" xr:uid="{08A2A5CB-BF08-4496-901F-A4F45DD028FC}"/>
    <hyperlink ref="A167" r:id="rId165" display="https://drive.google.com/open?id=1BbeBtFdSvpDfZLZS3JIbNIhqoCKZkaJNhttps://drive.google.com/open?id=1QygkOL8VEPFn4FRKwn_D5cOhWikHTILP" xr:uid="{0056A308-F53C-4347-89E4-D46D57A9FBA6}"/>
    <hyperlink ref="A168" r:id="rId166" display="https://drive.google.com/open?id=1TVPkr8fw4WcMeYzkODY4eg0kb7UKywCQhttps://drive.google.com/open?id=1Ca9VDqZD9LnoWa2iCuBVEkxRAvHZX9TJ" xr:uid="{7F07EE7E-BD6A-45AD-829C-2278400A92E1}"/>
    <hyperlink ref="A169" r:id="rId167" display="https://drive.google.com/open?id=1Ir94gybubyFGyRZNhorRgABhsXVQowHshttps://drive.google.com/open?id=13e-2P-77tYn6DT8dB8-daXsmsqJnUlIf" xr:uid="{F626649B-015A-436E-86DC-15FF9073315A}"/>
    <hyperlink ref="A170" r:id="rId168" display="https://drive.google.com/open?id=1BXHYsu0-dFRNjf-zw7XPmYh0Cs9eWZ59https://drive.google.com/open?id=1umspcLB1UeBJmwU7Qnc56hT4E5l4G1gi" xr:uid="{B1C28E37-0032-467A-9B22-FD8200C3FA70}"/>
    <hyperlink ref="A171" r:id="rId169" display="https://drive.google.com/open?id=14jdPtEVsSoX1M292hxgsLOBSbXb9DY0Ihttps://drive.google.com/open?id=10c0l-pCoMWvP3D0i5-AJ-daRJ0ehXuM9" xr:uid="{204F8AFF-59AC-4CC6-BD04-CB2332458349}"/>
    <hyperlink ref="A172" r:id="rId170" display="https://drive.google.com/open?id=1luy7J08rMLPOmweJomJPOevO_Wx_-rgZhttps://drive.google.com/open?id=1H-irdSWbWwTLCl26rletRK2manAvwkhq" xr:uid="{3AFBD01A-DADB-4B87-A7AC-402859D324BE}"/>
    <hyperlink ref="A173" r:id="rId171" display="https://drive.google.com/open?id=1Hktw0Ndm3FSLoXnZHVkF0wwEDV0PkDR5https://drive.google.com/open?id=1uAInKvhHpVfJGwLkGnOF4-Ny8et7lDc5" xr:uid="{397F8A01-3610-4312-AABD-20CC407BA8DA}"/>
    <hyperlink ref="A174" r:id="rId172" display="https://drive.google.com/open?id=1Y-yApkDf1rRELI2KDwxVmaqT41gmGLW7https://drive.google.com/open?id=1-K8takIdGMTL4Inv1tgtcLjv3PAGM2cE" xr:uid="{E04D1185-9A44-439E-8962-0C7C688C13F3}"/>
    <hyperlink ref="A175" r:id="rId173" display="https://drive.google.com/open?id=1fl1c8hDgI-hDDI3d0zadvqi2puV7wsBWhttps://drive.google.com/open?id=1Mzbc0OJKC5o-nTwMh3S3Dm-NmFE7sGf8" xr:uid="{E1CEEA11-714F-489C-A28E-7E2DC2A501A7}"/>
    <hyperlink ref="A176" r:id="rId174" display="https://drive.google.com/open?id=1lMXFbCnOfmkG1kfcp7pOJoKsPfKU6a08https://drive.google.com/open?id=1Jt-aUbIPxqzEIU_kLgbHOSbg28tBoQ_A" xr:uid="{F45FD6EF-F684-40C9-8E7D-4A24EB9C4E67}"/>
    <hyperlink ref="A177" r:id="rId175" display="https://drive.google.com/open?id=1lss1Ly3sY6wX8sPqJnjEnTbetjOmulnxhttps://drive.google.com/open?id=1cc4bO-F5Kpxt5OHzTdIMnRc215SWHm9t" xr:uid="{32E8C81E-23D1-4763-ACEE-72B50C4BCD85}"/>
    <hyperlink ref="A178" r:id="rId176" display="https://drive.google.com/open?id=1YQaqSQjp8VHg5l1hD-1TEWrne-4YlEE3https://drive.google.com/open?id=1ztPY_645gP3v0F8wSNLpCOEqN-RNbU0G" xr:uid="{2AA5D177-4634-4D89-8AED-9FD846C33A17}"/>
    <hyperlink ref="A179" r:id="rId177" display="https://drive.google.com/open?id=1AxfBueDabj-D8xYgrZlEAFgTl4c6OJPI" xr:uid="{3F371223-554E-4A15-839B-B8D8C9531139}"/>
    <hyperlink ref="A180" r:id="rId178" display="https://drive.google.com/open?id=1gcLyhc27Ct0r_fgnRpCq-RIsEbp9l8z5" xr:uid="{46C4DEF5-78F0-4F20-AF10-C496B62963A0}"/>
    <hyperlink ref="A181" r:id="rId179" display="https://drive.google.com/open?id=1W6Dq243q5fW2H1WCmbMJLEvyLOhvPAuM" xr:uid="{B884B751-0BC1-4530-B07D-04B460542C1F}"/>
    <hyperlink ref="A182" r:id="rId180" display="https://drive.google.com/open?id=17h-ZIQyG2SXEFQz7j9cNT7aEoV2c2Fk6" xr:uid="{F9030C44-53AA-459A-AB1D-B728B5FC8F5C}"/>
    <hyperlink ref="A183" r:id="rId181" display="https://drive.google.com/open?id=1uH6O5Tux_hje4hyJNodAgLSqSo1sRpGj" xr:uid="{27D569C2-9A93-41B6-9096-05670EF18A20}"/>
    <hyperlink ref="A184" r:id="rId182" display="https://drive.google.com/open?id=1l7QrWHwBtD7853C7VAD4Nv2MJ-LWrkXs" xr:uid="{0BEE12BB-8344-46ED-845C-82D4A84E2370}"/>
    <hyperlink ref="A185" r:id="rId183" display="https://drive.google.com/open?id=1c7nM0f-7oVoM5CE_3Wwk_6PJf-FVMhEb" xr:uid="{05E61290-46DA-4C8F-A632-55FF55730E22}"/>
    <hyperlink ref="A186" r:id="rId184" display="https://drive.google.com/open?id=1oUEOIiyEfYBrAc-DZkRtuKVni0DsHsVH" xr:uid="{19BF3F06-26EA-4430-B48B-7DA39E5481F5}"/>
    <hyperlink ref="A187" r:id="rId185" display="https://drive.google.com/open?id=1yu1QPWEt3BJTFuDqTmipFUyDcnn203wd" xr:uid="{89B829EA-D10C-4FF3-99AB-51326BD825F6}"/>
    <hyperlink ref="A188" r:id="rId186" display="https://drive.google.com/open?id=11jQiNgRAgPw1GjnCuMlsIvZp0g_FuFFA" xr:uid="{0E6CA796-17C2-4465-9A1E-582ED9D2163C}"/>
    <hyperlink ref="A189" r:id="rId187" display="https://drive.google.com/open?id=1O2FPsHdlnmyw1a7eJnzWj4xKzJJnlirX" xr:uid="{11DF3422-8EB3-410A-83B6-B1482D0FBE69}"/>
    <hyperlink ref="A190" r:id="rId188" display="https://drive.google.com/open?id=1RiZ5EQfxKB6bLv7JbjSMFFDax6vc4oAD" xr:uid="{C03BA186-91B7-494B-A3D1-10C97F9B44A2}"/>
    <hyperlink ref="A191" r:id="rId189" display="https://drive.google.com/open?id=1NUuyCojwMQpLia9smX1Cr5m0vUWv3Mh0" xr:uid="{F29B0877-C2E1-4537-A31B-2D8A8A3BB961}"/>
    <hyperlink ref="A192" r:id="rId190" display="https://drive.google.com/open?id=1QPWof4NaRpuYDAY1pyX6UlK-BodwgZK1" xr:uid="{315BADF6-2185-4050-9442-745C9FDFE9E0}"/>
    <hyperlink ref="A193" r:id="rId191" display="https://drive.google.com/open?id=1R8cqirk3A3nOKfKOlXjbK4EqavyvRlxP" xr:uid="{5B3EF2C3-E779-4843-BACD-B2016969C59D}"/>
    <hyperlink ref="A194" r:id="rId192" display="https://drive.google.com/open?id=1Ed6H7jBRwo7R-nA2GMxmucRYug-ko6KB" xr:uid="{0D14DCDA-3F03-48CF-90FC-EE9B658F98C1}"/>
    <hyperlink ref="A195" r:id="rId193" display="https://drive.google.com/open?id=1KrBZcH8zU3ZFwsIqH56bB3pOeqLt0YIx" xr:uid="{755F6A40-6A4A-480F-9B76-0946C6E3D96F}"/>
    <hyperlink ref="A196" r:id="rId194" display="https://drive.google.com/open?id=18sXE8pOiccw0760SQ-Nq9xHzus2pW_kN" xr:uid="{73204E02-9951-4568-BC3D-2BC730A98F43}"/>
    <hyperlink ref="A197" r:id="rId195" display="https://drive.google.com/open?id=1YAm1qh0Z3vE55q3RFhffgRmWYWdNUCXP" xr:uid="{60C3A27A-C0E2-4241-9EF9-57BAB23304CC}"/>
    <hyperlink ref="A198" r:id="rId196" display="https://drive.google.com/open?id=1dab3aFpo-rh-K-x4S-0m0jb7DQuZe9T4" xr:uid="{708D15E5-A3E6-4E40-8599-1A4491EBCD34}"/>
    <hyperlink ref="A199" r:id="rId197" display="https://drive.google.com/open?id=1L6nYxl-T1tfy0e5o3yTdR5BOts6CAthh" xr:uid="{AC968108-BF10-4572-8EDE-A23BA1D1FF76}"/>
    <hyperlink ref="A200" r:id="rId198" display="https://drive.google.com/open?id=1yco3jo4qt7QTr_KAGobrqer9p-HshgNm" xr:uid="{156E7341-0F56-4024-B7F8-A37315F9D651}"/>
    <hyperlink ref="A201" r:id="rId199" display="https://drive.google.com/open?id=1Lfb8ja5_p2k_XkVvsKDiBXamEP4T13Gm" xr:uid="{61391259-A3C7-4B04-8D69-7782780D3BF7}"/>
    <hyperlink ref="A202" r:id="rId200" display="https://drive.google.com/open?id=1D72RSsVl1i2kefC_fkyaxN8GX6qo43lu" xr:uid="{1A2222EC-A60D-47FE-B6F0-A633542E2A9A}"/>
    <hyperlink ref="A203" r:id="rId201" display="https://drive.google.com/open?id=10d6w-yNpk4N4B0hjlKGF9ZjXxmqNW-jo" xr:uid="{DFD528C9-3738-44EA-B59F-F3BB9F5BC3B4}"/>
    <hyperlink ref="A204" r:id="rId202" display="https://drive.google.com/open?id=1SBXIIpHNMOMhdJYniGsCPDtFLNzK8N1b" xr:uid="{D44C733E-9858-476A-ACC2-790B80843861}"/>
    <hyperlink ref="A205" r:id="rId203" display="https://drive.google.com/open?id=1luMfhLbX8qHd_ATmLKgO6bQuHv_UA7ta" xr:uid="{1639953B-F120-463A-A415-BDDF8BD62198}"/>
    <hyperlink ref="A206" r:id="rId204" display="https://drive.google.com/open?id=1LMXsu2gv9w9BME3aLkE-ZnM61XIOuVYe" xr:uid="{9962FD55-21CC-40B7-AF16-6BEBB2227C6A}"/>
    <hyperlink ref="A207" r:id="rId205" display="https://drive.google.com/open?id=18qAy46Y_A3PW5RduBH0cCOK-yeGPLGuv" xr:uid="{609D3CC0-BBCF-446D-A2BC-62DC5032D264}"/>
    <hyperlink ref="A208" r:id="rId206" display="https://drive.google.com/open?id=150sqBRAWVHISku28wfN7QLs6Or9YvDqQ" xr:uid="{843E5F04-CC48-4CB8-BA9B-32F025E3F819}"/>
    <hyperlink ref="A209" r:id="rId207" display="https://drive.google.com/open?id=1-Pt3ifAzfdv44M8ZjzcCXu-N1KbB4Ic9" xr:uid="{8A57D144-320F-472F-9D36-1A8F33C54313}"/>
    <hyperlink ref="A210" r:id="rId208" display="https://drive.google.com/open?id=1FcIxRy9P8soBu7tUxjcp95r-pNJaNO9E" xr:uid="{B37A6043-209B-4BA9-9B9F-B2A1C1D61BDE}"/>
    <hyperlink ref="A211" r:id="rId209" display="https://drive.google.com/open?id=1Dm1l7bN4ZK-dSYcS_dKrzOe0ERPc5dN0" xr:uid="{82B01EB2-0692-46ED-8004-CB3CA366CA2A}"/>
    <hyperlink ref="A212" r:id="rId210" display="https://drive.google.com/open?id=15jhb7fXOiR-u6IWsy4IWivRRCdmvbunO" xr:uid="{D456DA2E-6012-4785-AB52-23F87E94E4FF}"/>
    <hyperlink ref="A213" r:id="rId211" display="https://drive.google.com/open?id=1FtQZ0JNmgiyy7ZyWCOpgtGx_9q5bpjnb" xr:uid="{2C599723-306D-45D5-B79D-C5F2F96DCA05}"/>
    <hyperlink ref="A214" r:id="rId212" display="https://drive.google.com/open?id=1kC0H4w9nGi6sbeXGtyNbQwiCOocvdJCy" xr:uid="{3830C408-0458-40B6-B496-BAC6E78A3B22}"/>
    <hyperlink ref="A215" r:id="rId213" display="https://drive.google.com/open?id=1vUwRx1Q0IbzQismY7D9pZLPqssd8Jr5t" xr:uid="{2C90EDC6-BE49-4D11-8D39-F6A65DFF6B76}"/>
    <hyperlink ref="A216" r:id="rId214" display="https://drive.google.com/open?id=1YFXN9KG-GOIQU-UY7trwe7_1uL3cbg9A" xr:uid="{9E5FEF2D-9C21-4A88-B2DE-2033DCEFE73A}"/>
    <hyperlink ref="A217" r:id="rId215" display="https://drive.google.com/open?id=1uhjV1EeYNMvUtdzRfXdz6CWI6ZETJTZ6" xr:uid="{DE155406-845B-48C2-8B1B-21140C391D47}"/>
    <hyperlink ref="A218" r:id="rId216" display="https://drive.google.com/open?id=1UxQIHcR6mGZJACpDV7JShq85qI04MvC6" xr:uid="{6013C5CC-52FA-4462-85AA-1B085A027016}"/>
    <hyperlink ref="A219" r:id="rId217" display="https://drive.google.com/open?id=1s4l5Sml4J7GyVDsXw_QTJG-5bDSezKrq" xr:uid="{E8F0B9EE-CFC9-4FAF-84BC-B43C3E5C8B1B}"/>
    <hyperlink ref="A220" r:id="rId218" display="https://drive.google.com/open?id=1zfDCePPtu9KDAGXYioAmDx8K2gSGY4th" xr:uid="{499BA911-4788-4606-B5B1-C3C114E22CA1}"/>
    <hyperlink ref="A221" r:id="rId219" display="https://drive.google.com/open?id=1z2-uO9pXi2qV6jNI5XOIC5t78Le40Rdy" xr:uid="{EE7A021C-68FC-44EE-B296-99A1811A7FF1}"/>
    <hyperlink ref="A222" r:id="rId220" display="https://drive.google.com/open?id=1fLwJ_RSZsgZd8EZMDaugb0lB_Pghnp8c" xr:uid="{E08CBB90-606A-4D41-B2D0-34EF885A2929}"/>
    <hyperlink ref="A223" r:id="rId221" display="https://drive.google.com/open?id=1VdQkfM-Bov7KCxP2YFE45GWR7kjc1HY4" xr:uid="{38D66E9C-3979-4513-8A88-06FA88B629BA}"/>
    <hyperlink ref="A224" r:id="rId222" display="https://drive.google.com/open?id=1_3M12qYLQ3eUVrPbT4V80pbGz3zD9mnY" xr:uid="{61BA1D8F-3DCD-453E-8AC7-8ACD53213411}"/>
    <hyperlink ref="A225" r:id="rId223" display="https://drive.google.com/open?id=1pWQW_13F3X4kkYHOMsyYc1fSMeY60CDW" xr:uid="{C80CB2D4-4137-4A20-9844-A73A8039BBEA}"/>
    <hyperlink ref="A226" r:id="rId224" display="https://drive.google.com/open?id=1WvyYjfacBYr-n1Lm15CmG_dgDj-LUcXu" xr:uid="{E5348FE4-6AE8-4BEE-AD63-274CBA2FA9F8}"/>
    <hyperlink ref="A227" r:id="rId225" display="https://drive.google.com/open?id=1RXt0Btc21O3OzMlnuW88ToX_4_moezm5" xr:uid="{F83D18CA-3F86-411E-90AF-21CFD13CF985}"/>
    <hyperlink ref="A228" r:id="rId226" display="https://drive.google.com/open?id=18xFXfEzTX5WS88qX9LZ21_y2en6ojKzF" xr:uid="{B1898312-1D3F-40FA-8531-08E650C35024}"/>
    <hyperlink ref="A229" r:id="rId227" display="https://drive.google.com/open?id=1H8G69Umq1or4bjIynNXEULej2i-_Q6FN" xr:uid="{D9566DA7-EB7F-44A2-8123-847F563F89B8}"/>
    <hyperlink ref="A230" r:id="rId228" display="https://drive.google.com/open?id=1M1F1OjCtrHInEt5tADTxHyqRwp4JZKBJ" xr:uid="{A1858C41-D928-448C-B771-09271B22D59A}"/>
    <hyperlink ref="A231" r:id="rId229" display="https://drive.google.com/open?id=1etxKDhUwTi__KD2CLFibMaTM36cc4m4B" xr:uid="{1F77AC9B-C44C-4D8E-80E9-64D83B4383C6}"/>
    <hyperlink ref="A232" r:id="rId230" display="https://drive.google.com/open?id=12OmEqMtuYrbXpmfLeXEKn-zP2uc5R3QX" xr:uid="{A4EF499A-D483-44AE-8B4E-8EDC3888B055}"/>
    <hyperlink ref="A233" r:id="rId231" display="https://drive.google.com/open?id=18e4SIOMb8NNveNs3pypqLpKZ-wWDV63-" xr:uid="{1A1697EA-DC73-4E2A-9DC1-7619B673186A}"/>
    <hyperlink ref="A234" r:id="rId232" display="https://drive.google.com/open?id=1DPbLakWjNCwHrmLj7ZChKEiGoG5TxkKu" xr:uid="{15BBE08C-F71A-4F8D-A9E5-3593F38592F7}"/>
    <hyperlink ref="A235" r:id="rId233" display="https://drive.google.com/open?id=1U49CwkQkyrK4PlqSdTqIiUjKrpEg0RNn" xr:uid="{B0109ECA-B322-4EE5-B7FF-FCD5E3F1EA0B}"/>
    <hyperlink ref="A236" r:id="rId234" display="https://drive.google.com/open?id=13g_liksEzYoZh2gxQ2O33xRWDRw7WWw-" xr:uid="{8F319A19-FBD9-41A9-93C6-2D0BB758D363}"/>
    <hyperlink ref="A237" r:id="rId235" display="https://drive.google.com/open?id=1lmo31LX7AApu4frVE3oWZWWT8JBDrwhr" xr:uid="{75324334-45E6-4449-B33D-DC3A6BCA06EF}"/>
    <hyperlink ref="A238" r:id="rId236" display="https://drive.google.com/open?id=1n7aySAlp9n8FCNW1lZm3HDq475FTT6JV" xr:uid="{55ECDC8E-0302-436F-8F3D-47BAC98A3AE5}"/>
    <hyperlink ref="A239" r:id="rId237" display="https://drive.google.com/open?id=1a6JC4fvFHPwOJV2OKa3ThradS73PElFf" xr:uid="{D3ED016D-D8B4-4331-B969-59C055F38AB1}"/>
    <hyperlink ref="A240" r:id="rId238" display="https://drive.google.com/open?id=1ac1gccQ-nDYzmab5XLg-IYr0euvj8Xqk" xr:uid="{0D6824FE-9318-42FD-88C4-D5CC98314391}"/>
    <hyperlink ref="A241" r:id="rId239" display="https://drive.google.com/open?id=108DWKo5FTcxRDvKtvLnXrGxy2Il0-E2h" xr:uid="{4C4267D4-3358-41CD-AD74-92D798ECC4E1}"/>
    <hyperlink ref="A242" r:id="rId240" display="https://drive.google.com/open?id=1HGpgWIwD21kNK1yFQmmINrtyyEv6dWAt" xr:uid="{F9949953-0BF2-4F2A-BAFA-F0D6D7163024}"/>
    <hyperlink ref="A243" r:id="rId241" display="https://drive.google.com/open?id=1N7hhP5oN9Ki6mKbxRCOMhutlkU1O8EtC" xr:uid="{306A924C-08F6-48B6-BFB4-A6ED8BF58EBD}"/>
    <hyperlink ref="A244" r:id="rId242" display="https://drive.google.com/open?id=1viLRXWzr1FbdC4YKub-5vUrlGUns56Nz" xr:uid="{63FDBD2A-C89F-4E7D-843B-755FA0BE6093}"/>
    <hyperlink ref="A245" r:id="rId243" display="https://drive.google.com/open?id=1k7yuKyg_gNu4rZnmfJyLYowcPKKg6Q0x" xr:uid="{4BBCEC9C-ACCB-4F7A-B378-2A6A94269AD7}"/>
    <hyperlink ref="A246" r:id="rId244" display="https://drive.google.com/open?id=1XXbHM30Y92bHx6Le7BCCKf-AbEBukpzK" xr:uid="{70D004B4-50E5-4BE9-ACAF-740BE7C7958B}"/>
    <hyperlink ref="A247" r:id="rId245" display="https://drive.google.com/open?id=1xXse0koQTztlNSItMAJlhgc1RsAdNPCx" xr:uid="{DDA78A50-F2E6-4665-80FF-1BD990E51E35}"/>
    <hyperlink ref="A248" r:id="rId246" display="https://drive.google.com/open?id=1VCWpZvjEgCZFjEaEtxkYrSZyFIV6kNfb" xr:uid="{ADDD7F17-AA10-4CF2-97BB-314E9B5596FC}"/>
    <hyperlink ref="A249" r:id="rId247" display="https://drive.google.com/open?id=1pD3COL79dFhDFEwDVOzl0YkQBoonVI1t" xr:uid="{07381351-B9F9-48A1-A21E-424D6911F6BF}"/>
    <hyperlink ref="A250" r:id="rId248" display="https://drive.google.com/open?id=1JOJ5XaaF6P8YWG-0OLVrsES08Njg5ur_" xr:uid="{CEEA735C-41F8-4AAC-B278-035B469E9546}"/>
    <hyperlink ref="A251" r:id="rId249" display="https://drive.google.com/open?id=1e5uwe_Lw6L_hVtqKLTRMB3ecTeoRxqEr" xr:uid="{95359148-0623-496E-8981-7147C9F599DA}"/>
    <hyperlink ref="A252" r:id="rId250" display="https://drive.google.com/open?id=1FbNw78Xu5MAlmzl3l2YelBav4vnCPEwI" xr:uid="{8201888D-EFC8-411E-9FDA-065E6587A66C}"/>
    <hyperlink ref="A253" r:id="rId251" display="https://drive.google.com/open?id=1MqIIBaVKt3HUGzuA6MUuKkB5n8myHGdg" xr:uid="{0822B50C-D09B-408B-915F-3D51AA6683F6}"/>
    <hyperlink ref="A254" r:id="rId252" display="https://drive.google.com/open?id=1cDN9i5BBo-279iTmJxlhQM5e1QMtVe7d" xr:uid="{F392F6CB-797D-4C69-A1E3-28C91E18EADC}"/>
    <hyperlink ref="A255" r:id="rId253" display="https://drive.google.com/open?id=1y2xmdO0WWSmWS8t_TTx1hS_hy_HWRzjC" xr:uid="{F8CD8F55-8FF4-4CD0-8C0B-2CEF32405ED3}"/>
    <hyperlink ref="A256" r:id="rId254" display="https://drive.google.com/open?id=1xnHOf2CasJF_VvL_IWrLiSwSs8GY53Hd" xr:uid="{7CB57613-003B-43ED-8672-32C17730ABA3}"/>
    <hyperlink ref="A257" r:id="rId255" display="https://drive.google.com/open?id=1SBZ33iZERrpvopanb9NqcbeqRs1yRTzd" xr:uid="{81B3A4E3-9F09-4696-8449-4603578D1E48}"/>
    <hyperlink ref="A258" r:id="rId256" display="https://drive.google.com/open?id=1k_DbuusSfGhgmoS5pfKBRaF7dgW1FQZM" xr:uid="{707CDE02-4AEC-46B1-BA01-077B47456036}"/>
    <hyperlink ref="A259" r:id="rId257" display="https://drive.google.com/open?id=15QyqOKQ7_CpM8gCCBRkzsza-XJIqESGD" xr:uid="{5D240F9F-0AE1-4350-A50E-AF5165D20FF5}"/>
    <hyperlink ref="A260" r:id="rId258" display="https://drive.google.com/open?id=1cAfVmu4Id158zC4lQLedfGWp1vaL8tIb" xr:uid="{ABBEE094-B87E-4504-A906-12291BAB6700}"/>
    <hyperlink ref="A261" r:id="rId259" display="https://drive.google.com/open?id=18Ngn5ppvp6KzWeSfhOLKthYOM0cM2tzN" xr:uid="{8B0FD58A-9A22-46E6-822A-9A0E8CB9679A}"/>
    <hyperlink ref="A262" r:id="rId260" display="https://drive.google.com/open?id=1wpcFQlI9iAORr_TLAT3bAlhO_YR5yDFH" xr:uid="{FD8D20E6-AA70-4AA1-AF40-7048B3BD3B8D}"/>
    <hyperlink ref="A263" r:id="rId261" display="https://drive.google.com/open?id=1SmccmDCDT_fkB3GVE3yWPdZDrKEgbOYH" xr:uid="{8F1B8661-33C1-4760-AC10-F1F396852860}"/>
    <hyperlink ref="A264" r:id="rId262" display="https://drive.google.com/open?id=1Oo7Sh3qeOIqAuwdn_jVRefQ_jOegwQQZ" xr:uid="{E2256920-419F-467F-BAC7-EC50044727E6}"/>
    <hyperlink ref="A265" r:id="rId263" display="https://drive.google.com/open?id=17NKrdnc7qzJ71cJXHBZE3XZUOaziPWtU" xr:uid="{664B06C2-0FB2-4C6F-AF8F-3B721A9CDAF3}"/>
    <hyperlink ref="A266" r:id="rId264" display="https://drive.google.com/open?id=1UE14QlpfDHQJg_4ArfSOsI_Sbgw0vArL" xr:uid="{0F7B4081-FAFD-4DC2-AD45-999DD36C0DFC}"/>
    <hyperlink ref="A267" r:id="rId265" display="https://drive.google.com/open?id=18rjfmfo4_Bh7q9aqlPNmqY_bPuKzaoU0" xr:uid="{12F3AFAD-723B-4523-B3E7-88E7C24AF502}"/>
    <hyperlink ref="A268" r:id="rId266" display="https://drive.google.com/open?id=10Hwq4MA5KT85mWTjFiLUZVEukHTQBLzc" xr:uid="{B1415560-0144-4E7C-9FB2-77C202881385}"/>
    <hyperlink ref="A269" r:id="rId267" display="https://drive.google.com/open?id=149QAH9XOyxlxZPD5GBBsdgiAH5nyXr0j" xr:uid="{3344C292-1214-4D5D-A3D2-2869062C3342}"/>
    <hyperlink ref="A270" r:id="rId268" display="https://drive.google.com/open?id=1T2PJMqfNiJoE-jX9td2xKg3HbSgxN0GE" xr:uid="{593021AB-1B4F-4721-8588-6BF8052B829B}"/>
    <hyperlink ref="A271" r:id="rId269" display="https://drive.google.com/open?id=1M3uS65H74WzdphAKi2DDRHTuQaHJefuD" xr:uid="{E3DFB33D-5FB8-49A6-8733-101F03A325A7}"/>
    <hyperlink ref="A272" r:id="rId270" display="https://drive.google.com/open?id=1gnY8-dCSPYx-ZPyadYC6yi99gyRKB1aK" xr:uid="{C3D8F8B9-0A3C-4441-B700-42C5812094A9}"/>
    <hyperlink ref="A273" r:id="rId271" display="https://drive.google.com/open?id=1WJ7GuqKE_lGOr90OpLjwvo5jFWxyn3_n" xr:uid="{8213E0C6-F59B-450C-9E4C-AF093958ED26}"/>
    <hyperlink ref="A274" r:id="rId272" display="https://drive.google.com/open?id=1QugM-io_phNWY1W8gXaO5gwHhJYjq8h0" xr:uid="{A842A8F3-2E74-4BF6-AA99-846FFF099649}"/>
    <hyperlink ref="A275" r:id="rId273" display="https://drive.google.com/open?id=1Dtoj0QrWyPecpihFjR5hsIOgVmM6VZH0" xr:uid="{57034A4B-AC2E-4FA3-BF52-FF9228C4CE8C}"/>
    <hyperlink ref="A276" r:id="rId274" display="https://drive.google.com/open?id=1BYgK038E3Gse_Mx5smeODG66JfiTJh20" xr:uid="{8B982F99-A75A-4F45-A148-ACD415187729}"/>
    <hyperlink ref="A277" r:id="rId275" display="https://drive.google.com/open?id=1Pl9XyvJtYF8Bu0jc5DIeHjYxqYY54ejo" xr:uid="{42FC7A31-8854-4AAB-8AC7-2CC6D25583D4}"/>
    <hyperlink ref="A278" r:id="rId276" display="https://drive.google.com/open?id=1CYB-UvQhtkgSYookGOxi1qIOozrcABnf" xr:uid="{7F7CA480-CC2C-4A2B-8869-95B830D09002}"/>
    <hyperlink ref="A279" r:id="rId277" display="https://drive.google.com/open?id=1zCXb9DdgBxuwFIGYBNxj5e2hPxr232Y5" xr:uid="{C103C920-6488-4037-A12C-AC34F5E14BEE}"/>
    <hyperlink ref="A280" r:id="rId278" display="https://drive.google.com/open?id=1RocmkCpKY4eDV9p9YeGr01OArJvGo-DG" xr:uid="{D9F603FA-9BB3-4023-9859-77249A397279}"/>
    <hyperlink ref="A281" r:id="rId279" display="https://drive.google.com/open?id=11FfD4a7u1VMNNtsb2a3suIt0jof9zGn_" xr:uid="{304F87BB-4B97-496F-AC82-55B6E7FE4F82}"/>
    <hyperlink ref="A282" r:id="rId280" display="https://drive.google.com/open?id=1Ybh4NLrZAgZZDzy6VAI-vnwwLEBx_5FN" xr:uid="{BABDF520-CA18-449A-BFA4-799C9FE1E278}"/>
    <hyperlink ref="A283" r:id="rId281" display="https://drive.google.com/open?id=1v4F3TcTve7bXz--yvTGPsieBXXcwHVUg" xr:uid="{9B66527D-91AB-4349-BA8A-F9907C939592}"/>
    <hyperlink ref="A284" r:id="rId282" display="https://drive.google.com/open?id=1fUnddcfDV4DWQUXCgS1uweO2i2AUkRR9" xr:uid="{FCACBBD8-AC26-4583-AFE9-956C65705B38}"/>
    <hyperlink ref="A285" r:id="rId283" display="https://drive.google.com/open?id=1MICzGtItGWzqNrY9ANjaNtVbQ3UoV6WV" xr:uid="{8C1C5540-6724-4A82-A36C-8CFD96A7D4B9}"/>
    <hyperlink ref="A286" r:id="rId284" display="https://drive.google.com/open?id=1WooVHZNWb8uyVxT4r-Whv5MOD6vQ_Jj1" xr:uid="{EBC3731F-816A-4B11-A857-01EB0D1384AB}"/>
    <hyperlink ref="A287" r:id="rId285" display="https://drive.google.com/open?id=1NEGKbeBO_wa0zVBfwNeH3U58q0W5cHw3" xr:uid="{E46E532B-DF20-4A55-A6E1-7E18284E43BA}"/>
    <hyperlink ref="A288" r:id="rId286" display="https://drive.google.com/open?id=1EDTxavKuBDnsnPg0PmdUWWm6WmwyV3Fa" xr:uid="{6B07251D-1BB0-4790-8252-F8D5BB1B23F8}"/>
    <hyperlink ref="A289" r:id="rId287" display="https://drive.google.com/open?id=1KLtUwJoOpStCDhSSgrawV9BrKbWCP7XK" xr:uid="{CDC7505C-35F1-4E83-952C-D8BEBF585FD0}"/>
    <hyperlink ref="A290" r:id="rId288" display="https://drive.google.com/open?id=1eL2yZAoR9_rU9V9PLRcJrbap3_4fl6hl" xr:uid="{DA3256FE-BF38-470C-954E-E2B9A2264B11}"/>
    <hyperlink ref="A291" r:id="rId289" display="https://drive.google.com/open?id=1ZPDiCe-fniN3ijgUN3ZBgn9Qxwv-pLHD" xr:uid="{B896CE76-DB51-4C81-B87E-3248FF8EB40B}"/>
    <hyperlink ref="A292" r:id="rId290" display="https://drive.google.com/open?id=1ih96SQQSiOtuGzDOatiQ7ioxoP7iWyC1" xr:uid="{EBA8E925-B109-4904-923C-387B2D7F5060}"/>
    <hyperlink ref="A293" r:id="rId291" display="https://drive.google.com/open?id=1DejIHCQTMsXVBuGFsA7EiYDNw_tiHEUF" xr:uid="{C7F684BB-9C6C-4E60-884B-3F954375E0D1}"/>
    <hyperlink ref="A294" r:id="rId292" display="https://drive.google.com/open?id=1v8OCa_Z2cL3u7FZNHVLJfHWmqiqPZeAW" xr:uid="{CC70F47A-485F-44A9-AF51-25DCFC3FF0B1}"/>
    <hyperlink ref="A295" r:id="rId293" display="https://drive.google.com/open?id=17SKyFpwH1ntCIll8q8ZueLPiBG1XFQkr" xr:uid="{C9762904-8EF1-4C98-B78D-7B9A5FE47428}"/>
    <hyperlink ref="A296" r:id="rId294" display="https://drive.google.com/open?id=1QolNoQYJa9edebQ_LV0Ky1Hc6m_gtstC" xr:uid="{FC9DDD56-D84C-4319-ABB2-6FB7678EC990}"/>
    <hyperlink ref="A297" r:id="rId295" display="https://drive.google.com/open?id=1acVWT2B9ayQmVjdBZ4T33H5pTaLKRHia" xr:uid="{73576E39-F251-42D4-9BA3-A8BFC6DF10CE}"/>
    <hyperlink ref="A298" r:id="rId296" display="https://drive.google.com/open?id=1bzxd-bWMTd7boDG5WwZ36Ny8Zgv38q_U" xr:uid="{7917BB3B-3DCB-4704-8EAF-C00A2122D231}"/>
    <hyperlink ref="A299" r:id="rId297" display="https://drive.google.com/open?id=1gpMfvj5AHFqivB5-9YIFDxy4z2NX_ceK" xr:uid="{4B0E3FC9-C2DD-4CB9-B54F-8FA3D7078E55}"/>
    <hyperlink ref="A300" r:id="rId298" display="https://drive.google.com/open?id=1uhXy5sxACAZNm0R54ps9RfutkWYuhktX" xr:uid="{F290EF7F-228E-4AE3-B2C2-FDC2FDE9709D}"/>
    <hyperlink ref="A301" r:id="rId299" display="https://drive.google.com/open?id=1MZ7cYgXbYjQMXaqw-erdI_kFRitHW_d5" xr:uid="{B86B6F7C-C2BE-43B1-AD4C-44080A9CC25F}"/>
    <hyperlink ref="A302" r:id="rId300" display="https://drive.google.com/open?id=1H4JL6Hhnua6hhZilyUBuvxToK3M06OaI" xr:uid="{6A072F5D-0C3E-445F-81DF-36B79C2591F4}"/>
    <hyperlink ref="A303" r:id="rId301" display="https://drive.google.com/open?id=1ZhxYUrH4KoW9uL_aHwIwcxLVHqHyJTDK" xr:uid="{F49F6776-0789-4974-B1C5-553D33552828}"/>
    <hyperlink ref="A304" r:id="rId302" display="https://drive.google.com/open?id=1FVrHIn-HJKbmr6Z4yL75rTrmVpkQGMzF" xr:uid="{AF4A7150-7549-402D-BB2D-0A32854B3475}"/>
    <hyperlink ref="A305" r:id="rId303" display="https://drive.google.com/open?id=1vyMziOq2AyWTBhb1LfCEBEu5o9-XSUvO" xr:uid="{7F89DB1E-249C-4E41-B082-723DC75582D6}"/>
    <hyperlink ref="A306" r:id="rId304" display="https://drive.google.com/open?id=1SyynqRiKlsbeDmM5rhvqafENxrvEBSGb" xr:uid="{93FE6105-596B-4BB9-AE2A-52D66BBE8857}"/>
    <hyperlink ref="A307" r:id="rId305" display="https://drive.google.com/open?id=1_0lXLSkqrfwmdbrYeMHkW3YCPYcR_FHV" xr:uid="{3F787515-4386-445C-879F-D79207157D46}"/>
    <hyperlink ref="A308" r:id="rId306" display="https://drive.google.com/open?id=1az-Pc2K0JoVNo3FOf_D4yFrnBOyjc51r" xr:uid="{516C74F1-994A-464B-AB75-4325C05FECD5}"/>
    <hyperlink ref="A309" r:id="rId307" display="https://drive.google.com/open?id=1yHNS6j3hspVRyYfw7h2iflVFLiRPl3qT" xr:uid="{BFB1B780-040D-4A1E-AD52-8DC181CF3757}"/>
    <hyperlink ref="A310" r:id="rId308" display="https://drive.google.com/open?id=1wD8QrHCgunKFas6QRVZKczA3iP2FHYu0" xr:uid="{ABAB6B93-62C4-4F7F-A4D6-611FF452EEDE}"/>
    <hyperlink ref="A311" r:id="rId309" display="https://drive.google.com/open?id=15Z2vUoZOsNHEdy_kjRhi8MU0CFtEstC6" xr:uid="{95F95EBC-B171-427E-8664-3B0586FC6D5C}"/>
    <hyperlink ref="A312" r:id="rId310" display="https://drive.google.com/open?id=1wTL42_lQj4JtAFjh7EPsM_Cj3-P98zLq" xr:uid="{1CD803CB-782C-4A4D-BB52-B8BDBC699477}"/>
    <hyperlink ref="A313" r:id="rId311" display="https://drive.google.com/open?id=1jjYW7kFxMgwvTSuovfYw7CzBtVQyapYN" xr:uid="{109E90CB-C981-41CB-B6F0-A46A46F282D0}"/>
    <hyperlink ref="A314" r:id="rId312" display="https://drive.google.com/open?id=1XEvsOrE_USGvdMvIqeffV6EWSlpDiVOt" xr:uid="{A8815A50-D2D1-49F7-9E85-976E24D262FD}"/>
    <hyperlink ref="A315" r:id="rId313" display="https://drive.google.com/open?id=1S4cQrdBj1brZkel4WR-X13tn0YzHQvzS" xr:uid="{68390DCB-37BD-4C25-BC47-EC5972624E12}"/>
    <hyperlink ref="A316" r:id="rId314" display="https://drive.google.com/open?id=1YWkjNyrLm9-ATJWV3JPIRmWe8MZpisSf" xr:uid="{AD09BA79-5587-40FF-957A-A7CB29B5C79F}"/>
    <hyperlink ref="A317" r:id="rId315" display="https://drive.google.com/open?id=1MhOEhTdBbZTkc9vY2EkEv7_1Pf4zPdXB" xr:uid="{DFC72095-4F4A-4DB9-999C-0B32852A0E90}"/>
    <hyperlink ref="A318" r:id="rId316" display="https://drive.google.com/open?id=1tCe1WLN_z764wLfuD8Az9vSWOn3ovHiP" xr:uid="{79B1BC1F-85C8-493F-8705-292986489F41}"/>
    <hyperlink ref="A319" r:id="rId317" display="https://drive.google.com/open?id=1kHMiT8M0MIsV1qszciHeSUW2QVQ4fn4D" xr:uid="{3D31CF8F-84F9-49EC-BD0A-301C01A5582D}"/>
    <hyperlink ref="A320" r:id="rId318" display="https://drive.google.com/open?id=1Qk5enES8-H4MXmz8yOsN8fjvxq2Qa5dn" xr:uid="{6595857F-29EA-452E-861C-92BA346AC098}"/>
    <hyperlink ref="A321" r:id="rId319" display="https://drive.google.com/open?id=1WO6FE24E_G6ZTj1LIhfYyv5Ep2MdZhCS" xr:uid="{403EEE71-9A8A-43C8-B20F-D3EBA4A3B151}"/>
    <hyperlink ref="A322" r:id="rId320" display="https://drive.google.com/open?id=1zm8znbFV2hRS2YZIfvd0umglfqjIWK69" xr:uid="{B6BFBBD3-9BDF-4791-8C96-8F301E398568}"/>
    <hyperlink ref="A323" r:id="rId321" display="https://drive.google.com/open?id=1CYl1qVOPS6-l9b5Zgf2V-Je-kM6KeSBX" xr:uid="{F2F040D6-9251-457B-BE43-A80D877297FE}"/>
    <hyperlink ref="A324" r:id="rId322" display="https://drive.google.com/open?id=1gfIn6SZ7gqyEfpMte4GzyFXd39l1uEs6" xr:uid="{27EAB2F3-3ABC-4EAE-82E9-890D88E5EC97}"/>
    <hyperlink ref="A325" r:id="rId323" display="https://drive.google.com/open?id=1OffUtYM7H4mupwNHjkzhBA4RiBgSYGKS" xr:uid="{3B3ED920-EB10-4B37-85B9-7F442EB1E0B7}"/>
    <hyperlink ref="A326" r:id="rId324" display="https://drive.google.com/open?id=1FSI8EHkjimI-DEJl7rcsyie2EmrZlyAc" xr:uid="{D29988A6-2EF8-4155-8026-55D21A719963}"/>
    <hyperlink ref="A327" r:id="rId325" display="https://drive.google.com/open?id=1ShL0e8u1mAJlubTY46cYr1S02RrhdPDC" xr:uid="{C670FD64-7F16-4F2B-A012-8C9A522D69F8}"/>
    <hyperlink ref="A328" r:id="rId326" display="https://drive.google.com/open?id=1NTU692LZ-3c0dyWn5l1_hRnMd8xuEjj8" xr:uid="{222B46EB-95B0-4AD5-98FF-6142E5285D2C}"/>
    <hyperlink ref="A329" r:id="rId327" display="https://drive.google.com/open?id=1CQT7RdnnSf3r_RuClfiV2xxOGLfyVCKs" xr:uid="{0785C754-C920-4E87-B091-B1ADE75EF00F}"/>
    <hyperlink ref="A330" r:id="rId328" display="https://drive.google.com/open?id=1nFAJ270yXygFYltsrrEd4j1uRonL2Rfc" xr:uid="{E117744A-80FC-4F6A-8EF8-1CF33C79FBF9}"/>
    <hyperlink ref="A331" r:id="rId329" display="https://drive.google.com/open?id=1tBNo79iyXXVzh6r6XQBFNjY5MiIBnIAX" xr:uid="{9B84A206-DB73-48E4-8333-907DE3957CC7}"/>
    <hyperlink ref="A332" r:id="rId330" display="https://drive.google.com/open?id=1I9tBD56MmH4k7ejTYCW9TWDa3KUkrfyP" xr:uid="{43F7DA8D-B4A4-4ACB-81F4-D71538B98551}"/>
    <hyperlink ref="A333" r:id="rId331" display="https://drive.google.com/open?id=1aO7t10AzC4dp8rlLaXLDZFiDFiXFkS5o" xr:uid="{DF431309-7731-4AEC-B578-37026AB3C47B}"/>
    <hyperlink ref="A334" r:id="rId332" display="https://drive.google.com/open?id=1-cF_WJqlwIPs9bTKBhZcLC-RiLVc-h6m" xr:uid="{DCB726A0-57DC-4D11-8BDF-474E15E90733}"/>
    <hyperlink ref="A335" r:id="rId333" display="https://drive.google.com/open?id=1oVPr8UHfCXih3fncyJtghI9V-PzPENCr" xr:uid="{099FB4D9-C0B2-44E5-BACB-6528EA064512}"/>
    <hyperlink ref="A336" r:id="rId334" display="https://drive.google.com/open?id=1yDqsqVOSy90j16RxSw0Rx5gqEYPTRxcj" xr:uid="{35C5B553-D7BA-42F6-82DA-F748B0AA09FD}"/>
    <hyperlink ref="A337" r:id="rId335" display="https://drive.google.com/open?id=1YiThsievsQPncO7CJcrGP_zORNLNUBy4" xr:uid="{8EBED237-9139-4352-B08D-1BE0E7A761B3}"/>
    <hyperlink ref="A338" r:id="rId336" display="https://drive.google.com/open?id=1vl-EXStra_4MgsmX8P23_nZQ3zAYa0tt" xr:uid="{A695259B-D2F7-483D-9C80-902180332939}"/>
    <hyperlink ref="A339" r:id="rId337" display="https://drive.google.com/open?id=1sTOFuN9ZkJyNW_u3DiRGPbbc0lEzhxl1" xr:uid="{757F8E1D-45DA-47EE-AE57-400B6AF3C09F}"/>
    <hyperlink ref="A340" r:id="rId338" display="https://drive.google.com/open?id=19vfyBAjk7KaAGyboukU2YSSfiwxRhJmS" xr:uid="{F62BB02C-B2B2-43C5-A679-61444C6D3D25}"/>
    <hyperlink ref="A341" r:id="rId339" display="https://drive.google.com/open?id=1d-UK4GMAdsuQ2AKQb6uKS29nSEQrYT1q" xr:uid="{33D88692-134B-4317-A8DE-B8AAB6007CA9}"/>
    <hyperlink ref="A342" r:id="rId340" display="https://drive.google.com/open?id=1CKdn0xSI9zOSwUWAbJrBv1qTwTHISI5p" xr:uid="{91D10DB6-6D58-463D-ACFE-93AC3978CC2F}"/>
    <hyperlink ref="A343" r:id="rId341" display="https://drive.google.com/open?id=1LYF1sk3c0D-_wVgH5ZnLrcyNwp_Icuet" xr:uid="{80C77E06-0423-4838-9F4D-49FB802AA526}"/>
    <hyperlink ref="A344" r:id="rId342" display="https://drive.google.com/open?id=1Fgnx9vTmVY3OVppDRtwxML85qvajgKzE" xr:uid="{382B2348-333E-4CFA-8F55-8FA36EF05ED1}"/>
    <hyperlink ref="A345" r:id="rId343" display="https://drive.google.com/open?id=1SlvFzVfJkykZMR9wCeoGJiGvsJoxDgIj" xr:uid="{A966A6D1-38F3-4747-AE1F-F8F86DE7B1DE}"/>
    <hyperlink ref="A346" r:id="rId344" display="https://drive.google.com/open?id=1qbARzhJ4rldx4QEB89znqUL5Q8T-w3o3" xr:uid="{B8603997-EB2B-46DC-B1C9-7BD78F060FCE}"/>
    <hyperlink ref="A347" r:id="rId345" display="https://drive.google.com/open?id=1Fo67aawsTqni-8p1c6__dCSwjE18uzqP" xr:uid="{DA1B188E-DB24-416E-9E48-A7AF4A6B0E03}"/>
    <hyperlink ref="A348" r:id="rId346" display="https://drive.google.com/open?id=1hZCaCtiyhAd5O-takKgh-6aCw1xoVGlI" xr:uid="{D8342B75-7615-4895-A50A-A53C20173E43}"/>
    <hyperlink ref="A349" r:id="rId347" display="https://drive.google.com/open?id=1q-RoAdVvURyM0h0dpdCb5fk5yWtlQsgs" xr:uid="{B155BBDC-98F5-4F30-9B56-4B68ADEF8F90}"/>
    <hyperlink ref="A350" r:id="rId348" display="https://drive.google.com/open?id=1T0lpDIDfcNHDXTmDe04l1vrT4C-tWFJ-" xr:uid="{B10850CB-9CDA-4932-A568-DFFB2502F085}"/>
    <hyperlink ref="A351" r:id="rId349" display="https://drive.google.com/open?id=1xw7TMXurcS-l-LGFf4WRIo7O_WlpUlCl" xr:uid="{A49CF66D-2CFF-4237-B31E-E65B51FC144B}"/>
    <hyperlink ref="A352" r:id="rId350" display="https://drive.google.com/open?id=1qQTEPL0xyAqnrwn8vBvQuT1x-F0AGRRp" xr:uid="{2FF5C703-A90F-4F53-8946-5C1818BD9B23}"/>
    <hyperlink ref="A353" r:id="rId351" display="https://drive.google.com/open?id=1-EG5p9L7DbojsXwFjmQESe7QANB2FR2-" xr:uid="{0A38D46C-9A7B-42B2-AB83-40940D3FC6F3}"/>
    <hyperlink ref="A354" r:id="rId352" display="https://drive.google.com/open?id=1QMy5hYdtLgwhhYRAO8O5ifJz4QK-R5oQ" xr:uid="{320C56B7-31F5-4D31-9D23-557841D5E185}"/>
    <hyperlink ref="A355" r:id="rId353" display="https://drive.google.com/open?id=1woKpHL_zIaf2MDPE9PcUq0ujlUOJ6cGK" xr:uid="{40A34F6B-7AB8-40B7-AF96-04514A449462}"/>
    <hyperlink ref="A356" r:id="rId354" display="https://drive.google.com/open?id=1lASF0wfJp-zP5CZUi-iZvo07PUPtptkh" xr:uid="{7947751D-F834-4852-8AAA-C548BAFD662E}"/>
    <hyperlink ref="A357" r:id="rId355" display="https://drive.google.com/open?id=1iY5KWuoR7NNCE4lU4bxzudCKnMzkcerE" xr:uid="{846B42C0-44B9-49A8-9B92-79A14B1F0CC8}"/>
    <hyperlink ref="A358" r:id="rId356" display="https://drive.google.com/open?id=1R_lBc_vJFfHrSVsYoTEDsVKpwaNmh5DQ" xr:uid="{80D867E3-A8E9-4CD4-8277-67A8AE839707}"/>
    <hyperlink ref="A359" r:id="rId357" display="https://drive.google.com/open?id=1MlAe0X2OXvR074I3sDjpAFPu2h3MN2o8" xr:uid="{80B5ECC1-F2CC-4269-805F-7FFD3CFEC60F}"/>
    <hyperlink ref="A360" r:id="rId358" display="https://drive.google.com/open?id=1m_jvdxOrkiVd3Gib3jEzPpz_2gZMl5Gu" xr:uid="{199E1E09-4648-4CAE-B0F1-9CE50CC6CD9D}"/>
    <hyperlink ref="A361" r:id="rId359" display="https://drive.google.com/open?id=1eIAJmYYl9tCskbOWOZh0kXxY8PCSFhXs" xr:uid="{69F2C1BB-20D0-4E39-BC27-2FF96DD58BC0}"/>
    <hyperlink ref="A362" r:id="rId360" display="https://drive.google.com/open?id=1_FDKv2Qgbis-payvI1sVbNFiJQm3_UFg" xr:uid="{736C4BF9-CF6E-49EE-850C-C5AA8B967088}"/>
    <hyperlink ref="A363" r:id="rId361" display="https://drive.google.com/open?id=1pg9ELYa-JE8ud4Mi4lxj8yAauICi0F04" xr:uid="{4BFFFA73-2DE0-45B4-99D5-3D4BE5F6877F}"/>
    <hyperlink ref="A364" r:id="rId362" display="https://drive.google.com/open?id=1ocFfK8CpgdEjSUdg-bHbggvSk2T_1U9w" xr:uid="{F206F4B4-46CC-46EE-840D-C152FB69DB1B}"/>
    <hyperlink ref="A365" r:id="rId363" display="https://drive.google.com/open?id=13sKCTaovZswoDUlslHH134XrLoo6jRfL" xr:uid="{C35533D1-AA53-4F11-8A27-E0A1EDB81730}"/>
    <hyperlink ref="A366" r:id="rId364" display="https://drive.google.com/open?id=1NmkGcxddX5DYXkr1uJC5q4AHcyQ7FlsS" xr:uid="{49ADADF7-25B9-4C72-B4B5-E42472694DF5}"/>
    <hyperlink ref="A367" r:id="rId365" display="https://drive.google.com/open?id=1bxcTw6HFHltK3DGzbIyinJd2raTX8f9K" xr:uid="{FC81D341-091D-486A-9C2D-C06D9D766F0B}"/>
    <hyperlink ref="A368" r:id="rId366" display="https://drive.google.com/open?id=1RYL5Z9lFqeNLmxwRs-UBqlhxhlFIvY9O" xr:uid="{B619963D-C8C1-4C7B-AFF4-F92664DB72CF}"/>
    <hyperlink ref="A369" r:id="rId367" display="https://drive.google.com/open?id=1yJ7tmjotYNxXZ7nVL_GTwM1TjzzRQqrs" xr:uid="{9F80A7F1-FFD3-48F1-A659-EEBA90427800}"/>
    <hyperlink ref="A370" r:id="rId368" display="https://drive.google.com/open?id=1omXsuxRtG8cgIjp6dv31QBKlqvEYA0nu" xr:uid="{EC574A09-D8C8-4F9E-9EDE-95BCF4B9B7AE}"/>
    <hyperlink ref="A371" r:id="rId369" display="https://drive.google.com/open?id=1wkEQH6NcrH0nQSX-9y5FmsB7lCafM6S8" xr:uid="{538B1E9F-8FD1-4A0C-90DE-DA492CBC2605}"/>
    <hyperlink ref="A372" r:id="rId370" display="https://drive.google.com/open?id=1S_dAvZM9VjZzXud-OJENlvdCQFRN-v9O" xr:uid="{F4DB6D6A-A7D1-4F4E-AB22-D25392D5BB78}"/>
    <hyperlink ref="A373" r:id="rId371" display="https://drive.google.com/open?id=16bMcZWrFxrKKDj3ut_TyCS6RxYSjV2Gi" xr:uid="{EDD86B26-77FF-408D-81FD-149E0FBB07A4}"/>
    <hyperlink ref="A374" r:id="rId372" display="https://drive.google.com/open?id=1wV5e95Evk34jozB3jlW52MkmtEg1n6wl" xr:uid="{76E4F9D3-6631-40FF-9250-68D3E250F6BF}"/>
    <hyperlink ref="A375" r:id="rId373" display="https://drive.google.com/open?id=1eGlGeMcEVOIuNMb5N6s-THi0JSvMV9bP" xr:uid="{F6C5AA85-4691-42F9-9512-626229B80452}"/>
    <hyperlink ref="A376" r:id="rId374" display="https://drive.google.com/open?id=1od6jRZh-jGUr_Cth9ugcTpG1EU6ttBps" xr:uid="{903062E5-0041-4932-A03E-ABD21327CCEC}"/>
    <hyperlink ref="A377" r:id="rId375" display="https://drive.google.com/open?id=1Ib-qr538UtJCFys82f_u3JVO9Uamkdl6" xr:uid="{CC08DB82-396F-47A2-824C-E0250C175787}"/>
    <hyperlink ref="A378" r:id="rId376" display="https://drive.google.com/open?id=1WaXfY_-dU4DSmNJd9dnThS4vKful44j5" xr:uid="{A2BEC9EF-1AE0-4DB3-A2B4-B7E64D353FE4}"/>
    <hyperlink ref="A379" r:id="rId377" display="https://drive.google.com/open?id=154DqWRke41bsLOrPiXAf1yxaNxH4iosm" xr:uid="{CE2E1F61-2BC4-4B2D-A23F-ACE00FD21C58}"/>
    <hyperlink ref="A380" r:id="rId378" display="https://drive.google.com/open?id=16nxt-dSNmb56MldgaTl5pKQRr2emx-V6" xr:uid="{A364473E-6227-440A-81CE-E934A2C6A398}"/>
    <hyperlink ref="A381" r:id="rId379" display="https://drive.google.com/open?id=1VnG78ozuCj8g_4woShmSClQBWOjTOPf6" xr:uid="{3E507185-C3D0-46A2-AC70-B080D1F12F96}"/>
    <hyperlink ref="A382" r:id="rId380" display="https://drive.google.com/open?id=1SlvyGEix33ilaog6VvRFuk3AgXBR_Vim" xr:uid="{C8F3543C-5437-4E85-9F02-39ABD67523C3}"/>
    <hyperlink ref="A383" r:id="rId381" display="https://drive.google.com/open?id=1JrWgrWhS6eKUTvrGXedQtsNMz6b4eX8d" xr:uid="{B03821F6-C606-4C9E-87FD-5D417B6D3A4E}"/>
    <hyperlink ref="A384" r:id="rId382" display="https://drive.google.com/open?id=1P1QzKRenSYIg3PeIqDvX90E6RbH4RARw" xr:uid="{B146748C-6D9E-4920-8FC5-69BA0E8B4E2A}"/>
    <hyperlink ref="A385" r:id="rId383" display="https://drive.google.com/open?id=197Rz0kSFEwNxXtNgE8EOV2TudcCMsJG6" xr:uid="{0F02C1A6-E4A4-403C-90F1-E03B17AD8B75}"/>
    <hyperlink ref="A386" r:id="rId384" display="https://drive.google.com/open?id=1BOIjHZuvFq5LL91K343gwsILmeJg8OJo" xr:uid="{CBCA12E1-6281-4D21-8A30-C0661D6058FB}"/>
    <hyperlink ref="A387" r:id="rId385" display="https://drive.google.com/open?id=1KNPiXc53wzrK2UL2IZLkhwFM_VUxkLUf" xr:uid="{68614036-7F35-46B4-87EB-28BE49177353}"/>
    <hyperlink ref="A388" r:id="rId386" display="https://drive.google.com/open?id=1uCdK0GLasONHydiHFrltbdHLXBECRTgp" xr:uid="{85EB4C80-866F-4EE2-8C9D-A01657BC309D}"/>
    <hyperlink ref="A389" r:id="rId387" display="https://drive.google.com/open?id=1OEDYfS_F4Xr6YoMZFRkl5vnIsxzJDeME" xr:uid="{3079D10C-C13E-4786-ABB5-AEFF60F2ED8A}"/>
    <hyperlink ref="A390" r:id="rId388" display="https://drive.google.com/open?id=1-3Shj3dw4r7tbiGrwU01WSrnVmCfywfd" xr:uid="{C3DBAA88-8179-4F01-B700-96D840918036}"/>
    <hyperlink ref="A391" r:id="rId389" display="https://drive.google.com/open?id=1aGH0tkRPCs2mH4i4o4sZ8gkq4rle5sla" xr:uid="{C951F061-D8AC-487E-855A-46ABDD9E2405}"/>
    <hyperlink ref="A392" r:id="rId390" display="https://drive.google.com/open?id=1Qy6QB4U3LERm3qDw697zXeUmaewdLjrd" xr:uid="{8490B502-E82C-4006-B65C-922480405D0E}"/>
    <hyperlink ref="A393" r:id="rId391" display="https://drive.google.com/open?id=1HMwdqmcNKVknGpgpwusX-wGAPZmi2jSa" xr:uid="{8D2F1613-22E8-450E-BCEB-BD7A514E99EA}"/>
    <hyperlink ref="A394" r:id="rId392" display="https://drive.google.com/open?id=1tSErR0uuLQGAyiApoiCsC6LfYExP5Vdt" xr:uid="{5E66335E-6D40-4D7A-BDE6-EC867F3B80A8}"/>
    <hyperlink ref="A395" r:id="rId393" display="https://drive.google.com/open?id=1LiS9el9VPKwAH512WTaD-BU7x8gljh4Q" xr:uid="{72F3E246-EBC3-483E-96E0-5B91CEB5FD0E}"/>
    <hyperlink ref="A396" r:id="rId394" display="https://drive.google.com/open?id=1JEz9cggDv6t28xhyXjkC95nVYIBIN8Ir" xr:uid="{EC28E736-F6AB-4F53-8942-3084A9887A64}"/>
    <hyperlink ref="A397" r:id="rId395" display="https://drive.google.com/open?id=1HCEF5c1m_wRB-2YlPHyDnr-2GWc4FkNp" xr:uid="{37B7DC19-C29F-4FF9-84E1-6CB190D90D66}"/>
    <hyperlink ref="A398" r:id="rId396" display="https://drive.google.com/open?id=1NdktZB83ilrVe7ZSL31bHGWi_zWBwAX2" xr:uid="{06BF5A77-C464-43CB-9867-5431B4ED7E86}"/>
    <hyperlink ref="A399" r:id="rId397" display="https://drive.google.com/open?id=1W0frMdPODw3DAlXl5kNdtsyY0isk9x6n" xr:uid="{5DFE2C2B-C30A-47B6-BA4C-ADD8B76591B2}"/>
    <hyperlink ref="A400" r:id="rId398" display="https://drive.google.com/open?id=1zcooi5v5K2wxplI2ieWc6hugFEQtVIS0" xr:uid="{198FA86C-822E-45E6-9A97-572A018B50C5}"/>
    <hyperlink ref="A401" r:id="rId399" display="https://drive.google.com/open?id=12Jgl5nTh8O2ykCr-OyBw32MtCTOVlPyh" xr:uid="{F99FDACA-8DBB-43E7-B75D-6E3D8A4D7F5A}"/>
    <hyperlink ref="A402" r:id="rId400" display="https://drive.google.com/open?id=13ZHothuZ8Q8piA1go9xkKnNLKg3Wlet1" xr:uid="{05ECDE6F-102B-44AE-A3F6-84CD0357E6EB}"/>
    <hyperlink ref="A403" r:id="rId401" display="https://drive.google.com/open?id=1B1B1aOi8HCDqXLVOaZUgYKpx5G2M3qmm" xr:uid="{A910CD44-D904-43AA-B2F2-31B20EF45E2F}"/>
    <hyperlink ref="A404" r:id="rId402" display="https://drive.google.com/open?id=13eGMW5nFGUVaKfhuzACezV2nX8MrRBec" xr:uid="{FEC319E3-3749-4AE1-B772-DBE2D7F00C12}"/>
    <hyperlink ref="A405" r:id="rId403" display="https://drive.google.com/open?id=1jlIDxe5exYndsr1Mop-RBMgh3Zbz8x6E" xr:uid="{30651B4D-E765-4D54-95C1-8007AA451A1B}"/>
    <hyperlink ref="A406" r:id="rId404" display="https://drive.google.com/open?id=1bnWMMsVuKJmFpo4CiJ94AK5wxjk-70eJ" xr:uid="{6A61E5F8-FEF1-401E-82FB-261AE853D666}"/>
    <hyperlink ref="A407" r:id="rId405" display="https://drive.google.com/open?id=19rM8BhCj5MnYjzFQP2XPzAaXY7PFaKTv" xr:uid="{7DBCFCE4-AEBD-43BC-8722-BCF942B2422D}"/>
    <hyperlink ref="A408" r:id="rId406" display="https://drive.google.com/open?id=17T6tdzh4ez1Y3vpWWAo8WnLPUgkT4Znf" xr:uid="{33AC74B4-D3DD-45B0-A98F-866EDF9222FC}"/>
    <hyperlink ref="A409" r:id="rId407" display="https://drive.google.com/open?id=16AooVCfuapwqZ35XCyUGZgnIl25dGsET" xr:uid="{C0D183E3-FDD3-45A7-83F0-302214C843D9}"/>
    <hyperlink ref="A410" r:id="rId408" display="https://drive.google.com/open?id=1YPdEULf85HlD5LH26LNELDIHaAuf-4Bs" xr:uid="{9EB097CD-08B8-4C01-B75F-520FC88F1939}"/>
    <hyperlink ref="A411" r:id="rId409" display="https://drive.google.com/open?id=15gaaT21DMkoCXDadtYm_-n2wtOXoH5VG" xr:uid="{D5EEA2D0-91AB-4678-B537-4B2CF4373E75}"/>
    <hyperlink ref="A412" r:id="rId410" display="https://drive.google.com/open?id=1PiXBTHpzXBTpv49lIFjnsr0EisZQDlC6" xr:uid="{AEB6DC76-F926-473D-8AF8-4C9A1BF6871B}"/>
  </hyperlinks>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Planilha1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Fernando</dc:creator>
  <cp:lastModifiedBy>Fernando</cp:lastModifiedBy>
  <dcterms:created xsi:type="dcterms:W3CDTF">2021-08-24T03:05:16Z</dcterms:created>
  <dcterms:modified xsi:type="dcterms:W3CDTF">2021-08-24T03:05:45Z</dcterms:modified>
</cp:coreProperties>
</file>