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mc:AlternateContent xmlns:mc="http://schemas.openxmlformats.org/markup-compatibility/2006">
    <mc:Choice Requires="x15">
      <x15ac:absPath xmlns:x15ac="http://schemas.microsoft.com/office/spreadsheetml/2010/11/ac" url="C:\Users\Fernando\Documents\"/>
    </mc:Choice>
  </mc:AlternateContent>
  <xr:revisionPtr revIDLastSave="0" documentId="13_ncr:1_{D9495C35-D6C5-4F97-8FFD-AA0A25E35DA1}" xr6:coauthVersionLast="36" xr6:coauthVersionMax="36" xr10:uidLastSave="{00000000-0000-0000-0000-000000000000}"/>
  <bookViews>
    <workbookView xWindow="0" yWindow="0" windowWidth="20490" windowHeight="8130" xr2:uid="{00000000-000D-0000-FFFF-FFFF00000000}"/>
  </bookViews>
  <sheets>
    <sheet name="Cadastro01" sheetId="2" r:id="rId1"/>
  </sheets>
  <calcPr calcId="191029"/>
</workbook>
</file>

<file path=xl/calcChain.xml><?xml version="1.0" encoding="utf-8"?>
<calcChain xmlns="http://schemas.openxmlformats.org/spreadsheetml/2006/main">
  <c r="G30" i="2" l="1"/>
  <c r="G28" i="2"/>
  <c r="G25" i="2"/>
  <c r="Q178" i="2" l="1"/>
  <c r="P178" i="2"/>
  <c r="O178" i="2"/>
  <c r="N178" i="2"/>
  <c r="M178" i="2"/>
  <c r="L178" i="2"/>
  <c r="K178" i="2"/>
  <c r="J178" i="2"/>
  <c r="I178" i="2"/>
  <c r="G178" i="2"/>
  <c r="F178" i="2"/>
  <c r="E178" i="2"/>
  <c r="D178" i="2"/>
  <c r="C178" i="2"/>
  <c r="B178" i="2"/>
  <c r="A178" i="2"/>
  <c r="Q177" i="2"/>
  <c r="P177" i="2"/>
  <c r="O177" i="2"/>
  <c r="N177" i="2"/>
  <c r="M177" i="2"/>
  <c r="L177" i="2"/>
  <c r="K177" i="2"/>
  <c r="J177" i="2"/>
  <c r="I177" i="2"/>
  <c r="F177" i="2"/>
  <c r="E177" i="2"/>
  <c r="D177" i="2"/>
  <c r="C177" i="2"/>
  <c r="B177" i="2"/>
  <c r="A177" i="2"/>
  <c r="Q176" i="2"/>
  <c r="P176" i="2"/>
  <c r="O176" i="2"/>
  <c r="N176" i="2"/>
  <c r="M176" i="2"/>
  <c r="L176" i="2"/>
  <c r="K176" i="2"/>
  <c r="J176" i="2"/>
  <c r="I176" i="2"/>
  <c r="F176" i="2"/>
  <c r="E176" i="2"/>
  <c r="D176" i="2"/>
  <c r="C176" i="2"/>
  <c r="B176" i="2"/>
  <c r="A176" i="2"/>
  <c r="Q175" i="2"/>
  <c r="P175" i="2"/>
  <c r="O175" i="2"/>
  <c r="N175" i="2"/>
  <c r="M175" i="2"/>
  <c r="L175" i="2"/>
  <c r="K175" i="2"/>
  <c r="J175" i="2"/>
  <c r="I175" i="2"/>
  <c r="F175" i="2"/>
  <c r="E175" i="2"/>
  <c r="D175" i="2"/>
  <c r="C175" i="2"/>
  <c r="B175" i="2"/>
  <c r="A175" i="2"/>
  <c r="Q174" i="2"/>
  <c r="P174" i="2"/>
  <c r="O174" i="2"/>
  <c r="N174" i="2"/>
  <c r="M174" i="2"/>
  <c r="L174" i="2"/>
  <c r="K174" i="2"/>
  <c r="J174" i="2"/>
  <c r="I174" i="2"/>
  <c r="F174" i="2"/>
  <c r="E174" i="2"/>
  <c r="D174" i="2"/>
  <c r="C174" i="2"/>
  <c r="B174" i="2"/>
  <c r="A174" i="2"/>
  <c r="Q173" i="2"/>
  <c r="P173" i="2"/>
  <c r="O173" i="2"/>
  <c r="N173" i="2"/>
  <c r="M173" i="2"/>
  <c r="L173" i="2"/>
  <c r="K173" i="2"/>
  <c r="J173" i="2"/>
  <c r="I173" i="2"/>
  <c r="G173" i="2"/>
  <c r="F173" i="2"/>
  <c r="E173" i="2"/>
  <c r="D173" i="2"/>
  <c r="C173" i="2"/>
  <c r="B173" i="2"/>
  <c r="A173" i="2"/>
  <c r="Q172" i="2"/>
  <c r="P172" i="2"/>
  <c r="O172" i="2"/>
  <c r="N172" i="2"/>
  <c r="M172" i="2"/>
  <c r="L172" i="2"/>
  <c r="K172" i="2"/>
  <c r="J172" i="2"/>
  <c r="I172" i="2"/>
  <c r="F172" i="2"/>
  <c r="E172" i="2"/>
  <c r="D172" i="2"/>
  <c r="C172" i="2"/>
  <c r="B172" i="2"/>
  <c r="A172" i="2"/>
  <c r="Q171" i="2"/>
  <c r="P171" i="2"/>
  <c r="O171" i="2"/>
  <c r="N171" i="2"/>
  <c r="M171" i="2"/>
  <c r="L171" i="2"/>
  <c r="K171" i="2"/>
  <c r="J171" i="2"/>
  <c r="I171" i="2"/>
  <c r="F171" i="2"/>
  <c r="E171" i="2"/>
  <c r="D171" i="2"/>
  <c r="C171" i="2"/>
  <c r="B171" i="2"/>
  <c r="A171" i="2"/>
  <c r="Q170" i="2"/>
  <c r="P170" i="2"/>
  <c r="O170" i="2"/>
  <c r="N170" i="2"/>
  <c r="M170" i="2"/>
  <c r="L170" i="2"/>
  <c r="K170" i="2"/>
  <c r="J170" i="2"/>
  <c r="I170" i="2"/>
  <c r="F170" i="2"/>
  <c r="E170" i="2"/>
  <c r="D170" i="2"/>
  <c r="C170" i="2"/>
  <c r="B170" i="2"/>
  <c r="A170" i="2"/>
  <c r="Q169" i="2"/>
  <c r="P169" i="2"/>
  <c r="O169" i="2"/>
  <c r="N169" i="2"/>
  <c r="M169" i="2"/>
  <c r="L169" i="2"/>
  <c r="K169" i="2"/>
  <c r="J169" i="2"/>
  <c r="I169" i="2"/>
  <c r="F169" i="2"/>
  <c r="E169" i="2"/>
  <c r="D169" i="2"/>
  <c r="C169" i="2"/>
  <c r="B169" i="2"/>
  <c r="A169" i="2"/>
  <c r="Q168" i="2"/>
  <c r="P168" i="2"/>
  <c r="O168" i="2"/>
  <c r="N168" i="2"/>
  <c r="M168" i="2"/>
  <c r="L168" i="2"/>
  <c r="K168" i="2"/>
  <c r="J168" i="2"/>
  <c r="I168" i="2"/>
  <c r="G168" i="2"/>
  <c r="F168" i="2"/>
  <c r="E168" i="2"/>
  <c r="D168" i="2"/>
  <c r="C168" i="2"/>
  <c r="B168" i="2"/>
  <c r="A168" i="2"/>
  <c r="Q167" i="2"/>
  <c r="P167" i="2"/>
  <c r="O167" i="2"/>
  <c r="N167" i="2"/>
  <c r="M167" i="2"/>
  <c r="L167" i="2"/>
  <c r="K167" i="2"/>
  <c r="J167" i="2"/>
  <c r="I167" i="2"/>
  <c r="F167" i="2"/>
  <c r="E167" i="2"/>
  <c r="D167" i="2"/>
  <c r="C167" i="2"/>
  <c r="B167" i="2"/>
  <c r="A167" i="2"/>
  <c r="Q166" i="2"/>
  <c r="P166" i="2"/>
  <c r="O166" i="2"/>
  <c r="N166" i="2"/>
  <c r="M166" i="2"/>
  <c r="L166" i="2"/>
  <c r="K166" i="2"/>
  <c r="J166" i="2"/>
  <c r="I166" i="2"/>
  <c r="F166" i="2"/>
  <c r="E166" i="2"/>
  <c r="D166" i="2"/>
  <c r="C166" i="2"/>
  <c r="B166" i="2"/>
  <c r="A166" i="2"/>
  <c r="Q165" i="2"/>
  <c r="P165" i="2"/>
  <c r="O165" i="2"/>
  <c r="N165" i="2"/>
  <c r="M165" i="2"/>
  <c r="L165" i="2"/>
  <c r="K165" i="2"/>
  <c r="J165" i="2"/>
  <c r="I165" i="2"/>
  <c r="F165" i="2"/>
  <c r="E165" i="2"/>
  <c r="D165" i="2"/>
  <c r="C165" i="2"/>
  <c r="B165" i="2"/>
  <c r="A165" i="2"/>
  <c r="Q164" i="2"/>
  <c r="P164" i="2"/>
  <c r="O164" i="2"/>
  <c r="N164" i="2"/>
  <c r="M164" i="2"/>
  <c r="L164" i="2"/>
  <c r="K164" i="2"/>
  <c r="J164" i="2"/>
  <c r="I164" i="2"/>
  <c r="F164" i="2"/>
  <c r="E164" i="2"/>
  <c r="D164" i="2"/>
  <c r="C164" i="2"/>
  <c r="B164" i="2"/>
  <c r="A164" i="2"/>
  <c r="Q163" i="2"/>
  <c r="P163" i="2"/>
  <c r="O163" i="2"/>
  <c r="N163" i="2"/>
  <c r="M163" i="2"/>
  <c r="L163" i="2"/>
  <c r="K163" i="2"/>
  <c r="J163" i="2"/>
  <c r="I163" i="2"/>
  <c r="F163" i="2"/>
  <c r="E163" i="2"/>
  <c r="D163" i="2"/>
  <c r="C163" i="2"/>
  <c r="B163" i="2"/>
  <c r="A163" i="2"/>
  <c r="Q162" i="2"/>
  <c r="P162" i="2"/>
  <c r="O162" i="2"/>
  <c r="N162" i="2"/>
  <c r="M162" i="2"/>
  <c r="L162" i="2"/>
  <c r="K162" i="2"/>
  <c r="J162" i="2"/>
  <c r="I162" i="2"/>
  <c r="G162" i="2"/>
  <c r="F162" i="2"/>
  <c r="E162" i="2"/>
  <c r="D162" i="2"/>
  <c r="C162" i="2"/>
  <c r="B162" i="2"/>
  <c r="A162" i="2"/>
  <c r="Q161" i="2"/>
  <c r="P161" i="2"/>
  <c r="O161" i="2"/>
  <c r="N161" i="2"/>
  <c r="M161" i="2"/>
  <c r="L161" i="2"/>
  <c r="K161" i="2"/>
  <c r="J161" i="2"/>
  <c r="I161" i="2"/>
  <c r="F161" i="2"/>
  <c r="E161" i="2"/>
  <c r="D161" i="2"/>
  <c r="C161" i="2"/>
  <c r="B161" i="2"/>
  <c r="A161" i="2"/>
  <c r="Q160" i="2"/>
  <c r="P160" i="2"/>
  <c r="O160" i="2"/>
  <c r="N160" i="2"/>
  <c r="M160" i="2"/>
  <c r="L160" i="2"/>
  <c r="K160" i="2"/>
  <c r="J160" i="2"/>
  <c r="I160" i="2"/>
  <c r="F160" i="2"/>
  <c r="E160" i="2"/>
  <c r="D160" i="2"/>
  <c r="C160" i="2"/>
  <c r="B160" i="2"/>
  <c r="A160" i="2"/>
  <c r="Q159" i="2"/>
  <c r="P159" i="2"/>
  <c r="O159" i="2"/>
  <c r="N159" i="2"/>
  <c r="M159" i="2"/>
  <c r="L159" i="2"/>
  <c r="K159" i="2"/>
  <c r="J159" i="2"/>
  <c r="I159" i="2"/>
  <c r="F159" i="2"/>
  <c r="E159" i="2"/>
  <c r="D159" i="2"/>
  <c r="C159" i="2"/>
  <c r="B159" i="2"/>
  <c r="A159" i="2"/>
  <c r="Q158" i="2"/>
  <c r="P158" i="2"/>
  <c r="O158" i="2"/>
  <c r="N158" i="2"/>
  <c r="M158" i="2"/>
  <c r="L158" i="2"/>
  <c r="K158" i="2"/>
  <c r="J158" i="2"/>
  <c r="I158" i="2"/>
  <c r="F158" i="2"/>
  <c r="E158" i="2"/>
  <c r="D158" i="2"/>
  <c r="C158" i="2"/>
  <c r="B158" i="2"/>
  <c r="A158" i="2"/>
  <c r="Q157" i="2"/>
  <c r="P157" i="2"/>
  <c r="O157" i="2"/>
  <c r="N157" i="2"/>
  <c r="M157" i="2"/>
  <c r="L157" i="2"/>
  <c r="K157" i="2"/>
  <c r="J157" i="2"/>
  <c r="I157" i="2"/>
  <c r="F157" i="2"/>
  <c r="E157" i="2"/>
  <c r="D157" i="2"/>
  <c r="C157" i="2"/>
  <c r="B157" i="2"/>
  <c r="A157" i="2"/>
  <c r="Q156" i="2"/>
  <c r="P156" i="2"/>
  <c r="O156" i="2"/>
  <c r="N156" i="2"/>
  <c r="M156" i="2"/>
  <c r="L156" i="2"/>
  <c r="K156" i="2"/>
  <c r="J156" i="2"/>
  <c r="I156" i="2"/>
  <c r="F156" i="2"/>
  <c r="E156" i="2"/>
  <c r="D156" i="2"/>
  <c r="C156" i="2"/>
  <c r="B156" i="2"/>
  <c r="A156" i="2"/>
  <c r="Q155" i="2"/>
  <c r="P155" i="2"/>
  <c r="O155" i="2"/>
  <c r="N155" i="2"/>
  <c r="M155" i="2"/>
  <c r="L155" i="2"/>
  <c r="K155" i="2"/>
  <c r="J155" i="2"/>
  <c r="I155" i="2"/>
  <c r="F155" i="2"/>
  <c r="E155" i="2"/>
  <c r="D155" i="2"/>
  <c r="C155" i="2"/>
  <c r="B155" i="2"/>
  <c r="A155" i="2"/>
  <c r="Q154" i="2"/>
  <c r="P154" i="2"/>
  <c r="O154" i="2"/>
  <c r="N154" i="2"/>
  <c r="M154" i="2"/>
  <c r="L154" i="2"/>
  <c r="K154" i="2"/>
  <c r="J154" i="2"/>
  <c r="I154" i="2"/>
  <c r="F154" i="2"/>
  <c r="E154" i="2"/>
  <c r="D154" i="2"/>
  <c r="C154" i="2"/>
  <c r="B154" i="2"/>
  <c r="A154" i="2"/>
  <c r="Q153" i="2"/>
  <c r="P153" i="2"/>
  <c r="O153" i="2"/>
  <c r="N153" i="2"/>
  <c r="M153" i="2"/>
  <c r="L153" i="2"/>
  <c r="K153" i="2"/>
  <c r="J153" i="2"/>
  <c r="I153" i="2"/>
  <c r="F153" i="2"/>
  <c r="E153" i="2"/>
  <c r="D153" i="2"/>
  <c r="C153" i="2"/>
  <c r="B153" i="2"/>
  <c r="A153" i="2"/>
  <c r="Q152" i="2"/>
  <c r="P152" i="2"/>
  <c r="O152" i="2"/>
  <c r="N152" i="2"/>
  <c r="M152" i="2"/>
  <c r="L152" i="2"/>
  <c r="K152" i="2"/>
  <c r="J152" i="2"/>
  <c r="I152" i="2"/>
  <c r="G152" i="2"/>
  <c r="F152" i="2"/>
  <c r="E152" i="2"/>
  <c r="D152" i="2"/>
  <c r="C152" i="2"/>
  <c r="B152" i="2"/>
  <c r="A152" i="2"/>
  <c r="Q151" i="2"/>
  <c r="P151" i="2"/>
  <c r="O151" i="2"/>
  <c r="N151" i="2"/>
  <c r="M151" i="2"/>
  <c r="L151" i="2"/>
  <c r="K151" i="2"/>
  <c r="J151" i="2"/>
  <c r="I151" i="2"/>
  <c r="G151" i="2"/>
  <c r="F151" i="2"/>
  <c r="E151" i="2"/>
  <c r="D151" i="2"/>
  <c r="C151" i="2"/>
  <c r="B151" i="2"/>
  <c r="A151" i="2"/>
  <c r="Q150" i="2"/>
  <c r="P150" i="2"/>
  <c r="O150" i="2"/>
  <c r="N150" i="2"/>
  <c r="M150" i="2"/>
  <c r="L150" i="2"/>
  <c r="K150" i="2"/>
  <c r="J150" i="2"/>
  <c r="I150" i="2"/>
  <c r="G150" i="2"/>
  <c r="F150" i="2"/>
  <c r="E150" i="2"/>
  <c r="D150" i="2"/>
  <c r="C150" i="2"/>
  <c r="B150" i="2"/>
  <c r="A150" i="2"/>
  <c r="Q149" i="2"/>
  <c r="P149" i="2"/>
  <c r="O149" i="2"/>
  <c r="N149" i="2"/>
  <c r="M149" i="2"/>
  <c r="L149" i="2"/>
  <c r="K149" i="2"/>
  <c r="J149" i="2"/>
  <c r="I149" i="2"/>
  <c r="G149" i="2"/>
  <c r="F149" i="2"/>
  <c r="E149" i="2"/>
  <c r="D149" i="2"/>
  <c r="C149" i="2"/>
  <c r="B149" i="2"/>
  <c r="A149" i="2"/>
  <c r="Q148" i="2"/>
  <c r="P148" i="2"/>
  <c r="O148" i="2"/>
  <c r="N148" i="2"/>
  <c r="M148" i="2"/>
  <c r="L148" i="2"/>
  <c r="K148" i="2"/>
  <c r="J148" i="2"/>
  <c r="I148" i="2"/>
  <c r="G148" i="2"/>
  <c r="F148" i="2"/>
  <c r="E148" i="2"/>
  <c r="D148" i="2"/>
  <c r="C148" i="2"/>
  <c r="B148" i="2"/>
  <c r="A148" i="2"/>
  <c r="Q147" i="2"/>
  <c r="P147" i="2"/>
  <c r="O147" i="2"/>
  <c r="N147" i="2"/>
  <c r="M147" i="2"/>
  <c r="L147" i="2"/>
  <c r="K147" i="2"/>
  <c r="J147" i="2"/>
  <c r="I147" i="2"/>
  <c r="G147" i="2"/>
  <c r="F147" i="2"/>
  <c r="E147" i="2"/>
  <c r="D147" i="2"/>
  <c r="C147" i="2"/>
  <c r="B147" i="2"/>
  <c r="A147" i="2"/>
  <c r="Q146" i="2"/>
  <c r="P146" i="2"/>
  <c r="O146" i="2"/>
  <c r="N146" i="2"/>
  <c r="M146" i="2"/>
  <c r="L146" i="2"/>
  <c r="K146" i="2"/>
  <c r="J146" i="2"/>
  <c r="I146" i="2"/>
  <c r="G146" i="2"/>
  <c r="F146" i="2"/>
  <c r="E146" i="2"/>
  <c r="D146" i="2"/>
  <c r="C146" i="2"/>
  <c r="B146" i="2"/>
  <c r="A146" i="2"/>
  <c r="Q145" i="2"/>
  <c r="P145" i="2"/>
  <c r="O145" i="2"/>
  <c r="N145" i="2"/>
  <c r="M145" i="2"/>
  <c r="L145" i="2"/>
  <c r="K145" i="2"/>
  <c r="J145" i="2"/>
  <c r="I145" i="2"/>
  <c r="G145" i="2"/>
  <c r="F145" i="2"/>
  <c r="E145" i="2"/>
  <c r="D145" i="2"/>
  <c r="C145" i="2"/>
  <c r="B145" i="2"/>
  <c r="A145" i="2"/>
  <c r="Q144" i="2"/>
  <c r="P144" i="2"/>
  <c r="O144" i="2"/>
  <c r="N144" i="2"/>
  <c r="M144" i="2"/>
  <c r="L144" i="2"/>
  <c r="K144" i="2"/>
  <c r="J144" i="2"/>
  <c r="I144" i="2"/>
  <c r="G144" i="2"/>
  <c r="F144" i="2"/>
  <c r="E144" i="2"/>
  <c r="D144" i="2"/>
  <c r="C144" i="2"/>
  <c r="B144" i="2"/>
  <c r="A144" i="2"/>
  <c r="Q143" i="2"/>
  <c r="P143" i="2"/>
  <c r="O143" i="2"/>
  <c r="N143" i="2"/>
  <c r="M143" i="2"/>
  <c r="L143" i="2"/>
  <c r="K143" i="2"/>
  <c r="J143" i="2"/>
  <c r="I143" i="2"/>
  <c r="H143" i="2"/>
  <c r="G143" i="2"/>
  <c r="F143" i="2"/>
  <c r="E143" i="2"/>
  <c r="D143" i="2"/>
  <c r="C143" i="2"/>
  <c r="B143" i="2"/>
  <c r="A143" i="2"/>
  <c r="Q142" i="2"/>
  <c r="P142" i="2"/>
  <c r="O142" i="2"/>
  <c r="N142" i="2"/>
  <c r="M142" i="2"/>
  <c r="L142" i="2"/>
  <c r="K142" i="2"/>
  <c r="J142" i="2"/>
  <c r="I142" i="2"/>
  <c r="F142" i="2"/>
  <c r="E142" i="2"/>
  <c r="D142" i="2"/>
  <c r="C142" i="2"/>
  <c r="B142" i="2"/>
  <c r="A142" i="2"/>
  <c r="Q141" i="2"/>
  <c r="P141" i="2"/>
  <c r="O141" i="2"/>
  <c r="N141" i="2"/>
  <c r="M141" i="2"/>
  <c r="L141" i="2"/>
  <c r="K141" i="2"/>
  <c r="J141" i="2"/>
  <c r="I141" i="2"/>
  <c r="F141" i="2"/>
  <c r="E141" i="2"/>
  <c r="D141" i="2"/>
  <c r="C141" i="2"/>
  <c r="B141" i="2"/>
  <c r="A141" i="2"/>
  <c r="Q140" i="2"/>
  <c r="P140" i="2"/>
  <c r="O140" i="2"/>
  <c r="N140" i="2"/>
  <c r="M140" i="2"/>
  <c r="L140" i="2"/>
  <c r="K140" i="2"/>
  <c r="J140" i="2"/>
  <c r="I140" i="2"/>
  <c r="F140" i="2"/>
  <c r="E140" i="2"/>
  <c r="D140" i="2"/>
  <c r="C140" i="2"/>
  <c r="B140" i="2"/>
  <c r="A140" i="2"/>
  <c r="Q139" i="2"/>
  <c r="P139" i="2"/>
  <c r="O139" i="2"/>
  <c r="N139" i="2"/>
  <c r="M139" i="2"/>
  <c r="L139" i="2"/>
  <c r="K139" i="2"/>
  <c r="J139" i="2"/>
  <c r="I139" i="2"/>
  <c r="F139" i="2"/>
  <c r="E139" i="2"/>
  <c r="D139" i="2"/>
  <c r="C139" i="2"/>
  <c r="B139" i="2"/>
  <c r="A139" i="2"/>
  <c r="Q138" i="2"/>
  <c r="P138" i="2"/>
  <c r="O138" i="2"/>
  <c r="N138" i="2"/>
  <c r="M138" i="2"/>
  <c r="L138" i="2"/>
  <c r="K138" i="2"/>
  <c r="J138" i="2"/>
  <c r="I138" i="2"/>
  <c r="F138" i="2"/>
  <c r="E138" i="2"/>
  <c r="D138" i="2"/>
  <c r="C138" i="2"/>
  <c r="B138" i="2"/>
  <c r="A138" i="2"/>
  <c r="Q137" i="2"/>
  <c r="P137" i="2"/>
  <c r="O137" i="2"/>
  <c r="N137" i="2"/>
  <c r="M137" i="2"/>
  <c r="L137" i="2"/>
  <c r="K137" i="2"/>
  <c r="J137" i="2"/>
  <c r="I137" i="2"/>
  <c r="F137" i="2"/>
  <c r="E137" i="2"/>
  <c r="D137" i="2"/>
  <c r="C137" i="2"/>
  <c r="B137" i="2"/>
  <c r="A137" i="2"/>
  <c r="Q136" i="2"/>
  <c r="P136" i="2"/>
  <c r="O136" i="2"/>
  <c r="N136" i="2"/>
  <c r="M136" i="2"/>
  <c r="L136" i="2"/>
  <c r="K136" i="2"/>
  <c r="J136" i="2"/>
  <c r="I136" i="2"/>
  <c r="F136" i="2"/>
  <c r="E136" i="2"/>
  <c r="D136" i="2"/>
  <c r="C136" i="2"/>
  <c r="B136" i="2"/>
  <c r="A136" i="2"/>
  <c r="Q135" i="2"/>
  <c r="P135" i="2"/>
  <c r="O135" i="2"/>
  <c r="N135" i="2"/>
  <c r="M135" i="2"/>
  <c r="L135" i="2"/>
  <c r="K135" i="2"/>
  <c r="J135" i="2"/>
  <c r="I135" i="2"/>
  <c r="F135" i="2"/>
  <c r="E135" i="2"/>
  <c r="D135" i="2"/>
  <c r="C135" i="2"/>
  <c r="B135" i="2"/>
  <c r="A135" i="2"/>
  <c r="Q134" i="2"/>
  <c r="P134" i="2"/>
  <c r="O134" i="2"/>
  <c r="N134" i="2"/>
  <c r="M134" i="2"/>
  <c r="L134" i="2"/>
  <c r="K134" i="2"/>
  <c r="J134" i="2"/>
  <c r="I134" i="2"/>
  <c r="F134" i="2"/>
  <c r="E134" i="2"/>
  <c r="D134" i="2"/>
  <c r="C134" i="2"/>
  <c r="B134" i="2"/>
  <c r="A134" i="2"/>
  <c r="Q133" i="2"/>
  <c r="P133" i="2"/>
  <c r="O133" i="2"/>
  <c r="N133" i="2"/>
  <c r="M133" i="2"/>
  <c r="L133" i="2"/>
  <c r="K133" i="2"/>
  <c r="J133" i="2"/>
  <c r="I133" i="2"/>
  <c r="F133" i="2"/>
  <c r="E133" i="2"/>
  <c r="D133" i="2"/>
  <c r="C133" i="2"/>
  <c r="B133" i="2"/>
  <c r="A133" i="2"/>
  <c r="Q132" i="2"/>
  <c r="P132" i="2"/>
  <c r="O132" i="2"/>
  <c r="N132" i="2"/>
  <c r="M132" i="2"/>
  <c r="L132" i="2"/>
  <c r="K132" i="2"/>
  <c r="J132" i="2"/>
  <c r="I132" i="2"/>
  <c r="F132" i="2"/>
  <c r="E132" i="2"/>
  <c r="D132" i="2"/>
  <c r="C132" i="2"/>
  <c r="B132" i="2"/>
  <c r="A132" i="2"/>
  <c r="Q131" i="2"/>
  <c r="P131" i="2"/>
  <c r="O131" i="2"/>
  <c r="N131" i="2"/>
  <c r="M131" i="2"/>
  <c r="L131" i="2"/>
  <c r="K131" i="2"/>
  <c r="J131" i="2"/>
  <c r="I131" i="2"/>
  <c r="F131" i="2"/>
  <c r="E131" i="2"/>
  <c r="D131" i="2"/>
  <c r="C131" i="2"/>
  <c r="B131" i="2"/>
  <c r="A131" i="2"/>
  <c r="Q130" i="2"/>
  <c r="P130" i="2"/>
  <c r="O130" i="2"/>
  <c r="N130" i="2"/>
  <c r="M130" i="2"/>
  <c r="L130" i="2"/>
  <c r="K130" i="2"/>
  <c r="J130" i="2"/>
  <c r="I130" i="2"/>
  <c r="F130" i="2"/>
  <c r="E130" i="2"/>
  <c r="D130" i="2"/>
  <c r="C130" i="2"/>
  <c r="B130" i="2"/>
  <c r="A130" i="2"/>
  <c r="Q129" i="2"/>
  <c r="P129" i="2"/>
  <c r="O129" i="2"/>
  <c r="N129" i="2"/>
  <c r="M129" i="2"/>
  <c r="L129" i="2"/>
  <c r="K129" i="2"/>
  <c r="J129" i="2"/>
  <c r="I129" i="2"/>
  <c r="F129" i="2"/>
  <c r="E129" i="2"/>
  <c r="D129" i="2"/>
  <c r="C129" i="2"/>
  <c r="B129" i="2"/>
  <c r="A129" i="2"/>
  <c r="Q128" i="2"/>
  <c r="P128" i="2"/>
  <c r="O128" i="2"/>
  <c r="N128" i="2"/>
  <c r="M128" i="2"/>
  <c r="L128" i="2"/>
  <c r="K128" i="2"/>
  <c r="J128" i="2"/>
  <c r="I128" i="2"/>
  <c r="F128" i="2"/>
  <c r="E128" i="2"/>
  <c r="D128" i="2"/>
  <c r="C128" i="2"/>
  <c r="B128" i="2"/>
  <c r="A128" i="2"/>
  <c r="Q127" i="2"/>
  <c r="P127" i="2"/>
  <c r="O127" i="2"/>
  <c r="N127" i="2"/>
  <c r="M127" i="2"/>
  <c r="L127" i="2"/>
  <c r="K127" i="2"/>
  <c r="J127" i="2"/>
  <c r="I127" i="2"/>
  <c r="F127" i="2"/>
  <c r="E127" i="2"/>
  <c r="D127" i="2"/>
  <c r="C127" i="2"/>
  <c r="B127" i="2"/>
  <c r="A127" i="2"/>
  <c r="Q126" i="2"/>
  <c r="P126" i="2"/>
  <c r="O126" i="2"/>
  <c r="N126" i="2"/>
  <c r="M126" i="2"/>
  <c r="L126" i="2"/>
  <c r="K126" i="2"/>
  <c r="J126" i="2"/>
  <c r="I126" i="2"/>
  <c r="F126" i="2"/>
  <c r="E126" i="2"/>
  <c r="D126" i="2"/>
  <c r="C126" i="2"/>
  <c r="B126" i="2"/>
  <c r="A126" i="2"/>
  <c r="Q125" i="2"/>
  <c r="P125" i="2"/>
  <c r="O125" i="2"/>
  <c r="N125" i="2"/>
  <c r="M125" i="2"/>
  <c r="L125" i="2"/>
  <c r="K125" i="2"/>
  <c r="J125" i="2"/>
  <c r="I125" i="2"/>
  <c r="G125" i="2"/>
  <c r="F125" i="2"/>
  <c r="E125" i="2"/>
  <c r="D125" i="2"/>
  <c r="C125" i="2"/>
  <c r="B125" i="2"/>
  <c r="A125" i="2"/>
  <c r="Q124" i="2"/>
  <c r="P124" i="2"/>
  <c r="O124" i="2"/>
  <c r="N124" i="2"/>
  <c r="M124" i="2"/>
  <c r="L124" i="2"/>
  <c r="K124" i="2"/>
  <c r="J124" i="2"/>
  <c r="I124" i="2"/>
  <c r="G124" i="2"/>
  <c r="F124" i="2"/>
  <c r="E124" i="2"/>
  <c r="D124" i="2"/>
  <c r="C124" i="2"/>
  <c r="B124" i="2"/>
  <c r="A124" i="2"/>
  <c r="Q123" i="2"/>
  <c r="P123" i="2"/>
  <c r="O123" i="2"/>
  <c r="N123" i="2"/>
  <c r="M123" i="2"/>
  <c r="L123" i="2"/>
  <c r="K123" i="2"/>
  <c r="J123" i="2"/>
  <c r="I123" i="2"/>
  <c r="G123" i="2"/>
  <c r="F123" i="2"/>
  <c r="E123" i="2"/>
  <c r="D123" i="2"/>
  <c r="C123" i="2"/>
  <c r="B123" i="2"/>
  <c r="A123" i="2"/>
  <c r="Q122" i="2"/>
  <c r="P122" i="2"/>
  <c r="O122" i="2"/>
  <c r="N122" i="2"/>
  <c r="M122" i="2"/>
  <c r="L122" i="2"/>
  <c r="K122" i="2"/>
  <c r="J122" i="2"/>
  <c r="I122" i="2"/>
  <c r="G122" i="2"/>
  <c r="F122" i="2"/>
  <c r="E122" i="2"/>
  <c r="D122" i="2"/>
  <c r="C122" i="2"/>
  <c r="B122" i="2"/>
  <c r="A122" i="2"/>
  <c r="Q121" i="2"/>
  <c r="P121" i="2"/>
  <c r="O121" i="2"/>
  <c r="N121" i="2"/>
  <c r="M121" i="2"/>
  <c r="L121" i="2"/>
  <c r="K121" i="2"/>
  <c r="J121" i="2"/>
  <c r="I121" i="2"/>
  <c r="F121" i="2"/>
  <c r="E121" i="2"/>
  <c r="D121" i="2"/>
  <c r="C121" i="2"/>
  <c r="B121" i="2"/>
  <c r="A121" i="2"/>
  <c r="Q120" i="2"/>
  <c r="P120" i="2"/>
  <c r="O120" i="2"/>
  <c r="N120" i="2"/>
  <c r="M120" i="2"/>
  <c r="L120" i="2"/>
  <c r="K120" i="2"/>
  <c r="J120" i="2"/>
  <c r="I120" i="2"/>
  <c r="F120" i="2"/>
  <c r="E120" i="2"/>
  <c r="D120" i="2"/>
  <c r="C120" i="2"/>
  <c r="B120" i="2"/>
  <c r="A120" i="2"/>
  <c r="Q119" i="2"/>
  <c r="P119" i="2"/>
  <c r="O119" i="2"/>
  <c r="N119" i="2"/>
  <c r="M119" i="2"/>
  <c r="L119" i="2"/>
  <c r="K119" i="2"/>
  <c r="J119" i="2"/>
  <c r="I119" i="2"/>
  <c r="G119" i="2"/>
  <c r="F119" i="2"/>
  <c r="E119" i="2"/>
  <c r="D119" i="2"/>
  <c r="C119" i="2"/>
  <c r="B119" i="2"/>
  <c r="A119" i="2"/>
  <c r="Q118" i="2"/>
  <c r="P118" i="2"/>
  <c r="O118" i="2"/>
  <c r="N118" i="2"/>
  <c r="M118" i="2"/>
  <c r="L118" i="2"/>
  <c r="K118" i="2"/>
  <c r="J118" i="2"/>
  <c r="I118" i="2"/>
  <c r="F118" i="2"/>
  <c r="E118" i="2"/>
  <c r="D118" i="2"/>
  <c r="C118" i="2"/>
  <c r="B118" i="2"/>
  <c r="A118" i="2"/>
  <c r="Q117" i="2"/>
  <c r="P117" i="2"/>
  <c r="O117" i="2"/>
  <c r="N117" i="2"/>
  <c r="M117" i="2"/>
  <c r="L117" i="2"/>
  <c r="K117" i="2"/>
  <c r="J117" i="2"/>
  <c r="I117" i="2"/>
  <c r="F117" i="2"/>
  <c r="E117" i="2"/>
  <c r="D117" i="2"/>
  <c r="C117" i="2"/>
  <c r="B117" i="2"/>
  <c r="A117" i="2"/>
  <c r="Q116" i="2"/>
  <c r="P116" i="2"/>
  <c r="O116" i="2"/>
  <c r="N116" i="2"/>
  <c r="M116" i="2"/>
  <c r="L116" i="2"/>
  <c r="K116" i="2"/>
  <c r="J116" i="2"/>
  <c r="I116" i="2"/>
  <c r="F116" i="2"/>
  <c r="E116" i="2"/>
  <c r="D116" i="2"/>
  <c r="C116" i="2"/>
  <c r="B116" i="2"/>
  <c r="A116" i="2"/>
  <c r="Q115" i="2"/>
  <c r="P115" i="2"/>
  <c r="O115" i="2"/>
  <c r="N115" i="2"/>
  <c r="M115" i="2"/>
  <c r="L115" i="2"/>
  <c r="K115" i="2"/>
  <c r="J115" i="2"/>
  <c r="I115" i="2"/>
  <c r="F115" i="2"/>
  <c r="E115" i="2"/>
  <c r="D115" i="2"/>
  <c r="C115" i="2"/>
  <c r="B115" i="2"/>
  <c r="A115" i="2"/>
  <c r="Q114" i="2"/>
  <c r="P114" i="2"/>
  <c r="O114" i="2"/>
  <c r="N114" i="2"/>
  <c r="M114" i="2"/>
  <c r="L114" i="2"/>
  <c r="K114" i="2"/>
  <c r="J114" i="2"/>
  <c r="I114" i="2"/>
  <c r="F114" i="2"/>
  <c r="E114" i="2"/>
  <c r="D114" i="2"/>
  <c r="C114" i="2"/>
  <c r="B114" i="2"/>
  <c r="A114" i="2"/>
  <c r="Q113" i="2"/>
  <c r="P113" i="2"/>
  <c r="O113" i="2"/>
  <c r="N113" i="2"/>
  <c r="M113" i="2"/>
  <c r="L113" i="2"/>
  <c r="K113" i="2"/>
  <c r="J113" i="2"/>
  <c r="I113" i="2"/>
  <c r="F113" i="2"/>
  <c r="E113" i="2"/>
  <c r="D113" i="2"/>
  <c r="C113" i="2"/>
  <c r="B113" i="2"/>
  <c r="A113" i="2"/>
  <c r="Q112" i="2"/>
  <c r="P112" i="2"/>
  <c r="O112" i="2"/>
  <c r="N112" i="2"/>
  <c r="M112" i="2"/>
  <c r="L112" i="2"/>
  <c r="K112" i="2"/>
  <c r="J112" i="2"/>
  <c r="I112" i="2"/>
  <c r="F112" i="2"/>
  <c r="E112" i="2"/>
  <c r="D112" i="2"/>
  <c r="C112" i="2"/>
  <c r="B112" i="2"/>
  <c r="A112" i="2"/>
  <c r="Q111" i="2"/>
  <c r="P111" i="2"/>
  <c r="O111" i="2"/>
  <c r="N111" i="2"/>
  <c r="M111" i="2"/>
  <c r="L111" i="2"/>
  <c r="K111" i="2"/>
  <c r="J111" i="2"/>
  <c r="I111" i="2"/>
  <c r="F111" i="2"/>
  <c r="E111" i="2"/>
  <c r="D111" i="2"/>
  <c r="C111" i="2"/>
  <c r="B111" i="2"/>
  <c r="A111" i="2"/>
  <c r="Q110" i="2"/>
  <c r="P110" i="2"/>
  <c r="O110" i="2"/>
  <c r="N110" i="2"/>
  <c r="M110" i="2"/>
  <c r="L110" i="2"/>
  <c r="K110" i="2"/>
  <c r="J110" i="2"/>
  <c r="I110" i="2"/>
  <c r="F110" i="2"/>
  <c r="E110" i="2"/>
  <c r="D110" i="2"/>
  <c r="C110" i="2"/>
  <c r="B110" i="2"/>
  <c r="A110" i="2"/>
  <c r="Q109" i="2"/>
  <c r="P109" i="2"/>
  <c r="O109" i="2"/>
  <c r="N109" i="2"/>
  <c r="M109" i="2"/>
  <c r="L109" i="2"/>
  <c r="K109" i="2"/>
  <c r="J109" i="2"/>
  <c r="I109" i="2"/>
  <c r="F109" i="2"/>
  <c r="E109" i="2"/>
  <c r="D109" i="2"/>
  <c r="C109" i="2"/>
  <c r="B109" i="2"/>
  <c r="A109" i="2"/>
  <c r="Q108" i="2"/>
  <c r="P108" i="2"/>
  <c r="O108" i="2"/>
  <c r="N108" i="2"/>
  <c r="M108" i="2"/>
  <c r="L108" i="2"/>
  <c r="K108" i="2"/>
  <c r="J108" i="2"/>
  <c r="I108" i="2"/>
  <c r="F108" i="2"/>
  <c r="E108" i="2"/>
  <c r="D108" i="2"/>
  <c r="C108" i="2"/>
  <c r="B108" i="2"/>
  <c r="A108" i="2"/>
  <c r="Q107" i="2"/>
  <c r="P107" i="2"/>
  <c r="O107" i="2"/>
  <c r="N107" i="2"/>
  <c r="M107" i="2"/>
  <c r="L107" i="2"/>
  <c r="K107" i="2"/>
  <c r="I107" i="2"/>
  <c r="F107" i="2"/>
  <c r="E107" i="2"/>
  <c r="D107" i="2"/>
  <c r="C107" i="2"/>
  <c r="B107" i="2"/>
  <c r="A107" i="2"/>
  <c r="Q106" i="2"/>
  <c r="P106" i="2"/>
  <c r="O106" i="2"/>
  <c r="N106" i="2"/>
  <c r="M106" i="2"/>
  <c r="L106" i="2"/>
  <c r="K106" i="2"/>
  <c r="I106" i="2"/>
  <c r="F106" i="2"/>
  <c r="E106" i="2"/>
  <c r="D106" i="2"/>
  <c r="C106" i="2"/>
  <c r="B106" i="2"/>
  <c r="A106" i="2"/>
  <c r="Q105" i="2"/>
  <c r="P105" i="2"/>
  <c r="O105" i="2"/>
  <c r="N105" i="2"/>
  <c r="M105" i="2"/>
  <c r="L105" i="2"/>
  <c r="K105" i="2"/>
  <c r="I105" i="2"/>
  <c r="F105" i="2"/>
  <c r="E105" i="2"/>
  <c r="D105" i="2"/>
  <c r="C105" i="2"/>
  <c r="B105" i="2"/>
  <c r="A105" i="2"/>
  <c r="Q104" i="2"/>
  <c r="P104" i="2"/>
  <c r="O104" i="2"/>
  <c r="N104" i="2"/>
  <c r="M104" i="2"/>
  <c r="L104" i="2"/>
  <c r="K104" i="2"/>
  <c r="I104" i="2"/>
  <c r="F104" i="2"/>
  <c r="E104" i="2"/>
  <c r="D104" i="2"/>
  <c r="C104" i="2"/>
  <c r="B104" i="2"/>
  <c r="A104" i="2"/>
  <c r="Q103" i="2"/>
  <c r="P103" i="2"/>
  <c r="O103" i="2"/>
  <c r="N103" i="2"/>
  <c r="M103" i="2"/>
  <c r="L103" i="2"/>
  <c r="K103" i="2"/>
  <c r="I103" i="2"/>
  <c r="F103" i="2"/>
  <c r="E103" i="2"/>
  <c r="D103" i="2"/>
  <c r="C103" i="2"/>
  <c r="B103" i="2"/>
  <c r="A103" i="2"/>
  <c r="Q102" i="2"/>
  <c r="P102" i="2"/>
  <c r="O102" i="2"/>
  <c r="N102" i="2"/>
  <c r="M102" i="2"/>
  <c r="L102" i="2"/>
  <c r="K102" i="2"/>
  <c r="J102" i="2"/>
  <c r="I102" i="2"/>
  <c r="F102" i="2"/>
  <c r="E102" i="2"/>
  <c r="D102" i="2"/>
  <c r="C102" i="2"/>
  <c r="B102" i="2"/>
  <c r="A102" i="2"/>
  <c r="Q101" i="2"/>
  <c r="P101" i="2"/>
  <c r="O101" i="2"/>
  <c r="N101" i="2"/>
  <c r="M101" i="2"/>
  <c r="L101" i="2"/>
  <c r="K101" i="2"/>
  <c r="J101" i="2"/>
  <c r="I101" i="2"/>
  <c r="F101" i="2"/>
  <c r="E101" i="2"/>
  <c r="D101" i="2"/>
  <c r="C101" i="2"/>
  <c r="B101" i="2"/>
  <c r="A101" i="2"/>
  <c r="Q100" i="2"/>
  <c r="P100" i="2"/>
  <c r="O100" i="2"/>
  <c r="N100" i="2"/>
  <c r="M100" i="2"/>
  <c r="L100" i="2"/>
  <c r="K100" i="2"/>
  <c r="J100" i="2"/>
  <c r="I100" i="2"/>
  <c r="F100" i="2"/>
  <c r="E100" i="2"/>
  <c r="D100" i="2"/>
  <c r="C100" i="2"/>
  <c r="B100" i="2"/>
  <c r="A100" i="2"/>
  <c r="Q99" i="2"/>
  <c r="P99" i="2"/>
  <c r="O99" i="2"/>
  <c r="N99" i="2"/>
  <c r="M99" i="2"/>
  <c r="L99" i="2"/>
  <c r="K99" i="2"/>
  <c r="J99" i="2"/>
  <c r="I99" i="2"/>
  <c r="F99" i="2"/>
  <c r="E99" i="2"/>
  <c r="D99" i="2"/>
  <c r="C99" i="2"/>
  <c r="B99" i="2"/>
  <c r="A99" i="2"/>
  <c r="Q98" i="2"/>
  <c r="P98" i="2"/>
  <c r="O98" i="2"/>
  <c r="N98" i="2"/>
  <c r="M98" i="2"/>
  <c r="L98" i="2"/>
  <c r="K98" i="2"/>
  <c r="J98" i="2"/>
  <c r="I98" i="2"/>
  <c r="F98" i="2"/>
  <c r="E98" i="2"/>
  <c r="D98" i="2"/>
  <c r="C98" i="2"/>
  <c r="B98" i="2"/>
  <c r="A98" i="2"/>
  <c r="Q97" i="2"/>
  <c r="P97" i="2"/>
  <c r="O97" i="2"/>
  <c r="N97" i="2"/>
  <c r="M97" i="2"/>
  <c r="L97" i="2"/>
  <c r="K97" i="2"/>
  <c r="J97" i="2"/>
  <c r="I97" i="2"/>
  <c r="F97" i="2"/>
  <c r="E97" i="2"/>
  <c r="D97" i="2"/>
  <c r="C97" i="2"/>
  <c r="B97" i="2"/>
  <c r="A97" i="2"/>
  <c r="Q96" i="2"/>
  <c r="P96" i="2"/>
  <c r="O96" i="2"/>
  <c r="N96" i="2"/>
  <c r="M96" i="2"/>
  <c r="L96" i="2"/>
  <c r="K96" i="2"/>
  <c r="J96" i="2"/>
  <c r="I96" i="2"/>
  <c r="F96" i="2"/>
  <c r="E96" i="2"/>
  <c r="D96" i="2"/>
  <c r="C96" i="2"/>
  <c r="B96" i="2"/>
  <c r="A96" i="2"/>
  <c r="Q95" i="2"/>
  <c r="P95" i="2"/>
  <c r="O95" i="2"/>
  <c r="N95" i="2"/>
  <c r="M95" i="2"/>
  <c r="L95" i="2"/>
  <c r="K95" i="2"/>
  <c r="J95" i="2"/>
  <c r="I95" i="2"/>
  <c r="F95" i="2"/>
  <c r="E95" i="2"/>
  <c r="D95" i="2"/>
  <c r="C95" i="2"/>
  <c r="B95" i="2"/>
  <c r="A95" i="2"/>
  <c r="Q94" i="2"/>
  <c r="P94" i="2"/>
  <c r="O94" i="2"/>
  <c r="N94" i="2"/>
  <c r="M94" i="2"/>
  <c r="L94" i="2"/>
  <c r="K94" i="2"/>
  <c r="J94" i="2"/>
  <c r="I94" i="2"/>
  <c r="F94" i="2"/>
  <c r="E94" i="2"/>
  <c r="D94" i="2"/>
  <c r="C94" i="2"/>
  <c r="B94" i="2"/>
  <c r="A94" i="2"/>
  <c r="Q93" i="2"/>
  <c r="P93" i="2"/>
  <c r="O93" i="2"/>
  <c r="N93" i="2"/>
  <c r="M93" i="2"/>
  <c r="L93" i="2"/>
  <c r="K93" i="2"/>
  <c r="J93" i="2"/>
  <c r="I93" i="2"/>
  <c r="F93" i="2"/>
  <c r="E93" i="2"/>
  <c r="D93" i="2"/>
  <c r="C93" i="2"/>
  <c r="B93" i="2"/>
  <c r="A93" i="2"/>
  <c r="Q92" i="2"/>
  <c r="P92" i="2"/>
  <c r="O92" i="2"/>
  <c r="N92" i="2"/>
  <c r="M92" i="2"/>
  <c r="L92" i="2"/>
  <c r="K92" i="2"/>
  <c r="J92" i="2"/>
  <c r="I92" i="2"/>
  <c r="G92" i="2"/>
  <c r="F92" i="2"/>
  <c r="E92" i="2"/>
  <c r="D92" i="2"/>
  <c r="C92" i="2"/>
  <c r="B92" i="2"/>
  <c r="A92" i="2"/>
  <c r="Q91" i="2"/>
  <c r="P91" i="2"/>
  <c r="O91" i="2"/>
  <c r="N91" i="2"/>
  <c r="M91" i="2"/>
  <c r="L91" i="2"/>
  <c r="K91" i="2"/>
  <c r="J91" i="2"/>
  <c r="I91" i="2"/>
  <c r="F91" i="2"/>
  <c r="E91" i="2"/>
  <c r="D91" i="2"/>
  <c r="C91" i="2"/>
  <c r="B91" i="2"/>
  <c r="A91" i="2"/>
  <c r="Q90" i="2"/>
  <c r="P90" i="2"/>
  <c r="O90" i="2"/>
  <c r="N90" i="2"/>
  <c r="M90" i="2"/>
  <c r="L90" i="2"/>
  <c r="K90" i="2"/>
  <c r="J90" i="2"/>
  <c r="I90" i="2"/>
  <c r="F90" i="2"/>
  <c r="E90" i="2"/>
  <c r="D90" i="2"/>
  <c r="C90" i="2"/>
  <c r="B90" i="2"/>
  <c r="A90" i="2"/>
  <c r="Q89" i="2"/>
  <c r="P89" i="2"/>
  <c r="O89" i="2"/>
  <c r="N89" i="2"/>
  <c r="M89" i="2"/>
  <c r="L89" i="2"/>
  <c r="K89" i="2"/>
  <c r="J89" i="2"/>
  <c r="I89" i="2"/>
  <c r="F89" i="2"/>
  <c r="E89" i="2"/>
  <c r="D89" i="2"/>
  <c r="C89" i="2"/>
  <c r="B89" i="2"/>
  <c r="A89" i="2"/>
  <c r="Q88" i="2"/>
  <c r="P88" i="2"/>
  <c r="O88" i="2"/>
  <c r="N88" i="2"/>
  <c r="M88" i="2"/>
  <c r="L88" i="2"/>
  <c r="K88" i="2"/>
  <c r="J88" i="2"/>
  <c r="I88" i="2"/>
  <c r="F88" i="2"/>
  <c r="E88" i="2"/>
  <c r="D88" i="2"/>
  <c r="C88" i="2"/>
  <c r="B88" i="2"/>
  <c r="A88" i="2"/>
  <c r="Q87" i="2"/>
  <c r="P87" i="2"/>
  <c r="O87" i="2"/>
  <c r="N87" i="2"/>
  <c r="M87" i="2"/>
  <c r="L87" i="2"/>
  <c r="K87" i="2"/>
  <c r="J87" i="2"/>
  <c r="I87" i="2"/>
  <c r="H87" i="2"/>
  <c r="G87" i="2"/>
  <c r="F87" i="2"/>
  <c r="E87" i="2"/>
  <c r="D87" i="2"/>
  <c r="C87" i="2"/>
  <c r="B87" i="2"/>
  <c r="A87" i="2"/>
  <c r="Q86" i="2"/>
  <c r="P86" i="2"/>
  <c r="O86" i="2"/>
  <c r="N86" i="2"/>
  <c r="M86" i="2"/>
  <c r="L86" i="2"/>
  <c r="K86" i="2"/>
  <c r="J86" i="2"/>
  <c r="I86" i="2"/>
  <c r="H86" i="2"/>
  <c r="G86" i="2"/>
  <c r="F86" i="2"/>
  <c r="E86" i="2"/>
  <c r="D86" i="2"/>
  <c r="C86" i="2"/>
  <c r="B86" i="2"/>
  <c r="A86" i="2"/>
  <c r="Q85" i="2"/>
  <c r="P85" i="2"/>
  <c r="O85" i="2"/>
  <c r="N85" i="2"/>
  <c r="M85" i="2"/>
  <c r="L85" i="2"/>
  <c r="K85" i="2"/>
  <c r="J85" i="2"/>
  <c r="I85" i="2"/>
  <c r="H85" i="2"/>
  <c r="G85" i="2"/>
  <c r="F85" i="2"/>
  <c r="E85" i="2"/>
  <c r="D85" i="2"/>
  <c r="C85" i="2"/>
  <c r="B85" i="2"/>
  <c r="A85" i="2"/>
  <c r="Q84" i="2"/>
  <c r="P84" i="2"/>
  <c r="O84" i="2"/>
  <c r="N84" i="2"/>
  <c r="M84" i="2"/>
  <c r="L84" i="2"/>
  <c r="K84" i="2"/>
  <c r="J84" i="2"/>
  <c r="I84" i="2"/>
  <c r="H84" i="2"/>
  <c r="G84" i="2"/>
  <c r="F84" i="2"/>
  <c r="E84" i="2"/>
  <c r="D84" i="2"/>
  <c r="C84" i="2"/>
  <c r="B84" i="2"/>
  <c r="A84" i="2"/>
  <c r="Q83" i="2"/>
  <c r="P83" i="2"/>
  <c r="O83" i="2"/>
  <c r="N83" i="2"/>
  <c r="M83" i="2"/>
  <c r="L83" i="2"/>
  <c r="K83" i="2"/>
  <c r="J83" i="2"/>
  <c r="I83" i="2"/>
  <c r="H83" i="2"/>
  <c r="G83" i="2"/>
  <c r="F83" i="2"/>
  <c r="E83" i="2"/>
  <c r="D83" i="2"/>
  <c r="C83" i="2"/>
  <c r="B83" i="2"/>
  <c r="A83" i="2"/>
  <c r="Q82" i="2"/>
  <c r="P82" i="2"/>
  <c r="O82" i="2"/>
  <c r="N82" i="2"/>
  <c r="M82" i="2"/>
  <c r="L82" i="2"/>
  <c r="K82" i="2"/>
  <c r="J82" i="2"/>
  <c r="I82" i="2"/>
  <c r="G82" i="2"/>
  <c r="F82" i="2"/>
  <c r="E82" i="2"/>
  <c r="D82" i="2"/>
  <c r="C82" i="2"/>
  <c r="B82" i="2"/>
  <c r="A82" i="2"/>
  <c r="Q81" i="2"/>
  <c r="P81" i="2"/>
  <c r="O81" i="2"/>
  <c r="N81" i="2"/>
  <c r="M81" i="2"/>
  <c r="L81" i="2"/>
  <c r="K81" i="2"/>
  <c r="J81" i="2"/>
  <c r="I81" i="2"/>
  <c r="F81" i="2"/>
  <c r="E81" i="2"/>
  <c r="D81" i="2"/>
  <c r="C81" i="2"/>
  <c r="B81" i="2"/>
  <c r="A81" i="2"/>
  <c r="Q80" i="2"/>
  <c r="P80" i="2"/>
  <c r="O80" i="2"/>
  <c r="N80" i="2"/>
  <c r="M80" i="2"/>
  <c r="L80" i="2"/>
  <c r="K80" i="2"/>
  <c r="J80" i="2"/>
  <c r="I80" i="2"/>
  <c r="F80" i="2"/>
  <c r="E80" i="2"/>
  <c r="D80" i="2"/>
  <c r="C80" i="2"/>
  <c r="B80" i="2"/>
  <c r="A80" i="2"/>
  <c r="Q79" i="2"/>
  <c r="P79" i="2"/>
  <c r="O79" i="2"/>
  <c r="N79" i="2"/>
  <c r="M79" i="2"/>
  <c r="L79" i="2"/>
  <c r="K79" i="2"/>
  <c r="J79" i="2"/>
  <c r="I79" i="2"/>
  <c r="F79" i="2"/>
  <c r="E79" i="2"/>
  <c r="D79" i="2"/>
  <c r="C79" i="2"/>
  <c r="B79" i="2"/>
  <c r="A79" i="2"/>
  <c r="Q78" i="2"/>
  <c r="P78" i="2"/>
  <c r="O78" i="2"/>
  <c r="N78" i="2"/>
  <c r="M78" i="2"/>
  <c r="L78" i="2"/>
  <c r="K78" i="2"/>
  <c r="J78" i="2"/>
  <c r="I78" i="2"/>
  <c r="F78" i="2"/>
  <c r="E78" i="2"/>
  <c r="D78" i="2"/>
  <c r="C78" i="2"/>
  <c r="B78" i="2"/>
  <c r="A78" i="2"/>
  <c r="Q77" i="2"/>
  <c r="P77" i="2"/>
  <c r="O77" i="2"/>
  <c r="N77" i="2"/>
  <c r="M77" i="2"/>
  <c r="L77" i="2"/>
  <c r="K77" i="2"/>
  <c r="J77" i="2"/>
  <c r="I77" i="2"/>
  <c r="F77" i="2"/>
  <c r="E77" i="2"/>
  <c r="D77" i="2"/>
  <c r="C77" i="2"/>
  <c r="B77" i="2"/>
  <c r="A77" i="2"/>
  <c r="Q76" i="2"/>
  <c r="P76" i="2"/>
  <c r="O76" i="2"/>
  <c r="N76" i="2"/>
  <c r="M76" i="2"/>
  <c r="L76" i="2"/>
  <c r="K76" i="2"/>
  <c r="J76" i="2"/>
  <c r="I76" i="2"/>
  <c r="F76" i="2"/>
  <c r="E76" i="2"/>
  <c r="D76" i="2"/>
  <c r="C76" i="2"/>
  <c r="B76" i="2"/>
  <c r="A76" i="2"/>
  <c r="Q75" i="2"/>
  <c r="P75" i="2"/>
  <c r="O75" i="2"/>
  <c r="N75" i="2"/>
  <c r="M75" i="2"/>
  <c r="L75" i="2"/>
  <c r="K75" i="2"/>
  <c r="J75" i="2"/>
  <c r="I75" i="2"/>
  <c r="F75" i="2"/>
  <c r="E75" i="2"/>
  <c r="D75" i="2"/>
  <c r="C75" i="2"/>
  <c r="B75" i="2"/>
  <c r="A75" i="2"/>
  <c r="Q74" i="2"/>
  <c r="P74" i="2"/>
  <c r="O74" i="2"/>
  <c r="N74" i="2"/>
  <c r="M74" i="2"/>
  <c r="L74" i="2"/>
  <c r="K74" i="2"/>
  <c r="J74" i="2"/>
  <c r="I74" i="2"/>
  <c r="F74" i="2"/>
  <c r="E74" i="2"/>
  <c r="D74" i="2"/>
  <c r="C74" i="2"/>
  <c r="B74" i="2"/>
  <c r="A74" i="2"/>
  <c r="Q73" i="2"/>
  <c r="P73" i="2"/>
  <c r="O73" i="2"/>
  <c r="N73" i="2"/>
  <c r="M73" i="2"/>
  <c r="L73" i="2"/>
  <c r="K73" i="2"/>
  <c r="J73" i="2"/>
  <c r="I73" i="2"/>
  <c r="F73" i="2"/>
  <c r="E73" i="2"/>
  <c r="D73" i="2"/>
  <c r="C73" i="2"/>
  <c r="B73" i="2"/>
  <c r="A73" i="2"/>
  <c r="Q72" i="2"/>
  <c r="P72" i="2"/>
  <c r="O72" i="2"/>
  <c r="N72" i="2"/>
  <c r="M72" i="2"/>
  <c r="L72" i="2"/>
  <c r="K72" i="2"/>
  <c r="I72" i="2"/>
  <c r="F72" i="2"/>
  <c r="E72" i="2"/>
  <c r="D72" i="2"/>
  <c r="C72" i="2"/>
  <c r="B72" i="2"/>
  <c r="A72" i="2"/>
  <c r="Q71" i="2"/>
  <c r="P71" i="2"/>
  <c r="O71" i="2"/>
  <c r="N71" i="2"/>
  <c r="M71" i="2"/>
  <c r="L71" i="2"/>
  <c r="K71" i="2"/>
  <c r="J71" i="2"/>
  <c r="I71" i="2"/>
  <c r="F71" i="2"/>
  <c r="E71" i="2"/>
  <c r="D71" i="2"/>
  <c r="C71" i="2"/>
  <c r="B71" i="2"/>
  <c r="A71" i="2"/>
  <c r="Q70" i="2"/>
  <c r="P70" i="2"/>
  <c r="O70" i="2"/>
  <c r="N70" i="2"/>
  <c r="M70" i="2"/>
  <c r="L70" i="2"/>
  <c r="K70" i="2"/>
  <c r="J70" i="2"/>
  <c r="I70" i="2"/>
  <c r="F70" i="2"/>
  <c r="E70" i="2"/>
  <c r="D70" i="2"/>
  <c r="C70" i="2"/>
  <c r="B70" i="2"/>
  <c r="A70" i="2"/>
  <c r="Q69" i="2"/>
  <c r="P69" i="2"/>
  <c r="O69" i="2"/>
  <c r="N69" i="2"/>
  <c r="M69" i="2"/>
  <c r="L69" i="2"/>
  <c r="K69" i="2"/>
  <c r="J69" i="2"/>
  <c r="I69" i="2"/>
  <c r="F69" i="2"/>
  <c r="E69" i="2"/>
  <c r="D69" i="2"/>
  <c r="C69" i="2"/>
  <c r="B69" i="2"/>
  <c r="A69" i="2"/>
  <c r="Q68" i="2"/>
  <c r="P68" i="2"/>
  <c r="O68" i="2"/>
  <c r="N68" i="2"/>
  <c r="M68" i="2"/>
  <c r="L68" i="2"/>
  <c r="K68" i="2"/>
  <c r="J68" i="2"/>
  <c r="I68" i="2"/>
  <c r="F68" i="2"/>
  <c r="E68" i="2"/>
  <c r="D68" i="2"/>
  <c r="C68" i="2"/>
  <c r="B68" i="2"/>
  <c r="A68" i="2"/>
  <c r="Q67" i="2"/>
  <c r="P67" i="2"/>
  <c r="O67" i="2"/>
  <c r="N67" i="2"/>
  <c r="M67" i="2"/>
  <c r="L67" i="2"/>
  <c r="K67" i="2"/>
  <c r="J67" i="2"/>
  <c r="I67" i="2"/>
  <c r="F67" i="2"/>
  <c r="E67" i="2"/>
  <c r="D67" i="2"/>
  <c r="C67" i="2"/>
  <c r="B67" i="2"/>
  <c r="A67" i="2"/>
  <c r="Q66" i="2"/>
  <c r="P66" i="2"/>
  <c r="O66" i="2"/>
  <c r="N66" i="2"/>
  <c r="M66" i="2"/>
  <c r="L66" i="2"/>
  <c r="K66" i="2"/>
  <c r="J66" i="2"/>
  <c r="I66" i="2"/>
  <c r="F66" i="2"/>
  <c r="E66" i="2"/>
  <c r="D66" i="2"/>
  <c r="C66" i="2"/>
  <c r="B66" i="2"/>
  <c r="A66" i="2"/>
  <c r="Q65" i="2"/>
  <c r="P65" i="2"/>
  <c r="O65" i="2"/>
  <c r="N65" i="2"/>
  <c r="M65" i="2"/>
  <c r="L65" i="2"/>
  <c r="K65" i="2"/>
  <c r="J65" i="2"/>
  <c r="I65" i="2"/>
  <c r="G65" i="2"/>
  <c r="F65" i="2"/>
  <c r="E65" i="2"/>
  <c r="D65" i="2"/>
  <c r="C65" i="2"/>
  <c r="B65" i="2"/>
  <c r="A65" i="2"/>
  <c r="Q64" i="2"/>
  <c r="P64" i="2"/>
  <c r="O64" i="2"/>
  <c r="N64" i="2"/>
  <c r="M64" i="2"/>
  <c r="L64" i="2"/>
  <c r="K64" i="2"/>
  <c r="J64" i="2"/>
  <c r="I64" i="2"/>
  <c r="F64" i="2"/>
  <c r="E64" i="2"/>
  <c r="D64" i="2"/>
  <c r="C64" i="2"/>
  <c r="B64" i="2"/>
  <c r="A64" i="2"/>
  <c r="Q63" i="2"/>
  <c r="P63" i="2"/>
  <c r="O63" i="2"/>
  <c r="N63" i="2"/>
  <c r="M63" i="2"/>
  <c r="L63" i="2"/>
  <c r="K63" i="2"/>
  <c r="J63" i="2"/>
  <c r="I63" i="2"/>
  <c r="F63" i="2"/>
  <c r="E63" i="2"/>
  <c r="D63" i="2"/>
  <c r="C63" i="2"/>
  <c r="B63" i="2"/>
  <c r="A63" i="2"/>
  <c r="Q62" i="2"/>
  <c r="P62" i="2"/>
  <c r="O62" i="2"/>
  <c r="N62" i="2"/>
  <c r="M62" i="2"/>
  <c r="L62" i="2"/>
  <c r="K62" i="2"/>
  <c r="J62" i="2"/>
  <c r="I62" i="2"/>
  <c r="F62" i="2"/>
  <c r="E62" i="2"/>
  <c r="D62" i="2"/>
  <c r="C62" i="2"/>
  <c r="B62" i="2"/>
  <c r="A62" i="2"/>
  <c r="Q61" i="2"/>
  <c r="P61" i="2"/>
  <c r="O61" i="2"/>
  <c r="N61" i="2"/>
  <c r="M61" i="2"/>
  <c r="L61" i="2"/>
  <c r="K61" i="2"/>
  <c r="J61" i="2"/>
  <c r="I61" i="2"/>
  <c r="F61" i="2"/>
  <c r="E61" i="2"/>
  <c r="D61" i="2"/>
  <c r="C61" i="2"/>
  <c r="B61" i="2"/>
  <c r="A61" i="2"/>
  <c r="Q60" i="2"/>
  <c r="P60" i="2"/>
  <c r="O60" i="2"/>
  <c r="N60" i="2"/>
  <c r="M60" i="2"/>
  <c r="L60" i="2"/>
  <c r="K60" i="2"/>
  <c r="J60" i="2"/>
  <c r="I60" i="2"/>
  <c r="F60" i="2"/>
  <c r="E60" i="2"/>
  <c r="D60" i="2"/>
  <c r="C60" i="2"/>
  <c r="B60" i="2"/>
  <c r="A60" i="2"/>
  <c r="Q59" i="2"/>
  <c r="P59" i="2"/>
  <c r="O59" i="2"/>
  <c r="N59" i="2"/>
  <c r="M59" i="2"/>
  <c r="L59" i="2"/>
  <c r="K59" i="2"/>
  <c r="J59" i="2"/>
  <c r="I59" i="2"/>
  <c r="F59" i="2"/>
  <c r="E59" i="2"/>
  <c r="D59" i="2"/>
  <c r="C59" i="2"/>
  <c r="B59" i="2"/>
  <c r="A59" i="2"/>
  <c r="Q58" i="2"/>
  <c r="P58" i="2"/>
  <c r="O58" i="2"/>
  <c r="N58" i="2"/>
  <c r="M58" i="2"/>
  <c r="L58" i="2"/>
  <c r="K58" i="2"/>
  <c r="J58" i="2"/>
  <c r="I58" i="2"/>
  <c r="G58" i="2"/>
  <c r="F58" i="2"/>
  <c r="E58" i="2"/>
  <c r="D58" i="2"/>
  <c r="C58" i="2"/>
  <c r="B58" i="2"/>
  <c r="A58" i="2"/>
  <c r="Q57" i="2"/>
  <c r="P57" i="2"/>
  <c r="O57" i="2"/>
  <c r="N57" i="2"/>
  <c r="M57" i="2"/>
  <c r="L57" i="2"/>
  <c r="K57" i="2"/>
  <c r="J57" i="2"/>
  <c r="I57" i="2"/>
  <c r="F57" i="2"/>
  <c r="E57" i="2"/>
  <c r="D57" i="2"/>
  <c r="C57" i="2"/>
  <c r="B57" i="2"/>
  <c r="A57" i="2"/>
  <c r="Q56" i="2"/>
  <c r="P56" i="2"/>
  <c r="O56" i="2"/>
  <c r="N56" i="2"/>
  <c r="M56" i="2"/>
  <c r="L56" i="2"/>
  <c r="K56" i="2"/>
  <c r="J56" i="2"/>
  <c r="I56" i="2"/>
  <c r="F56" i="2"/>
  <c r="E56" i="2"/>
  <c r="D56" i="2"/>
  <c r="C56" i="2"/>
  <c r="B56" i="2"/>
  <c r="A56" i="2"/>
  <c r="Q55" i="2"/>
  <c r="P55" i="2"/>
  <c r="O55" i="2"/>
  <c r="N55" i="2"/>
  <c r="M55" i="2"/>
  <c r="L55" i="2"/>
  <c r="K55" i="2"/>
  <c r="J55" i="2"/>
  <c r="I55" i="2"/>
  <c r="F55" i="2"/>
  <c r="E55" i="2"/>
  <c r="D55" i="2"/>
  <c r="C55" i="2"/>
  <c r="B55" i="2"/>
  <c r="A55" i="2"/>
  <c r="Q54" i="2"/>
  <c r="P54" i="2"/>
  <c r="O54" i="2"/>
  <c r="N54" i="2"/>
  <c r="M54" i="2"/>
  <c r="L54" i="2"/>
  <c r="K54" i="2"/>
  <c r="J54" i="2"/>
  <c r="I54" i="2"/>
  <c r="F54" i="2"/>
  <c r="E54" i="2"/>
  <c r="D54" i="2"/>
  <c r="C54" i="2"/>
  <c r="B54" i="2"/>
  <c r="A54" i="2"/>
  <c r="Q53" i="2"/>
  <c r="P53" i="2"/>
  <c r="O53" i="2"/>
  <c r="N53" i="2"/>
  <c r="M53" i="2"/>
  <c r="L53" i="2"/>
  <c r="K53" i="2"/>
  <c r="J53" i="2"/>
  <c r="I53" i="2"/>
  <c r="F53" i="2"/>
  <c r="E53" i="2"/>
  <c r="D53" i="2"/>
  <c r="C53" i="2"/>
  <c r="B53" i="2"/>
  <c r="A53" i="2"/>
  <c r="Q52" i="2"/>
  <c r="P52" i="2"/>
  <c r="O52" i="2"/>
  <c r="N52" i="2"/>
  <c r="M52" i="2"/>
  <c r="L52" i="2"/>
  <c r="K52" i="2"/>
  <c r="J52" i="2"/>
  <c r="I52" i="2"/>
  <c r="F52" i="2"/>
  <c r="E52" i="2"/>
  <c r="D52" i="2"/>
  <c r="C52" i="2"/>
  <c r="B52" i="2"/>
  <c r="A52" i="2"/>
  <c r="Q51" i="2"/>
  <c r="P51" i="2"/>
  <c r="O51" i="2"/>
  <c r="N51" i="2"/>
  <c r="M51" i="2"/>
  <c r="L51" i="2"/>
  <c r="K51" i="2"/>
  <c r="J51" i="2"/>
  <c r="I51" i="2"/>
  <c r="F51" i="2"/>
  <c r="E51" i="2"/>
  <c r="D51" i="2"/>
  <c r="C51" i="2"/>
  <c r="B51" i="2"/>
  <c r="A51" i="2"/>
  <c r="Q50" i="2"/>
  <c r="P50" i="2"/>
  <c r="O50" i="2"/>
  <c r="N50" i="2"/>
  <c r="M50" i="2"/>
  <c r="L50" i="2"/>
  <c r="K50" i="2"/>
  <c r="J50" i="2"/>
  <c r="I50" i="2"/>
  <c r="F50" i="2"/>
  <c r="E50" i="2"/>
  <c r="D50" i="2"/>
  <c r="C50" i="2"/>
  <c r="B50" i="2"/>
  <c r="A50" i="2"/>
  <c r="Q49" i="2"/>
  <c r="P49" i="2"/>
  <c r="O49" i="2"/>
  <c r="N49" i="2"/>
  <c r="M49" i="2"/>
  <c r="L49" i="2"/>
  <c r="K49" i="2"/>
  <c r="J49" i="2"/>
  <c r="I49" i="2"/>
  <c r="F49" i="2"/>
  <c r="E49" i="2"/>
  <c r="D49" i="2"/>
  <c r="C49" i="2"/>
  <c r="B49" i="2"/>
  <c r="A49" i="2"/>
  <c r="Q48" i="2"/>
  <c r="P48" i="2"/>
  <c r="O48" i="2"/>
  <c r="N48" i="2"/>
  <c r="M48" i="2"/>
  <c r="L48" i="2"/>
  <c r="K48" i="2"/>
  <c r="J48" i="2"/>
  <c r="I48" i="2"/>
  <c r="F48" i="2"/>
  <c r="E48" i="2"/>
  <c r="D48" i="2"/>
  <c r="C48" i="2"/>
  <c r="B48" i="2"/>
  <c r="A48" i="2"/>
  <c r="Q47" i="2"/>
  <c r="P47" i="2"/>
  <c r="O47" i="2"/>
  <c r="N47" i="2"/>
  <c r="M47" i="2"/>
  <c r="L47" i="2"/>
  <c r="K47" i="2"/>
  <c r="J47" i="2"/>
  <c r="I47" i="2"/>
  <c r="F47" i="2"/>
  <c r="E47" i="2"/>
  <c r="D47" i="2"/>
  <c r="C47" i="2"/>
  <c r="B47" i="2"/>
  <c r="A47" i="2"/>
  <c r="Q46" i="2"/>
  <c r="P46" i="2"/>
  <c r="O46" i="2"/>
  <c r="N46" i="2"/>
  <c r="M46" i="2"/>
  <c r="L46" i="2"/>
  <c r="K46" i="2"/>
  <c r="J46" i="2"/>
  <c r="I46" i="2"/>
  <c r="F46" i="2"/>
  <c r="E46" i="2"/>
  <c r="D46" i="2"/>
  <c r="C46" i="2"/>
  <c r="B46" i="2"/>
  <c r="A46" i="2"/>
  <c r="Q45" i="2"/>
  <c r="P45" i="2"/>
  <c r="O45" i="2"/>
  <c r="N45" i="2"/>
  <c r="M45" i="2"/>
  <c r="L45" i="2"/>
  <c r="K45" i="2"/>
  <c r="J45" i="2"/>
  <c r="I45" i="2"/>
  <c r="F45" i="2"/>
  <c r="E45" i="2"/>
  <c r="D45" i="2"/>
  <c r="C45" i="2"/>
  <c r="B45" i="2"/>
  <c r="A45" i="2"/>
  <c r="Q44" i="2"/>
  <c r="P44" i="2"/>
  <c r="O44" i="2"/>
  <c r="N44" i="2"/>
  <c r="M44" i="2"/>
  <c r="L44" i="2"/>
  <c r="K44" i="2"/>
  <c r="J44" i="2"/>
  <c r="I44" i="2"/>
  <c r="F44" i="2"/>
  <c r="E44" i="2"/>
  <c r="D44" i="2"/>
  <c r="C44" i="2"/>
  <c r="B44" i="2"/>
  <c r="A44" i="2"/>
  <c r="Q43" i="2"/>
  <c r="P43" i="2"/>
  <c r="O43" i="2"/>
  <c r="N43" i="2"/>
  <c r="M43" i="2"/>
  <c r="L43" i="2"/>
  <c r="K43" i="2"/>
  <c r="J43" i="2"/>
  <c r="I43" i="2"/>
  <c r="F43" i="2"/>
  <c r="E43" i="2"/>
  <c r="D43" i="2"/>
  <c r="C43" i="2"/>
  <c r="B43" i="2"/>
  <c r="A43" i="2"/>
  <c r="Q42" i="2"/>
  <c r="P42" i="2"/>
  <c r="O42" i="2"/>
  <c r="N42" i="2"/>
  <c r="M42" i="2"/>
  <c r="L42" i="2"/>
  <c r="K42" i="2"/>
  <c r="J42" i="2"/>
  <c r="I42" i="2"/>
  <c r="F42" i="2"/>
  <c r="E42" i="2"/>
  <c r="D42" i="2"/>
  <c r="C42" i="2"/>
  <c r="B42" i="2"/>
  <c r="A42" i="2"/>
  <c r="Q41" i="2"/>
  <c r="P41" i="2"/>
  <c r="O41" i="2"/>
  <c r="N41" i="2"/>
  <c r="M41" i="2"/>
  <c r="L41" i="2"/>
  <c r="K41" i="2"/>
  <c r="I41" i="2"/>
  <c r="F41" i="2"/>
  <c r="E41" i="2"/>
  <c r="D41" i="2"/>
  <c r="C41" i="2"/>
  <c r="B41" i="2"/>
  <c r="A41" i="2"/>
  <c r="Q40" i="2"/>
  <c r="P40" i="2"/>
  <c r="O40" i="2"/>
  <c r="N40" i="2"/>
  <c r="M40" i="2"/>
  <c r="L40" i="2"/>
  <c r="K40" i="2"/>
  <c r="J40" i="2"/>
  <c r="I40" i="2"/>
  <c r="F40" i="2"/>
  <c r="E40" i="2"/>
  <c r="D40" i="2"/>
  <c r="C40" i="2"/>
  <c r="B40" i="2"/>
  <c r="A40" i="2"/>
  <c r="Q39" i="2"/>
  <c r="P39" i="2"/>
  <c r="O39" i="2"/>
  <c r="N39" i="2"/>
  <c r="M39" i="2"/>
  <c r="L39" i="2"/>
  <c r="K39" i="2"/>
  <c r="J39" i="2"/>
  <c r="I39" i="2"/>
  <c r="G39" i="2"/>
  <c r="F39" i="2"/>
  <c r="E39" i="2"/>
  <c r="D39" i="2"/>
  <c r="C39" i="2"/>
  <c r="B39" i="2"/>
  <c r="A39" i="2"/>
  <c r="Q38" i="2"/>
  <c r="P38" i="2"/>
  <c r="O38" i="2"/>
  <c r="N38" i="2"/>
  <c r="M38" i="2"/>
  <c r="L38" i="2"/>
  <c r="K38" i="2"/>
  <c r="J38" i="2"/>
  <c r="I38" i="2"/>
  <c r="F38" i="2"/>
  <c r="E38" i="2"/>
  <c r="D38" i="2"/>
  <c r="C38" i="2"/>
  <c r="B38" i="2"/>
  <c r="A38" i="2"/>
  <c r="Q37" i="2"/>
  <c r="P37" i="2"/>
  <c r="O37" i="2"/>
  <c r="N37" i="2"/>
  <c r="M37" i="2"/>
  <c r="L37" i="2"/>
  <c r="K37" i="2"/>
  <c r="J37" i="2"/>
  <c r="I37" i="2"/>
  <c r="F37" i="2"/>
  <c r="E37" i="2"/>
  <c r="D37" i="2"/>
  <c r="C37" i="2"/>
  <c r="B37" i="2"/>
  <c r="A37" i="2"/>
  <c r="Q36" i="2"/>
  <c r="P36" i="2"/>
  <c r="O36" i="2"/>
  <c r="N36" i="2"/>
  <c r="M36" i="2"/>
  <c r="L36" i="2"/>
  <c r="K36" i="2"/>
  <c r="J36" i="2"/>
  <c r="I36" i="2"/>
  <c r="G36" i="2"/>
  <c r="F36" i="2"/>
  <c r="E36" i="2"/>
  <c r="D36" i="2"/>
  <c r="C36" i="2"/>
  <c r="B36" i="2"/>
  <c r="A36" i="2"/>
  <c r="Q35" i="2"/>
  <c r="P35" i="2"/>
  <c r="O35" i="2"/>
  <c r="N35" i="2"/>
  <c r="M35" i="2"/>
  <c r="L35" i="2"/>
  <c r="K35" i="2"/>
  <c r="J35" i="2"/>
  <c r="I35" i="2"/>
  <c r="G35" i="2"/>
  <c r="F35" i="2"/>
  <c r="E35" i="2"/>
  <c r="D35" i="2"/>
  <c r="C35" i="2"/>
  <c r="B35" i="2"/>
  <c r="A35" i="2"/>
  <c r="Q34" i="2"/>
  <c r="P34" i="2"/>
  <c r="O34" i="2"/>
  <c r="N34" i="2"/>
  <c r="M34" i="2"/>
  <c r="L34" i="2"/>
  <c r="K34" i="2"/>
  <c r="J34" i="2"/>
  <c r="I34" i="2"/>
  <c r="G34" i="2"/>
  <c r="F34" i="2"/>
  <c r="E34" i="2"/>
  <c r="D34" i="2"/>
  <c r="C34" i="2"/>
  <c r="B34" i="2"/>
  <c r="A34" i="2"/>
  <c r="Q33" i="2"/>
  <c r="P33" i="2"/>
  <c r="O33" i="2"/>
  <c r="N33" i="2"/>
  <c r="M33" i="2"/>
  <c r="L33" i="2"/>
  <c r="K33" i="2"/>
  <c r="J33" i="2"/>
  <c r="I33" i="2"/>
  <c r="G33" i="2"/>
  <c r="F33" i="2"/>
  <c r="E33" i="2"/>
  <c r="D33" i="2"/>
  <c r="C33" i="2"/>
  <c r="B33" i="2"/>
  <c r="A33" i="2"/>
  <c r="Q32" i="2"/>
  <c r="P32" i="2"/>
  <c r="O32" i="2"/>
  <c r="N32" i="2"/>
  <c r="M32" i="2"/>
  <c r="L32" i="2"/>
  <c r="K32" i="2"/>
  <c r="J32" i="2"/>
  <c r="I32" i="2"/>
  <c r="G32" i="2"/>
  <c r="F32" i="2"/>
  <c r="E32" i="2"/>
  <c r="D32" i="2"/>
  <c r="C32" i="2"/>
  <c r="B32" i="2"/>
  <c r="A32" i="2"/>
  <c r="Q31" i="2"/>
  <c r="P31" i="2"/>
  <c r="O31" i="2"/>
  <c r="N31" i="2"/>
  <c r="M31" i="2"/>
  <c r="L31" i="2"/>
  <c r="K31" i="2"/>
  <c r="J31" i="2"/>
  <c r="I31" i="2"/>
  <c r="G31" i="2"/>
  <c r="F31" i="2"/>
  <c r="E31" i="2"/>
  <c r="D31" i="2"/>
  <c r="C31" i="2"/>
  <c r="B31" i="2"/>
  <c r="A31" i="2"/>
  <c r="Q30" i="2"/>
  <c r="P30" i="2"/>
  <c r="O30" i="2"/>
  <c r="N30" i="2"/>
  <c r="M30" i="2"/>
  <c r="L30" i="2"/>
  <c r="K30" i="2"/>
  <c r="J30" i="2"/>
  <c r="I30" i="2"/>
  <c r="F30" i="2"/>
  <c r="E30" i="2"/>
  <c r="D30" i="2"/>
  <c r="C30" i="2"/>
  <c r="B30" i="2"/>
  <c r="A30" i="2"/>
  <c r="Q29" i="2"/>
  <c r="P29" i="2"/>
  <c r="O29" i="2"/>
  <c r="N29" i="2"/>
  <c r="M29" i="2"/>
  <c r="L29" i="2"/>
  <c r="K29" i="2"/>
  <c r="J29" i="2"/>
  <c r="I29" i="2"/>
  <c r="F29" i="2"/>
  <c r="E29" i="2"/>
  <c r="D29" i="2"/>
  <c r="C29" i="2"/>
  <c r="B29" i="2"/>
  <c r="A29" i="2"/>
  <c r="Q28" i="2"/>
  <c r="P28" i="2"/>
  <c r="O28" i="2"/>
  <c r="N28" i="2"/>
  <c r="M28" i="2"/>
  <c r="L28" i="2"/>
  <c r="K28" i="2"/>
  <c r="J28" i="2"/>
  <c r="I28" i="2"/>
  <c r="F28" i="2"/>
  <c r="E28" i="2"/>
  <c r="D28" i="2"/>
  <c r="C28" i="2"/>
  <c r="B28" i="2"/>
  <c r="A28" i="2"/>
  <c r="Q27" i="2"/>
  <c r="P27" i="2"/>
  <c r="O27" i="2"/>
  <c r="N27" i="2"/>
  <c r="M27" i="2"/>
  <c r="L27" i="2"/>
  <c r="K27" i="2"/>
  <c r="J27" i="2"/>
  <c r="I27" i="2"/>
  <c r="G27" i="2"/>
  <c r="F27" i="2"/>
  <c r="E27" i="2"/>
  <c r="D27" i="2"/>
  <c r="C27" i="2"/>
  <c r="B27" i="2"/>
  <c r="A27" i="2"/>
  <c r="Q26" i="2"/>
  <c r="P26" i="2"/>
  <c r="O26" i="2"/>
  <c r="N26" i="2"/>
  <c r="M26" i="2"/>
  <c r="L26" i="2"/>
  <c r="K26" i="2"/>
  <c r="I26" i="2"/>
  <c r="F26" i="2"/>
  <c r="E26" i="2"/>
  <c r="D26" i="2"/>
  <c r="C26" i="2"/>
  <c r="B26" i="2"/>
  <c r="A26" i="2"/>
  <c r="Q25" i="2"/>
  <c r="P25" i="2"/>
  <c r="O25" i="2"/>
  <c r="N25" i="2"/>
  <c r="M25" i="2"/>
  <c r="L25" i="2"/>
  <c r="K25" i="2"/>
  <c r="I25" i="2"/>
  <c r="F25" i="2"/>
  <c r="E25" i="2"/>
  <c r="D25" i="2"/>
  <c r="C25" i="2"/>
  <c r="B25" i="2"/>
  <c r="A25" i="2"/>
  <c r="Q24" i="2"/>
  <c r="P24" i="2"/>
  <c r="O24" i="2"/>
  <c r="N24" i="2"/>
  <c r="M24" i="2"/>
  <c r="L24" i="2"/>
  <c r="K24" i="2"/>
  <c r="J24" i="2"/>
  <c r="I24" i="2"/>
  <c r="F24" i="2"/>
  <c r="E24" i="2"/>
  <c r="D24" i="2"/>
  <c r="C24" i="2"/>
  <c r="B24" i="2"/>
  <c r="A24" i="2"/>
  <c r="Q23" i="2"/>
  <c r="P23" i="2"/>
  <c r="O23" i="2"/>
  <c r="N23" i="2"/>
  <c r="M23" i="2"/>
  <c r="L23" i="2"/>
  <c r="K23" i="2"/>
  <c r="J23" i="2"/>
  <c r="I23" i="2"/>
  <c r="F23" i="2"/>
  <c r="E23" i="2"/>
  <c r="D23" i="2"/>
  <c r="C23" i="2"/>
  <c r="B23" i="2"/>
  <c r="A23" i="2"/>
  <c r="Q22" i="2"/>
  <c r="P22" i="2"/>
  <c r="O22" i="2"/>
  <c r="N22" i="2"/>
  <c r="M22" i="2"/>
  <c r="L22" i="2"/>
  <c r="K22" i="2"/>
  <c r="J22" i="2"/>
  <c r="I22" i="2"/>
  <c r="F22" i="2"/>
  <c r="E22" i="2"/>
  <c r="D22" i="2"/>
  <c r="C22" i="2"/>
  <c r="B22" i="2"/>
  <c r="A22" i="2"/>
  <c r="Q21" i="2"/>
  <c r="P21" i="2"/>
  <c r="O21" i="2"/>
  <c r="N21" i="2"/>
  <c r="M21" i="2"/>
  <c r="L21" i="2"/>
  <c r="K21" i="2"/>
  <c r="J21" i="2"/>
  <c r="I21" i="2"/>
  <c r="F21" i="2"/>
  <c r="E21" i="2"/>
  <c r="D21" i="2"/>
  <c r="C21" i="2"/>
  <c r="B21" i="2"/>
  <c r="A21" i="2"/>
  <c r="Q20" i="2"/>
  <c r="P20" i="2"/>
  <c r="O20" i="2"/>
  <c r="N20" i="2"/>
  <c r="M20" i="2"/>
  <c r="L20" i="2"/>
  <c r="K20" i="2"/>
  <c r="J20" i="2"/>
  <c r="I20" i="2"/>
  <c r="F20" i="2"/>
  <c r="E20" i="2"/>
  <c r="D20" i="2"/>
  <c r="C20" i="2"/>
  <c r="B20" i="2"/>
  <c r="A20" i="2"/>
  <c r="Q19" i="2"/>
  <c r="P19" i="2"/>
  <c r="O19" i="2"/>
  <c r="N19" i="2"/>
  <c r="M19" i="2"/>
  <c r="L19" i="2"/>
  <c r="K19" i="2"/>
  <c r="J19" i="2"/>
  <c r="I19" i="2"/>
  <c r="F19" i="2"/>
  <c r="E19" i="2"/>
  <c r="D19" i="2"/>
  <c r="C19" i="2"/>
  <c r="B19" i="2"/>
  <c r="A19" i="2"/>
  <c r="Q18" i="2"/>
  <c r="P18" i="2"/>
  <c r="O18" i="2"/>
  <c r="N18" i="2"/>
  <c r="M18" i="2"/>
  <c r="L18" i="2"/>
  <c r="K18" i="2"/>
  <c r="J18" i="2"/>
  <c r="I18" i="2"/>
  <c r="F18" i="2"/>
  <c r="E18" i="2"/>
  <c r="D18" i="2"/>
  <c r="C18" i="2"/>
  <c r="B18" i="2"/>
  <c r="A18" i="2"/>
  <c r="Q17" i="2"/>
  <c r="P17" i="2"/>
  <c r="O17" i="2"/>
  <c r="N17" i="2"/>
  <c r="M17" i="2"/>
  <c r="L17" i="2"/>
  <c r="K17" i="2"/>
  <c r="J17" i="2"/>
  <c r="I17" i="2"/>
  <c r="F17" i="2"/>
  <c r="E17" i="2"/>
  <c r="D17" i="2"/>
  <c r="C17" i="2"/>
  <c r="B17" i="2"/>
  <c r="A17" i="2"/>
  <c r="Q16" i="2"/>
  <c r="P16" i="2"/>
  <c r="O16" i="2"/>
  <c r="N16" i="2"/>
  <c r="M16" i="2"/>
  <c r="L16" i="2"/>
  <c r="K16" i="2"/>
  <c r="J16" i="2"/>
  <c r="I16" i="2"/>
  <c r="F16" i="2"/>
  <c r="E16" i="2"/>
  <c r="D16" i="2"/>
  <c r="C16" i="2"/>
  <c r="B16" i="2"/>
  <c r="A16" i="2"/>
  <c r="Q15" i="2"/>
  <c r="P15" i="2"/>
  <c r="O15" i="2"/>
  <c r="N15" i="2"/>
  <c r="M15" i="2"/>
  <c r="L15" i="2"/>
  <c r="K15" i="2"/>
  <c r="J15" i="2"/>
  <c r="I15" i="2"/>
  <c r="F15" i="2"/>
  <c r="E15" i="2"/>
  <c r="D15" i="2"/>
  <c r="C15" i="2"/>
  <c r="B15" i="2"/>
  <c r="A15" i="2"/>
  <c r="Q14" i="2"/>
  <c r="P14" i="2"/>
  <c r="O14" i="2"/>
  <c r="N14" i="2"/>
  <c r="M14" i="2"/>
  <c r="L14" i="2"/>
  <c r="K14" i="2"/>
  <c r="J14" i="2"/>
  <c r="I14" i="2"/>
  <c r="F14" i="2"/>
  <c r="E14" i="2"/>
  <c r="D14" i="2"/>
  <c r="C14" i="2"/>
  <c r="B14" i="2"/>
  <c r="A14" i="2"/>
  <c r="Q13" i="2"/>
  <c r="P13" i="2"/>
  <c r="O13" i="2"/>
  <c r="N13" i="2"/>
  <c r="M13" i="2"/>
  <c r="L13" i="2"/>
  <c r="K13" i="2"/>
  <c r="J13" i="2"/>
  <c r="I13" i="2"/>
  <c r="F13" i="2"/>
  <c r="E13" i="2"/>
  <c r="D13" i="2"/>
  <c r="C13" i="2"/>
  <c r="B13" i="2"/>
  <c r="A13" i="2"/>
  <c r="Q12" i="2"/>
  <c r="P12" i="2"/>
  <c r="O12" i="2"/>
  <c r="N12" i="2"/>
  <c r="M12" i="2"/>
  <c r="L12" i="2"/>
  <c r="K12" i="2"/>
  <c r="J12" i="2"/>
  <c r="I12" i="2"/>
  <c r="F12" i="2"/>
  <c r="E12" i="2"/>
  <c r="D12" i="2"/>
  <c r="C12" i="2"/>
  <c r="B12" i="2"/>
  <c r="A12" i="2"/>
  <c r="Q11" i="2"/>
  <c r="P11" i="2"/>
  <c r="O11" i="2"/>
  <c r="N11" i="2"/>
  <c r="M11" i="2"/>
  <c r="L11" i="2"/>
  <c r="K11" i="2"/>
  <c r="J11" i="2"/>
  <c r="I11" i="2"/>
  <c r="F11" i="2"/>
  <c r="E11" i="2"/>
  <c r="D11" i="2"/>
  <c r="C11" i="2"/>
  <c r="B11" i="2"/>
  <c r="A11" i="2"/>
  <c r="Q10" i="2"/>
  <c r="P10" i="2"/>
  <c r="O10" i="2"/>
  <c r="N10" i="2"/>
  <c r="M10" i="2"/>
  <c r="L10" i="2"/>
  <c r="K10" i="2"/>
  <c r="J10" i="2"/>
  <c r="I10" i="2"/>
  <c r="F10" i="2"/>
  <c r="E10" i="2"/>
  <c r="D10" i="2"/>
  <c r="C10" i="2"/>
  <c r="B10" i="2"/>
  <c r="A10" i="2"/>
  <c r="Q9" i="2"/>
  <c r="P9" i="2"/>
  <c r="O9" i="2"/>
  <c r="N9" i="2"/>
  <c r="M9" i="2"/>
  <c r="L9" i="2"/>
  <c r="K9" i="2"/>
  <c r="J9" i="2"/>
  <c r="I9" i="2"/>
  <c r="F9" i="2"/>
  <c r="E9" i="2"/>
  <c r="D9" i="2"/>
  <c r="C9" i="2"/>
  <c r="B9" i="2"/>
  <c r="A9" i="2"/>
  <c r="Q8" i="2"/>
  <c r="P8" i="2"/>
  <c r="O8" i="2"/>
  <c r="N8" i="2"/>
  <c r="M8" i="2"/>
  <c r="L8" i="2"/>
  <c r="K8" i="2"/>
  <c r="J8" i="2"/>
  <c r="I8" i="2"/>
  <c r="F8" i="2"/>
  <c r="E8" i="2"/>
  <c r="D8" i="2"/>
  <c r="C8" i="2"/>
  <c r="B8" i="2"/>
  <c r="A8" i="2"/>
  <c r="Q7" i="2"/>
  <c r="P7" i="2"/>
  <c r="O7" i="2"/>
  <c r="N7" i="2"/>
  <c r="M7" i="2"/>
  <c r="L7" i="2"/>
  <c r="K7" i="2"/>
  <c r="J7" i="2"/>
  <c r="I7" i="2"/>
  <c r="F7" i="2"/>
  <c r="E7" i="2"/>
  <c r="D7" i="2"/>
  <c r="C7" i="2"/>
  <c r="B7" i="2"/>
  <c r="A7" i="2"/>
  <c r="Q6" i="2"/>
  <c r="P6" i="2"/>
  <c r="O6" i="2"/>
  <c r="N6" i="2"/>
  <c r="M6" i="2"/>
  <c r="L6" i="2"/>
  <c r="K6" i="2"/>
  <c r="J6" i="2"/>
  <c r="I6" i="2"/>
  <c r="F6" i="2"/>
  <c r="E6" i="2"/>
  <c r="D6" i="2"/>
  <c r="C6" i="2"/>
  <c r="B6" i="2"/>
  <c r="A6" i="2"/>
  <c r="Q5" i="2"/>
  <c r="P5" i="2"/>
  <c r="O5" i="2"/>
  <c r="N5" i="2"/>
  <c r="M5" i="2"/>
  <c r="L5" i="2"/>
  <c r="K5" i="2"/>
  <c r="J5" i="2"/>
  <c r="I5" i="2"/>
  <c r="F5" i="2"/>
  <c r="E5" i="2"/>
  <c r="D5" i="2"/>
  <c r="C5" i="2"/>
  <c r="B5" i="2"/>
  <c r="A5" i="2"/>
  <c r="Q4" i="2"/>
  <c r="P4" i="2"/>
  <c r="O4" i="2"/>
  <c r="N4" i="2"/>
  <c r="M4" i="2"/>
  <c r="L4" i="2"/>
  <c r="K4" i="2"/>
  <c r="J4" i="2"/>
  <c r="I4" i="2"/>
  <c r="F4" i="2"/>
  <c r="E4" i="2"/>
  <c r="D4" i="2"/>
  <c r="C4" i="2"/>
  <c r="B4" i="2"/>
  <c r="A4" i="2"/>
  <c r="Q3" i="2"/>
  <c r="P3" i="2"/>
  <c r="O3" i="2"/>
  <c r="N3" i="2"/>
  <c r="M3" i="2"/>
  <c r="L3" i="2"/>
  <c r="K3" i="2"/>
  <c r="J3" i="2"/>
  <c r="I3" i="2"/>
  <c r="F3" i="2"/>
  <c r="E3" i="2"/>
  <c r="D3" i="2"/>
  <c r="C3" i="2"/>
  <c r="B3" i="2"/>
  <c r="A3" i="2"/>
  <c r="Q2" i="2"/>
  <c r="P2" i="2"/>
  <c r="O2" i="2"/>
  <c r="N2" i="2"/>
  <c r="M2" i="2"/>
  <c r="L2" i="2"/>
  <c r="K2" i="2"/>
  <c r="J2" i="2"/>
  <c r="I2" i="2"/>
  <c r="F2" i="2"/>
  <c r="E2" i="2"/>
  <c r="D2" i="2"/>
  <c r="C2" i="2"/>
  <c r="B2" i="2"/>
  <c r="A2" i="2"/>
</calcChain>
</file>

<file path=xl/sharedStrings.xml><?xml version="1.0" encoding="utf-8"?>
<sst xmlns="http://schemas.openxmlformats.org/spreadsheetml/2006/main" count="17" uniqueCount="17">
  <si>
    <t>ImagemLink</t>
  </si>
  <si>
    <t>Exam</t>
  </si>
  <si>
    <t>Ano</t>
  </si>
  <si>
    <t>EnemArea</t>
  </si>
  <si>
    <t>Materia</t>
  </si>
  <si>
    <t>Frente1</t>
  </si>
  <si>
    <t>Frente2</t>
  </si>
  <si>
    <t>Frente3</t>
  </si>
  <si>
    <t>Caderno</t>
  </si>
  <si>
    <t>Numero</t>
  </si>
  <si>
    <t>Alternativa</t>
  </si>
  <si>
    <t>TextoQuestao</t>
  </si>
  <si>
    <t>TextoAlternativaA</t>
  </si>
  <si>
    <t>TextoAlternativaB</t>
  </si>
  <si>
    <t>TextoAlternativaC</t>
  </si>
  <si>
    <t>TextoAlternativaD</t>
  </si>
  <si>
    <t>TextoAlternativaE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</si>
</sst>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sz val="10"/>
      <color theme="1"/>
      <name val="Arial"/>
    </font>
    <font>
      <u/>
      <sz val="10"/>
      <color rgb="FF0000FF"/>
      <name val="Arial"/>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xf numFmtId="0" fontId="2" fillId="0" borderId="0" xfId="0" applyFont="1"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open?id=1EiT1zqAJyXn8YR8Q8bSKqEN5szbQjNpP" TargetMode="External"/><Relationship Id="rId21" Type="http://schemas.openxmlformats.org/officeDocument/2006/relationships/hyperlink" Target="https://drive.google.com/open?id=1dUMTCyjRypsydrj08-k6OsWvQPzmIIlC" TargetMode="External"/><Relationship Id="rId42" Type="http://schemas.openxmlformats.org/officeDocument/2006/relationships/hyperlink" Target="https://drive.google.com/open?id=1adcOIeS8WPunZcUsqvchJpcqj1qtOmqw" TargetMode="External"/><Relationship Id="rId63" Type="http://schemas.openxmlformats.org/officeDocument/2006/relationships/hyperlink" Target="https://drive.google.com/open?id=1z-IqDCMAmZg9J8MDK9mcDeLOmJv_9sci" TargetMode="External"/><Relationship Id="rId84" Type="http://schemas.openxmlformats.org/officeDocument/2006/relationships/hyperlink" Target="https://drive.google.com/open?id=1ykvpp3K38nSriDoNDB58c9P-7pjLCmzc" TargetMode="External"/><Relationship Id="rId138" Type="http://schemas.openxmlformats.org/officeDocument/2006/relationships/hyperlink" Target="https://drive.google.com/open?id=1f1fT-coijxvXGyqcO2nOpK7T5RdPbbKX" TargetMode="External"/><Relationship Id="rId159" Type="http://schemas.openxmlformats.org/officeDocument/2006/relationships/hyperlink" Target="https://drive.google.com/open?id=16MFDCTcUo3sybB3gDqAoOXJx-tD_L08w" TargetMode="External"/><Relationship Id="rId170" Type="http://schemas.openxmlformats.org/officeDocument/2006/relationships/hyperlink" Target="https://drive.google.com/open?id=1luy7J08rMLPOmweJomJPOevO_Wx_-rgZ" TargetMode="External"/><Relationship Id="rId107" Type="http://schemas.openxmlformats.org/officeDocument/2006/relationships/hyperlink" Target="https://drive.google.com/open?id=137fgTpOFGX32bK_DpeGGIC-ov595TO17" TargetMode="External"/><Relationship Id="rId11" Type="http://schemas.openxmlformats.org/officeDocument/2006/relationships/hyperlink" Target="https://drive.google.com/open?id=1RuSFsGGjpDV7Z_RMwdeJr60dwaiELRMM" TargetMode="External"/><Relationship Id="rId32" Type="http://schemas.openxmlformats.org/officeDocument/2006/relationships/hyperlink" Target="https://drive.google.com/open?id=1tlRMbSV292t1f4WpaDRLMdqqY7JRmkAp" TargetMode="External"/><Relationship Id="rId53" Type="http://schemas.openxmlformats.org/officeDocument/2006/relationships/hyperlink" Target="https://drive.google.com/open?id=1mqtMmPSA7WP8_zCbXIk3wJqzuhujQZoP" TargetMode="External"/><Relationship Id="rId74" Type="http://schemas.openxmlformats.org/officeDocument/2006/relationships/hyperlink" Target="https://drive.google.com/open?id=1vdrArF8NH9JkVSaA6tkFCwkcOIQVjvGu" TargetMode="External"/><Relationship Id="rId128" Type="http://schemas.openxmlformats.org/officeDocument/2006/relationships/hyperlink" Target="https://drive.google.com/open?id=1YnDWl0sxoCRvNIzWLzK5myGTsJ8uswhn" TargetMode="External"/><Relationship Id="rId149" Type="http://schemas.openxmlformats.org/officeDocument/2006/relationships/hyperlink" Target="https://drive.google.com/open?id=16ufMy_vgel02YE_LwrSnsm6G5f-HFMiS" TargetMode="External"/><Relationship Id="rId5" Type="http://schemas.openxmlformats.org/officeDocument/2006/relationships/hyperlink" Target="https://drive.google.com/open?id=1uzDafALIDiDvi4mGpEydY-hD1lvCAHFf" TargetMode="External"/><Relationship Id="rId95" Type="http://schemas.openxmlformats.org/officeDocument/2006/relationships/hyperlink" Target="https://drive.google.com/open?id=1Sv-CtUVQLNPBLBph1dkJkJwzM7lLvwFg" TargetMode="External"/><Relationship Id="rId160" Type="http://schemas.openxmlformats.org/officeDocument/2006/relationships/hyperlink" Target="https://drive.google.com/open?id=12_IaxRvoIVsvtkC29BvvXZmasWOmqx93" TargetMode="External"/><Relationship Id="rId22" Type="http://schemas.openxmlformats.org/officeDocument/2006/relationships/hyperlink" Target="https://drive.google.com/open?id=1Z9gGaJHiSFvTXMwznSNrPArtaHuqJufp" TargetMode="External"/><Relationship Id="rId43" Type="http://schemas.openxmlformats.org/officeDocument/2006/relationships/hyperlink" Target="https://drive.google.com/open?id=1rUU8lBoVaTW6M1lo72OMt943he_AKbcy" TargetMode="External"/><Relationship Id="rId64" Type="http://schemas.openxmlformats.org/officeDocument/2006/relationships/hyperlink" Target="https://drive.google.com/open?id=1h_SckoDRWeGkt-D783iNptVuA3DpL4tW" TargetMode="External"/><Relationship Id="rId118" Type="http://schemas.openxmlformats.org/officeDocument/2006/relationships/hyperlink" Target="https://drive.google.com/open?id=18eqQvfA0sKYFUUoZ6fm0CgH1fGgpLsmQ" TargetMode="External"/><Relationship Id="rId139" Type="http://schemas.openxmlformats.org/officeDocument/2006/relationships/hyperlink" Target="https://drive.google.com/open?id=1RyxCL9W6Oz3h6OzioQ9PVEJdIDuQLkki" TargetMode="External"/><Relationship Id="rId85" Type="http://schemas.openxmlformats.org/officeDocument/2006/relationships/hyperlink" Target="https://drive.google.com/open?id=19AQ5kfEefB6y84-_g3ozlKyxmT5m1yZi" TargetMode="External"/><Relationship Id="rId150" Type="http://schemas.openxmlformats.org/officeDocument/2006/relationships/hyperlink" Target="https://drive.google.com/open?id=1mQp1rs4JgNtFhpVj4mfqcWKAb8EUOQ-C" TargetMode="External"/><Relationship Id="rId171" Type="http://schemas.openxmlformats.org/officeDocument/2006/relationships/hyperlink" Target="https://drive.google.com/open?id=1Hktw0Ndm3FSLoXnZHVkF0wwEDV0PkDR5" TargetMode="External"/><Relationship Id="rId12" Type="http://schemas.openxmlformats.org/officeDocument/2006/relationships/hyperlink" Target="https://drive.google.com/open?id=1KdFQmBYdp-9DOTGHsh0fZZMzjN74oZnz" TargetMode="External"/><Relationship Id="rId33" Type="http://schemas.openxmlformats.org/officeDocument/2006/relationships/hyperlink" Target="https://drive.google.com/open?id=1uu785Ijmm5i5hF1K63duqKTKxGcynaNl" TargetMode="External"/><Relationship Id="rId108" Type="http://schemas.openxmlformats.org/officeDocument/2006/relationships/hyperlink" Target="https://drive.google.com/open?id=10zZxHII0ar3JqDtJD1b2ROfNwWFhvq13" TargetMode="External"/><Relationship Id="rId129" Type="http://schemas.openxmlformats.org/officeDocument/2006/relationships/hyperlink" Target="https://drive.google.com/open?id=1abH39npmAMxfu5iA8IuamqlTXnRE8eX8" TargetMode="External"/><Relationship Id="rId54" Type="http://schemas.openxmlformats.org/officeDocument/2006/relationships/hyperlink" Target="https://drive.google.com/open?id=1n9Qa1HwKCOhVWXGwtBahrkHDEt-zh6i9" TargetMode="External"/><Relationship Id="rId75" Type="http://schemas.openxmlformats.org/officeDocument/2006/relationships/hyperlink" Target="https://drive.google.com/open?id=1MvUrXdH_ql0F_QudnOMKVva5ivwpk2Hr" TargetMode="External"/><Relationship Id="rId96" Type="http://schemas.openxmlformats.org/officeDocument/2006/relationships/hyperlink" Target="https://drive.google.com/open?id=1QC8LVv1-6-DdU9RebfNPorXi1xOyrbR8" TargetMode="External"/><Relationship Id="rId140" Type="http://schemas.openxmlformats.org/officeDocument/2006/relationships/hyperlink" Target="https://drive.google.com/open?id=1I8dP6jKzgC11rQkhWXFHihShLWr0Yu45" TargetMode="External"/><Relationship Id="rId161" Type="http://schemas.openxmlformats.org/officeDocument/2006/relationships/hyperlink" Target="https://drive.google.com/open?id=1p2DGJBGfisg5kTM9sxfSdG0fB9H4l44N" TargetMode="External"/><Relationship Id="rId1" Type="http://schemas.openxmlformats.org/officeDocument/2006/relationships/hyperlink" Target="https://drive.google.com/open?id=1NL94g-7XybFSKTZgLX8eoEOTR7FKCSXQ" TargetMode="External"/><Relationship Id="rId6" Type="http://schemas.openxmlformats.org/officeDocument/2006/relationships/hyperlink" Target="https://drive.google.com/open?id=1-C8HtaadAShQcjP0QHweCuz155BZBsqa" TargetMode="External"/><Relationship Id="rId23" Type="http://schemas.openxmlformats.org/officeDocument/2006/relationships/hyperlink" Target="https://drive.google.com/open?id=1ewME9Qe9bUU5H1FnEbFWqXsPLhU6RpjA" TargetMode="External"/><Relationship Id="rId28" Type="http://schemas.openxmlformats.org/officeDocument/2006/relationships/hyperlink" Target="https://drive.google.com/open?id=1Fajx3W91ZYUeazTy9teqMEqfotqihoLn" TargetMode="External"/><Relationship Id="rId49" Type="http://schemas.openxmlformats.org/officeDocument/2006/relationships/hyperlink" Target="https://drive.google.com/open?id=1Fb_gSJOrlw0FUnDuPaByNMLu3Y0EpObV" TargetMode="External"/><Relationship Id="rId114" Type="http://schemas.openxmlformats.org/officeDocument/2006/relationships/hyperlink" Target="https://drive.google.com/open?id=1U3Ic2Fd2ZCvCl8nLZvuzsivwuINaPlLr" TargetMode="External"/><Relationship Id="rId119" Type="http://schemas.openxmlformats.org/officeDocument/2006/relationships/hyperlink" Target="https://drive.google.com/open?id=1ffkoKHEo8wYyUGQ10x4dNwjCXlDy4x8-" TargetMode="External"/><Relationship Id="rId44" Type="http://schemas.openxmlformats.org/officeDocument/2006/relationships/hyperlink" Target="https://drive.google.com/open?id=1Uxn6aDc8498h7BYqFrKq8Z-y2p3BadmZ" TargetMode="External"/><Relationship Id="rId60" Type="http://schemas.openxmlformats.org/officeDocument/2006/relationships/hyperlink" Target="https://drive.google.com/open?id=1LnGTO01S93F21u5q432zK3kIeHLiRikD" TargetMode="External"/><Relationship Id="rId65" Type="http://schemas.openxmlformats.org/officeDocument/2006/relationships/hyperlink" Target="https://drive.google.com/open?id=1HFCYZ_vH8xISsT3hNA16ow2h2KqXgjpE" TargetMode="External"/><Relationship Id="rId81" Type="http://schemas.openxmlformats.org/officeDocument/2006/relationships/hyperlink" Target="https://drive.google.com/open?id=1Fb1xXFTBQQpc6DBpSD_w0maptRy-fk8e" TargetMode="External"/><Relationship Id="rId86" Type="http://schemas.openxmlformats.org/officeDocument/2006/relationships/hyperlink" Target="https://drive.google.com/open?id=1UpZW17UMtU_Yn4Zbh8UwC_a6VF7FR1De" TargetMode="External"/><Relationship Id="rId130" Type="http://schemas.openxmlformats.org/officeDocument/2006/relationships/hyperlink" Target="https://drive.google.com/open?id=1TVojd2X2BGJZeORsXuU0FSY4IBEiPunq" TargetMode="External"/><Relationship Id="rId135" Type="http://schemas.openxmlformats.org/officeDocument/2006/relationships/hyperlink" Target="https://drive.google.com/open?id=1Doh8TojWc3FzRincyG9XxtUES6tu2DTD" TargetMode="External"/><Relationship Id="rId151" Type="http://schemas.openxmlformats.org/officeDocument/2006/relationships/hyperlink" Target="https://drive.google.com/open?id=1UJ3iFF_7L33FJUfNesMnbdIDqfJTb5_u" TargetMode="External"/><Relationship Id="rId156" Type="http://schemas.openxmlformats.org/officeDocument/2006/relationships/hyperlink" Target="https://drive.google.com/open?id=15Czp3uw0VRNcYgCrBq68D98bVit7O-4z" TargetMode="External"/><Relationship Id="rId172" Type="http://schemas.openxmlformats.org/officeDocument/2006/relationships/hyperlink" Target="https://drive.google.com/open?id=1Y-yApkDf1rRELI2KDwxVmaqT41gmGLW7" TargetMode="External"/><Relationship Id="rId13" Type="http://schemas.openxmlformats.org/officeDocument/2006/relationships/hyperlink" Target="https://drive.google.com/open?id=1MTTpFHPyYTMzeEVcIGHGV2i76jJxSe3_" TargetMode="External"/><Relationship Id="rId18" Type="http://schemas.openxmlformats.org/officeDocument/2006/relationships/hyperlink" Target="https://drive.google.com/open?id=1ORRrwk4uMkG-Mx6XU5jgpo55m9qYqTXq" TargetMode="External"/><Relationship Id="rId39" Type="http://schemas.openxmlformats.org/officeDocument/2006/relationships/hyperlink" Target="https://drive.google.com/open?id=1hQ40B9afsrCQZFsdn4vY4zgGKPW6EOmY" TargetMode="External"/><Relationship Id="rId109" Type="http://schemas.openxmlformats.org/officeDocument/2006/relationships/hyperlink" Target="https://drive.google.com/open?id=13YkTf8-O7GM6-87B19EMyB5QKd3yyOfj" TargetMode="External"/><Relationship Id="rId34" Type="http://schemas.openxmlformats.org/officeDocument/2006/relationships/hyperlink" Target="https://drive.google.com/open?id=1yRDd5R0-wP2OWRxoEcHykhLFLcFyaVgk" TargetMode="External"/><Relationship Id="rId50" Type="http://schemas.openxmlformats.org/officeDocument/2006/relationships/hyperlink" Target="https://drive.google.com/open?id=1iyxAiDKlRRbyVtODY80-ncAdZ38AGrC8" TargetMode="External"/><Relationship Id="rId55" Type="http://schemas.openxmlformats.org/officeDocument/2006/relationships/hyperlink" Target="https://drive.google.com/open?id=1wRY2eSa5SY5MSOlaJK6TrCe_3TtmC2T3" TargetMode="External"/><Relationship Id="rId76" Type="http://schemas.openxmlformats.org/officeDocument/2006/relationships/hyperlink" Target="https://drive.google.com/open?id=1vLP0xbx2AuARSTb8JSFa_n3sPyvSGAtn" TargetMode="External"/><Relationship Id="rId97" Type="http://schemas.openxmlformats.org/officeDocument/2006/relationships/hyperlink" Target="https://drive.google.com/open?id=1BwcruElr9-djNKE0aOT7wWHLAUjwyBDG" TargetMode="External"/><Relationship Id="rId104" Type="http://schemas.openxmlformats.org/officeDocument/2006/relationships/hyperlink" Target="https://drive.google.com/open?id=1BHVWnXWsSVxHdyjuHS2IVNlrSYfPT9cZ" TargetMode="External"/><Relationship Id="rId120" Type="http://schemas.openxmlformats.org/officeDocument/2006/relationships/hyperlink" Target="https://drive.google.com/open?id=1JpeCOr9Q1qseJu2HGo7gwXpkMEJ5Sxps" TargetMode="External"/><Relationship Id="rId125" Type="http://schemas.openxmlformats.org/officeDocument/2006/relationships/hyperlink" Target="https://drive.google.com/open?id=1nk465PDBr0HOCaUk6sQdfhdUp0g0ist7" TargetMode="External"/><Relationship Id="rId141" Type="http://schemas.openxmlformats.org/officeDocument/2006/relationships/hyperlink" Target="https://drive.google.com/open?id=1sUPyaOPRMBxHTCXnpk6QxBgn3Rnu8Bhr" TargetMode="External"/><Relationship Id="rId146" Type="http://schemas.openxmlformats.org/officeDocument/2006/relationships/hyperlink" Target="https://drive.google.com/open?id=1vCTpIVIyMupMZzZhhXjixc1HVAk0_zI_" TargetMode="External"/><Relationship Id="rId167" Type="http://schemas.openxmlformats.org/officeDocument/2006/relationships/hyperlink" Target="https://drive.google.com/open?id=1Ir94gybubyFGyRZNhorRgABhsXVQowHs" TargetMode="External"/><Relationship Id="rId7" Type="http://schemas.openxmlformats.org/officeDocument/2006/relationships/hyperlink" Target="https://drive.google.com/open?id=1r_Hxkz7t81ZvNmGdYvsf6zas4nGYeUjx" TargetMode="External"/><Relationship Id="rId71" Type="http://schemas.openxmlformats.org/officeDocument/2006/relationships/hyperlink" Target="https://drive.google.com/open?id=1vHSubPRDJZMn4uMwb-R3KljA3IyYq4al" TargetMode="External"/><Relationship Id="rId92" Type="http://schemas.openxmlformats.org/officeDocument/2006/relationships/hyperlink" Target="https://drive.google.com/open?id=16jeb4iL4gKmZ0f3fwubaaTbDsPkHjZeX" TargetMode="External"/><Relationship Id="rId162" Type="http://schemas.openxmlformats.org/officeDocument/2006/relationships/hyperlink" Target="https://drive.google.com/open?id=1I8UYaXpgmXnTiCT4oeGwV0eIFQx9aViD" TargetMode="External"/><Relationship Id="rId2" Type="http://schemas.openxmlformats.org/officeDocument/2006/relationships/hyperlink" Target="https://drive.google.com/open?id=1W94bxs_7Z2-9dY7FBHCUS86gYt4Ot4GN" TargetMode="External"/><Relationship Id="rId29" Type="http://schemas.openxmlformats.org/officeDocument/2006/relationships/hyperlink" Target="https://drive.google.com/open?id=1vvIZ2hSqjXoxlAwxqTe50O9M3qPWTKi7" TargetMode="External"/><Relationship Id="rId24" Type="http://schemas.openxmlformats.org/officeDocument/2006/relationships/hyperlink" Target="https://drive.google.com/open?id=1Lr6_P8bw9gVAhImAgDCpZ12iJfmwP7M7" TargetMode="External"/><Relationship Id="rId40" Type="http://schemas.openxmlformats.org/officeDocument/2006/relationships/hyperlink" Target="https://drive.google.com/open?id=1FPM1V_XlBmHdPHFmJzjszrXiag7j86eh" TargetMode="External"/><Relationship Id="rId45" Type="http://schemas.openxmlformats.org/officeDocument/2006/relationships/hyperlink" Target="https://drive.google.com/open?id=1GQTHkPIFEZZlimFiohJ9JAtja7-XPbiS" TargetMode="External"/><Relationship Id="rId66" Type="http://schemas.openxmlformats.org/officeDocument/2006/relationships/hyperlink" Target="https://drive.google.com/open?id=1B-G-3yozFa-djBSBT4wu6WT4Qcrwae-n" TargetMode="External"/><Relationship Id="rId87" Type="http://schemas.openxmlformats.org/officeDocument/2006/relationships/hyperlink" Target="https://drive.google.com/open?id=1CYL-JEu1m_NmjeNgx6ZFJcYaWjuotkHz" TargetMode="External"/><Relationship Id="rId110" Type="http://schemas.openxmlformats.org/officeDocument/2006/relationships/hyperlink" Target="https://drive.google.com/open?id=1DrtoMc2OvmYH7SFQcEFe3LybUFsD2Ziy" TargetMode="External"/><Relationship Id="rId115" Type="http://schemas.openxmlformats.org/officeDocument/2006/relationships/hyperlink" Target="https://drive.google.com/open?id=1I3w-FfMGm_9pguQGzA0zEC8Oqo3itWL1" TargetMode="External"/><Relationship Id="rId131" Type="http://schemas.openxmlformats.org/officeDocument/2006/relationships/hyperlink" Target="https://drive.google.com/open?id=1mRKBFVq0cODVyagwTS3lre3wTyYjUlDP" TargetMode="External"/><Relationship Id="rId136" Type="http://schemas.openxmlformats.org/officeDocument/2006/relationships/hyperlink" Target="https://drive.google.com/open?id=13eEBLrhPFeylDmP5j-leUpObx3C-en-Y" TargetMode="External"/><Relationship Id="rId157" Type="http://schemas.openxmlformats.org/officeDocument/2006/relationships/hyperlink" Target="https://drive.google.com/open?id=1IZYyBDTCFBl-IIi92gwM3i5ZmhPRazUK" TargetMode="External"/><Relationship Id="rId61" Type="http://schemas.openxmlformats.org/officeDocument/2006/relationships/hyperlink" Target="https://drive.google.com/open?id=1IQkfULACka2A1hijfhRsi7iArS-IXl6B" TargetMode="External"/><Relationship Id="rId82" Type="http://schemas.openxmlformats.org/officeDocument/2006/relationships/hyperlink" Target="https://drive.google.com/open?id=1uAheop3lSl_XZi3VWAoSDnPlZrOtZgzf" TargetMode="External"/><Relationship Id="rId152" Type="http://schemas.openxmlformats.org/officeDocument/2006/relationships/hyperlink" Target="https://drive.google.com/open?id=1bONn3hw8ScikEiYZ7dXoPVWfKu8MOc8C" TargetMode="External"/><Relationship Id="rId173" Type="http://schemas.openxmlformats.org/officeDocument/2006/relationships/hyperlink" Target="https://drive.google.com/open?id=1fl1c8hDgI-hDDI3d0zadvqi2puV7wsBW" TargetMode="External"/><Relationship Id="rId19" Type="http://schemas.openxmlformats.org/officeDocument/2006/relationships/hyperlink" Target="https://drive.google.com/open?id=132IEnJiZ5dtzWAjQWBcgAsGfPMGHjHtv" TargetMode="External"/><Relationship Id="rId14" Type="http://schemas.openxmlformats.org/officeDocument/2006/relationships/hyperlink" Target="https://drive.google.com/open?id=1Rk_iB589r0ZtTgPU99o2w2gKgbME94Mm" TargetMode="External"/><Relationship Id="rId30" Type="http://schemas.openxmlformats.org/officeDocument/2006/relationships/hyperlink" Target="https://drive.google.com/open?id=1kywtTt-ZdCFMbk7B8Z1Qomf_57KoJADR" TargetMode="External"/><Relationship Id="rId35" Type="http://schemas.openxmlformats.org/officeDocument/2006/relationships/hyperlink" Target="https://drive.google.com/open?id=15E22_LrVcx56GbhEOBU46KAi6mfeBWTy" TargetMode="External"/><Relationship Id="rId56" Type="http://schemas.openxmlformats.org/officeDocument/2006/relationships/hyperlink" Target="https://drive.google.com/open?id=1TKcBDI1dkVnlY65t2vCSt_yAwMkS5-Oz" TargetMode="External"/><Relationship Id="rId77" Type="http://schemas.openxmlformats.org/officeDocument/2006/relationships/hyperlink" Target="https://drive.google.com/open?id=1vb6SpnFpO7QpjL2NKKt3zcZffgjslj3K" TargetMode="External"/><Relationship Id="rId100" Type="http://schemas.openxmlformats.org/officeDocument/2006/relationships/hyperlink" Target="https://drive.google.com/open?id=11QZw9AwR3iac6mXk0ygtj_p2ZzGKGnxe" TargetMode="External"/><Relationship Id="rId105" Type="http://schemas.openxmlformats.org/officeDocument/2006/relationships/hyperlink" Target="https://drive.google.com/open?id=1jcogJRrj8WE2o8CODTYkZ5i4SFH7wzkx" TargetMode="External"/><Relationship Id="rId126" Type="http://schemas.openxmlformats.org/officeDocument/2006/relationships/hyperlink" Target="https://drive.google.com/open?id=1MJkETpROneOvWMBgSz8iJbgM1TKc20qe" TargetMode="External"/><Relationship Id="rId147" Type="http://schemas.openxmlformats.org/officeDocument/2006/relationships/hyperlink" Target="https://drive.google.com/open?id=1oAzbKUPROwZn3gEcmGypAOH8IXHJX5hy" TargetMode="External"/><Relationship Id="rId168" Type="http://schemas.openxmlformats.org/officeDocument/2006/relationships/hyperlink" Target="https://drive.google.com/open?id=1BXHYsu0-dFRNjf-zw7XPmYh0Cs9eWZ59" TargetMode="External"/><Relationship Id="rId8" Type="http://schemas.openxmlformats.org/officeDocument/2006/relationships/hyperlink" Target="https://drive.google.com/open?id=1p96KNTNepar8SQY1dWS4CXXjqtorkjYp" TargetMode="External"/><Relationship Id="rId51" Type="http://schemas.openxmlformats.org/officeDocument/2006/relationships/hyperlink" Target="https://drive.google.com/open?id=1RX4O-IQN33YEVfTrFwekF9m_xFtCZXkh" TargetMode="External"/><Relationship Id="rId72" Type="http://schemas.openxmlformats.org/officeDocument/2006/relationships/hyperlink" Target="https://drive.google.com/open?id=1-rigo8wXxrWQ2WDfjt2o3oyATbfMdbvJ" TargetMode="External"/><Relationship Id="rId93" Type="http://schemas.openxmlformats.org/officeDocument/2006/relationships/hyperlink" Target="https://drive.google.com/open?id=1DMaorImdwq1KsxuynZYpwBuxX9ha4T3W" TargetMode="External"/><Relationship Id="rId98" Type="http://schemas.openxmlformats.org/officeDocument/2006/relationships/hyperlink" Target="https://drive.google.com/open?id=1MowGKBs4nVoP3rvaM3sCJPezFwd8DV5i" TargetMode="External"/><Relationship Id="rId121" Type="http://schemas.openxmlformats.org/officeDocument/2006/relationships/hyperlink" Target="https://drive.google.com/open?id=1TulMV1MLzHI0W_hn0WdlYhqeQrcdpdQZ" TargetMode="External"/><Relationship Id="rId142" Type="http://schemas.openxmlformats.org/officeDocument/2006/relationships/hyperlink" Target="https://drive.google.com/open?id=1LLb5UVZ9qjFIadDmgnqt0kFehDZAvE_r" TargetMode="External"/><Relationship Id="rId163" Type="http://schemas.openxmlformats.org/officeDocument/2006/relationships/hyperlink" Target="https://drive.google.com/open?id=1eP831VaOQMjFuUB9SPx3JrEOKysTiRT9" TargetMode="External"/><Relationship Id="rId3" Type="http://schemas.openxmlformats.org/officeDocument/2006/relationships/hyperlink" Target="https://drive.google.com/open?id=1yC594PHRYdASnExHXFvIV00MkjuuQbOk" TargetMode="External"/><Relationship Id="rId25" Type="http://schemas.openxmlformats.org/officeDocument/2006/relationships/hyperlink" Target="https://drive.google.com/open?id=13E-f3R8EniH08UWsUvE7i1j7cCPkq7hc" TargetMode="External"/><Relationship Id="rId46" Type="http://schemas.openxmlformats.org/officeDocument/2006/relationships/hyperlink" Target="https://drive.google.com/open?id=1S9fgBnGZZQgbWX3inKlrorqQ1B9QM4iT" TargetMode="External"/><Relationship Id="rId67" Type="http://schemas.openxmlformats.org/officeDocument/2006/relationships/hyperlink" Target="https://drive.google.com/open?id=1nPIZ3ZQ8ARMv_0LEd7x5FI1xTIcrfYql" TargetMode="External"/><Relationship Id="rId116" Type="http://schemas.openxmlformats.org/officeDocument/2006/relationships/hyperlink" Target="https://drive.google.com/open?id=1VWAsV3SYeDXhamjMVk3esak5QwR8CXsu" TargetMode="External"/><Relationship Id="rId137" Type="http://schemas.openxmlformats.org/officeDocument/2006/relationships/hyperlink" Target="https://drive.google.com/open?id=11uZHyQaBU74wlS08FDIB4g0rr6WLselm" TargetMode="External"/><Relationship Id="rId158" Type="http://schemas.openxmlformats.org/officeDocument/2006/relationships/hyperlink" Target="https://drive.google.com/open?id=1yHMV3O4MtWJOsKOgusJSbxvrlPN3gmuV" TargetMode="External"/><Relationship Id="rId20" Type="http://schemas.openxmlformats.org/officeDocument/2006/relationships/hyperlink" Target="https://drive.google.com/open?id=1M229EJy5i7Nz08phWw2Wjk1cipPitI14" TargetMode="External"/><Relationship Id="rId41" Type="http://schemas.openxmlformats.org/officeDocument/2006/relationships/hyperlink" Target="https://drive.google.com/open?id=1fD0GYjVJCKiLY2xqKdkiGaB0qE7zMerg" TargetMode="External"/><Relationship Id="rId62" Type="http://schemas.openxmlformats.org/officeDocument/2006/relationships/hyperlink" Target="https://drive.google.com/open?id=15vGyAFLjwLpOzIzwcu4lyeYSdgJKo6Ne" TargetMode="External"/><Relationship Id="rId83" Type="http://schemas.openxmlformats.org/officeDocument/2006/relationships/hyperlink" Target="https://drive.google.com/open?id=16orVnjjB-g9Qq6UcwSa26Jbw7QSb-eVN" TargetMode="External"/><Relationship Id="rId88" Type="http://schemas.openxmlformats.org/officeDocument/2006/relationships/hyperlink" Target="https://drive.google.com/open?id=1HId2s5OCE9AGyUxf9PbjLJJtWDH_OEoJ" TargetMode="External"/><Relationship Id="rId111" Type="http://schemas.openxmlformats.org/officeDocument/2006/relationships/hyperlink" Target="https://drive.google.com/open?id=1Pbm7zidEC3Z67dtP6cE62pwTkGv65cEp" TargetMode="External"/><Relationship Id="rId132" Type="http://schemas.openxmlformats.org/officeDocument/2006/relationships/hyperlink" Target="https://drive.google.com/open?id=14twLiKWPk-Adh0eSkffy78XVoBqQmRwF" TargetMode="External"/><Relationship Id="rId153" Type="http://schemas.openxmlformats.org/officeDocument/2006/relationships/hyperlink" Target="https://drive.google.com/open?id=1AQLL-zzuGtkE9IGct9Py-2ApP-td_Our" TargetMode="External"/><Relationship Id="rId174" Type="http://schemas.openxmlformats.org/officeDocument/2006/relationships/hyperlink" Target="https://drive.google.com/open?id=1lMXFbCnOfmkG1kfcp7pOJoKsPfKU6a08" TargetMode="External"/><Relationship Id="rId15" Type="http://schemas.openxmlformats.org/officeDocument/2006/relationships/hyperlink" Target="https://drive.google.com/open?id=1EF9DaX4W3zpjiErNVOmoqCe0GDKAL4y6" TargetMode="External"/><Relationship Id="rId36" Type="http://schemas.openxmlformats.org/officeDocument/2006/relationships/hyperlink" Target="https://drive.google.com/open?id=1UuFIWlbjDb-HalIeajSh0TStzEH7Khtr" TargetMode="External"/><Relationship Id="rId57" Type="http://schemas.openxmlformats.org/officeDocument/2006/relationships/hyperlink" Target="https://drive.google.com/open?id=1GDqefiWkPRpPRC_TDB5xrUtkLShKTWC2" TargetMode="External"/><Relationship Id="rId106" Type="http://schemas.openxmlformats.org/officeDocument/2006/relationships/hyperlink" Target="https://drive.google.com/open?id=1BO3b--hkAHXvopUSKRGe90BVssQ9uwb6" TargetMode="External"/><Relationship Id="rId127" Type="http://schemas.openxmlformats.org/officeDocument/2006/relationships/hyperlink" Target="https://drive.google.com/open?id=1qDtihalOEUQ07991VaH1Cc0aUzHy1GfS" TargetMode="External"/><Relationship Id="rId10" Type="http://schemas.openxmlformats.org/officeDocument/2006/relationships/hyperlink" Target="https://drive.google.com/open?id=135ICu-nTszGnTy5HeGacY_0w-z3ugk95" TargetMode="External"/><Relationship Id="rId31" Type="http://schemas.openxmlformats.org/officeDocument/2006/relationships/hyperlink" Target="https://drive.google.com/open?id=1lEhdQ36teqoR2-cE1TviDr_MKiYRMRBO" TargetMode="External"/><Relationship Id="rId52" Type="http://schemas.openxmlformats.org/officeDocument/2006/relationships/hyperlink" Target="https://drive.google.com/open?id=1EgthPuR8Zhc6vekWTuZZvTdSyFZYRm-A" TargetMode="External"/><Relationship Id="rId73" Type="http://schemas.openxmlformats.org/officeDocument/2006/relationships/hyperlink" Target="https://drive.google.com/open?id=1YrAFNwYXPKKdbSLDuHgSYrwjHQhJURPn" TargetMode="External"/><Relationship Id="rId78" Type="http://schemas.openxmlformats.org/officeDocument/2006/relationships/hyperlink" Target="https://drive.google.com/open?id=15xdJnqzGszobad7URuO_lUfVxHcgivwk" TargetMode="External"/><Relationship Id="rId94" Type="http://schemas.openxmlformats.org/officeDocument/2006/relationships/hyperlink" Target="https://drive.google.com/open?id=12wJ06s4N1NmGQuDjk7kfBEVsCXf834rJ" TargetMode="External"/><Relationship Id="rId99" Type="http://schemas.openxmlformats.org/officeDocument/2006/relationships/hyperlink" Target="https://drive.google.com/open?id=1JnMZZ1F1Ig4jFsudxFxhnPwVwRJhgCxd" TargetMode="External"/><Relationship Id="rId101" Type="http://schemas.openxmlformats.org/officeDocument/2006/relationships/hyperlink" Target="https://drive.google.com/open?id=1p13_hcjfbEhgGwgCS2UufCs9nEYsyeyy" TargetMode="External"/><Relationship Id="rId122" Type="http://schemas.openxmlformats.org/officeDocument/2006/relationships/hyperlink" Target="https://drive.google.com/open?id=1cRfWbGO5HDLNvl7fHjSLhEgRluD92u1M" TargetMode="External"/><Relationship Id="rId143" Type="http://schemas.openxmlformats.org/officeDocument/2006/relationships/hyperlink" Target="https://drive.google.com/open?id=12zUL6jw8xYiO6z9kNhc0iqkiHVAfFCRz" TargetMode="External"/><Relationship Id="rId148" Type="http://schemas.openxmlformats.org/officeDocument/2006/relationships/hyperlink" Target="https://drive.google.com/open?id=1iBMsXpWH7DgNbiRPDDRlf3tR5c00kVNp" TargetMode="External"/><Relationship Id="rId164" Type="http://schemas.openxmlformats.org/officeDocument/2006/relationships/hyperlink" Target="https://drive.google.com/open?id=1JLTuc_d2q3se3TrAGn32pJdN7v82kqPG" TargetMode="External"/><Relationship Id="rId169" Type="http://schemas.openxmlformats.org/officeDocument/2006/relationships/hyperlink" Target="https://drive.google.com/open?id=14jdPtEVsSoX1M292hxgsLOBSbXb9DY0I" TargetMode="External"/><Relationship Id="rId4" Type="http://schemas.openxmlformats.org/officeDocument/2006/relationships/hyperlink" Target="https://drive.google.com/open?id=1_OChKYB3zALFaKVcWoIrvrI-vTqRqpXn" TargetMode="External"/><Relationship Id="rId9" Type="http://schemas.openxmlformats.org/officeDocument/2006/relationships/hyperlink" Target="https://drive.google.com/open?id=1ByFEUzfnLHfdyA1zdFXnRhG4FeRr-Oua" TargetMode="External"/><Relationship Id="rId26" Type="http://schemas.openxmlformats.org/officeDocument/2006/relationships/hyperlink" Target="https://drive.google.com/open?id=1pazox9q6mRBAYc2UPy6FMsBJEHaXnQsJ" TargetMode="External"/><Relationship Id="rId47" Type="http://schemas.openxmlformats.org/officeDocument/2006/relationships/hyperlink" Target="https://drive.google.com/open?id=1NfG_j96BGZdXV8oBQHgHgDbEsXNId1bQ" TargetMode="External"/><Relationship Id="rId68" Type="http://schemas.openxmlformats.org/officeDocument/2006/relationships/hyperlink" Target="https://drive.google.com/open?id=1WaLJIWXqQk6YHdyRTD9KnGIgh703astR" TargetMode="External"/><Relationship Id="rId89" Type="http://schemas.openxmlformats.org/officeDocument/2006/relationships/hyperlink" Target="https://drive.google.com/open?id=1Ind4ZLaOr5EW4Vjo56f_G9QQ4dmq8_xa" TargetMode="External"/><Relationship Id="rId112" Type="http://schemas.openxmlformats.org/officeDocument/2006/relationships/hyperlink" Target="https://drive.google.com/open?id=1RwyTu3NwuNJsBjQOqfr4IgESawaaaASD" TargetMode="External"/><Relationship Id="rId133" Type="http://schemas.openxmlformats.org/officeDocument/2006/relationships/hyperlink" Target="https://drive.google.com/open?id=1_aCUYxQvIv1SDm6h9qUv2SkpjPmSy5fA" TargetMode="External"/><Relationship Id="rId154" Type="http://schemas.openxmlformats.org/officeDocument/2006/relationships/hyperlink" Target="https://drive.google.com/open?id=1yDlChVeed_586p7Q1KCCcNL6WI5HzyEe" TargetMode="External"/><Relationship Id="rId175" Type="http://schemas.openxmlformats.org/officeDocument/2006/relationships/hyperlink" Target="https://drive.google.com/open?id=1lss1Ly3sY6wX8sPqJnjEnTbetjOmulnx" TargetMode="External"/><Relationship Id="rId16" Type="http://schemas.openxmlformats.org/officeDocument/2006/relationships/hyperlink" Target="https://drive.google.com/open?id=1KCmXWUiMBX2aNJdE3eHhnZ-KKIwgiGsB" TargetMode="External"/><Relationship Id="rId37" Type="http://schemas.openxmlformats.org/officeDocument/2006/relationships/hyperlink" Target="https://drive.google.com/open?id=1ZR1rhznUwxAQclUYF6tqXvdKhGuWq9Ta" TargetMode="External"/><Relationship Id="rId58" Type="http://schemas.openxmlformats.org/officeDocument/2006/relationships/hyperlink" Target="https://drive.google.com/open?id=1YE73np9jxPZ3rLrri_bO2gjwVjCAfvBN" TargetMode="External"/><Relationship Id="rId79" Type="http://schemas.openxmlformats.org/officeDocument/2006/relationships/hyperlink" Target="https://drive.google.com/open?id=14Bv8y_3du3aUApVTkh9lMshEAH7dN1ug" TargetMode="External"/><Relationship Id="rId102" Type="http://schemas.openxmlformats.org/officeDocument/2006/relationships/hyperlink" Target="https://drive.google.com/open?id=1Y-0kNtJM9zL6o3vYwuBAev7jLQWuJ9pU" TargetMode="External"/><Relationship Id="rId123" Type="http://schemas.openxmlformats.org/officeDocument/2006/relationships/hyperlink" Target="https://drive.google.com/open?id=1oVU0Tp6NHGicSIv18P11SgGccIUqsh0N" TargetMode="External"/><Relationship Id="rId144" Type="http://schemas.openxmlformats.org/officeDocument/2006/relationships/hyperlink" Target="https://drive.google.com/open?id=1pUwzCOiwCVkrjNEt2FuMotBuYoNaTitn" TargetMode="External"/><Relationship Id="rId90" Type="http://schemas.openxmlformats.org/officeDocument/2006/relationships/hyperlink" Target="https://drive.google.com/open?id=1DbhU2WJAYm1gpf6aS-ePuZ09bn5JcdAs" TargetMode="External"/><Relationship Id="rId165" Type="http://schemas.openxmlformats.org/officeDocument/2006/relationships/hyperlink" Target="https://drive.google.com/open?id=1BbeBtFdSvpDfZLZS3JIbNIhqoCKZkaJN" TargetMode="External"/><Relationship Id="rId27" Type="http://schemas.openxmlformats.org/officeDocument/2006/relationships/hyperlink" Target="https://drive.google.com/open?id=1rI2XVZdHqHtn2FGNZU1SuGF54qO-pRDZ" TargetMode="External"/><Relationship Id="rId48" Type="http://schemas.openxmlformats.org/officeDocument/2006/relationships/hyperlink" Target="https://drive.google.com/open?id=1nQXghGbqYcgUMmrLLxWIShh988mf-i-S" TargetMode="External"/><Relationship Id="rId69" Type="http://schemas.openxmlformats.org/officeDocument/2006/relationships/hyperlink" Target="https://drive.google.com/open?id=1OM08pH11kirVVZWGz267olVn1NJyuVD9" TargetMode="External"/><Relationship Id="rId113" Type="http://schemas.openxmlformats.org/officeDocument/2006/relationships/hyperlink" Target="https://drive.google.com/open?id=1uDtiaJjuX7-K0145GTyhVD67vWPq9n-R" TargetMode="External"/><Relationship Id="rId134" Type="http://schemas.openxmlformats.org/officeDocument/2006/relationships/hyperlink" Target="https://drive.google.com/open?id=1jXsd9H4eCm0nSxVNcNRJcVxY4Gvrc126" TargetMode="External"/><Relationship Id="rId80" Type="http://schemas.openxmlformats.org/officeDocument/2006/relationships/hyperlink" Target="https://drive.google.com/open?id=1cvRewWdWPWUOPDpFm5glm9STq65-PRzQ" TargetMode="External"/><Relationship Id="rId155" Type="http://schemas.openxmlformats.org/officeDocument/2006/relationships/hyperlink" Target="https://drive.google.com/open?id=1zVWOfvIA5TWMRCbuWcxoOvVdkO0DlOLH" TargetMode="External"/><Relationship Id="rId176" Type="http://schemas.openxmlformats.org/officeDocument/2006/relationships/hyperlink" Target="https://drive.google.com/open?id=1YQaqSQjp8VHg5l1hD-1TEWrne-4YlEE3" TargetMode="External"/><Relationship Id="rId17" Type="http://schemas.openxmlformats.org/officeDocument/2006/relationships/hyperlink" Target="https://drive.google.com/open?id=1PYl-Hdoh7Vke95qA2n8IltEdDadvlY5D" TargetMode="External"/><Relationship Id="rId38" Type="http://schemas.openxmlformats.org/officeDocument/2006/relationships/hyperlink" Target="https://drive.google.com/open?id=1L9d9arx-xDaz0JIx57HqiAt-I1okdIiI" TargetMode="External"/><Relationship Id="rId59" Type="http://schemas.openxmlformats.org/officeDocument/2006/relationships/hyperlink" Target="https://drive.google.com/open?id=1S-_4n-V8Tf_iuxqJYjR3Nv2Gj8oy6OhE" TargetMode="External"/><Relationship Id="rId103" Type="http://schemas.openxmlformats.org/officeDocument/2006/relationships/hyperlink" Target="https://drive.google.com/open?id=1GZ6mZzL0cbpOEbvnmBa9hQ2qupBULvwI" TargetMode="External"/><Relationship Id="rId124" Type="http://schemas.openxmlformats.org/officeDocument/2006/relationships/hyperlink" Target="https://drive.google.com/open?id=1HGck9r0yUGegbgHkBaxYvDxSlp2A8do_" TargetMode="External"/><Relationship Id="rId70" Type="http://schemas.openxmlformats.org/officeDocument/2006/relationships/hyperlink" Target="https://drive.google.com/open?id=19IA3ziA80GpL4OeOnRnDE-GppPRaBjyj" TargetMode="External"/><Relationship Id="rId91" Type="http://schemas.openxmlformats.org/officeDocument/2006/relationships/hyperlink" Target="https://drive.google.com/open?id=1ONus_lRoFRa7HGeVFP6NJcxTFEHF6Hny" TargetMode="External"/><Relationship Id="rId145" Type="http://schemas.openxmlformats.org/officeDocument/2006/relationships/hyperlink" Target="https://drive.google.com/open?id=1stbxBH-HX0LcL1uraWe0p33d27xbHMU6" TargetMode="External"/><Relationship Id="rId166" Type="http://schemas.openxmlformats.org/officeDocument/2006/relationships/hyperlink" Target="https://drive.google.com/open?id=1TVPkr8fw4WcMeYzkODY4eg0kb7UKywC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abSelected="1" topLeftCell="A169" workbookViewId="0">
      <selection activeCell="K1" sqref="K1"/>
    </sheetView>
  </sheetViews>
  <sheetFormatPr defaultColWidth="14.42578125" defaultRowHeight="15.75" customHeight="1" x14ac:dyDescent="0.2"/>
  <cols>
    <col min="1" max="1" width="29.7109375" customWidth="1"/>
    <col min="2" max="2" width="9.5703125" customWidth="1"/>
    <col min="3" max="3" width="9" customWidth="1"/>
    <col min="4" max="4" width="19.42578125" customWidth="1"/>
    <col min="5" max="5" width="11.7109375" customWidth="1"/>
    <col min="6" max="6" width="12.7109375" customWidth="1"/>
    <col min="7" max="7" width="10.140625" customWidth="1"/>
    <col min="8" max="8" width="11.28515625" customWidth="1"/>
    <col min="9" max="9" width="12.140625" customWidth="1"/>
    <col min="10" max="10" width="9.85546875" customWidth="1"/>
    <col min="11" max="11" width="16.85546875" customWidth="1"/>
    <col min="12" max="26" width="29.7109375" customWidth="1"/>
  </cols>
  <sheetData>
    <row r="1" spans="1:2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26" x14ac:dyDescent="0.2">
      <c r="A2" s="2" t="str">
        <f ca="1">IFERROR(__xludf.DUMMYFUNCTION("QUERY({IMPORTRANGE(""1xtmzQhqT772mZYlT6urz_NlJC1NqE4TJNOroYEqkZ5Y"",""Respostas ao formulário 1!A2:S"")},""Select Col2, Col3, Col4, Col7, Col8, Col9, Col10, Col11, Col5, Col6, Col12, Col13, Col14, Col15, Col16, Col17, Col18 where Col2 is not null"")"),"https://drive.google.com/open?id=197QDIt-e1ui6GvG8ySFHPyIbwGbFz1fP")</f>
        <v>https://drive.google.com/open?id=197QDIt-e1ui6GvG8ySFHPyIbwGbFz1fP</v>
      </c>
      <c r="B2" s="3" t="str">
        <f ca="1">IFERROR(__xludf.DUMMYFUNCTION("""COMPUTED_VALUE"""),"Enem")</f>
        <v>Enem</v>
      </c>
      <c r="C2" s="3">
        <f ca="1">IFERROR(__xludf.DUMMYFUNCTION("""COMPUTED_VALUE"""),2018)</f>
        <v>2018</v>
      </c>
      <c r="D2" s="3" t="str">
        <f ca="1">IFERROR(__xludf.DUMMYFUNCTION("""COMPUTED_VALUE"""),"Ciências Humanas")</f>
        <v>Ciências Humanas</v>
      </c>
      <c r="E2" s="3" t="str">
        <f ca="1">IFERROR(__xludf.DUMMYFUNCTION("""COMPUTED_VALUE"""),"Sociologia")</f>
        <v>Sociologia</v>
      </c>
      <c r="F2" s="3" t="str">
        <f ca="1">IFERROR(__xludf.DUMMYFUNCTION("""COMPUTED_VALUE"""),"Sociologia")</f>
        <v>Sociologia</v>
      </c>
      <c r="G2" s="3"/>
      <c r="H2" s="3"/>
      <c r="I2" s="3" t="str">
        <f ca="1">IFERROR(__xludf.DUMMYFUNCTION("""COMPUTED_VALUE"""),"Azul")</f>
        <v>Azul</v>
      </c>
      <c r="J2" s="3">
        <f ca="1">IFERROR(__xludf.DUMMYFUNCTION("""COMPUTED_VALUE"""),48)</f>
        <v>48</v>
      </c>
      <c r="K2" s="3" t="str">
        <f ca="1">IFERROR(__xludf.DUMMYFUNCTION("""COMPUTED_VALUE"""),"C")</f>
        <v>C</v>
      </c>
      <c r="L2" s="3" t="str">
        <f ca="1">IFERROR(__xludf.DUMMYFUNCTION("""COMPUTED_VALUE"""),"A tribo não possui um rei, mas um chefe que não é chefe de Estado. O que significa isso? Simplesmente que o chefe não dispõe de nenhuma autoridade, de nenhum poder de coerção, de nenhum meio de dar uma ordem. O chefe não é um comandante, as pessoas da tri"&amp;"bo não têm nenhum dever de obediência. O espaço da chefia não é o lugar do poder. Essencialmente encarregado de eliminar conflitos que podem surgir entre indivíduos, famílias e linhagens, o chefe só dispõe, para restabelecer a ordem e a concórdia, do pres"&amp;"tígio que lhe reconhece a sociedade. Mas evidentemente prestígio não significa poder, e os meios que o chefe detém para realizar sua tarefa de pacificador limitam-se ao uso exclusivo da palavra. CLASTRES, P A sociedade contra o Estado. Rio de Janeiro: Fra"&amp;"ncisco Alves, 1982 (adaptado).
O modelo político das sociedades discutidas no texto contrasta com o do Estado liberal burguês porque se baseia em:
")</f>
        <v xml:space="preserve">A tribo não possui um rei, mas um chefe que não é chefe de Estado. O que significa isso? Simplesmente que o chefe não dispõe de nenhuma autoridade, de nenhum poder de coerção, de nenhum meio de dar uma ordem. O chefe não é um comandante, as pessoas da tribo não têm nenhum dever de obediência. O espaço da chefia não é o lugar do poder. Essencialmente encarregado de eliminar conflitos que podem surgir entre indivíduos, famílias e linhagens, o chefe só dispõe, para restabelecer a ordem e a concórdia, do prestígio que lhe reconhece a sociedade. Mas evidentemente prestígio não significa poder, e os meios que o chefe detém para realizar sua tarefa de pacificador limitam-se ao uso exclusivo da palavra. CLASTRES, P A sociedade contra o Estado. Rio de Janeiro: Francisco Alves, 1982 (adaptado).
O modelo político das sociedades discutidas no texto contrasta com o do Estado liberal burguês porque se baseia em:
</v>
      </c>
      <c r="M2" s="3" t="str">
        <f ca="1">IFERROR(__xludf.DUMMYFUNCTION("""COMPUTED_VALUE"""),"Imposição ideológica e normas hierárquicas.")</f>
        <v>Imposição ideológica e normas hierárquicas.</v>
      </c>
      <c r="N2" s="3" t="str">
        <f ca="1">IFERROR(__xludf.DUMMYFUNCTION("""COMPUTED_VALUE"""),"Determinação divina e soberania monárquica.")</f>
        <v>Determinação divina e soberania monárquica.</v>
      </c>
      <c r="O2" s="3" t="str">
        <f ca="1">IFERROR(__xludf.DUMMYFUNCTION("""COMPUTED_VALUE"""),"Intervenção consensual e autonomia comunitária.")</f>
        <v>Intervenção consensual e autonomia comunitária.</v>
      </c>
      <c r="P2" s="3" t="str">
        <f ca="1">IFERROR(__xludf.DUMMYFUNCTION("""COMPUTED_VALUE"""),"Mediação jurídica e regras contratualistas.")</f>
        <v>Mediação jurídica e regras contratualistas.</v>
      </c>
      <c r="Q2" s="3" t="str">
        <f ca="1">IFERROR(__xludf.DUMMYFUNCTION("""COMPUTED_VALUE"""),"Gestão coletiva e obrigações tributárias.")</f>
        <v>Gestão coletiva e obrigações tributárias.</v>
      </c>
      <c r="R2" s="3"/>
      <c r="S2" s="3"/>
      <c r="T2" s="3"/>
      <c r="U2" s="3"/>
      <c r="V2" s="3"/>
      <c r="W2" s="3"/>
      <c r="X2" s="3"/>
      <c r="Y2" s="3"/>
      <c r="Z2" s="3"/>
    </row>
    <row r="3" spans="1:26" x14ac:dyDescent="0.2">
      <c r="A3" s="2" t="str">
        <f ca="1">IFERROR(__xludf.DUMMYFUNCTION("""COMPUTED_VALUE"""),"https://drive.google.com/open?id=1NL94g-7XybFSKTZgLX8eoEOTR7FKCSXQ")</f>
        <v>https://drive.google.com/open?id=1NL94g-7XybFSKTZgLX8eoEOTR7FKCSXQ</v>
      </c>
      <c r="B3" s="3" t="str">
        <f ca="1">IFERROR(__xludf.DUMMYFUNCTION("""COMPUTED_VALUE"""),"Enem")</f>
        <v>Enem</v>
      </c>
      <c r="C3" s="3">
        <f ca="1">IFERROR(__xludf.DUMMYFUNCTION("""COMPUTED_VALUE"""),2018)</f>
        <v>2018</v>
      </c>
      <c r="D3" s="3" t="str">
        <f ca="1">IFERROR(__xludf.DUMMYFUNCTION("""COMPUTED_VALUE"""),"Ciências Humanas")</f>
        <v>Ciências Humanas</v>
      </c>
      <c r="E3" s="3" t="str">
        <f ca="1">IFERROR(__xludf.DUMMYFUNCTION("""COMPUTED_VALUE"""),"Sociologia")</f>
        <v>Sociologia</v>
      </c>
      <c r="F3" s="3" t="str">
        <f ca="1">IFERROR(__xludf.DUMMYFUNCTION("""COMPUTED_VALUE"""),"Sociologia")</f>
        <v>Sociologia</v>
      </c>
      <c r="G3" s="3"/>
      <c r="H3" s="3"/>
      <c r="I3" s="3" t="str">
        <f ca="1">IFERROR(__xludf.DUMMYFUNCTION("""COMPUTED_VALUE"""),"Azul")</f>
        <v>Azul</v>
      </c>
      <c r="J3" s="3">
        <f ca="1">IFERROR(__xludf.DUMMYFUNCTION("""COMPUTED_VALUE"""),52)</f>
        <v>52</v>
      </c>
      <c r="K3" s="3" t="str">
        <f ca="1">IFERROR(__xludf.DUMMYFUNCTION("""COMPUTED_VALUE"""),"D")</f>
        <v>D</v>
      </c>
      <c r="L3" s="3" t="str">
        <f ca="1">IFERROR(__xludf.DUMMYFUNCTION("""COMPUTED_VALUE"""),"TEXTO I
Tudo aquilo que é válido para um tempo de guerra, em que todo homem é inimigo de todo homem, é válido também para o tempo durante o qual os homens vivem sem outra segurança senão a que lhes pode ser oferecida por sua própria força e invenção.HOBBE"&amp;"S, T. Leviatã. São Paulo: Abril Cultural, 1983.
TEXTO II
Não vamos concluir, com Hobbes que, por não ter nenhuma ideia de bondade, o homem seja naturalmente mau. Esse autor deveria dizer que, sendo o estado de natureza aquele em que o cuidado de nossa con"&amp;"servação é menos prejudicial à dos outros, esse estado era, por conseguinte, o mais próprio à paz e o mais conveniente ao gênero humano.ROUSSEAU, J.-J. Discurso sobre a origem e o fundamento da desigualdade entre os homens. São Paulo: Martins Fontes, 1993"&amp;" (adaptado).
Os trechos apresentam divergências conceituais entre autores que sustentam um entendimento segundo o qual a igualdade entre os homens se dá em razão de uma
")</f>
        <v xml:space="preserve">TEXTO I
Tudo aquilo que é válido para um tempo de guerra, em que todo homem é inimigo de todo homem, é válido também para o tempo durante o qual os homens vivem sem outra segurança senão a que lhes pode ser oferecida por sua própria força e invenção.HOBBES, T. Leviatã. São Paulo: Abril Cultural, 1983.
TEXTO II
Não vamos concluir, com Hobbes que, por não ter nenhuma ideia de bondade, o homem seja naturalmente mau. Esse autor deveria dizer que, sendo o estado de natureza aquele em que o cuidado de nossa conservação é menos prejudicial à dos outros, esse estado era, por conseguinte, o mais próprio à paz e o mais conveniente ao gênero humano.ROUSSEAU, J.-J. Discurso sobre a origem e o fundamento da desigualdade entre os homens. São Paulo: Martins Fontes, 1993 (adaptado).
Os trechos apresentam divergências conceituais entre autores que sustentam um entendimento segundo o qual a igualdade entre os homens se dá em razão de uma
</v>
      </c>
      <c r="M3" s="3" t="str">
        <f ca="1">IFERROR(__xludf.DUMMYFUNCTION("""COMPUTED_VALUE"""),"predisposição ao conhecimento.
")</f>
        <v xml:space="preserve">predisposição ao conhecimento.
</v>
      </c>
      <c r="N3" s="3" t="str">
        <f ca="1">IFERROR(__xludf.DUMMYFUNCTION("""COMPUTED_VALUE"""),"submissão ao transcendente.")</f>
        <v>submissão ao transcendente.</v>
      </c>
      <c r="O3" s="3" t="str">
        <f ca="1">IFERROR(__xludf.DUMMYFUNCTION("""COMPUTED_VALUE"""),"tradição epistemológica.")</f>
        <v>tradição epistemológica.</v>
      </c>
      <c r="P3" s="3" t="str">
        <f ca="1">IFERROR(__xludf.DUMMYFUNCTION("""COMPUTED_VALUE"""),"condição original.")</f>
        <v>condição original.</v>
      </c>
      <c r="Q3" s="3" t="str">
        <f ca="1">IFERROR(__xludf.DUMMYFUNCTION("""COMPUTED_VALUE"""),"vocação política.")</f>
        <v>vocação política.</v>
      </c>
      <c r="R3" s="3"/>
      <c r="S3" s="3"/>
      <c r="T3" s="3"/>
      <c r="U3" s="3"/>
      <c r="V3" s="3"/>
      <c r="W3" s="3"/>
      <c r="X3" s="3"/>
      <c r="Y3" s="3"/>
      <c r="Z3" s="3"/>
    </row>
    <row r="4" spans="1:26" x14ac:dyDescent="0.2">
      <c r="A4" s="2" t="str">
        <f ca="1">IFERROR(__xludf.DUMMYFUNCTION("""COMPUTED_VALUE"""),"https://drive.google.com/open?id=1W94bxs_7Z2-9dY7FBHCUS86gYt4Ot4GN")</f>
        <v>https://drive.google.com/open?id=1W94bxs_7Z2-9dY7FBHCUS86gYt4Ot4GN</v>
      </c>
      <c r="B4" s="3" t="str">
        <f ca="1">IFERROR(__xludf.DUMMYFUNCTION("""COMPUTED_VALUE"""),"Enem")</f>
        <v>Enem</v>
      </c>
      <c r="C4" s="3">
        <f ca="1">IFERROR(__xludf.DUMMYFUNCTION("""COMPUTED_VALUE"""),2018)</f>
        <v>2018</v>
      </c>
      <c r="D4" s="3" t="str">
        <f ca="1">IFERROR(__xludf.DUMMYFUNCTION("""COMPUTED_VALUE"""),"Ciências Humanas")</f>
        <v>Ciências Humanas</v>
      </c>
      <c r="E4" s="3" t="str">
        <f ca="1">IFERROR(__xludf.DUMMYFUNCTION("""COMPUTED_VALUE"""),"Sociologia")</f>
        <v>Sociologia</v>
      </c>
      <c r="F4" s="3" t="str">
        <f ca="1">IFERROR(__xludf.DUMMYFUNCTION("""COMPUTED_VALUE"""),"Sociologia")</f>
        <v>Sociologia</v>
      </c>
      <c r="G4" s="3"/>
      <c r="H4" s="3"/>
      <c r="I4" s="3" t="str">
        <f ca="1">IFERROR(__xludf.DUMMYFUNCTION("""COMPUTED_VALUE"""),"Azul")</f>
        <v>Azul</v>
      </c>
      <c r="J4" s="3">
        <f ca="1">IFERROR(__xludf.DUMMYFUNCTION("""COMPUTED_VALUE"""),64)</f>
        <v>64</v>
      </c>
      <c r="K4" s="3" t="str">
        <f ca="1">IFERROR(__xludf.DUMMYFUNCTION("""COMPUTED_VALUE"""),"E")</f>
        <v>E</v>
      </c>
      <c r="L4" s="3" t="str">
        <f ca="1">IFERROR(__xludf.DUMMYFUNCTION("""COMPUTED_VALUE"""),"Outra importante manifestação das crenças e tradições africanas na Colônia eram os objetos conhecidos como “bolsas de mandinga”. A insegurança tanto física como espiritual gerava uma necessidade generalizada de proteção: das catástrofes da natureza, das d"&amp;"oenças, da má sorte, da violência dos núcleos urbanos, dos roubos, das brigas, dos malefícios de feiticeiros etc. Também para trazer sorte, dinheiro e até atrair mulheres, o costume era corrente nas primeiras décadas do século XVIII, envolvendo não apenas"&amp;" escravos, mas também homens brancos.CALAINHO, D. B. Feitiços e feiticeiros. In: FIGUEIREDO, L. História do Brasil para ocupados.Rio de Janeiro: Casa da Palavra, 2013 (adaptado).
A prática histórico-cultural de matriz africana descrita no texto representa"&amp;"va um(a)
")</f>
        <v xml:space="preserve">Outra importante manifestação das crenças e tradições africanas na Colônia eram os objetos conhecidos como “bolsas de mandinga”. A insegurança tanto física como espiritual gerava uma necessidade generalizada de proteção: das catástrofes da natureza, das doenças, da má sorte, da violência dos núcleos urbanos, dos roubos, das brigas, dos malefícios de feiticeiros etc. Também para trazer sorte, dinheiro e até atrair mulheres, o costume era corrente nas primeiras décadas do século XVIII, envolvendo não apenas escravos, mas também homens brancos.CALAINHO, D. B. Feitiços e feiticeiros. In: FIGUEIREDO, L. História do Brasil para ocupados.Rio de Janeiro: Casa da Palavra, 2013 (adaptado).
A prática histórico-cultural de matriz africana descrita no texto representava um(a)
</v>
      </c>
      <c r="M4" s="3" t="str">
        <f ca="1">IFERROR(__xludf.DUMMYFUNCTION("""COMPUTED_VALUE"""),"expressão do valor das festividades da população pobre.
")</f>
        <v xml:space="preserve">expressão do valor das festividades da população pobre.
</v>
      </c>
      <c r="N4" s="3" t="str">
        <f ca="1">IFERROR(__xludf.DUMMYFUNCTION("""COMPUTED_VALUE"""),"ferramenta para submeter os cativos ao trabalho forçado.")</f>
        <v>ferramenta para submeter os cativos ao trabalho forçado.</v>
      </c>
      <c r="O4" s="3" t="str">
        <f ca="1">IFERROR(__xludf.DUMMYFUNCTION("""COMPUTED_VALUE"""),"estratégia de subversão do poder da monarquia portuguesa.")</f>
        <v>estratégia de subversão do poder da monarquia portuguesa.</v>
      </c>
      <c r="P4" s="3" t="str">
        <f ca="1">IFERROR(__xludf.DUMMYFUNCTION("""COMPUTED_VALUE"""),"elemento de conversão dos escravos ao catolicismo romano.")</f>
        <v>elemento de conversão dos escravos ao catolicismo romano.</v>
      </c>
      <c r="Q4" s="3" t="str">
        <f ca="1">IFERROR(__xludf.DUMMYFUNCTION("""COMPUTED_VALUE"""),"instrumento para minimizar o sentimento de desamparo social.")</f>
        <v>instrumento para minimizar o sentimento de desamparo social.</v>
      </c>
      <c r="R4" s="3"/>
      <c r="S4" s="3"/>
      <c r="T4" s="3"/>
      <c r="U4" s="3"/>
      <c r="V4" s="3"/>
      <c r="W4" s="3"/>
      <c r="X4" s="3"/>
      <c r="Y4" s="3"/>
      <c r="Z4" s="3"/>
    </row>
    <row r="5" spans="1:26" x14ac:dyDescent="0.2">
      <c r="A5" s="2" t="str">
        <f ca="1">IFERROR(__xludf.DUMMYFUNCTION("""COMPUTED_VALUE"""),"https://drive.google.com/open?id=1yC594PHRYdASnExHXFvIV00MkjuuQbOk")</f>
        <v>https://drive.google.com/open?id=1yC594PHRYdASnExHXFvIV00MkjuuQbOk</v>
      </c>
      <c r="B5" s="3" t="str">
        <f ca="1">IFERROR(__xludf.DUMMYFUNCTION("""COMPUTED_VALUE"""),"Enem")</f>
        <v>Enem</v>
      </c>
      <c r="C5" s="3">
        <f ca="1">IFERROR(__xludf.DUMMYFUNCTION("""COMPUTED_VALUE"""),2018)</f>
        <v>2018</v>
      </c>
      <c r="D5" s="3" t="str">
        <f ca="1">IFERROR(__xludf.DUMMYFUNCTION("""COMPUTED_VALUE"""),"Ciências Humanas")</f>
        <v>Ciências Humanas</v>
      </c>
      <c r="E5" s="3" t="str">
        <f ca="1">IFERROR(__xludf.DUMMYFUNCTION("""COMPUTED_VALUE"""),"Sociologia")</f>
        <v>Sociologia</v>
      </c>
      <c r="F5" s="3" t="str">
        <f ca="1">IFERROR(__xludf.DUMMYFUNCTION("""COMPUTED_VALUE"""),"Sociologia")</f>
        <v>Sociologia</v>
      </c>
      <c r="G5" s="3"/>
      <c r="H5" s="3"/>
      <c r="I5" s="3" t="str">
        <f ca="1">IFERROR(__xludf.DUMMYFUNCTION("""COMPUTED_VALUE"""),"Azul")</f>
        <v>Azul</v>
      </c>
      <c r="J5" s="3">
        <f ca="1">IFERROR(__xludf.DUMMYFUNCTION("""COMPUTED_VALUE"""),70)</f>
        <v>70</v>
      </c>
      <c r="K5" s="3" t="str">
        <f ca="1">IFERROR(__xludf.DUMMYFUNCTION("""COMPUTED_VALUE"""),"B")</f>
        <v>B</v>
      </c>
      <c r="L5" s="3" t="str">
        <f ca="1">IFERROR(__xludf.DUMMYFUNCTION("""COMPUTED_VALUE"""),"A primeira fase da dominação da economia sobre a vida social acarretou, no modo de definir toda realização humana, uma evidente degradação do ser para o ter. A fase atual, em que a vida social está totalmente tomada pelos resultados da economia, leva a um"&amp;" deslizamento generalizado do ter para o parecer, do qual todo ter efetivo deve extrair seu prestígio imediato e sua função última. Ao mesmo tempo, toda realidade individual tornou-se social, diretamente dependente da força social, moldada por ela.DEBORD,"&amp;" G. A sociedade do espetáculo. Rio de Janeiro: Contraponto, 2015
Uma manifestação contemporânea do fenômeno descrito no texto é o(a)
")</f>
        <v xml:space="preserve">A primeira fase da dominação da economia sobre a vida social acarretou, no modo de definir toda realização humana, uma evidente degradação do ser para o ter. A fase atual, em que a vida social está totalmente tomada pelos resultados da economia, leva a um deslizamento generalizado do ter para o parecer, do qual todo ter efetivo deve extrair seu prestígio imediato e sua função última. Ao mesmo tempo, toda realidade individual tornou-se social, diretamente dependente da força social, moldada por ela.DEBORD, G. A sociedade do espetáculo. Rio de Janeiro: Contraponto, 2015
Uma manifestação contemporânea do fenômeno descrito no texto é o(a)
</v>
      </c>
      <c r="M5" s="3" t="str">
        <f ca="1">IFERROR(__xludf.DUMMYFUNCTION("""COMPUTED_VALUE"""),"valorização dos conhecimentos acumulados.")</f>
        <v>valorização dos conhecimentos acumulados.</v>
      </c>
      <c r="N5" s="3" t="str">
        <f ca="1">IFERROR(__xludf.DUMMYFUNCTION("""COMPUTED_VALUE"""),"exposição nos meios de comunicação.")</f>
        <v>exposição nos meios de comunicação.</v>
      </c>
      <c r="O5" s="3" t="str">
        <f ca="1">IFERROR(__xludf.DUMMYFUNCTION("""COMPUTED_VALUE"""),"aprofundamento da vivência espiritual.")</f>
        <v>aprofundamento da vivência espiritual.</v>
      </c>
      <c r="P5" s="3" t="str">
        <f ca="1">IFERROR(__xludf.DUMMYFUNCTION("""COMPUTED_VALUE"""),"fortalecimento das relações interpessoais.")</f>
        <v>fortalecimento das relações interpessoais.</v>
      </c>
      <c r="Q5" s="3" t="str">
        <f ca="1">IFERROR(__xludf.DUMMYFUNCTION("""COMPUTED_VALUE"""),"reconhecimento na esfera artística.")</f>
        <v>reconhecimento na esfera artística.</v>
      </c>
      <c r="R5" s="3"/>
      <c r="S5" s="3"/>
      <c r="T5" s="3"/>
      <c r="U5" s="3"/>
      <c r="V5" s="3"/>
      <c r="W5" s="3"/>
      <c r="X5" s="3"/>
      <c r="Y5" s="3"/>
      <c r="Z5" s="3"/>
    </row>
    <row r="6" spans="1:26" x14ac:dyDescent="0.2">
      <c r="A6" s="2" t="str">
        <f ca="1">IFERROR(__xludf.DUMMYFUNCTION("""COMPUTED_VALUE"""),"https://drive.google.com/open?id=1_OChKYB3zALFaKVcWoIrvrI-vTqRqpXn")</f>
        <v>https://drive.google.com/open?id=1_OChKYB3zALFaKVcWoIrvrI-vTqRqpXn</v>
      </c>
      <c r="B6" s="3" t="str">
        <f ca="1">IFERROR(__xludf.DUMMYFUNCTION("""COMPUTED_VALUE"""),"Enem")</f>
        <v>Enem</v>
      </c>
      <c r="C6" s="3">
        <f ca="1">IFERROR(__xludf.DUMMYFUNCTION("""COMPUTED_VALUE"""),2018)</f>
        <v>2018</v>
      </c>
      <c r="D6" s="3" t="str">
        <f ca="1">IFERROR(__xludf.DUMMYFUNCTION("""COMPUTED_VALUE"""),"Ciências Humanas")</f>
        <v>Ciências Humanas</v>
      </c>
      <c r="E6" s="3" t="str">
        <f ca="1">IFERROR(__xludf.DUMMYFUNCTION("""COMPUTED_VALUE"""),"Sociologia")</f>
        <v>Sociologia</v>
      </c>
      <c r="F6" s="3" t="str">
        <f ca="1">IFERROR(__xludf.DUMMYFUNCTION("""COMPUTED_VALUE"""),"Sociologia")</f>
        <v>Sociologia</v>
      </c>
      <c r="G6" s="3"/>
      <c r="H6" s="3"/>
      <c r="I6" s="3" t="str">
        <f ca="1">IFERROR(__xludf.DUMMYFUNCTION("""COMPUTED_VALUE"""),"Azul")</f>
        <v>Azul</v>
      </c>
      <c r="J6" s="3">
        <f ca="1">IFERROR(__xludf.DUMMYFUNCTION("""COMPUTED_VALUE"""),78)</f>
        <v>78</v>
      </c>
      <c r="K6" s="3" t="str">
        <f ca="1">IFERROR(__xludf.DUMMYFUNCTION("""COMPUTED_VALUE"""),"E")</f>
        <v>E</v>
      </c>
      <c r="L6" s="3" t="str">
        <f ca="1">IFERROR(__xludf.DUMMYFUNCTION("""COMPUTED_VALUE"""),"O marco inicial das discussões parlamentares em torno do direito do voto feminino são os debates que antecederam a Constituição de 1824, que não trazia qualquer impedimento ao exercício dos direitos políticos por mulheres, mas, por outro lado, também não "&amp;"era explícita quanto à possibilidade desse exercício. Foi somente em 1932, dois anos antes de estabelecido o voto aos 18 anos, que as mulheres obtiveram o direito de votar, o que veio a se concretizar no ano seguinte. Isso ocorreu a partir da aprovação do"&amp;" Código Eleitoral de 1932. Disponível em: http://tse.jusbrasil.com.br. Acesso em: 14 maio 2018.
Um dos fatores que contribuíram para a efetivação da medida mencionada no texto foi a
")</f>
        <v xml:space="preserve">O marco inicial das discussões parlamentares em torno do direito do voto feminino são os debates que antecederam a Constituição de 1824, que não trazia qualquer impedimento ao exercício dos direitos políticos por mulheres, mas, por outro lado, também não era explícita quanto à possibilidade desse exercício. Foi somente em 1932, dois anos antes de estabelecido o voto aos 18 anos, que as mulheres obtiveram o direito de votar, o que veio a se concretizar no ano seguinte. Isso ocorreu a partir da aprovação do Código Eleitoral de 1932. Disponível em: http://tse.jusbrasil.com.br. Acesso em: 14 maio 2018.
Um dos fatores que contribuíram para a efetivação da medida mencionada no texto foi a
</v>
      </c>
      <c r="M6" s="3" t="str">
        <f ca="1">IFERROR(__xludf.DUMMYFUNCTION("""COMPUTED_VALUE"""),"superação da cultura patriarcal.")</f>
        <v>superação da cultura patriarcal.</v>
      </c>
      <c r="N6" s="3" t="str">
        <f ca="1">IFERROR(__xludf.DUMMYFUNCTION("""COMPUTED_VALUE"""),"influência de igrejas protestantes.")</f>
        <v>influência de igrejas protestantes.</v>
      </c>
      <c r="O6" s="3" t="str">
        <f ca="1">IFERROR(__xludf.DUMMYFUNCTION("""COMPUTED_VALUE"""),"pressão do governo revolucionário.")</f>
        <v>pressão do governo revolucionário.</v>
      </c>
      <c r="P6" s="3" t="str">
        <f ca="1">IFERROR(__xludf.DUMMYFUNCTION("""COMPUTED_VALUE"""),"fragilidade das oligarquias regionais.")</f>
        <v>fragilidade das oligarquias regionais.</v>
      </c>
      <c r="Q6" s="3" t="str">
        <f ca="1">IFERROR(__xludf.DUMMYFUNCTION("""COMPUTED_VALUE"""),"campanha de extensão da cidadania.")</f>
        <v>campanha de extensão da cidadania.</v>
      </c>
      <c r="R6" s="3"/>
      <c r="S6" s="3"/>
      <c r="T6" s="3"/>
      <c r="U6" s="3"/>
      <c r="V6" s="3"/>
      <c r="W6" s="3"/>
      <c r="X6" s="3"/>
      <c r="Y6" s="3"/>
      <c r="Z6" s="3"/>
    </row>
    <row r="7" spans="1:26" x14ac:dyDescent="0.2">
      <c r="A7" s="2" t="str">
        <f ca="1">IFERROR(__xludf.DUMMYFUNCTION("""COMPUTED_VALUE"""),"https://drive.google.com/open?id=1uzDafALIDiDvi4mGpEydY-hD1lvCAHFf")</f>
        <v>https://drive.google.com/open?id=1uzDafALIDiDvi4mGpEydY-hD1lvCAHFf</v>
      </c>
      <c r="B7" s="3" t="str">
        <f ca="1">IFERROR(__xludf.DUMMYFUNCTION("""COMPUTED_VALUE"""),"Enem")</f>
        <v>Enem</v>
      </c>
      <c r="C7" s="3">
        <f ca="1">IFERROR(__xludf.DUMMYFUNCTION("""COMPUTED_VALUE"""),2018)</f>
        <v>2018</v>
      </c>
      <c r="D7" s="3" t="str">
        <f ca="1">IFERROR(__xludf.DUMMYFUNCTION("""COMPUTED_VALUE"""),"Ciências Humanas")</f>
        <v>Ciências Humanas</v>
      </c>
      <c r="E7" s="3" t="str">
        <f ca="1">IFERROR(__xludf.DUMMYFUNCTION("""COMPUTED_VALUE"""),"Sociologia")</f>
        <v>Sociologia</v>
      </c>
      <c r="F7" s="3" t="str">
        <f ca="1">IFERROR(__xludf.DUMMYFUNCTION("""COMPUTED_VALUE"""),"Sociologia")</f>
        <v>Sociologia</v>
      </c>
      <c r="G7" s="3"/>
      <c r="H7" s="3"/>
      <c r="I7" s="3" t="str">
        <f ca="1">IFERROR(__xludf.DUMMYFUNCTION("""COMPUTED_VALUE"""),"Azul")</f>
        <v>Azul</v>
      </c>
      <c r="J7" s="3">
        <f ca="1">IFERROR(__xludf.DUMMYFUNCTION("""COMPUTED_VALUE"""),80)</f>
        <v>80</v>
      </c>
      <c r="K7" s="3" t="str">
        <f ca="1">IFERROR(__xludf.DUMMYFUNCTION("""COMPUTED_VALUE"""),"B")</f>
        <v>B</v>
      </c>
      <c r="L7" s="3" t="str">
        <f ca="1">IFERROR(__xludf.DUMMYFUNCTION("""COMPUTED_VALUE"""),"Em algumas línguas de Moçambique não existe a palavra “pobre”. O indivíduo é pobre quando não tem parentes. A pobreza é a solidão, a ruptura das relações familiares que, na sociedade rural, servem de apoio à sobrevivência. Os consultores internacionais, e"&amp;"specialistas em elaborar relatórios sobre a miséria, talvez não tenham em conta o impacto dramático da destruição dos laços familiares e das relações de entreajuda. Nações inteiras estão tornando-se “órfãs”, e a mendicidade parece ser a única via de uma a"&amp;"gonizante sobrevivência.COUTO, M. E se Obama fosse africano? &amp; outras intervenções.Portugal: Caminho, 2009 (adaptado).
Em uma leitura que extrapola a esfera econômica, o autor associa o acirramento da pobreza à
")</f>
        <v xml:space="preserve">Em algumas línguas de Moçambique não existe a palavra “pobre”. O indivíduo é pobre quando não tem parentes. A pobreza é a solidão, a ruptura das relações familiares que, na sociedade rural, servem de apoio à sobrevivência. Os consultores internacionais, especialistas em elaborar relatórios sobre a miséria, talvez não tenham em conta o impacto dramático da destruição dos laços familiares e das relações de entreajuda. Nações inteiras estão tornando-se “órfãs”, e a mendicidade parece ser a única via de uma agonizante sobrevivência.COUTO, M. E se Obama fosse africano? &amp; outras intervenções.Portugal: Caminho, 2009 (adaptado).
Em uma leitura que extrapola a esfera econômica, o autor associa o acirramento da pobreza à
</v>
      </c>
      <c r="M7" s="3" t="str">
        <f ca="1">IFERROR(__xludf.DUMMYFUNCTION("""COMPUTED_VALUE"""),"afirmação das origens ancestrais.")</f>
        <v>afirmação das origens ancestrais.</v>
      </c>
      <c r="N7" s="3" t="str">
        <f ca="1">IFERROR(__xludf.DUMMYFUNCTION("""COMPUTED_VALUE"""),"fragilização das redes de sociabilidade.")</f>
        <v>fragilização das redes de sociabilidade.</v>
      </c>
      <c r="O7" s="3" t="str">
        <f ca="1">IFERROR(__xludf.DUMMYFUNCTION("""COMPUTED_VALUE"""),"padronização das políticas educacionais.")</f>
        <v>padronização das políticas educacionais.</v>
      </c>
      <c r="P7" s="3" t="str">
        <f ca="1">IFERROR(__xludf.DUMMYFUNCTION("""COMPUTED_VALUE""")," fragmentação das propriedades agrícolas.")</f>
        <v xml:space="preserve"> fragmentação das propriedades agrícolas.</v>
      </c>
      <c r="Q7" s="3" t="str">
        <f ca="1">IFERROR(__xludf.DUMMYFUNCTION("""COMPUTED_VALUE"""),"globalização das tecnologias de comunicação.")</f>
        <v>globalização das tecnologias de comunicação.</v>
      </c>
      <c r="R7" s="3"/>
      <c r="S7" s="3"/>
      <c r="T7" s="3"/>
      <c r="U7" s="3"/>
      <c r="V7" s="3"/>
      <c r="W7" s="3"/>
      <c r="X7" s="3"/>
      <c r="Y7" s="3"/>
      <c r="Z7" s="3"/>
    </row>
    <row r="8" spans="1:26" x14ac:dyDescent="0.2">
      <c r="A8" s="2" t="str">
        <f ca="1">IFERROR(__xludf.DUMMYFUNCTION("""COMPUTED_VALUE"""),"https://drive.google.com/open?id=1-C8HtaadAShQcjP0QHweCuz155BZBsqa")</f>
        <v>https://drive.google.com/open?id=1-C8HtaadAShQcjP0QHweCuz155BZBsqa</v>
      </c>
      <c r="B8" s="3" t="str">
        <f ca="1">IFERROR(__xludf.DUMMYFUNCTION("""COMPUTED_VALUE"""),"Enem")</f>
        <v>Enem</v>
      </c>
      <c r="C8" s="3">
        <f ca="1">IFERROR(__xludf.DUMMYFUNCTION("""COMPUTED_VALUE"""),2018)</f>
        <v>2018</v>
      </c>
      <c r="D8" s="3" t="str">
        <f ca="1">IFERROR(__xludf.DUMMYFUNCTION("""COMPUTED_VALUE"""),"Ciências Humanas")</f>
        <v>Ciências Humanas</v>
      </c>
      <c r="E8" s="3" t="str">
        <f ca="1">IFERROR(__xludf.DUMMYFUNCTION("""COMPUTED_VALUE"""),"Sociologia")</f>
        <v>Sociologia</v>
      </c>
      <c r="F8" s="3" t="str">
        <f ca="1">IFERROR(__xludf.DUMMYFUNCTION("""COMPUTED_VALUE"""),"Sociologia")</f>
        <v>Sociologia</v>
      </c>
      <c r="G8" s="3"/>
      <c r="H8" s="3"/>
      <c r="I8" s="3" t="str">
        <f ca="1">IFERROR(__xludf.DUMMYFUNCTION("""COMPUTED_VALUE"""),"Azul")</f>
        <v>Azul</v>
      </c>
      <c r="J8" s="3">
        <f ca="1">IFERROR(__xludf.DUMMYFUNCTION("""COMPUTED_VALUE"""),81)</f>
        <v>81</v>
      </c>
      <c r="K8" s="3" t="str">
        <f ca="1">IFERROR(__xludf.DUMMYFUNCTION("""COMPUTED_VALUE"""),"E")</f>
        <v>E</v>
      </c>
      <c r="L8" s="3" t="str">
        <f ca="1">IFERROR(__xludf.DUMMYFUNCTION("""COMPUTED_VALUE"""),"TEXTO I
As fronteiras, ao mesmo tempo que se separam, unem e articulam, por elas passando discursos de legitimação da ordem social tanto quanto do conflito.CUNHA, L. Terras lusitanas e gentes dos brasis: a nação e o seu retrato literário. Revista Ciências"&amp;" Sociais, n. 2, 2009.
TEXTO II
As últimas barreiras ao livre movimento do dinheiro e das mercadorias e informação que rendem dinheiro andam de mãos dadas com a pressão para cavar novos fossos e erigir novas muralhas que barrem o movimento daqueles que em "&amp;"consequência perdem, física ou espiritualmente, suas raízes. BAUMAN, Z. Globalização: as consequências humanas. Rio de Janeiro: Jorge Zahar, 1999.
A ressignificação contemporânea da ideia de fronteira compreende a
")</f>
        <v xml:space="preserve">TEXTO I
As fronteiras, ao mesmo tempo que se separam, unem e articulam, por elas passando discursos de legitimação da ordem social tanto quanto do conflito.CUNHA, L. Terras lusitanas e gentes dos brasis: a nação e o seu retrato literário. Revista Ciências Sociais, n. 2, 2009.
TEXTO II
As últimas barreiras ao livre movimento do dinheiro e das mercadorias e informação que rendem dinheiro andam de mãos dadas com a pressão para cavar novos fossos e erigir novas muralhas que barrem o movimento daqueles que em consequência perdem, física ou espiritualmente, suas raízes. BAUMAN, Z. Globalização: as consequências humanas. Rio de Janeiro: Jorge Zahar, 1999.
A ressignificação contemporânea da ideia de fronteira compreende a
</v>
      </c>
      <c r="M8" s="3" t="str">
        <f ca="1">IFERROR(__xludf.DUMMYFUNCTION("""COMPUTED_VALUE"""),"liberação da circulação de pessoas.")</f>
        <v>liberação da circulação de pessoas.</v>
      </c>
      <c r="N8" s="3" t="str">
        <f ca="1">IFERROR(__xludf.DUMMYFUNCTION("""COMPUTED_VALUE"""),"preponderância dos limites naturais.")</f>
        <v>preponderância dos limites naturais.</v>
      </c>
      <c r="O8" s="3" t="str">
        <f ca="1">IFERROR(__xludf.DUMMYFUNCTION("""COMPUTED_VALUE"""),"supressão dos obstáculos aduaneiros.")</f>
        <v>supressão dos obstáculos aduaneiros.</v>
      </c>
      <c r="P8" s="3" t="str">
        <f ca="1">IFERROR(__xludf.DUMMYFUNCTION("""COMPUTED_VALUE"""),"desvalorização da noção de nacionalismo.")</f>
        <v>desvalorização da noção de nacionalismo.</v>
      </c>
      <c r="Q8" s="3" t="str">
        <f ca="1">IFERROR(__xludf.DUMMYFUNCTION("""COMPUTED_VALUE"""),"seletividade dos mecanismos segregadores.")</f>
        <v>seletividade dos mecanismos segregadores.</v>
      </c>
      <c r="R8" s="3"/>
      <c r="S8" s="3"/>
      <c r="T8" s="3"/>
      <c r="U8" s="3"/>
      <c r="V8" s="3"/>
      <c r="W8" s="3"/>
      <c r="X8" s="3"/>
      <c r="Y8" s="3"/>
      <c r="Z8" s="3"/>
    </row>
    <row r="9" spans="1:26" x14ac:dyDescent="0.2">
      <c r="A9" s="2" t="str">
        <f ca="1">IFERROR(__xludf.DUMMYFUNCTION("""COMPUTED_VALUE"""),"https://drive.google.com/open?id=1r_Hxkz7t81ZvNmGdYvsf6zas4nGYeUjx")</f>
        <v>https://drive.google.com/open?id=1r_Hxkz7t81ZvNmGdYvsf6zas4nGYeUjx</v>
      </c>
      <c r="B9" s="3" t="str">
        <f ca="1">IFERROR(__xludf.DUMMYFUNCTION("""COMPUTED_VALUE"""),"Enem")</f>
        <v>Enem</v>
      </c>
      <c r="C9" s="3">
        <f ca="1">IFERROR(__xludf.DUMMYFUNCTION("""COMPUTED_VALUE"""),2018)</f>
        <v>2018</v>
      </c>
      <c r="D9" s="3" t="str">
        <f ca="1">IFERROR(__xludf.DUMMYFUNCTION("""COMPUTED_VALUE"""),"Ciências Humanas")</f>
        <v>Ciências Humanas</v>
      </c>
      <c r="E9" s="3" t="str">
        <f ca="1">IFERROR(__xludf.DUMMYFUNCTION("""COMPUTED_VALUE"""),"Sociologia")</f>
        <v>Sociologia</v>
      </c>
      <c r="F9" s="3" t="str">
        <f ca="1">IFERROR(__xludf.DUMMYFUNCTION("""COMPUTED_VALUE"""),"Sociologia")</f>
        <v>Sociologia</v>
      </c>
      <c r="G9" s="3"/>
      <c r="H9" s="3"/>
      <c r="I9" s="3" t="str">
        <f ca="1">IFERROR(__xludf.DUMMYFUNCTION("""COMPUTED_VALUE"""),"Azul")</f>
        <v>Azul</v>
      </c>
      <c r="J9" s="3">
        <f ca="1">IFERROR(__xludf.DUMMYFUNCTION("""COMPUTED_VALUE"""),87)</f>
        <v>87</v>
      </c>
      <c r="K9" s="3" t="str">
        <f ca="1">IFERROR(__xludf.DUMMYFUNCTION("""COMPUTED_VALUE"""),"B")</f>
        <v>B</v>
      </c>
      <c r="L9" s="3" t="str">
        <f ca="1">IFERROR(__xludf.DUMMYFUNCTION("""COMPUTED_VALUE"""),"[Imagem contida no arquivo]
Tônico para a saúde da mulher. Disponível em: www.propagandashistoricas.com.br. Acesso em: 28 nov. 2017.
O anúncio publicitário da década de 1940 reforça os seguintes estereótipos atribuídos historicamente a uma suposta nature"&amp;"za feminina:
")</f>
        <v xml:space="preserve">[Imagem contida no arquivo]
Tônico para a saúde da mulher. Disponível em: www.propagandashistoricas.com.br. Acesso em: 28 nov. 2017.
O anúncio publicitário da década de 1940 reforça os seguintes estereótipos atribuídos historicamente a uma suposta natureza feminina:
</v>
      </c>
      <c r="M9" s="3" t="str">
        <f ca="1">IFERROR(__xludf.DUMMYFUNCTION("""COMPUTED_VALUE"""),"Pudor inato e instinto maternal.")</f>
        <v>Pudor inato e instinto maternal.</v>
      </c>
      <c r="N9" s="3" t="str">
        <f ca="1">IFERROR(__xludf.DUMMYFUNCTION("""COMPUTED_VALUE"""),"Fragilidade física e necessidade de aceitação. ")</f>
        <v xml:space="preserve">Fragilidade física e necessidade de aceitação. </v>
      </c>
      <c r="O9" s="3" t="str">
        <f ca="1">IFERROR(__xludf.DUMMYFUNCTION("""COMPUTED_VALUE""")," Isolamento social e procura de autoconhecimento.")</f>
        <v xml:space="preserve"> Isolamento social e procura de autoconhecimento.</v>
      </c>
      <c r="P9" s="3" t="str">
        <f ca="1">IFERROR(__xludf.DUMMYFUNCTION("""COMPUTED_VALUE"""),"Dependência econômica e desejo de ostentação. ")</f>
        <v xml:space="preserve">Dependência econômica e desejo de ostentação. </v>
      </c>
      <c r="Q9" s="3" t="str">
        <f ca="1">IFERROR(__xludf.DUMMYFUNCTION("""COMPUTED_VALUE"""),"Mentalidade fútil e conduta hedonista.")</f>
        <v>Mentalidade fútil e conduta hedonista.</v>
      </c>
      <c r="R9" s="3"/>
      <c r="S9" s="3"/>
      <c r="T9" s="3"/>
      <c r="U9" s="3"/>
      <c r="V9" s="3"/>
      <c r="W9" s="3"/>
      <c r="X9" s="3"/>
      <c r="Y9" s="3"/>
      <c r="Z9" s="3"/>
    </row>
    <row r="10" spans="1:26" x14ac:dyDescent="0.2">
      <c r="A10" s="2" t="str">
        <f ca="1">IFERROR(__xludf.DUMMYFUNCTION("""COMPUTED_VALUE"""),"https://drive.google.com/open?id=1p96KNTNepar8SQY1dWS4CXXjqtorkjYp")</f>
        <v>https://drive.google.com/open?id=1p96KNTNepar8SQY1dWS4CXXjqtorkjYp</v>
      </c>
      <c r="B10" s="3" t="str">
        <f ca="1">IFERROR(__xludf.DUMMYFUNCTION("""COMPUTED_VALUE"""),"Enem")</f>
        <v>Enem</v>
      </c>
      <c r="C10" s="3">
        <f ca="1">IFERROR(__xludf.DUMMYFUNCTION("""COMPUTED_VALUE"""),2018)</f>
        <v>2018</v>
      </c>
      <c r="D10" s="3" t="str">
        <f ca="1">IFERROR(__xludf.DUMMYFUNCTION("""COMPUTED_VALUE"""),"Ciências Humanas")</f>
        <v>Ciências Humanas</v>
      </c>
      <c r="E10" s="3" t="str">
        <f ca="1">IFERROR(__xludf.DUMMYFUNCTION("""COMPUTED_VALUE"""),"Sociologia")</f>
        <v>Sociologia</v>
      </c>
      <c r="F10" s="3" t="str">
        <f ca="1">IFERROR(__xludf.DUMMYFUNCTION("""COMPUTED_VALUE"""),"Sociologia")</f>
        <v>Sociologia</v>
      </c>
      <c r="G10" s="3"/>
      <c r="H10" s="3"/>
      <c r="I10" s="3" t="str">
        <f ca="1">IFERROR(__xludf.DUMMYFUNCTION("""COMPUTED_VALUE"""),"Azul")</f>
        <v>Azul</v>
      </c>
      <c r="J10" s="3">
        <f ca="1">IFERROR(__xludf.DUMMYFUNCTION("""COMPUTED_VALUE"""),89)</f>
        <v>89</v>
      </c>
      <c r="K10" s="3" t="str">
        <f ca="1">IFERROR(__xludf.DUMMYFUNCTION("""COMPUTED_VALUE"""),"D")</f>
        <v>D</v>
      </c>
      <c r="L10" s="3" t="str">
        <f ca="1">IFERROR(__xludf.DUMMYFUNCTION("""COMPUTED_VALUE"""),"No início da década de 1990, dois biólogos importantes, Redford e Robinson, produziram um modelo largamente aceito de “produção sustentável” que previa quantos indivíduos de cada espécie poderiam ser caçados de forma sustentável baseado nas suas taxas de "&amp;"reprodução. Os seringueiros do Alto Juruá tinham um modelo diferente: a quem lhes afirmava que estavam caçando acima do sustentável (dentro do modelo), eles diziam que não, que o nível da caça dependia da existência de áreas de refúgio em que ninguém caça"&amp;"va. Ora, esse acabou sendo o modelo batizado de “fonte-ralo” proposto dez anos após o primeiro por Novaro, Bodmer e o próprio Redford e que suplantou o modelo anterior. CUNHA, M. C. Revista USP, n. 75, set.-nov. 2007.
No contexto da produção científica, "&amp;"a necessidade de reconstrução desse modelo, conforme exposto no texto, foi determinada pelo confronto com um(a)
")</f>
        <v xml:space="preserve">No início da década de 1990, dois biólogos importantes, Redford e Robinson, produziram um modelo largamente aceito de “produção sustentável” que previa quantos indivíduos de cada espécie poderiam ser caçados de forma sustentável baseado nas suas taxas de reprodução. Os seringueiros do Alto Juruá tinham um modelo diferente: a quem lhes afirmava que estavam caçando acima do sustentável (dentro do modelo), eles diziam que não, que o nível da caça dependia da existência de áreas de refúgio em que ninguém caçava. Ora, esse acabou sendo o modelo batizado de “fonte-ralo” proposto dez anos após o primeiro por Novaro, Bodmer e o próprio Redford e que suplantou o modelo anterior. CUNHA, M. C. Revista USP, n. 75, set.-nov. 2007.
No contexto da produção científica, a necessidade de reconstrução desse modelo, conforme exposto no texto, foi determinada pelo confronto com um(a)
</v>
      </c>
      <c r="M10" s="3" t="str">
        <f ca="1">IFERROR(__xludf.DUMMYFUNCTION("""COMPUTED_VALUE"""),"conclusão operacional obtida por lógica dedutiva.")</f>
        <v>conclusão operacional obtida por lógica dedutiva.</v>
      </c>
      <c r="N10" s="3" t="str">
        <f ca="1">IFERROR(__xludf.DUMMYFUNCTION("""COMPUTED_VALUE"""),"visão de mundo marcada por preconceitos morais.")</f>
        <v>visão de mundo marcada por preconceitos morais.</v>
      </c>
      <c r="O10" s="3" t="str">
        <f ca="1">IFERROR(__xludf.DUMMYFUNCTION("""COMPUTED_VALUE"""),"hábito social condicionado pela religiosidade popular.")</f>
        <v>hábito social condicionado pela religiosidade popular.</v>
      </c>
      <c r="P10" s="3" t="str">
        <f ca="1">IFERROR(__xludf.DUMMYFUNCTION("""COMPUTED_VALUE"""),"conhecimento empírico apropriado pelo senso comum.")</f>
        <v>conhecimento empírico apropriado pelo senso comum.</v>
      </c>
      <c r="Q10" s="3" t="str">
        <f ca="1">IFERROR(__xludf.DUMMYFUNCTION("""COMPUTED_VALUE"""),"padrão de preservação construído por experimentação dirigida.")</f>
        <v>padrão de preservação construído por experimentação dirigida.</v>
      </c>
      <c r="R10" s="3"/>
      <c r="S10" s="3"/>
      <c r="T10" s="3"/>
      <c r="U10" s="3"/>
      <c r="V10" s="3"/>
      <c r="W10" s="3"/>
      <c r="X10" s="3"/>
      <c r="Y10" s="3"/>
      <c r="Z10" s="3"/>
    </row>
    <row r="11" spans="1:26" x14ac:dyDescent="0.2">
      <c r="A11" s="2" t="str">
        <f ca="1">IFERROR(__xludf.DUMMYFUNCTION("""COMPUTED_VALUE"""),"https://drive.google.com/open?id=1ByFEUzfnLHfdyA1zdFXnRhG4FeRr-Oua")</f>
        <v>https://drive.google.com/open?id=1ByFEUzfnLHfdyA1zdFXnRhG4FeRr-Oua</v>
      </c>
      <c r="B11" s="3" t="str">
        <f ca="1">IFERROR(__xludf.DUMMYFUNCTION("""COMPUTED_VALUE"""),"Enem")</f>
        <v>Enem</v>
      </c>
      <c r="C11" s="3">
        <f ca="1">IFERROR(__xludf.DUMMYFUNCTION("""COMPUTED_VALUE"""),2018)</f>
        <v>2018</v>
      </c>
      <c r="D11" s="3" t="str">
        <f ca="1">IFERROR(__xludf.DUMMYFUNCTION("""COMPUTED_VALUE"""),"Ciências Humanas")</f>
        <v>Ciências Humanas</v>
      </c>
      <c r="E11" s="3" t="str">
        <f ca="1">IFERROR(__xludf.DUMMYFUNCTION("""COMPUTED_VALUE"""),"Sociologia")</f>
        <v>Sociologia</v>
      </c>
      <c r="F11" s="3" t="str">
        <f ca="1">IFERROR(__xludf.DUMMYFUNCTION("""COMPUTED_VALUE"""),"Sociologia")</f>
        <v>Sociologia</v>
      </c>
      <c r="G11" s="3"/>
      <c r="H11" s="3"/>
      <c r="I11" s="3" t="str">
        <f ca="1">IFERROR(__xludf.DUMMYFUNCTION("""COMPUTED_VALUE"""),"Azul")</f>
        <v>Azul</v>
      </c>
      <c r="J11" s="3">
        <f ca="1">IFERROR(__xludf.DUMMYFUNCTION("""COMPUTED_VALUE"""),90)</f>
        <v>90</v>
      </c>
      <c r="K11" s="3" t="str">
        <f ca="1">IFERROR(__xludf.DUMMYFUNCTION("""COMPUTED_VALUE"""),"E")</f>
        <v>E</v>
      </c>
      <c r="L11" s="3" t="str">
        <f ca="1">IFERROR(__xludf.DUMMYFUNCTION("""COMPUTED_VALUE"""),"Um dos teóricos da democracia moderna, Hans Kelsen, considera elemento essencial da democracia real (não da democracia ideal, que não existe em lugar algum) o método da seleção dos líderes, ou seja, a eleição. Exemplar, neste sentido, é a afirmação de um "&amp;"juiz da Corte Suprema dos Estados Unidos, por ocasião de uma eleição de 1902: “A cabine eleitoral é o templo das instituições americanas, onde cada um de nós é um sacerdote, ao qual é confiada a guarda da arca da aliança e cada um oficia do seu próprio al"&amp;"tar”.BOBBIO, N. Teoria geral da política. Rio de Janeiro: Elsevier, 2000 (adaptado).
As metáforas utilizadas no texto referem-se a uma concepção de democracia fundamentada no(a)
")</f>
        <v xml:space="preserve">Um dos teóricos da democracia moderna, Hans Kelsen, considera elemento essencial da democracia real (não da democracia ideal, que não existe em lugar algum) o método da seleção dos líderes, ou seja, a eleição. Exemplar, neste sentido, é a afirmação de um juiz da Corte Suprema dos Estados Unidos, por ocasião de uma eleição de 1902: “A cabine eleitoral é o templo das instituições americanas, onde cada um de nós é um sacerdote, ao qual é confiada a guarda da arca da aliança e cada um oficia do seu próprio altar”.BOBBIO, N. Teoria geral da política. Rio de Janeiro: Elsevier, 2000 (adaptado).
As metáforas utilizadas no texto referem-se a uma concepção de democracia fundamentada no(a)
</v>
      </c>
      <c r="M11" s="3" t="str">
        <f ca="1">IFERROR(__xludf.DUMMYFUNCTION("""COMPUTED_VALUE"""),"justificação teísta do direito.")</f>
        <v>justificação teísta do direito.</v>
      </c>
      <c r="N11" s="3" t="str">
        <f ca="1">IFERROR(__xludf.DUMMYFUNCTION("""COMPUTED_VALUE"""),"rigidez da hierarquia de classe.")</f>
        <v>rigidez da hierarquia de classe.</v>
      </c>
      <c r="O11" s="3" t="str">
        <f ca="1">IFERROR(__xludf.DUMMYFUNCTION("""COMPUTED_VALUE"""),"ênfase formalista na administração.")</f>
        <v>ênfase formalista na administração.</v>
      </c>
      <c r="P11" s="3" t="str">
        <f ca="1">IFERROR(__xludf.DUMMYFUNCTION("""COMPUTED_VALUE"""),"protagonismo do Executivo no poder.")</f>
        <v>protagonismo do Executivo no poder.</v>
      </c>
      <c r="Q11" s="3" t="str">
        <f ca="1">IFERROR(__xludf.DUMMYFUNCTION("""COMPUTED_VALUE"""),"centralidade do indivíduo na sociedade.")</f>
        <v>centralidade do indivíduo na sociedade.</v>
      </c>
      <c r="R11" s="3"/>
      <c r="S11" s="3"/>
      <c r="T11" s="3"/>
      <c r="U11" s="3"/>
      <c r="V11" s="3"/>
      <c r="W11" s="3"/>
      <c r="X11" s="3"/>
      <c r="Y11" s="3"/>
      <c r="Z11" s="3"/>
    </row>
    <row r="12" spans="1:26" x14ac:dyDescent="0.2">
      <c r="A12" s="2" t="str">
        <f ca="1">IFERROR(__xludf.DUMMYFUNCTION("""COMPUTED_VALUE"""),"https://drive.google.com/open?id=135ICu-nTszGnTy5HeGacY_0w-z3ugk95")</f>
        <v>https://drive.google.com/open?id=135ICu-nTszGnTy5HeGacY_0w-z3ugk95</v>
      </c>
      <c r="B12" s="3" t="str">
        <f ca="1">IFERROR(__xludf.DUMMYFUNCTION("""COMPUTED_VALUE"""),"Enem")</f>
        <v>Enem</v>
      </c>
      <c r="C12" s="3">
        <f ca="1">IFERROR(__xludf.DUMMYFUNCTION("""COMPUTED_VALUE"""),2019)</f>
        <v>2019</v>
      </c>
      <c r="D12" s="3" t="str">
        <f ca="1">IFERROR(__xludf.DUMMYFUNCTION("""COMPUTED_VALUE"""),"Ciências Humanas")</f>
        <v>Ciências Humanas</v>
      </c>
      <c r="E12" s="3" t="str">
        <f ca="1">IFERROR(__xludf.DUMMYFUNCTION("""COMPUTED_VALUE"""),"Sociologia")</f>
        <v>Sociologia</v>
      </c>
      <c r="F12" s="3" t="str">
        <f ca="1">IFERROR(__xludf.DUMMYFUNCTION("""COMPUTED_VALUE"""),"Sociologia")</f>
        <v>Sociologia</v>
      </c>
      <c r="G12" s="3"/>
      <c r="H12" s="3"/>
      <c r="I12" s="3" t="str">
        <f ca="1">IFERROR(__xludf.DUMMYFUNCTION("""COMPUTED_VALUE"""),"Amarelo")</f>
        <v>Amarelo</v>
      </c>
      <c r="J12" s="3">
        <f ca="1">IFERROR(__xludf.DUMMYFUNCTION("""COMPUTED_VALUE"""),48)</f>
        <v>48</v>
      </c>
      <c r="K12" s="3" t="str">
        <f ca="1">IFERROR(__xludf.DUMMYFUNCTION("""COMPUTED_VALUE"""),"A")</f>
        <v>A</v>
      </c>
      <c r="L12" s="3" t="str">
        <f ca="1">IFERROR(__xludf.DUMMYFUNCTION("""COMPUTED_VALUE"""),"O processamento da mandioca era uma atividade já realizada pelos nativos que viviam no Brasil antes da chegada de portugueses e africanos. Entretanto, ao longo do processo de colonização portuguesa, a produção de farinha foi aperfeiçoada e ampliada, torna"&amp;"ndo-se lugar-comum em todo o território da colônia portuguesa na América. Com a consolidação do comércio atlântico em suas diferentes conexões, a farinha atravessou os mares e chegou aos mercados africanos. BEZERRA, N. R. Escravidão, farinha e tráfico atl"&amp;"ântico: um novo olhar sobre as relações entre o Rio de Janeiro e Benguela (1790-1830). Disponível em: www.bn.br. Acesso em: 20 ago. 2014 (adaptado).
Considerando a formação do espaço atlântico, esse produto exemplifica historicamente a
")</f>
        <v xml:space="preserve">O processamento da mandioca era uma atividade já realizada pelos nativos que viviam no Brasil antes da chegada de portugueses e africanos. Entretanto, ao longo do processo de colonização portuguesa, a produção de farinha foi aperfeiçoada e ampliada, tornando-se lugar-comum em todo o território da colônia portuguesa na América. Com a consolidação do comércio atlântico em suas diferentes conexões, a farinha atravessou os mares e chegou aos mercados africanos. BEZERRA, N. R. Escravidão, farinha e tráfico atlântico: um novo olhar sobre as relações entre o Rio de Janeiro e Benguela (1790-1830). Disponível em: www.bn.br. Acesso em: 20 ago. 2014 (adaptado).
Considerando a formação do espaço atlântico, esse produto exemplifica historicamente a
</v>
      </c>
      <c r="M12" s="3" t="str">
        <f ca="1">IFERROR(__xludf.DUMMYFUNCTION("""COMPUTED_VALUE"""),"difusão de hábitos alimentares.")</f>
        <v>difusão de hábitos alimentares.</v>
      </c>
      <c r="N12" s="3" t="str">
        <f ca="1">IFERROR(__xludf.DUMMYFUNCTION("""COMPUTED_VALUE"""),"disseminação de rituais festivos.")</f>
        <v>disseminação de rituais festivos.</v>
      </c>
      <c r="O12" s="3" t="str">
        <f ca="1">IFERROR(__xludf.DUMMYFUNCTION("""COMPUTED_VALUE"""),"ampliação dos saberes autóctones.")</f>
        <v>ampliação dos saberes autóctones.</v>
      </c>
      <c r="P12" s="3" t="str">
        <f ca="1">IFERROR(__xludf.DUMMYFUNCTION("""COMPUTED_VALUE"""),"apropriação de costumes guerreiros.")</f>
        <v>apropriação de costumes guerreiros.</v>
      </c>
      <c r="Q12" s="3" t="str">
        <f ca="1">IFERROR(__xludf.DUMMYFUNCTION("""COMPUTED_VALUE"""),"diversificação de oferendas religiosas.")</f>
        <v>diversificação de oferendas religiosas.</v>
      </c>
      <c r="R12" s="3"/>
      <c r="S12" s="3"/>
      <c r="T12" s="3"/>
      <c r="U12" s="3"/>
      <c r="V12" s="3"/>
      <c r="W12" s="3"/>
      <c r="X12" s="3"/>
      <c r="Y12" s="3"/>
      <c r="Z12" s="3"/>
    </row>
    <row r="13" spans="1:26" x14ac:dyDescent="0.2">
      <c r="A13" s="2" t="str">
        <f ca="1">IFERROR(__xludf.DUMMYFUNCTION("""COMPUTED_VALUE"""),"https://drive.google.com/open?id=1RuSFsGGjpDV7Z_RMwdeJr60dwaiELRMM")</f>
        <v>https://drive.google.com/open?id=1RuSFsGGjpDV7Z_RMwdeJr60dwaiELRMM</v>
      </c>
      <c r="B13" s="3" t="str">
        <f ca="1">IFERROR(__xludf.DUMMYFUNCTION("""COMPUTED_VALUE"""),"Enem")</f>
        <v>Enem</v>
      </c>
      <c r="C13" s="3">
        <f ca="1">IFERROR(__xludf.DUMMYFUNCTION("""COMPUTED_VALUE"""),2019)</f>
        <v>2019</v>
      </c>
      <c r="D13" s="3" t="str">
        <f ca="1">IFERROR(__xludf.DUMMYFUNCTION("""COMPUTED_VALUE"""),"Ciências Humanas")</f>
        <v>Ciências Humanas</v>
      </c>
      <c r="E13" s="3" t="str">
        <f ca="1">IFERROR(__xludf.DUMMYFUNCTION("""COMPUTED_VALUE"""),"Sociologia")</f>
        <v>Sociologia</v>
      </c>
      <c r="F13" s="3" t="str">
        <f ca="1">IFERROR(__xludf.DUMMYFUNCTION("""COMPUTED_VALUE"""),"Sociologia")</f>
        <v>Sociologia</v>
      </c>
      <c r="G13" s="3"/>
      <c r="H13" s="3"/>
      <c r="I13" s="3" t="str">
        <f ca="1">IFERROR(__xludf.DUMMYFUNCTION("""COMPUTED_VALUE"""),"Amarelo")</f>
        <v>Amarelo</v>
      </c>
      <c r="J13" s="3">
        <f ca="1">IFERROR(__xludf.DUMMYFUNCTION("""COMPUTED_VALUE"""),51)</f>
        <v>51</v>
      </c>
      <c r="K13" s="3" t="str">
        <f ca="1">IFERROR(__xludf.DUMMYFUNCTION("""COMPUTED_VALUE"""),"D")</f>
        <v>D</v>
      </c>
      <c r="L13" s="3" t="str">
        <f ca="1">IFERROR(__xludf.DUMMYFUNCTION("""COMPUTED_VALUE"""),"Saudado por centenas de militantes de movimentos sociais de quarenta países, o papa Francisco encerrou no dia 09/07/2015 o 2º Encontro Mundial dos Movimentos Populares, em Santa Cruz de La Sierra, na Bolívia. Segundo ele, a “globalização da esperança, que"&amp;" nasce dos povos e cresce entre os pobres, deve substituir esta globalização da exclusão e da indiferença”. Disponível em: http://cartamaior.com.br. Acesso em: 15 jul. 2015 (adaptado). 
No texto há uma crítica ao seguinte aspecto do mundo globalizado: 
")</f>
        <v xml:space="preserve">Saudado por centenas de militantes de movimentos sociais de quarenta países, o papa Francisco encerrou no dia 09/07/2015 o 2º Encontro Mundial dos Movimentos Populares, em Santa Cruz de La Sierra, na Bolívia. Segundo ele, a “globalização da esperança, que nasce dos povos e cresce entre os pobres, deve substituir esta globalização da exclusão e da indiferença”. Disponível em: http://cartamaior.com.br. Acesso em: 15 jul. 2015 (adaptado). 
No texto há uma crítica ao seguinte aspecto do mundo globalizado: 
</v>
      </c>
      <c r="M13" s="3" t="str">
        <f ca="1">IFERROR(__xludf.DUMMYFUNCTION("""COMPUTED_VALUE"""),"Liberdade política. ")</f>
        <v xml:space="preserve">Liberdade política. </v>
      </c>
      <c r="N13" s="3" t="str">
        <f ca="1">IFERROR(__xludf.DUMMYFUNCTION("""COMPUTED_VALUE"""),"Mobilidade humana. ")</f>
        <v xml:space="preserve">Mobilidade humana. </v>
      </c>
      <c r="O13" s="3" t="str">
        <f ca="1">IFERROR(__xludf.DUMMYFUNCTION("""COMPUTED_VALUE"""),"Conectividade cultural. ")</f>
        <v xml:space="preserve">Conectividade cultural. </v>
      </c>
      <c r="P13" s="3" t="str">
        <f ca="1">IFERROR(__xludf.DUMMYFUNCTION("""COMPUTED_VALUE"""),"Disparidade econômica. ")</f>
        <v xml:space="preserve">Disparidade econômica. </v>
      </c>
      <c r="Q13" s="3" t="str">
        <f ca="1">IFERROR(__xludf.DUMMYFUNCTION("""COMPUTED_VALUE"""),"Complementaridade comercial.")</f>
        <v>Complementaridade comercial.</v>
      </c>
      <c r="R13" s="3"/>
      <c r="S13" s="3"/>
      <c r="T13" s="3"/>
      <c r="U13" s="3"/>
      <c r="V13" s="3"/>
      <c r="W13" s="3"/>
      <c r="X13" s="3"/>
      <c r="Y13" s="3"/>
      <c r="Z13" s="3"/>
    </row>
    <row r="14" spans="1:26" x14ac:dyDescent="0.2">
      <c r="A14" s="2" t="str">
        <f ca="1">IFERROR(__xludf.DUMMYFUNCTION("""COMPUTED_VALUE"""),"https://drive.google.com/open?id=1KdFQmBYdp-9DOTGHsh0fZZMzjN74oZnz")</f>
        <v>https://drive.google.com/open?id=1KdFQmBYdp-9DOTGHsh0fZZMzjN74oZnz</v>
      </c>
      <c r="B14" s="3" t="str">
        <f ca="1">IFERROR(__xludf.DUMMYFUNCTION("""COMPUTED_VALUE"""),"Enem")</f>
        <v>Enem</v>
      </c>
      <c r="C14" s="3">
        <f ca="1">IFERROR(__xludf.DUMMYFUNCTION("""COMPUTED_VALUE"""),2019)</f>
        <v>2019</v>
      </c>
      <c r="D14" s="3" t="str">
        <f ca="1">IFERROR(__xludf.DUMMYFUNCTION("""COMPUTED_VALUE"""),"Ciências Humanas")</f>
        <v>Ciências Humanas</v>
      </c>
      <c r="E14" s="3" t="str">
        <f ca="1">IFERROR(__xludf.DUMMYFUNCTION("""COMPUTED_VALUE"""),"Sociologia")</f>
        <v>Sociologia</v>
      </c>
      <c r="F14" s="3" t="str">
        <f ca="1">IFERROR(__xludf.DUMMYFUNCTION("""COMPUTED_VALUE"""),"Sociologia")</f>
        <v>Sociologia</v>
      </c>
      <c r="G14" s="3"/>
      <c r="H14" s="3"/>
      <c r="I14" s="3" t="str">
        <f ca="1">IFERROR(__xludf.DUMMYFUNCTION("""COMPUTED_VALUE"""),"Amarelo")</f>
        <v>Amarelo</v>
      </c>
      <c r="J14" s="3">
        <f ca="1">IFERROR(__xludf.DUMMYFUNCTION("""COMPUTED_VALUE"""),52)</f>
        <v>52</v>
      </c>
      <c r="K14" s="3" t="str">
        <f ca="1">IFERROR(__xludf.DUMMYFUNCTION("""COMPUTED_VALUE"""),"B")</f>
        <v>B</v>
      </c>
      <c r="L14" s="3" t="str">
        <f ca="1">IFERROR(__xludf.DUMMYFUNCTION("""COMPUTED_VALUE"""),"A Declaração Universal dos Direitos Humanos, adotada e proclamada pela Assembleia Geral da ONU na Resolução 217-A, de 10 de dezembro de 1948, foi um acontecimento histórico de grande relevância. Ao afirmar, pela primeira vez em escala planetária, o papel "&amp;"dos direitos humanos na convivência coletiva, pode ser considerada um evento inaugural de uma nova concepção de vida internacional. LAFER, C. Declaração Universal dos Direitos Humanos (1948). In: MAGNOLI, D. (Org.). História da paz. São Paulo: Contexto, 2"&amp;"008.
 A declaração citada no texto introduziu uma nova concepção nas relações internacionais ao possibilitar a 
")</f>
        <v xml:space="preserve">A Declaração Universal dos Direitos Humanos, adotada e proclamada pela Assembleia Geral da ONU na Resolução 217-A, de 10 de dezembro de 1948, foi um acontecimento histórico de grande relevância. Ao afirmar, pela primeira vez em escala planetária, o papel dos direitos humanos na convivência coletiva, pode ser considerada um evento inaugural de uma nova concepção de vida internacional. LAFER, C. Declaração Universal dos Direitos Humanos (1948). In: MAGNOLI, D. (Org.). História da paz. São Paulo: Contexto, 2008.
 A declaração citada no texto introduziu uma nova concepção nas relações internacionais ao possibilitar a 
</v>
      </c>
      <c r="M14" s="3" t="str">
        <f ca="1">IFERROR(__xludf.DUMMYFUNCTION("""COMPUTED_VALUE"""),"superação da soberania estatal. ")</f>
        <v xml:space="preserve">superação da soberania estatal. </v>
      </c>
      <c r="N14" s="3" t="str">
        <f ca="1">IFERROR(__xludf.DUMMYFUNCTION("""COMPUTED_VALUE"""),"defesa dos grupos vulneráveis. ")</f>
        <v xml:space="preserve">defesa dos grupos vulneráveis. </v>
      </c>
      <c r="O14" s="3" t="str">
        <f ca="1">IFERROR(__xludf.DUMMYFUNCTION("""COMPUTED_VALUE"""),"redução da truculência belicista.")</f>
        <v>redução da truculência belicista.</v>
      </c>
      <c r="P14" s="3" t="str">
        <f ca="1">IFERROR(__xludf.DUMMYFUNCTION("""COMPUTED_VALUE"""),"impunidade dos atos criminosos. ")</f>
        <v xml:space="preserve">impunidade dos atos criminosos. </v>
      </c>
      <c r="Q14" s="3" t="str">
        <f ca="1">IFERROR(__xludf.DUMMYFUNCTION("""COMPUTED_VALUE"""),"inibição dos choques civilizacionais.")</f>
        <v>inibição dos choques civilizacionais.</v>
      </c>
      <c r="R14" s="3"/>
      <c r="S14" s="3"/>
      <c r="T14" s="3"/>
      <c r="U14" s="3"/>
      <c r="V14" s="3"/>
      <c r="W14" s="3"/>
      <c r="X14" s="3"/>
      <c r="Y14" s="3"/>
      <c r="Z14" s="3"/>
    </row>
    <row r="15" spans="1:26" x14ac:dyDescent="0.2">
      <c r="A15" s="2" t="str">
        <f ca="1">IFERROR(__xludf.DUMMYFUNCTION("""COMPUTED_VALUE"""),"https://drive.google.com/open?id=1MTTpFHPyYTMzeEVcIGHGV2i76jJxSe3_")</f>
        <v>https://drive.google.com/open?id=1MTTpFHPyYTMzeEVcIGHGV2i76jJxSe3_</v>
      </c>
      <c r="B15" s="3" t="str">
        <f ca="1">IFERROR(__xludf.DUMMYFUNCTION("""COMPUTED_VALUE"""),"Enem")</f>
        <v>Enem</v>
      </c>
      <c r="C15" s="3">
        <f ca="1">IFERROR(__xludf.DUMMYFUNCTION("""COMPUTED_VALUE"""),2019)</f>
        <v>2019</v>
      </c>
      <c r="D15" s="3" t="str">
        <f ca="1">IFERROR(__xludf.DUMMYFUNCTION("""COMPUTED_VALUE"""),"Ciências Humanas")</f>
        <v>Ciências Humanas</v>
      </c>
      <c r="E15" s="3" t="str">
        <f ca="1">IFERROR(__xludf.DUMMYFUNCTION("""COMPUTED_VALUE"""),"Sociologia")</f>
        <v>Sociologia</v>
      </c>
      <c r="F15" s="3" t="str">
        <f ca="1">IFERROR(__xludf.DUMMYFUNCTION("""COMPUTED_VALUE"""),"Sociologia")</f>
        <v>Sociologia</v>
      </c>
      <c r="G15" s="3"/>
      <c r="H15" s="3"/>
      <c r="I15" s="3" t="str">
        <f ca="1">IFERROR(__xludf.DUMMYFUNCTION("""COMPUTED_VALUE"""),"Amarelo")</f>
        <v>Amarelo</v>
      </c>
      <c r="J15" s="3">
        <f ca="1">IFERROR(__xludf.DUMMYFUNCTION("""COMPUTED_VALUE"""),53)</f>
        <v>53</v>
      </c>
      <c r="K15" s="3" t="str">
        <f ca="1">IFERROR(__xludf.DUMMYFUNCTION("""COMPUTED_VALUE"""),"B")</f>
        <v>B</v>
      </c>
      <c r="L15" s="3" t="str">
        <f ca="1">IFERROR(__xludf.DUMMYFUNCTION("""COMPUTED_VALUE"""),"[Imagem presente no arquivo]
“Nossa cultura não cabe nos seus museus”.
 TOLENTINO, A. B. Patrimônio cultural e discursos museológicos. Midas, n. 6, 2016.
 Produzida no Chile, no final da década de 1970, a imagem expressa um conflito entre culturas e sua"&amp;" presença em museus decorrente da 
")</f>
        <v xml:space="preserve">[Imagem presente no arquivo]
“Nossa cultura não cabe nos seus museus”.
 TOLENTINO, A. B. Patrimônio cultural e discursos museológicos. Midas, n. 6, 2016.
 Produzida no Chile, no final da década de 1970, a imagem expressa um conflito entre culturas e sua presença em museus decorrente da 
</v>
      </c>
      <c r="M15" s="3" t="str">
        <f ca="1">IFERROR(__xludf.DUMMYFUNCTION("""COMPUTED_VALUE"""),"valorização do mercado das obras de arte.")</f>
        <v>valorização do mercado das obras de arte.</v>
      </c>
      <c r="N15" s="3" t="str">
        <f ca="1">IFERROR(__xludf.DUMMYFUNCTION("""COMPUTED_VALUE""")," definição dos critérios de criação de acervos.")</f>
        <v xml:space="preserve"> definição dos critérios de criação de acervos.</v>
      </c>
      <c r="O15" s="3" t="str">
        <f ca="1">IFERROR(__xludf.DUMMYFUNCTION("""COMPUTED_VALUE"""),"ampliação da rede de instituições de memória. ")</f>
        <v xml:space="preserve">ampliação da rede de instituições de memória. </v>
      </c>
      <c r="P15" s="3" t="str">
        <f ca="1">IFERROR(__xludf.DUMMYFUNCTION("""COMPUTED_VALUE"""),"burocratização do acesso dos espaços expositivos. ")</f>
        <v xml:space="preserve">burocratização do acesso dos espaços expositivos. </v>
      </c>
      <c r="Q15" s="3" t="str">
        <f ca="1">IFERROR(__xludf.DUMMYFUNCTION("""COMPUTED_VALUE""")," fragmentação dos territórios das comunidades representadas.")</f>
        <v xml:space="preserve"> fragmentação dos territórios das comunidades representadas.</v>
      </c>
      <c r="R15" s="3"/>
      <c r="S15" s="3"/>
      <c r="T15" s="3"/>
      <c r="U15" s="3"/>
      <c r="V15" s="3"/>
      <c r="W15" s="3"/>
      <c r="X15" s="3"/>
      <c r="Y15" s="3"/>
      <c r="Z15" s="3"/>
    </row>
    <row r="16" spans="1:26" x14ac:dyDescent="0.2">
      <c r="A16" s="2" t="str">
        <f ca="1">IFERROR(__xludf.DUMMYFUNCTION("""COMPUTED_VALUE"""),"https://drive.google.com/open?id=1Rk_iB589r0ZtTgPU99o2w2gKgbME94Mm")</f>
        <v>https://drive.google.com/open?id=1Rk_iB589r0ZtTgPU99o2w2gKgbME94Mm</v>
      </c>
      <c r="B16" s="3" t="str">
        <f ca="1">IFERROR(__xludf.DUMMYFUNCTION("""COMPUTED_VALUE"""),"Enem")</f>
        <v>Enem</v>
      </c>
      <c r="C16" s="3">
        <f ca="1">IFERROR(__xludf.DUMMYFUNCTION("""COMPUTED_VALUE"""),2019)</f>
        <v>2019</v>
      </c>
      <c r="D16" s="3" t="str">
        <f ca="1">IFERROR(__xludf.DUMMYFUNCTION("""COMPUTED_VALUE"""),"Ciências Humanas")</f>
        <v>Ciências Humanas</v>
      </c>
      <c r="E16" s="3" t="str">
        <f ca="1">IFERROR(__xludf.DUMMYFUNCTION("""COMPUTED_VALUE"""),"Sociologia")</f>
        <v>Sociologia</v>
      </c>
      <c r="F16" s="3" t="str">
        <f ca="1">IFERROR(__xludf.DUMMYFUNCTION("""COMPUTED_VALUE"""),"Sociologia")</f>
        <v>Sociologia</v>
      </c>
      <c r="G16" s="3"/>
      <c r="H16" s="3"/>
      <c r="I16" s="3" t="str">
        <f ca="1">IFERROR(__xludf.DUMMYFUNCTION("""COMPUTED_VALUE"""),"Amarelo")</f>
        <v>Amarelo</v>
      </c>
      <c r="J16" s="3">
        <f ca="1">IFERROR(__xludf.DUMMYFUNCTION("""COMPUTED_VALUE"""),57)</f>
        <v>57</v>
      </c>
      <c r="K16" s="3" t="str">
        <f ca="1">IFERROR(__xludf.DUMMYFUNCTION("""COMPUTED_VALUE"""),"E")</f>
        <v>E</v>
      </c>
      <c r="L16" s="3" t="str">
        <f ca="1">IFERROR(__xludf.DUMMYFUNCTION("""COMPUTED_VALUE"""),"A maior parte das agressões e manifestações discriminatórias contra as religiões de matrizes africanas ocorrem em locais públicos (57%).É na rua, na via pública, que tiveram lugar mais de 2/3 das agressões, geralmente em locais próximos às casas de culto "&amp;"dessas religiões. O transporte público também é apontado como um local em que os adeptos das religiões de matrizes africanas são discriminados, geralmente quando se encontram paramentados por conta dos preceitos religiosos. REGO, L. F.; FONSECA, D. P. R.;"&amp;" GIACOMINI, S. M. Cartografia social de terreiros no Rio de Janeiro . Rio de Janeiro: PUC-Rio, 2014.
As práticas descritas no texto são incompatíveis com a dinâmica de uma sociedade laica e democrática porque
")</f>
        <v xml:space="preserve">A maior parte das agressões e manifestações discriminatórias contra as religiões de matrizes africanas ocorrem em locais públicos (57%).É na rua, na via pública, que tiveram lugar mais de 2/3 das agressões, geralmente em locais próximos às casas de culto dessas religiões. O transporte público também é apontado como um local em que os adeptos das religiões de matrizes africanas são discriminados, geralmente quando se encontram paramentados por conta dos preceitos religiosos. REGO, L. F.; FONSECA, D. P. R.; GIACOMINI, S. M. Cartografia social de terreiros no Rio de Janeiro . Rio de Janeiro: PUC-Rio, 2014.
As práticas descritas no texto são incompatíveis com a dinâmica de uma sociedade laica e democrática porque
</v>
      </c>
      <c r="M16" s="3" t="str">
        <f ca="1">IFERROR(__xludf.DUMMYFUNCTION("""COMPUTED_VALUE"""),"asseguram as expressões multiculturais. ")</f>
        <v xml:space="preserve">asseguram as expressões multiculturais. </v>
      </c>
      <c r="N16" s="3" t="str">
        <f ca="1">IFERROR(__xludf.DUMMYFUNCTION("""COMPUTED_VALUE"""),"promovem a diversidade de etnias. ")</f>
        <v xml:space="preserve">promovem a diversidade de etnias. </v>
      </c>
      <c r="O16" s="3" t="str">
        <f ca="1">IFERROR(__xludf.DUMMYFUNCTION("""COMPUTED_VALUE"""),"falseiam os dogmas teológicos. ")</f>
        <v xml:space="preserve">falseiam os dogmas teológicos. </v>
      </c>
      <c r="P16" s="3" t="str">
        <f ca="1">IFERROR(__xludf.DUMMYFUNCTION("""COMPUTED_VALUE"""),"estimulam os rituais sincréticos. ")</f>
        <v xml:space="preserve">estimulam os rituais sincréticos. </v>
      </c>
      <c r="Q16" s="3" t="str">
        <f ca="1">IFERROR(__xludf.DUMMYFUNCTION("""COMPUTED_VALUE"""),"restringem a liberdade de credo. ")</f>
        <v xml:space="preserve">restringem a liberdade de credo. </v>
      </c>
      <c r="R16" s="3"/>
      <c r="S16" s="3"/>
      <c r="T16" s="3"/>
      <c r="U16" s="3"/>
      <c r="V16" s="3"/>
      <c r="W16" s="3"/>
      <c r="X16" s="3"/>
      <c r="Y16" s="3"/>
      <c r="Z16" s="3"/>
    </row>
    <row r="17" spans="1:26" x14ac:dyDescent="0.2">
      <c r="A17" s="2" t="str">
        <f ca="1">IFERROR(__xludf.DUMMYFUNCTION("""COMPUTED_VALUE"""),"https://drive.google.com/open?id=1EF9DaX4W3zpjiErNVOmoqCe0GDKAL4y6")</f>
        <v>https://drive.google.com/open?id=1EF9DaX4W3zpjiErNVOmoqCe0GDKAL4y6</v>
      </c>
      <c r="B17" s="3" t="str">
        <f ca="1">IFERROR(__xludf.DUMMYFUNCTION("""COMPUTED_VALUE"""),"Enem")</f>
        <v>Enem</v>
      </c>
      <c r="C17" s="3">
        <f ca="1">IFERROR(__xludf.DUMMYFUNCTION("""COMPUTED_VALUE"""),2019)</f>
        <v>2019</v>
      </c>
      <c r="D17" s="3" t="str">
        <f ca="1">IFERROR(__xludf.DUMMYFUNCTION("""COMPUTED_VALUE"""),"Ciências Humanas")</f>
        <v>Ciências Humanas</v>
      </c>
      <c r="E17" s="3" t="str">
        <f ca="1">IFERROR(__xludf.DUMMYFUNCTION("""COMPUTED_VALUE"""),"Sociologia")</f>
        <v>Sociologia</v>
      </c>
      <c r="F17" s="3" t="str">
        <f ca="1">IFERROR(__xludf.DUMMYFUNCTION("""COMPUTED_VALUE"""),"Sociologia")</f>
        <v>Sociologia</v>
      </c>
      <c r="G17" s="3"/>
      <c r="H17" s="3"/>
      <c r="I17" s="3" t="str">
        <f ca="1">IFERROR(__xludf.DUMMYFUNCTION("""COMPUTED_VALUE"""),"Amarelo")</f>
        <v>Amarelo</v>
      </c>
      <c r="J17" s="3">
        <f ca="1">IFERROR(__xludf.DUMMYFUNCTION("""COMPUTED_VALUE"""),59)</f>
        <v>59</v>
      </c>
      <c r="K17" s="3" t="str">
        <f ca="1">IFERROR(__xludf.DUMMYFUNCTION("""COMPUTED_VALUE"""),"C")</f>
        <v>C</v>
      </c>
      <c r="L17" s="3" t="str">
        <f ca="1">IFERROR(__xludf.DUMMYFUNCTION("""COMPUTED_VALUE"""),"A lenda diz que, em um belo dia ensolarado, Newton estava relaxando sob uma macieira. Pássaros gorjeavam em suas orelhas. Havia uma brisa gentil. Ele cochilou por alguns minutos. De repente, uma maçã caiu sobre a sua cabeça e ele acordou com um susto. Olh"&amp;"ou para cima. “Com certeza um pássaro ou um esquilo derrubou a maçã da árvore”, supôs. Mas não havia pássaros ou esquilos na árvore por perto. Ele, então, pensou: “Apenas alguns minutos antes, a maçã estava pendurada na árvore. Nenhuma força externa fez e"&amp;"la cair. Deve haver alguma força subjacente que causa a queda das coisas para a terra”. The English Enlightenment, p. 1-3, apud MARTINS, R. A. A maçã de Newton: história, lendas e tolices. In: SILVA, C. C. (org.). Estudos de história e filosofia das ciênc"&amp;"ias: subsídios para aplicação no ensino. São Paulo: Livraria da Física, 2006. p. 169 (adaptado).
Em contraponto a uma interpretação idealizada, o texto aponta para a seguinte dimensão fundamental da ciência moderna:
")</f>
        <v xml:space="preserve">A lenda diz que, em um belo dia ensolarado, Newton estava relaxando sob uma macieira. Pássaros gorjeavam em suas orelhas. Havia uma brisa gentil. Ele cochilou por alguns minutos. De repente, uma maçã caiu sobre a sua cabeça e ele acordou com um susto. Olhou para cima. “Com certeza um pássaro ou um esquilo derrubou a maçã da árvore”, supôs. Mas não havia pássaros ou esquilos na árvore por perto. Ele, então, pensou: “Apenas alguns minutos antes, a maçã estava pendurada na árvore. Nenhuma força externa fez ela cair. Deve haver alguma força subjacente que causa a queda das coisas para a terra”. The English Enlightenment, p. 1-3, apud MARTINS, R. A. A maçã de Newton: história, lendas e tolices. In: SILVA, C. C. (org.). Estudos de história e filosofia das ciências: subsídios para aplicação no ensino. São Paulo: Livraria da Física, 2006. p. 169 (adaptado).
Em contraponto a uma interpretação idealizada, o texto aponta para a seguinte dimensão fundamental da ciência moderna:
</v>
      </c>
      <c r="M17" s="3" t="str">
        <f ca="1">IFERROR(__xludf.DUMMYFUNCTION("""COMPUTED_VALUE"""),"Falsificação de teses.")</f>
        <v>Falsificação de teses.</v>
      </c>
      <c r="N17" s="3" t="str">
        <f ca="1">IFERROR(__xludf.DUMMYFUNCTION("""COMPUTED_VALUE"""),"Negação da observação. ")</f>
        <v xml:space="preserve">Negação da observação. </v>
      </c>
      <c r="O17" s="3" t="str">
        <f ca="1">IFERROR(__xludf.DUMMYFUNCTION("""COMPUTED_VALUE"""),"Proposição de hipóteses. ")</f>
        <v xml:space="preserve">Proposição de hipóteses. </v>
      </c>
      <c r="P17" s="3" t="str">
        <f ca="1">IFERROR(__xludf.DUMMYFUNCTION("""COMPUTED_VALUE"""),"Contemplação da natureza. ")</f>
        <v xml:space="preserve">Contemplação da natureza. </v>
      </c>
      <c r="Q17" s="3" t="str">
        <f ca="1">IFERROR(__xludf.DUMMYFUNCTION("""COMPUTED_VALUE"""),"Universalização de conclusões.")</f>
        <v>Universalização de conclusões.</v>
      </c>
      <c r="R17" s="3"/>
      <c r="S17" s="3"/>
      <c r="T17" s="3"/>
      <c r="U17" s="3"/>
      <c r="V17" s="3"/>
      <c r="W17" s="3"/>
      <c r="X17" s="3"/>
      <c r="Y17" s="3"/>
      <c r="Z17" s="3"/>
    </row>
    <row r="18" spans="1:26" x14ac:dyDescent="0.2">
      <c r="A18" s="2" t="str">
        <f ca="1">IFERROR(__xludf.DUMMYFUNCTION("""COMPUTED_VALUE"""),"https://drive.google.com/open?id=1KCmXWUiMBX2aNJdE3eHhnZ-KKIwgiGsB")</f>
        <v>https://drive.google.com/open?id=1KCmXWUiMBX2aNJdE3eHhnZ-KKIwgiGsB</v>
      </c>
      <c r="B18" s="3" t="str">
        <f ca="1">IFERROR(__xludf.DUMMYFUNCTION("""COMPUTED_VALUE"""),"Enem")</f>
        <v>Enem</v>
      </c>
      <c r="C18" s="3">
        <f ca="1">IFERROR(__xludf.DUMMYFUNCTION("""COMPUTED_VALUE"""),2019)</f>
        <v>2019</v>
      </c>
      <c r="D18" s="3" t="str">
        <f ca="1">IFERROR(__xludf.DUMMYFUNCTION("""COMPUTED_VALUE"""),"Ciências Humanas")</f>
        <v>Ciências Humanas</v>
      </c>
      <c r="E18" s="3" t="str">
        <f ca="1">IFERROR(__xludf.DUMMYFUNCTION("""COMPUTED_VALUE"""),"Sociologia")</f>
        <v>Sociologia</v>
      </c>
      <c r="F18" s="3" t="str">
        <f ca="1">IFERROR(__xludf.DUMMYFUNCTION("""COMPUTED_VALUE"""),"Sociologia")</f>
        <v>Sociologia</v>
      </c>
      <c r="G18" s="3"/>
      <c r="H18" s="3"/>
      <c r="I18" s="3" t="str">
        <f ca="1">IFERROR(__xludf.DUMMYFUNCTION("""COMPUTED_VALUE"""),"Amarelo")</f>
        <v>Amarelo</v>
      </c>
      <c r="J18" s="3">
        <f ca="1">IFERROR(__xludf.DUMMYFUNCTION("""COMPUTED_VALUE"""),66)</f>
        <v>66</v>
      </c>
      <c r="K18" s="3" t="str">
        <f ca="1">IFERROR(__xludf.DUMMYFUNCTION("""COMPUTED_VALUE"""),"E")</f>
        <v>E</v>
      </c>
      <c r="L18" s="3" t="str">
        <f ca="1">IFERROR(__xludf.DUMMYFUNCTION("""COMPUTED_VALUE"""),"Em nenhuma outra época o corpo magro adquiriu um sentido de corpo ideal e esteve tão em evidência como nos dias atuais: esse corpo, nu ou vestido, exposto em diversas revistas femininas e masculinas, está na moda: é capa de revistas, matérias de jornais, "&amp;"manchetes publicitárias, e se transformou em sonho de consumo para milhares de pessoas. Partindo dessa concepção, o gordo passa a ter um corpo visivelmente sem comedimento, sem saúde, um corpo estigmatizado pelo desvio, o desvio pelo excesso. Entretanto, "&amp;"como afirma a escritora Marylin Wann, é perfeitamente possível ser gordo e saudável. Frequentemente os gordos adoecem não por causa da gordura, mas sim pelo estresse, pela opressão a que são submetidos. VASCONCELOS, N. A.; SUDO, I.; SUDO, N. Um peso na al"&amp;"ma: o corpo gordo e a mídia. Revista Mal-Estar e Subjetividade, n. 1, mar. 2004 (adaptado).
 No texto, o tratamento predominante na mídia sobre a relação entre saúde e corpo recebe a seguinte crítica:
")</f>
        <v xml:space="preserve">Em nenhuma outra época o corpo magro adquiriu um sentido de corpo ideal e esteve tão em evidência como nos dias atuais: esse corpo, nu ou vestido, exposto em diversas revistas femininas e masculinas, está na moda: é capa de revistas, matérias de jornais, manchetes publicitárias, e se transformou em sonho de consumo para milhares de pessoas. Partindo dessa concepção, o gordo passa a ter um corpo visivelmente sem comedimento, sem saúde, um corpo estigmatizado pelo desvio, o desvio pelo excesso. Entretanto, como afirma a escritora Marylin Wann, é perfeitamente possível ser gordo e saudável. Frequentemente os gordos adoecem não por causa da gordura, mas sim pelo estresse, pela opressão a que são submetidos. VASCONCELOS, N. A.; SUDO, I.; SUDO, N. Um peso na alma: o corpo gordo e a mídia. Revista Mal-Estar e Subjetividade, n. 1, mar. 2004 (adaptado).
 No texto, o tratamento predominante na mídia sobre a relação entre saúde e corpo recebe a seguinte crítica:
</v>
      </c>
      <c r="M18" s="3" t="str">
        <f ca="1">IFERROR(__xludf.DUMMYFUNCTION("""COMPUTED_VALUE"""),"Difusão das estéticas antigas. ")</f>
        <v xml:space="preserve">Difusão das estéticas antigas. </v>
      </c>
      <c r="N18" s="3" t="str">
        <f ca="1">IFERROR(__xludf.DUMMYFUNCTION("""COMPUTED_VALUE"""),"Exaltação das crendices populares. ")</f>
        <v xml:space="preserve">Exaltação das crendices populares. </v>
      </c>
      <c r="O18" s="3" t="str">
        <f ca="1">IFERROR(__xludf.DUMMYFUNCTION("""COMPUTED_VALUE"""),"Propagação das conclusões científicas. ")</f>
        <v xml:space="preserve">Propagação das conclusões científicas. </v>
      </c>
      <c r="P18" s="3" t="str">
        <f ca="1">IFERROR(__xludf.DUMMYFUNCTION("""COMPUTED_VALUE"""),"Reiteração dos discursos hegemônicos. ")</f>
        <v xml:space="preserve">Reiteração dos discursos hegemônicos. </v>
      </c>
      <c r="Q18" s="3" t="str">
        <f ca="1">IFERROR(__xludf.DUMMYFUNCTION("""COMPUTED_VALUE"""),"Contestação dos estereótipos consolidados.")</f>
        <v>Contestação dos estereótipos consolidados.</v>
      </c>
      <c r="R18" s="3"/>
      <c r="S18" s="3"/>
      <c r="T18" s="3"/>
      <c r="U18" s="3"/>
      <c r="V18" s="3"/>
      <c r="W18" s="3"/>
      <c r="X18" s="3"/>
      <c r="Y18" s="3"/>
      <c r="Z18" s="3"/>
    </row>
    <row r="19" spans="1:26" x14ac:dyDescent="0.2">
      <c r="A19" s="2" t="str">
        <f ca="1">IFERROR(__xludf.DUMMYFUNCTION("""COMPUTED_VALUE"""),"https://drive.google.com/open?id=1PYl-Hdoh7Vke95qA2n8IltEdDadvlY5D")</f>
        <v>https://drive.google.com/open?id=1PYl-Hdoh7Vke95qA2n8IltEdDadvlY5D</v>
      </c>
      <c r="B19" s="3" t="str">
        <f ca="1">IFERROR(__xludf.DUMMYFUNCTION("""COMPUTED_VALUE"""),"Enem")</f>
        <v>Enem</v>
      </c>
      <c r="C19" s="3">
        <f ca="1">IFERROR(__xludf.DUMMYFUNCTION("""COMPUTED_VALUE"""),2019)</f>
        <v>2019</v>
      </c>
      <c r="D19" s="3" t="str">
        <f ca="1">IFERROR(__xludf.DUMMYFUNCTION("""COMPUTED_VALUE"""),"Ciências Humanas")</f>
        <v>Ciências Humanas</v>
      </c>
      <c r="E19" s="3" t="str">
        <f ca="1">IFERROR(__xludf.DUMMYFUNCTION("""COMPUTED_VALUE"""),"Sociologia")</f>
        <v>Sociologia</v>
      </c>
      <c r="F19" s="3" t="str">
        <f ca="1">IFERROR(__xludf.DUMMYFUNCTION("""COMPUTED_VALUE"""),"Sociologia")</f>
        <v>Sociologia</v>
      </c>
      <c r="G19" s="3"/>
      <c r="H19" s="3"/>
      <c r="I19" s="3" t="str">
        <f ca="1">IFERROR(__xludf.DUMMYFUNCTION("""COMPUTED_VALUE"""),"Amarelo")</f>
        <v>Amarelo</v>
      </c>
      <c r="J19" s="3">
        <f ca="1">IFERROR(__xludf.DUMMYFUNCTION("""COMPUTED_VALUE"""),69)</f>
        <v>69</v>
      </c>
      <c r="K19" s="3" t="str">
        <f ca="1">IFERROR(__xludf.DUMMYFUNCTION("""COMPUTED_VALUE"""),"B")</f>
        <v>B</v>
      </c>
      <c r="L19" s="3" t="str">
        <f ca="1">IFERROR(__xludf.DUMMYFUNCTION("""COMPUTED_VALUE"""),"[Imagem contida no arquivo]
Fala-se aqui de uma arte criada nas ruas e para as ruas, marcadas antes de tudo pela vida cotidiana, seus conflitos e suas possibilidades, que poderiam envolver técnicas, agentes e temas que não fossem encontrados nas institui"&amp;"ções mais tradicionais e formais. VALVERDE, R. R. H. F. Os limites da inversão: a heterotopia do Beco do Batman. Boletim Goiano de Geografia (Online). Goiânia, v. 37, n. 2, maio/ago. 2017 (adaptado).
 A manifestação artística expressa na imagem e apresen"&amp;"tada no texto integra um movimento contemporâneo de 
")</f>
        <v xml:space="preserve">[Imagem contida no arquivo]
Fala-se aqui de uma arte criada nas ruas e para as ruas, marcadas antes de tudo pela vida cotidiana, seus conflitos e suas possibilidades, que poderiam envolver técnicas, agentes e temas que não fossem encontrados nas instituições mais tradicionais e formais. VALVERDE, R. R. H. F. Os limites da inversão: a heterotopia do Beco do Batman. Boletim Goiano de Geografia (Online). Goiânia, v. 37, n. 2, maio/ago. 2017 (adaptado).
 A manifestação artística expressa na imagem e apresentada no texto integra um movimento contemporâneo de 
</v>
      </c>
      <c r="M19" s="3" t="str">
        <f ca="1">IFERROR(__xludf.DUMMYFUNCTION("""COMPUTED_VALUE"""),"regulação das relações sociais. ")</f>
        <v xml:space="preserve">regulação das relações sociais. </v>
      </c>
      <c r="N19" s="3" t="str">
        <f ca="1">IFERROR(__xludf.DUMMYFUNCTION("""COMPUTED_VALUE"""),"apropriação dos espaços públicos. ")</f>
        <v xml:space="preserve">apropriação dos espaços públicos. </v>
      </c>
      <c r="O19" s="3" t="str">
        <f ca="1">IFERROR(__xludf.DUMMYFUNCTION("""COMPUTED_VALUE"""),"padronização das culturas urbanas. ")</f>
        <v xml:space="preserve">padronização das culturas urbanas. </v>
      </c>
      <c r="P19" s="3" t="str">
        <f ca="1">IFERROR(__xludf.DUMMYFUNCTION("""COMPUTED_VALUE""")," valorização dos formalismos estéticos. ")</f>
        <v xml:space="preserve"> valorização dos formalismos estéticos. </v>
      </c>
      <c r="Q19" s="3" t="str">
        <f ca="1">IFERROR(__xludf.DUMMYFUNCTION("""COMPUTED_VALUE"""),"revitalização dos patrimônios históricos.")</f>
        <v>revitalização dos patrimônios históricos.</v>
      </c>
      <c r="R19" s="3"/>
      <c r="S19" s="3"/>
      <c r="T19" s="3"/>
      <c r="U19" s="3"/>
      <c r="V19" s="3"/>
      <c r="W19" s="3"/>
      <c r="X19" s="3"/>
      <c r="Y19" s="3"/>
      <c r="Z19" s="3"/>
    </row>
    <row r="20" spans="1:26" x14ac:dyDescent="0.2">
      <c r="A20" s="2" t="str">
        <f ca="1">IFERROR(__xludf.DUMMYFUNCTION("""COMPUTED_VALUE"""),"https://drive.google.com/open?id=1ORRrwk4uMkG-Mx6XU5jgpo55m9qYqTXq")</f>
        <v>https://drive.google.com/open?id=1ORRrwk4uMkG-Mx6XU5jgpo55m9qYqTXq</v>
      </c>
      <c r="B20" s="3" t="str">
        <f ca="1">IFERROR(__xludf.DUMMYFUNCTION("""COMPUTED_VALUE"""),"Enem")</f>
        <v>Enem</v>
      </c>
      <c r="C20" s="3">
        <f ca="1">IFERROR(__xludf.DUMMYFUNCTION("""COMPUTED_VALUE"""),2019)</f>
        <v>2019</v>
      </c>
      <c r="D20" s="3" t="str">
        <f ca="1">IFERROR(__xludf.DUMMYFUNCTION("""COMPUTED_VALUE"""),"Ciências Humanas")</f>
        <v>Ciências Humanas</v>
      </c>
      <c r="E20" s="3" t="str">
        <f ca="1">IFERROR(__xludf.DUMMYFUNCTION("""COMPUTED_VALUE"""),"Sociologia")</f>
        <v>Sociologia</v>
      </c>
      <c r="F20" s="3" t="str">
        <f ca="1">IFERROR(__xludf.DUMMYFUNCTION("""COMPUTED_VALUE"""),"Sociologia")</f>
        <v>Sociologia</v>
      </c>
      <c r="G20" s="3"/>
      <c r="H20" s="3"/>
      <c r="I20" s="3" t="str">
        <f ca="1">IFERROR(__xludf.DUMMYFUNCTION("""COMPUTED_VALUE"""),"Amarelo")</f>
        <v>Amarelo</v>
      </c>
      <c r="J20" s="3">
        <f ca="1">IFERROR(__xludf.DUMMYFUNCTION("""COMPUTED_VALUE"""),75)</f>
        <v>75</v>
      </c>
      <c r="K20" s="3" t="str">
        <f ca="1">IFERROR(__xludf.DUMMYFUNCTION("""COMPUTED_VALUE"""),"A")</f>
        <v>A</v>
      </c>
      <c r="L20" s="3" t="str">
        <f ca="1">IFERROR(__xludf.DUMMYFUNCTION("""COMPUTED_VALUE"""),"O Ministério do Trabalho e Emprego (MTE) realizou 248 ações fiscais e resgatou um total de 1 590 trabalhadores da situação análoga à de escravo, em 2014, em todo o país. A análise do enfrentamento do trabalho em condições análogas às de escravo materializ"&amp;"a a efetivação de parcerias inéditas no trato da questão, podendo ser referenciadas ações fiscais realizadas com o Ministério da Defesa, Exército Brasileiro, Instituto Brasileiro do Meio Ambiente e dos Recursos Naturais Renováveis (Ibama) e Instituto Chic"&amp;"o Mendes de Conservação da Biodiversidade (ICMBio). Disponível em: http://portal.mte.gov.br. Acesso em: 4 fev. 2015 (adaptado). 
A estratégia defendida no texto para reduzir o problema social apontado consiste em: 
")</f>
        <v xml:space="preserve">O Ministério do Trabalho e Emprego (MTE) realizou 248 ações fiscais e resgatou um total de 1 590 trabalhadores da situação análoga à de escravo, em 2014, em todo o país. A análise do enfrentamento do trabalho em condições análogas às de escravo materializa a efetivação de parcerias inéditas no trato da questão, podendo ser referenciadas ações fiscais realizadas com o Ministério da Defesa, Exército Brasileiro, Instituto Brasileiro do Meio Ambiente e dos Recursos Naturais Renováveis (Ibama) e Instituto Chico Mendes de Conservação da Biodiversidade (ICMBio). Disponível em: http://portal.mte.gov.br. Acesso em: 4 fev. 2015 (adaptado). 
A estratégia defendida no texto para reduzir o problema social apontado consiste em: 
</v>
      </c>
      <c r="M20" s="3" t="str">
        <f ca="1">IFERROR(__xludf.DUMMYFUNCTION("""COMPUTED_VALUE"""),"Articular os órgãos públicos. 
")</f>
        <v xml:space="preserve">Articular os órgãos públicos. 
</v>
      </c>
      <c r="N20" s="3" t="str">
        <f ca="1">IFERROR(__xludf.DUMMYFUNCTION("""COMPUTED_VALUE"""),"Pressionar o Poder Legislativo.")</f>
        <v>Pressionar o Poder Legislativo.</v>
      </c>
      <c r="O20" s="3" t="str">
        <f ca="1">IFERROR(__xludf.DUMMYFUNCTION("""COMPUTED_VALUE"""),"Ampliar a emissão das multas.")</f>
        <v>Ampliar a emissão das multas.</v>
      </c>
      <c r="P20" s="3" t="str">
        <f ca="1">IFERROR(__xludf.DUMMYFUNCTION("""COMPUTED_VALUE""")," Limitar a autonomia das empresas. ")</f>
        <v xml:space="preserve"> Limitar a autonomia das empresas. </v>
      </c>
      <c r="Q20" s="3" t="str">
        <f ca="1">IFERROR(__xludf.DUMMYFUNCTION("""COMPUTED_VALUE"""),"Financiar as pesquisas acadêmicas.")</f>
        <v>Financiar as pesquisas acadêmicas.</v>
      </c>
      <c r="R20" s="3"/>
      <c r="S20" s="3"/>
      <c r="T20" s="3"/>
      <c r="U20" s="3"/>
      <c r="V20" s="3"/>
      <c r="W20" s="3"/>
      <c r="X20" s="3"/>
      <c r="Y20" s="3"/>
      <c r="Z20" s="3"/>
    </row>
    <row r="21" spans="1:26" x14ac:dyDescent="0.2">
      <c r="A21" s="2" t="str">
        <f ca="1">IFERROR(__xludf.DUMMYFUNCTION("""COMPUTED_VALUE"""),"https://drive.google.com/open?id=132IEnJiZ5dtzWAjQWBcgAsGfPMGHjHtv")</f>
        <v>https://drive.google.com/open?id=132IEnJiZ5dtzWAjQWBcgAsGfPMGHjHtv</v>
      </c>
      <c r="B21" s="3" t="str">
        <f ca="1">IFERROR(__xludf.DUMMYFUNCTION("""COMPUTED_VALUE"""),"Enem")</f>
        <v>Enem</v>
      </c>
      <c r="C21" s="3">
        <f ca="1">IFERROR(__xludf.DUMMYFUNCTION("""COMPUTED_VALUE"""),2019)</f>
        <v>2019</v>
      </c>
      <c r="D21" s="3" t="str">
        <f ca="1">IFERROR(__xludf.DUMMYFUNCTION("""COMPUTED_VALUE"""),"Ciências Humanas")</f>
        <v>Ciências Humanas</v>
      </c>
      <c r="E21" s="3" t="str">
        <f ca="1">IFERROR(__xludf.DUMMYFUNCTION("""COMPUTED_VALUE"""),"Sociologia")</f>
        <v>Sociologia</v>
      </c>
      <c r="F21" s="3" t="str">
        <f ca="1">IFERROR(__xludf.DUMMYFUNCTION("""COMPUTED_VALUE"""),"Sociologia")</f>
        <v>Sociologia</v>
      </c>
      <c r="G21" s="3"/>
      <c r="H21" s="3"/>
      <c r="I21" s="3" t="str">
        <f ca="1">IFERROR(__xludf.DUMMYFUNCTION("""COMPUTED_VALUE"""),"Amarelo")</f>
        <v>Amarelo</v>
      </c>
      <c r="J21" s="3">
        <f ca="1">IFERROR(__xludf.DUMMYFUNCTION("""COMPUTED_VALUE"""),84)</f>
        <v>84</v>
      </c>
      <c r="K21" s="3" t="str">
        <f ca="1">IFERROR(__xludf.DUMMYFUNCTION("""COMPUTED_VALUE"""),"C")</f>
        <v>C</v>
      </c>
      <c r="L21" s="3" t="str">
        <f ca="1">IFERROR(__xludf.DUMMYFUNCTION("""COMPUTED_VALUE"""),"Penso que não há um sujeito soberano, fundador, uma forma universal de sujeito que poderíamos encontrar em todos os lugares. Penso, pelo contrário, que o sujeito se constitui através das práticas de sujeição ou, de maneira mais autônoma, através de prátic"&amp;"as de liberação, de liberdade, como na Antiguidade — a partir, obviamente, de um certo número de regras, de estilos, que podemos encontrar no meio cultural. FOUCAULT, M. Ditos e escritos V: ética, sexualidade, política. Rio de Janeiro: Forense Universitár"&amp;"ia, 2004.
 O texto aponta que a subjetivação se efetiva numa dimensão
")</f>
        <v xml:space="preserve">Penso que não há um sujeito soberano, fundador, uma forma universal de sujeito que poderíamos encontrar em todos os lugares. Penso, pelo contrário, que o sujeito se constitui através das práticas de sujeição ou, de maneira mais autônoma, através de práticas de liberação, de liberdade, como na Antiguidade — a partir, obviamente, de um certo número de regras, de estilos, que podemos encontrar no meio cultural. FOUCAULT, M. Ditos e escritos V: ética, sexualidade, política. Rio de Janeiro: Forense Universitária, 2004.
 O texto aponta que a subjetivação se efetiva numa dimensão
</v>
      </c>
      <c r="M21" s="3" t="str">
        <f ca="1">IFERROR(__xludf.DUMMYFUNCTION("""COMPUTED_VALUE"""),"legal, pautada em preceitos jurídicos. ")</f>
        <v xml:space="preserve">legal, pautada em preceitos jurídicos. </v>
      </c>
      <c r="N21" s="3" t="str">
        <f ca="1">IFERROR(__xludf.DUMMYFUNCTION("""COMPUTED_VALUE"""),"racional, baseada em pressupostos lógicos. ")</f>
        <v xml:space="preserve">racional, baseada em pressupostos lógicos. </v>
      </c>
      <c r="O21" s="3" t="str">
        <f ca="1">IFERROR(__xludf.DUMMYFUNCTION("""COMPUTED_VALUE"""),"contingencial, processada em interações sociais. ")</f>
        <v xml:space="preserve">contingencial, processada em interações sociais. </v>
      </c>
      <c r="P21" s="3" t="str">
        <f ca="1">IFERROR(__xludf.DUMMYFUNCTION("""COMPUTED_VALUE"""),"transcendental, efetivada em princípios religiosos. ")</f>
        <v xml:space="preserve">transcendental, efetivada em princípios religiosos. </v>
      </c>
      <c r="Q21" s="3" t="str">
        <f ca="1">IFERROR(__xludf.DUMMYFUNCTION("""COMPUTED_VALUE"""),"essencial, fundamentada em parâmetros substancialistas.")</f>
        <v>essencial, fundamentada em parâmetros substancialistas.</v>
      </c>
      <c r="R21" s="3"/>
      <c r="S21" s="3"/>
      <c r="T21" s="3"/>
      <c r="U21" s="3"/>
      <c r="V21" s="3"/>
      <c r="W21" s="3"/>
      <c r="X21" s="3"/>
      <c r="Y21" s="3"/>
      <c r="Z21" s="3"/>
    </row>
    <row r="22" spans="1:26" x14ac:dyDescent="0.2">
      <c r="A22" s="2" t="str">
        <f ca="1">IFERROR(__xludf.DUMMYFUNCTION("""COMPUTED_VALUE"""),"https://drive.google.com/open?id=1M229EJy5i7Nz08phWw2Wjk1cipPitI14")</f>
        <v>https://drive.google.com/open?id=1M229EJy5i7Nz08phWw2Wjk1cipPitI14</v>
      </c>
      <c r="B22" s="3" t="str">
        <f ca="1">IFERROR(__xludf.DUMMYFUNCTION("""COMPUTED_VALUE"""),"Enem")</f>
        <v>Enem</v>
      </c>
      <c r="C22" s="3">
        <f ca="1">IFERROR(__xludf.DUMMYFUNCTION("""COMPUTED_VALUE"""),2019)</f>
        <v>2019</v>
      </c>
      <c r="D22" s="3" t="str">
        <f ca="1">IFERROR(__xludf.DUMMYFUNCTION("""COMPUTED_VALUE"""),"Ciências Humanas")</f>
        <v>Ciências Humanas</v>
      </c>
      <c r="E22" s="3" t="str">
        <f ca="1">IFERROR(__xludf.DUMMYFUNCTION("""COMPUTED_VALUE"""),"Sociologia")</f>
        <v>Sociologia</v>
      </c>
      <c r="F22" s="3" t="str">
        <f ca="1">IFERROR(__xludf.DUMMYFUNCTION("""COMPUTED_VALUE"""),"Sociologia")</f>
        <v>Sociologia</v>
      </c>
      <c r="G22" s="3"/>
      <c r="H22" s="3"/>
      <c r="I22" s="3" t="str">
        <f ca="1">IFERROR(__xludf.DUMMYFUNCTION("""COMPUTED_VALUE"""),"Amarelo")</f>
        <v>Amarelo</v>
      </c>
      <c r="J22" s="3">
        <f ca="1">IFERROR(__xludf.DUMMYFUNCTION("""COMPUTED_VALUE"""),86)</f>
        <v>86</v>
      </c>
      <c r="K22" s="3" t="str">
        <f ca="1">IFERROR(__xludf.DUMMYFUNCTION("""COMPUTED_VALUE"""),"D")</f>
        <v>D</v>
      </c>
      <c r="L22" s="3" t="str">
        <f ca="1">IFERROR(__xludf.DUMMYFUNCTION("""COMPUTED_VALUE"""),"Essa atmosfera de loucura e irrealidade, criada pela aparente ausência de propósitos, é a verdadeira cortina de ferro que esconde dos olhos do mundo todas as formas de campos de concentração. Vistos de fora, os campos e o que neles acontece só podem ser d"&amp;"escritos com imagens extraterrenas, como se a vida fosse neles separada das finalidades deste mundo. Mais que o arame farpado, é a irrealidade dos detentos que ele confina que provoca uma crueldade tão incrível que termina levando à aceitação do extermíni"&amp;"o como solução perfeitamente normal. ARENDT, H. Origens do totalitarismo. São Paulo: Cia. das Letras, 1989 (adaptado).
 A partir da análise da autora, no encontro das temporalidades históricas, evidencia-se uma crítica à naturalização do(a)
")</f>
        <v xml:space="preserve">Essa atmosfera de loucura e irrealidade, criada pela aparente ausência de propósitos, é a verdadeira cortina de ferro que esconde dos olhos do mundo todas as formas de campos de concentração. Vistos de fora, os campos e o que neles acontece só podem ser descritos com imagens extraterrenas, como se a vida fosse neles separada das finalidades deste mundo. Mais que o arame farpado, é a irrealidade dos detentos que ele confina que provoca uma crueldade tão incrível que termina levando à aceitação do extermínio como solução perfeitamente normal. ARENDT, H. Origens do totalitarismo. São Paulo: Cia. das Letras, 1989 (adaptado).
 A partir da análise da autora, no encontro das temporalidades históricas, evidencia-se uma crítica à naturalização do(a)
</v>
      </c>
      <c r="M22" s="3" t="str">
        <f ca="1">IFERROR(__xludf.DUMMYFUNCTION("""COMPUTED_VALUE"""),"ideário nacional, que legitima as desigualdades sociais. ")</f>
        <v xml:space="preserve">ideário nacional, que legitima as desigualdades sociais. </v>
      </c>
      <c r="N22" s="3" t="str">
        <f ca="1">IFERROR(__xludf.DUMMYFUNCTION("""COMPUTED_VALUE"""),"alienação ideológica, que justifica as ações individuais. ")</f>
        <v xml:space="preserve">alienação ideológica, que justifica as ações individuais. </v>
      </c>
      <c r="O22" s="3" t="str">
        <f ca="1">IFERROR(__xludf.DUMMYFUNCTION("""COMPUTED_VALUE"""),"cosmologia religiosa, que sustenta as tradições hierárquicas.")</f>
        <v>cosmologia religiosa, que sustenta as tradições hierárquicas.</v>
      </c>
      <c r="P22" s="3" t="str">
        <f ca="1">IFERROR(__xludf.DUMMYFUNCTION("""COMPUTED_VALUE"""),"segregação humana, que fundamenta os projetos biopolíticos. ")</f>
        <v xml:space="preserve">segregação humana, que fundamenta os projetos biopolíticos. </v>
      </c>
      <c r="Q22" s="3" t="str">
        <f ca="1">IFERROR(__xludf.DUMMYFUNCTION("""COMPUTED_VALUE"""),"enquadramento cultural, que favorece os comportamentos punitivos.")</f>
        <v>enquadramento cultural, que favorece os comportamentos punitivos.</v>
      </c>
      <c r="R22" s="3"/>
      <c r="S22" s="3"/>
      <c r="T22" s="3"/>
      <c r="U22" s="3"/>
      <c r="V22" s="3"/>
      <c r="W22" s="3"/>
      <c r="X22" s="3"/>
      <c r="Y22" s="3"/>
      <c r="Z22" s="3"/>
    </row>
    <row r="23" spans="1:26" x14ac:dyDescent="0.2">
      <c r="A23" s="2" t="str">
        <f ca="1">IFERROR(__xludf.DUMMYFUNCTION("""COMPUTED_VALUE"""),"https://drive.google.com/open?id=1dUMTCyjRypsydrj08-k6OsWvQPzmIIlC")</f>
        <v>https://drive.google.com/open?id=1dUMTCyjRypsydrj08-k6OsWvQPzmIIlC</v>
      </c>
      <c r="B23" s="3" t="str">
        <f ca="1">IFERROR(__xludf.DUMMYFUNCTION("""COMPUTED_VALUE"""),"Enem")</f>
        <v>Enem</v>
      </c>
      <c r="C23" s="3">
        <f ca="1">IFERROR(__xludf.DUMMYFUNCTION("""COMPUTED_VALUE"""),2019)</f>
        <v>2019</v>
      </c>
      <c r="D23" s="3" t="str">
        <f ca="1">IFERROR(__xludf.DUMMYFUNCTION("""COMPUTED_VALUE"""),"Ciências Humanas")</f>
        <v>Ciências Humanas</v>
      </c>
      <c r="E23" s="3" t="str">
        <f ca="1">IFERROR(__xludf.DUMMYFUNCTION("""COMPUTED_VALUE"""),"Sociologia")</f>
        <v>Sociologia</v>
      </c>
      <c r="F23" s="3" t="str">
        <f ca="1">IFERROR(__xludf.DUMMYFUNCTION("""COMPUTED_VALUE"""),"Sociologia")</f>
        <v>Sociologia</v>
      </c>
      <c r="G23" s="3"/>
      <c r="H23" s="3"/>
      <c r="I23" s="3" t="str">
        <f ca="1">IFERROR(__xludf.DUMMYFUNCTION("""COMPUTED_VALUE"""),"Amarelo")</f>
        <v>Amarelo</v>
      </c>
      <c r="J23" s="3">
        <f ca="1">IFERROR(__xludf.DUMMYFUNCTION("""COMPUTED_VALUE"""),87)</f>
        <v>87</v>
      </c>
      <c r="K23" s="3" t="str">
        <f ca="1">IFERROR(__xludf.DUMMYFUNCTION("""COMPUTED_VALUE"""),"A")</f>
        <v>A</v>
      </c>
      <c r="L23" s="3" t="str">
        <f ca="1">IFERROR(__xludf.DUMMYFUNCTION("""COMPUTED_VALUE"""),"Para Maquiavel, quando um homem decide dizer a verdade pondo em risco a própria integridade física, tal resolução diz respeito apenas a sua pessoa. Mas se esse mesmo homem é um chefe de Estado, os critérios pessoais não são mais adequados para decidir sob"&amp;"re ações cujas consequências se tornam tão amplas, já que o prejuízo não será apenas individual, mas coletivo. Nesse caso, conforme as circunstâncias e os fins a serem atingidos, pode-se decidir que o melhor para o bem comum seja mentir. ARANHA, M. L. Maq"&amp;"uiavel: a lógica da força. São Paulo: Moderna, 2006 (adaptado).
O texto aponta uma inovação na teoria política na época moderna expressa na distinção entre
")</f>
        <v xml:space="preserve">Para Maquiavel, quando um homem decide dizer a verdade pondo em risco a própria integridade física, tal resolução diz respeito apenas a sua pessoa. Mas se esse mesmo homem é um chefe de Estado, os critérios pessoais não são mais adequados para decidir sobre ações cujas consequências se tornam tão amplas, já que o prejuízo não será apenas individual, mas coletivo. Nesse caso, conforme as circunstâncias e os fins a serem atingidos, pode-se decidir que o melhor para o bem comum seja mentir. ARANHA, M. L. Maquiavel: a lógica da força. São Paulo: Moderna, 2006 (adaptado).
O texto aponta uma inovação na teoria política na época moderna expressa na distinção entre
</v>
      </c>
      <c r="M23" s="3" t="str">
        <f ca="1">IFERROR(__xludf.DUMMYFUNCTION("""COMPUTED_VALUE"""),"idealidade e efetividade da moral. ")</f>
        <v xml:space="preserve">idealidade e efetividade da moral. </v>
      </c>
      <c r="N23" s="3" t="str">
        <f ca="1">IFERROR(__xludf.DUMMYFUNCTION("""COMPUTED_VALUE"""),"nulidade e preservabilidade da liberdade. ")</f>
        <v xml:space="preserve">nulidade e preservabilidade da liberdade. </v>
      </c>
      <c r="O23" s="3" t="str">
        <f ca="1">IFERROR(__xludf.DUMMYFUNCTION("""COMPUTED_VALUE""")," ilegalidade e legitimidade do governante.")</f>
        <v xml:space="preserve"> ilegalidade e legitimidade do governante.</v>
      </c>
      <c r="P23" s="3" t="str">
        <f ca="1">IFERROR(__xludf.DUMMYFUNCTION("""COMPUTED_VALUE"""),"verificabilidade e possibilidade da verdade. ")</f>
        <v xml:space="preserve">verificabilidade e possibilidade da verdade. </v>
      </c>
      <c r="Q23" s="3" t="str">
        <f ca="1">IFERROR(__xludf.DUMMYFUNCTION("""COMPUTED_VALUE""")," objetividade e subjetividade do conhecimento.")</f>
        <v xml:space="preserve"> objetividade e subjetividade do conhecimento.</v>
      </c>
      <c r="R23" s="3"/>
      <c r="S23" s="3"/>
      <c r="T23" s="3"/>
      <c r="U23" s="3"/>
      <c r="V23" s="3"/>
      <c r="W23" s="3"/>
      <c r="X23" s="3"/>
      <c r="Y23" s="3"/>
      <c r="Z23" s="3"/>
    </row>
    <row r="24" spans="1:26" x14ac:dyDescent="0.2">
      <c r="A24" s="2" t="str">
        <f ca="1">IFERROR(__xludf.DUMMYFUNCTION("""COMPUTED_VALUE"""),"https://drive.google.com/open?id=1Z9gGaJHiSFvTXMwznSNrPArtaHuqJufp")</f>
        <v>https://drive.google.com/open?id=1Z9gGaJHiSFvTXMwznSNrPArtaHuqJufp</v>
      </c>
      <c r="B24" s="3" t="str">
        <f ca="1">IFERROR(__xludf.DUMMYFUNCTION("""COMPUTED_VALUE"""),"Enem")</f>
        <v>Enem</v>
      </c>
      <c r="C24" s="3">
        <f ca="1">IFERROR(__xludf.DUMMYFUNCTION("""COMPUTED_VALUE"""),2019)</f>
        <v>2019</v>
      </c>
      <c r="D24" s="3" t="str">
        <f ca="1">IFERROR(__xludf.DUMMYFUNCTION("""COMPUTED_VALUE"""),"Ciências Humanas")</f>
        <v>Ciências Humanas</v>
      </c>
      <c r="E24" s="3" t="str">
        <f ca="1">IFERROR(__xludf.DUMMYFUNCTION("""COMPUTED_VALUE"""),"Sociologia")</f>
        <v>Sociologia</v>
      </c>
      <c r="F24" s="3" t="str">
        <f ca="1">IFERROR(__xludf.DUMMYFUNCTION("""COMPUTED_VALUE"""),"Sociologia")</f>
        <v>Sociologia</v>
      </c>
      <c r="G24" s="3"/>
      <c r="H24" s="3"/>
      <c r="I24" s="3" t="str">
        <f ca="1">IFERROR(__xludf.DUMMYFUNCTION("""COMPUTED_VALUE"""),"Amarelo")</f>
        <v>Amarelo</v>
      </c>
      <c r="J24" s="3">
        <f ca="1">IFERROR(__xludf.DUMMYFUNCTION("""COMPUTED_VALUE"""),88)</f>
        <v>88</v>
      </c>
      <c r="K24" s="3" t="str">
        <f ca="1">IFERROR(__xludf.DUMMYFUNCTION("""COMPUTED_VALUE"""),"C")</f>
        <v>C</v>
      </c>
      <c r="L24" s="3" t="str">
        <f ca="1">IFERROR(__xludf.DUMMYFUNCTION("""COMPUTED_VALUE"""),"A criação do Sistema Único de Saúde (SUS) como uma política para todos constitui-se uma das mais importantes conquistas da sociedade brasileira no século XX. O SUS deve ser valorizado e defendido como um marco para a cidadania e o avanço civilizatório. A "&amp;"democracia envolve um modelo de Estado no qual políticas protegem os cidadãos e reduzem as desigualdades. O SUS é uma diretriz que fortalece a cidadania e contribui para assegurar o exercício de direitos, o pluralismo político e o bem-estar como valores d"&amp;"e uma sociedade fraterna, pluralista e sem preconceitos, conforme prevê a Constituição Federal de 1988. RIZZOTO, M. L. F. et al. Justiça social, democracia com direitos sociais e saúde: a luta do Cebes. Revista Saúde em Debate, n. 116, jan.-mar. 2018 (ada"&amp;"ptado).
Segundo o texto, duas características da concepção da política pública analisada são: 
")</f>
        <v xml:space="preserve">A criação do Sistema Único de Saúde (SUS) como uma política para todos constitui-se uma das mais importantes conquistas da sociedade brasileira no século XX. O SUS deve ser valorizado e defendido como um marco para a cidadania e o avanço civilizatório. A democracia envolve um modelo de Estado no qual políticas protegem os cidadãos e reduzem as desigualdades. O SUS é uma diretriz que fortalece a cidadania e contribui para assegurar o exercício de direitos, o pluralismo político e o bem-estar como valores de uma sociedade fraterna, pluralista e sem preconceitos, conforme prevê a Constituição Federal de 1988. RIZZOTO, M. L. F. et al. Justiça social, democracia com direitos sociais e saúde: a luta do Cebes. Revista Saúde em Debate, n. 116, jan.-mar. 2018 (adaptado).
Segundo o texto, duas características da concepção da política pública analisada são: 
</v>
      </c>
      <c r="M24" s="3" t="str">
        <f ca="1">IFERROR(__xludf.DUMMYFUNCTION("""COMPUTED_VALUE"""),"Paternalismo e filantropia.")</f>
        <v>Paternalismo e filantropia.</v>
      </c>
      <c r="N24" s="3" t="str">
        <f ca="1">IFERROR(__xludf.DUMMYFUNCTION("""COMPUTED_VALUE"""),"Liberalismo e meritocracia.")</f>
        <v>Liberalismo e meritocracia.</v>
      </c>
      <c r="O24" s="3" t="str">
        <f ca="1">IFERROR(__xludf.DUMMYFUNCTION("""COMPUTED_VALUE"""),"Universalismo e igualitarismo. ")</f>
        <v xml:space="preserve">Universalismo e igualitarismo. </v>
      </c>
      <c r="P24" s="3" t="str">
        <f ca="1">IFERROR(__xludf.DUMMYFUNCTION("""COMPUTED_VALUE"""),"Nacionalismo e individualismo.")</f>
        <v>Nacionalismo e individualismo.</v>
      </c>
      <c r="Q24" s="3" t="str">
        <f ca="1">IFERROR(__xludf.DUMMYFUNCTION("""COMPUTED_VALUE"""),"Revolucionarismo e coparticipação.")</f>
        <v>Revolucionarismo e coparticipação.</v>
      </c>
      <c r="R24" s="3"/>
      <c r="S24" s="3"/>
      <c r="T24" s="3"/>
      <c r="U24" s="3"/>
      <c r="V24" s="3"/>
      <c r="W24" s="3"/>
      <c r="X24" s="3"/>
      <c r="Y24" s="3"/>
      <c r="Z24" s="3"/>
    </row>
    <row r="25" spans="1:26" x14ac:dyDescent="0.2">
      <c r="A25" s="2" t="str">
        <f ca="1">IFERROR(__xludf.DUMMYFUNCTION("""COMPUTED_VALUE"""),"https://drive.google.com/open?id=1ewME9Qe9bUU5H1FnEbFWqXsPLhU6RpjA")</f>
        <v>https://drive.google.com/open?id=1ewME9Qe9bUU5H1FnEbFWqXsPLhU6RpjA</v>
      </c>
      <c r="B25" s="3" t="str">
        <f ca="1">IFERROR(__xludf.DUMMYFUNCTION("""COMPUTED_VALUE"""),"Enem")</f>
        <v>Enem</v>
      </c>
      <c r="C25" s="3">
        <f ca="1">IFERROR(__xludf.DUMMYFUNCTION("""COMPUTED_VALUE"""),2016)</f>
        <v>2016</v>
      </c>
      <c r="D25" s="3" t="str">
        <f ca="1">IFERROR(__xludf.DUMMYFUNCTION("""COMPUTED_VALUE"""),"Ciências Humanas")</f>
        <v>Ciências Humanas</v>
      </c>
      <c r="E25" s="3" t="str">
        <f ca="1">IFERROR(__xludf.DUMMYFUNCTION("""COMPUTED_VALUE"""),"Sociologia")</f>
        <v>Sociologia</v>
      </c>
      <c r="F25" s="3" t="str">
        <f ca="1">IFERROR(__xludf.DUMMYFUNCTION("""COMPUTED_VALUE"""),"Sociologia")</f>
        <v>Sociologia</v>
      </c>
      <c r="G25" s="3" t="str">
        <f ca="1">IFERROR(__xludf.DUMMYFUNCTION("""COMPUTED_VALUE"""),"Geografia Geral")</f>
        <v>Geografia Geral</v>
      </c>
      <c r="H25" s="3"/>
      <c r="I25" s="3" t="str">
        <f ca="1">IFERROR(__xludf.DUMMYFUNCTION("""COMPUTED_VALUE"""),"Azul")</f>
        <v>Azul</v>
      </c>
      <c r="J25" s="3"/>
      <c r="K25" s="3" t="str">
        <f ca="1">IFERROR(__xludf.DUMMYFUNCTION("""COMPUTED_VALUE"""),"B")</f>
        <v>B</v>
      </c>
      <c r="L25" s="3" t="str">
        <f ca="1">IFERROR(__xludf.DUMMYFUNCTION("""COMPUTED_VALUE"""),"A característica fundamental é que ele não é mais
somente um agricultor ou um pecuarista: ele combina
atividades agropecuárias com outras atividades não
agrícolas dentro ou fora de seu estabelecimento, tanto
nos ramos tradicionais urbano-industriais como "&amp;"nas
novas atividades que vêm se desenvolvendo no meio
rural, como lazer, turismo, conservação da natureza,
moradia e prestação de serviços pessoais")</f>
        <v>A característica fundamental é que ele não é mais
somente um agricultor ou um pecuarista: ele combina
atividades agropecuárias com outras atividades não
agrícolas dentro ou fora de seu estabelecimento, tanto
nos ramos tradicionais urbano-industriais como nas
novas atividades que vêm se desenvolvendo no meio
rural, como lazer, turismo, conservação da natureza,
moradia e prestação de serviços pessoais</v>
      </c>
      <c r="M25" s="3" t="str">
        <f ca="1">IFERROR(__xludf.DUMMYFUNCTION("""COMPUTED_VALUE"""),"terceirização.")</f>
        <v>terceirização.</v>
      </c>
      <c r="N25" s="3" t="str">
        <f ca="1">IFERROR(__xludf.DUMMYFUNCTION("""COMPUTED_VALUE"""),"pluriatividade.")</f>
        <v>pluriatividade.</v>
      </c>
      <c r="O25" s="3" t="str">
        <f ca="1">IFERROR(__xludf.DUMMYFUNCTION("""COMPUTED_VALUE"""),"agronegócio.")</f>
        <v>agronegócio.</v>
      </c>
      <c r="P25" s="3" t="str">
        <f ca="1">IFERROR(__xludf.DUMMYFUNCTION("""COMPUTED_VALUE"""),"cooperativismo")</f>
        <v>cooperativismo</v>
      </c>
      <c r="Q25" s="3" t="str">
        <f ca="1">IFERROR(__xludf.DUMMYFUNCTION("""COMPUTED_VALUE"""),"associativismo.")</f>
        <v>associativismo.</v>
      </c>
      <c r="R25" s="3"/>
      <c r="S25" s="3"/>
      <c r="T25" s="3"/>
      <c r="U25" s="3"/>
      <c r="V25" s="3"/>
      <c r="W25" s="3"/>
      <c r="X25" s="3"/>
      <c r="Y25" s="3"/>
      <c r="Z25" s="3"/>
    </row>
    <row r="26" spans="1:26" x14ac:dyDescent="0.2">
      <c r="A26" s="2" t="str">
        <f ca="1">IFERROR(__xludf.DUMMYFUNCTION("""COMPUTED_VALUE"""),"https://drive.google.com/open?id=1Lr6_P8bw9gVAhImAgDCpZ12iJfmwP7M7")</f>
        <v>https://drive.google.com/open?id=1Lr6_P8bw9gVAhImAgDCpZ12iJfmwP7M7</v>
      </c>
      <c r="B26" s="3" t="str">
        <f ca="1">IFERROR(__xludf.DUMMYFUNCTION("""COMPUTED_VALUE"""),"Enem")</f>
        <v>Enem</v>
      </c>
      <c r="C26" s="3">
        <f ca="1">IFERROR(__xludf.DUMMYFUNCTION("""COMPUTED_VALUE"""),2016)</f>
        <v>2016</v>
      </c>
      <c r="D26" s="3" t="str">
        <f ca="1">IFERROR(__xludf.DUMMYFUNCTION("""COMPUTED_VALUE"""),"Ciências Humanas")</f>
        <v>Ciências Humanas</v>
      </c>
      <c r="E26" s="3" t="str">
        <f ca="1">IFERROR(__xludf.DUMMYFUNCTION("""COMPUTED_VALUE"""),"Sociologia")</f>
        <v>Sociologia</v>
      </c>
      <c r="F26" s="3" t="str">
        <f ca="1">IFERROR(__xludf.DUMMYFUNCTION("""COMPUTED_VALUE"""),"Sociologia")</f>
        <v>Sociologia</v>
      </c>
      <c r="G26" s="3"/>
      <c r="H26" s="3"/>
      <c r="I26" s="3" t="str">
        <f ca="1">IFERROR(__xludf.DUMMYFUNCTION("""COMPUTED_VALUE"""),"Azul")</f>
        <v>Azul</v>
      </c>
      <c r="J26" s="3"/>
      <c r="K26" s="3" t="str">
        <f ca="1">IFERROR(__xludf.DUMMYFUNCTION("""COMPUTED_VALUE"""),"B")</f>
        <v>B</v>
      </c>
      <c r="L26" s="3" t="str">
        <f ca="1">IFERROR(__xludf.DUMMYFUNCTION("""COMPUTED_VALUE"""),"Ações de educação patrimonial são realizadas
em diferentes contextos e localidades e têm mostrado
resultados surpreendentes ao trazer à tona a autoestima
das comunidades. Em alguns casos, promovem o
desenvolvimento local e indicam soluções inovadoras
de r"&amp;"econhecimento e salvaguarda do patrimônio cultural
para muitas populações.")</f>
        <v>Ações de educação patrimonial são realizadas
em diferentes contextos e localidades e têm mostrado
resultados surpreendentes ao trazer à tona a autoestima
das comunidades. Em alguns casos, promovem o
desenvolvimento local e indicam soluções inovadoras
de reconhecimento e salvaguarda do patrimônio cultural
para muitas populações.</v>
      </c>
      <c r="M26" s="3" t="str">
        <f ca="1">IFERROR(__xludf.DUMMYFUNCTION("""COMPUTED_VALUE"""),"evolução de atividades artesanais herdadas do
passado.")</f>
        <v>evolução de atividades artesanais herdadas do
passado.</v>
      </c>
      <c r="N26" s="3" t="str">
        <f ca="1">IFERROR(__xludf.DUMMYFUNCTION("""COMPUTED_VALUE"""),"representações sociais formadoras de identidades
coletivas.")</f>
        <v>representações sociais formadoras de identidades
coletivas.</v>
      </c>
      <c r="O26" s="3" t="str">
        <f ca="1">IFERROR(__xludf.DUMMYFUNCTION("""COMPUTED_VALUE"""),"mobilizações políticas criadoras de tradições
culturais urbanas.")</f>
        <v>mobilizações políticas criadoras de tradições
culturais urbanas.</v>
      </c>
      <c r="P26" s="3" t="str">
        <f ca="1">IFERROR(__xludf.DUMMYFUNCTION("""COMPUTED_VALUE"""),"D hierarquização de festas folclóricas praticadas por
grupos locais.")</f>
        <v>D hierarquização de festas folclóricas praticadas por
grupos locais.</v>
      </c>
      <c r="Q26" s="3" t="str">
        <f ca="1">IFERROR(__xludf.DUMMYFUNCTION("""COMPUTED_VALUE"""),"formação escolar dos jovens para o trabalho realizado
nas comunidades.")</f>
        <v>formação escolar dos jovens para o trabalho realizado
nas comunidades.</v>
      </c>
      <c r="R26" s="3"/>
      <c r="S26" s="3"/>
      <c r="T26" s="3"/>
      <c r="U26" s="3"/>
      <c r="V26" s="3"/>
      <c r="W26" s="3"/>
      <c r="X26" s="3"/>
      <c r="Y26" s="3"/>
      <c r="Z26" s="3"/>
    </row>
    <row r="27" spans="1:26" x14ac:dyDescent="0.2">
      <c r="A27" s="2" t="str">
        <f ca="1">IFERROR(__xludf.DUMMYFUNCTION("""COMPUTED_VALUE"""),"https://drive.google.com/open?id=13E-f3R8EniH08UWsUvE7i1j7cCPkq7hc")</f>
        <v>https://drive.google.com/open?id=13E-f3R8EniH08UWsUvE7i1j7cCPkq7hc</v>
      </c>
      <c r="B27" s="3" t="str">
        <f ca="1">IFERROR(__xludf.DUMMYFUNCTION("""COMPUTED_VALUE"""),"Enem")</f>
        <v>Enem</v>
      </c>
      <c r="C27" s="3">
        <f ca="1">IFERROR(__xludf.DUMMYFUNCTION("""COMPUTED_VALUE"""),2016)</f>
        <v>2016</v>
      </c>
      <c r="D27" s="3" t="str">
        <f ca="1">IFERROR(__xludf.DUMMYFUNCTION("""COMPUTED_VALUE"""),"Ciências Humanas")</f>
        <v>Ciências Humanas</v>
      </c>
      <c r="E27" s="3" t="str">
        <f ca="1">IFERROR(__xludf.DUMMYFUNCTION("""COMPUTED_VALUE"""),"Sociologia")</f>
        <v>Sociologia</v>
      </c>
      <c r="F27" s="3" t="str">
        <f ca="1">IFERROR(__xludf.DUMMYFUNCTION("""COMPUTED_VALUE"""),"Sociologia")</f>
        <v>Sociologia</v>
      </c>
      <c r="G27" s="3" t="str">
        <f ca="1">IFERROR(__xludf.DUMMYFUNCTION("""COMPUTED_VALUE"""),"História do Brasil")</f>
        <v>História do Brasil</v>
      </c>
      <c r="H27" s="3"/>
      <c r="I27" s="3" t="str">
        <f ca="1">IFERROR(__xludf.DUMMYFUNCTION("""COMPUTED_VALUE"""),"Azul")</f>
        <v>Azul</v>
      </c>
      <c r="J27" s="3">
        <f ca="1">IFERROR(__xludf.DUMMYFUNCTION("""COMPUTED_VALUE"""),10)</f>
        <v>10</v>
      </c>
      <c r="K27" s="3" t="str">
        <f ca="1">IFERROR(__xludf.DUMMYFUNCTION("""COMPUTED_VALUE"""),"B")</f>
        <v>B</v>
      </c>
      <c r="L27" s="3" t="str">
        <f ca="1">IFERROR(__xludf.DUMMYFUNCTION("""COMPUTED_VALUE"""),"O número de votantes potenciais em 1872 era de
1 097 698, o que correspondia a 10,8% da população
total. Esse número poderia chegar a 13%, quando
separamos os escravos dos demais indivíduos.
Em 1886, cinco anos depois de a Lei Saraiva ter sido
aprovada, o"&amp;" número de cidadãos que poderiam se
qualificar eleitores era de 117, 022, isto é, 0,8% da população.
A explicação para a alteração envolvendo o número de
eleitores no período é a
")</f>
        <v xml:space="preserve">O número de votantes potenciais em 1872 era de
1 097 698, o que correspondia a 10,8% da população
total. Esse número poderia chegar a 13%, quando
separamos os escravos dos demais indivíduos.
Em 1886, cinco anos depois de a Lei Saraiva ter sido
aprovada, o número de cidadãos que poderiam se
qualificar eleitores era de 117, 022, isto é, 0,8% da população.
A explicação para a alteração envolvendo o número de
eleitores no período é a
</v>
      </c>
      <c r="M27" s="3" t="str">
        <f ca="1">IFERROR(__xludf.DUMMYFUNCTION("""COMPUTED_VALUE"""),"criação da Justiça Eleitoral.")</f>
        <v>criação da Justiça Eleitoral.</v>
      </c>
      <c r="N27" s="3" t="str">
        <f ca="1">IFERROR(__xludf.DUMMYFUNCTION("""COMPUTED_VALUE"""),"exigência da alfabetização.")</f>
        <v>exigência da alfabetização.</v>
      </c>
      <c r="O27" s="3" t="str">
        <f ca="1">IFERROR(__xludf.DUMMYFUNCTION("""COMPUTED_VALUE"""),"redução da renda nacional.")</f>
        <v>redução da renda nacional.</v>
      </c>
      <c r="P27" s="3" t="str">
        <f ca="1">IFERROR(__xludf.DUMMYFUNCTION("""COMPUTED_VALUE"""),"exclusão do voto feminino.")</f>
        <v>exclusão do voto feminino.</v>
      </c>
      <c r="Q27" s="3" t="str">
        <f ca="1">IFERROR(__xludf.DUMMYFUNCTION("""COMPUTED_VALUE"""),"coibição do voto de cabresto")</f>
        <v>coibição do voto de cabresto</v>
      </c>
      <c r="R27" s="3"/>
      <c r="S27" s="3"/>
      <c r="T27" s="3"/>
      <c r="U27" s="3"/>
      <c r="V27" s="3"/>
      <c r="W27" s="3"/>
      <c r="X27" s="3"/>
      <c r="Y27" s="3"/>
      <c r="Z27" s="3"/>
    </row>
    <row r="28" spans="1:26" x14ac:dyDescent="0.2">
      <c r="A28" s="2" t="str">
        <f ca="1">IFERROR(__xludf.DUMMYFUNCTION("""COMPUTED_VALUE"""),"https://drive.google.com/open?id=1pazox9q6mRBAYc2UPy6FMsBJEHaXnQsJ")</f>
        <v>https://drive.google.com/open?id=1pazox9q6mRBAYc2UPy6FMsBJEHaXnQsJ</v>
      </c>
      <c r="B28" s="3" t="str">
        <f ca="1">IFERROR(__xludf.DUMMYFUNCTION("""COMPUTED_VALUE"""),"Enem")</f>
        <v>Enem</v>
      </c>
      <c r="C28" s="3">
        <f ca="1">IFERROR(__xludf.DUMMYFUNCTION("""COMPUTED_VALUE"""),2016)</f>
        <v>2016</v>
      </c>
      <c r="D28" s="3" t="str">
        <f ca="1">IFERROR(__xludf.DUMMYFUNCTION("""COMPUTED_VALUE"""),"Ciências Humanas")</f>
        <v>Ciências Humanas</v>
      </c>
      <c r="E28" s="3" t="str">
        <f ca="1">IFERROR(__xludf.DUMMYFUNCTION("""COMPUTED_VALUE"""),"Sociologia")</f>
        <v>Sociologia</v>
      </c>
      <c r="F28" s="3" t="str">
        <f ca="1">IFERROR(__xludf.DUMMYFUNCTION("""COMPUTED_VALUE"""),"Sociologia")</f>
        <v>Sociologia</v>
      </c>
      <c r="G28" s="3" t="str">
        <f ca="1">IFERROR(__xludf.DUMMYFUNCTION("""COMPUTED_VALUE"""),"História do Brasil")</f>
        <v>História do Brasil</v>
      </c>
      <c r="H28" s="3"/>
      <c r="I28" s="3" t="str">
        <f ca="1">IFERROR(__xludf.DUMMYFUNCTION("""COMPUTED_VALUE"""),"Azul")</f>
        <v>Azul</v>
      </c>
      <c r="J28" s="3">
        <f ca="1">IFERROR(__xludf.DUMMYFUNCTION("""COMPUTED_VALUE"""),15)</f>
        <v>15</v>
      </c>
      <c r="K28" s="3" t="str">
        <f ca="1">IFERROR(__xludf.DUMMYFUNCTION("""COMPUTED_VALUE"""),"A")</f>
        <v>A</v>
      </c>
      <c r="L28" s="3" t="str">
        <f ca="1">IFERROR(__xludf.DUMMYFUNCTION("""COMPUTED_VALUE"""),"A imagem da relação patrão-empregado geralmente
veiculada pelas classes dominantes brasileiras na
República Velha era de que esta relação se assemelhava
em muitos aspectos à relação entre pais e filhos. O Patrão era uma espécie de “juiz doméstico” que pro"&amp;"curava guiar
e aconselhar o trabalhador, que, em troca, devia realizar
suas tarefas com dedicação e respeitar o seu patrão.
No contexto da transição do trabalho escravo para o
trabalho livre, a construção da imagem descrita no texto
tinha por objetivo
")</f>
        <v xml:space="preserve">A imagem da relação patrão-empregado geralmente
veiculada pelas classes dominantes brasileiras na
República Velha era de que esta relação se assemelhava
em muitos aspectos à relação entre pais e filhos. O Patrão era uma espécie de “juiz doméstico” que procurava guiar
e aconselhar o trabalhador, que, em troca, devia realizar
suas tarefas com dedicação e respeitar o seu patrão.
No contexto da transição do trabalho escravo para o
trabalho livre, a construção da imagem descrita no texto
tinha por objetivo
</v>
      </c>
      <c r="M28" s="3" t="str">
        <f ca="1">IFERROR(__xludf.DUMMYFUNCTION("""COMPUTED_VALUE"""),"Esvaziar o conflito de uma relação baseada na desigualdade entre os indivíduos que dela
participavam.
")</f>
        <v xml:space="preserve">Esvaziar o conflito de uma relação baseada na desigualdade entre os indivíduos que dela
participavam.
</v>
      </c>
      <c r="N28" s="3" t="str">
        <f ca="1">IFERROR(__xludf.DUMMYFUNCTION("""COMPUTED_VALUE"""),"driblar a lentidão da nascente Justiça do Trabalho,
que não conseguiam conter os conflitos cotidianos 
")</f>
        <v xml:space="preserve">driblar a lentidão da nascente Justiça do Trabalho,
que não conseguiam conter os conflitos cotidianos 
</v>
      </c>
      <c r="O28" s="3" t="str">
        <f ca="1">IFERROR(__xludf.DUMMYFUNCTION("""COMPUTED_VALUE"""),"separar os âmbitos público e privado na organização
do trabalho para aumentar a eficiência dos
funcionários.
")</f>
        <v xml:space="preserve">separar os âmbitos público e privado na organização
do trabalho para aumentar a eficiência dos
funcionários.
</v>
      </c>
      <c r="P28" s="3" t="str">
        <f ca="1">IFERROR(__xludf.DUMMYFUNCTION("""COMPUTED_VALUE"""),"burlar a aplicação das leis trabalhistas conquistadas
pelos operários nos primeiros governos civis do
período republicano.
")</f>
        <v xml:space="preserve">burlar a aplicação das leis trabalhistas conquistadas
pelos operários nos primeiros governos civis do
período republicano.
</v>
      </c>
      <c r="Q28" s="3" t="str">
        <f ca="1">IFERROR(__xludf.DUMMYFUNCTION("""COMPUTED_VALUE"""),"compensar os prejuízos econômicos sofridos pelas
elites em função da ausência de indenização pela
libertação dos escravos.
")</f>
        <v xml:space="preserve">compensar os prejuízos econômicos sofridos pelas
elites em função da ausência de indenização pela
libertação dos escravos.
</v>
      </c>
      <c r="R28" s="3"/>
      <c r="S28" s="3"/>
      <c r="T28" s="3"/>
      <c r="U28" s="3"/>
      <c r="V28" s="3"/>
      <c r="W28" s="3"/>
      <c r="X28" s="3"/>
      <c r="Y28" s="3"/>
      <c r="Z28" s="3"/>
    </row>
    <row r="29" spans="1:26" x14ac:dyDescent="0.2">
      <c r="A29" s="2" t="str">
        <f ca="1">IFERROR(__xludf.DUMMYFUNCTION("""COMPUTED_VALUE"""),"https://drive.google.com/open?id=1rI2XVZdHqHtn2FGNZU1SuGF54qO-pRDZ")</f>
        <v>https://drive.google.com/open?id=1rI2XVZdHqHtn2FGNZU1SuGF54qO-pRDZ</v>
      </c>
      <c r="B29" s="3" t="str">
        <f ca="1">IFERROR(__xludf.DUMMYFUNCTION("""COMPUTED_VALUE"""),"Enem")</f>
        <v>Enem</v>
      </c>
      <c r="C29" s="3">
        <f ca="1">IFERROR(__xludf.DUMMYFUNCTION("""COMPUTED_VALUE"""),2016)</f>
        <v>2016</v>
      </c>
      <c r="D29" s="3" t="str">
        <f ca="1">IFERROR(__xludf.DUMMYFUNCTION("""COMPUTED_VALUE"""),"Ciências Humanas")</f>
        <v>Ciências Humanas</v>
      </c>
      <c r="E29" s="3" t="str">
        <f ca="1">IFERROR(__xludf.DUMMYFUNCTION("""COMPUTED_VALUE"""),"Sociologia")</f>
        <v>Sociologia</v>
      </c>
      <c r="F29" s="3" t="str">
        <f ca="1">IFERROR(__xludf.DUMMYFUNCTION("""COMPUTED_VALUE"""),"Sociologia")</f>
        <v>Sociologia</v>
      </c>
      <c r="G29" s="3"/>
      <c r="H29" s="3"/>
      <c r="I29" s="3" t="str">
        <f ca="1">IFERROR(__xludf.DUMMYFUNCTION("""COMPUTED_VALUE"""),"Azul")</f>
        <v>Azul</v>
      </c>
      <c r="J29" s="3">
        <f ca="1">IFERROR(__xludf.DUMMYFUNCTION("""COMPUTED_VALUE"""),21)</f>
        <v>21</v>
      </c>
      <c r="K29" s="3" t="str">
        <f ca="1">IFERROR(__xludf.DUMMYFUNCTION("""COMPUTED_VALUE"""),"E")</f>
        <v>E</v>
      </c>
      <c r="L29" s="3" t="str">
        <f ca="1">IFERROR(__xludf.DUMMYFUNCTION("""COMPUTED_VALUE"""),"Com base nos textos, a relação entre trabalho e modo de
produção capitalista é")</f>
        <v>Com base nos textos, a relação entre trabalho e modo de
produção capitalista é</v>
      </c>
      <c r="M29" s="3" t="str">
        <f ca="1">IFERROR(__xludf.DUMMYFUNCTION("""COMPUTED_VALUE""")," baseada na desvalorização do trabalho especializado e no aumento da demanda social por novos postos de emprego. 
")</f>
        <v xml:space="preserve"> baseada na desvalorização do trabalho especializado e no aumento da demanda social por novos postos de emprego. 
</v>
      </c>
      <c r="N29" s="3" t="str">
        <f ca="1">IFERROR(__xludf.DUMMYFUNCTION("""COMPUTED_VALUE"""),"fundada no crescimento proporcional entre o número de trabalhadores e o aumento da produção de bens e serviços. 
")</f>
        <v xml:space="preserve">fundada no crescimento proporcional entre o número de trabalhadores e o aumento da produção de bens e serviços. 
</v>
      </c>
      <c r="O29" s="3" t="str">
        <f ca="1">IFERROR(__xludf.DUMMYFUNCTION("""COMPUTED_VALUE""")," estruturada na distribuição equânime de renda e no declínio do capitalismo industrial e tecnocrata. 
")</f>
        <v xml:space="preserve"> estruturada na distribuição equânime de renda e no declínio do capitalismo industrial e tecnocrata. 
</v>
      </c>
      <c r="P29" s="3" t="str">
        <f ca="1">IFERROR(__xludf.DUMMYFUNCTION("""COMPUTED_VALUE"""),"instaurada a partir do fortalecimento da luta de classes e da criação da economia solidária. 
")</f>
        <v xml:space="preserve">instaurada a partir do fortalecimento da luta de classes e da criação da economia solidária. 
</v>
      </c>
      <c r="Q29" s="3" t="str">
        <f ca="1">IFERROR(__xludf.DUMMYFUNCTION("""COMPUTED_VALUE"""),"derivada do aumento da riqueza e da ampliação da exploração do trabalhador.
")</f>
        <v xml:space="preserve">derivada do aumento da riqueza e da ampliação da exploração do trabalhador.
</v>
      </c>
      <c r="R29" s="3"/>
      <c r="S29" s="3"/>
      <c r="T29" s="3"/>
      <c r="U29" s="3"/>
      <c r="V29" s="3"/>
      <c r="W29" s="3"/>
      <c r="X29" s="3"/>
      <c r="Y29" s="3"/>
      <c r="Z29" s="3"/>
    </row>
    <row r="30" spans="1:26" x14ac:dyDescent="0.2">
      <c r="A30" s="2" t="str">
        <f ca="1">IFERROR(__xludf.DUMMYFUNCTION("""COMPUTED_VALUE"""),"https://drive.google.com/open?id=1Fajx3W91ZYUeazTy9teqMEqfotqihoLn")</f>
        <v>https://drive.google.com/open?id=1Fajx3W91ZYUeazTy9teqMEqfotqihoLn</v>
      </c>
      <c r="B30" s="3" t="str">
        <f ca="1">IFERROR(__xludf.DUMMYFUNCTION("""COMPUTED_VALUE"""),"Enem")</f>
        <v>Enem</v>
      </c>
      <c r="C30" s="3">
        <f ca="1">IFERROR(__xludf.DUMMYFUNCTION("""COMPUTED_VALUE"""),2016)</f>
        <v>2016</v>
      </c>
      <c r="D30" s="3" t="str">
        <f ca="1">IFERROR(__xludf.DUMMYFUNCTION("""COMPUTED_VALUE"""),"Ciências Humanas")</f>
        <v>Ciências Humanas</v>
      </c>
      <c r="E30" s="3" t="str">
        <f ca="1">IFERROR(__xludf.DUMMYFUNCTION("""COMPUTED_VALUE"""),"Sociologia")</f>
        <v>Sociologia</v>
      </c>
      <c r="F30" s="3" t="str">
        <f ca="1">IFERROR(__xludf.DUMMYFUNCTION("""COMPUTED_VALUE"""),"Sociologia")</f>
        <v>Sociologia</v>
      </c>
      <c r="G30" s="3" t="str">
        <f ca="1">IFERROR(__xludf.DUMMYFUNCTION("""COMPUTED_VALUE"""),"Geografia do Brasil")</f>
        <v>Geografia do Brasil</v>
      </c>
      <c r="H30" s="3"/>
      <c r="I30" s="3" t="str">
        <f ca="1">IFERROR(__xludf.DUMMYFUNCTION("""COMPUTED_VALUE"""),"Azul")</f>
        <v>Azul</v>
      </c>
      <c r="J30" s="3">
        <f ca="1">IFERROR(__xludf.DUMMYFUNCTION("""COMPUTED_VALUE"""),24)</f>
        <v>24</v>
      </c>
      <c r="K30" s="3" t="str">
        <f ca="1">IFERROR(__xludf.DUMMYFUNCTION("""COMPUTED_VALUE"""),"B")</f>
        <v>B</v>
      </c>
      <c r="L30" s="3" t="str">
        <f ca="1">IFERROR(__xludf.DUMMYFUNCTION("""COMPUTED_VALUE"""),"A favela é vista como um lugar sem ordem, capaz de ameaçar os que nela não se incluem. Atribuir-lhe a ideia de perigo é o mesmo que reafirmar os valores e estruturas da sociedade que busca viver diferentemente do que se considera do que é viver na favela."&amp;" Alguns oficiantes do direito, ao defenderem ou acusarem réus moradores de favelas, usam em seus discursos representações previamente formuladas pela sociedade e incorporadas neste campo profissional. Suas falas se fundamentam nas representações inventada"&amp;"s a respeito da favela e que acabam por marcar a identidade dos indivíduos que nela residem. O estigma apontado no texto tem como consequência o(a) 
")</f>
        <v xml:space="preserve">A favela é vista como um lugar sem ordem, capaz de ameaçar os que nela não se incluem. Atribuir-lhe a ideia de perigo é o mesmo que reafirmar os valores e estruturas da sociedade que busca viver diferentemente do que se considera do que é viver na favela. Alguns oficiantes do direito, ao defenderem ou acusarem réus moradores de favelas, usam em seus discursos representações previamente formuladas pela sociedade e incorporadas neste campo profissional. Suas falas se fundamentam nas representações inventadas a respeito da favela e que acabam por marcar a identidade dos indivíduos que nela residem. O estigma apontado no texto tem como consequência o(a) 
</v>
      </c>
      <c r="M30" s="3" t="str">
        <f ca="1">IFERROR(__xludf.DUMMYFUNCTION("""COMPUTED_VALUE"""),"aumento da impunidade criminal. 
")</f>
        <v xml:space="preserve">aumento da impunidade criminal. 
</v>
      </c>
      <c r="N30" s="3" t="str">
        <f ca="1">IFERROR(__xludf.DUMMYFUNCTION("""COMPUTED_VALUE"""),"enfraquecimento dos direitos civis. 
")</f>
        <v xml:space="preserve">enfraquecimento dos direitos civis. 
</v>
      </c>
      <c r="O30" s="3" t="str">
        <f ca="1">IFERROR(__xludf.DUMMYFUNCTION("""COMPUTED_VALUE"""),"distorção na representação política. 
")</f>
        <v xml:space="preserve">distorção na representação política. 
</v>
      </c>
      <c r="P30" s="3" t="str">
        <f ca="1">IFERROR(__xludf.DUMMYFUNCTION("""COMPUTED_VALUE"""),"crescimento dos índices de criminalidade.
")</f>
        <v xml:space="preserve">crescimento dos índices de criminalidade.
</v>
      </c>
      <c r="Q30" s="3" t="str">
        <f ca="1">IFERROR(__xludf.DUMMYFUNCTION("""COMPUTED_VALUE"""),"Ineficiência das medidas socioeducativas
")</f>
        <v xml:space="preserve">Ineficiência das medidas socioeducativas
</v>
      </c>
      <c r="R30" s="3"/>
      <c r="S30" s="3"/>
      <c r="T30" s="3"/>
      <c r="U30" s="3"/>
      <c r="V30" s="3"/>
      <c r="W30" s="3"/>
      <c r="X30" s="3"/>
      <c r="Y30" s="3"/>
      <c r="Z30" s="3"/>
    </row>
    <row r="31" spans="1:26" x14ac:dyDescent="0.2">
      <c r="A31" s="2" t="str">
        <f ca="1">IFERROR(__xludf.DUMMYFUNCTION("""COMPUTED_VALUE"""),"https://drive.google.com/open?id=1vvIZ2hSqjXoxlAwxqTe50O9M3qPWTKi7")</f>
        <v>https://drive.google.com/open?id=1vvIZ2hSqjXoxlAwxqTe50O9M3qPWTKi7</v>
      </c>
      <c r="B31" s="3" t="str">
        <f ca="1">IFERROR(__xludf.DUMMYFUNCTION("""COMPUTED_VALUE"""),"Enem")</f>
        <v>Enem</v>
      </c>
      <c r="C31" s="3">
        <f ca="1">IFERROR(__xludf.DUMMYFUNCTION("""COMPUTED_VALUE"""),2016)</f>
        <v>2016</v>
      </c>
      <c r="D31" s="3" t="str">
        <f ca="1">IFERROR(__xludf.DUMMYFUNCTION("""COMPUTED_VALUE"""),"Ciências Humanas")</f>
        <v>Ciências Humanas</v>
      </c>
      <c r="E31" s="3" t="str">
        <f ca="1">IFERROR(__xludf.DUMMYFUNCTION("""COMPUTED_VALUE"""),"Sociologia")</f>
        <v>Sociologia</v>
      </c>
      <c r="F31" s="3" t="str">
        <f ca="1">IFERROR(__xludf.DUMMYFUNCTION("""COMPUTED_VALUE"""),"Sociologia")</f>
        <v>Sociologia</v>
      </c>
      <c r="G31" s="3" t="str">
        <f ca="1">IFERROR(__xludf.DUMMYFUNCTION("""COMPUTED_VALUE"""),"História do Brasil")</f>
        <v>História do Brasil</v>
      </c>
      <c r="H31" s="3"/>
      <c r="I31" s="3" t="str">
        <f ca="1">IFERROR(__xludf.DUMMYFUNCTION("""COMPUTED_VALUE"""),"Azul")</f>
        <v>Azul</v>
      </c>
      <c r="J31" s="3">
        <f ca="1">IFERROR(__xludf.DUMMYFUNCTION("""COMPUTED_VALUE"""),36)</f>
        <v>36</v>
      </c>
      <c r="K31" s="3" t="str">
        <f ca="1">IFERROR(__xludf.DUMMYFUNCTION("""COMPUTED_VALUE"""),"B")</f>
        <v>B</v>
      </c>
      <c r="L31" s="3" t="str">
        <f ca="1">IFERROR(__xludf.DUMMYFUNCTION("""COMPUTED_VALUE"""),"O processo de justiça é um processo ora de diversificação do diverso, ora da unificação do idêntico.  A igualdade entre todos os seres humanos em relação aos direitos fundamentais é o resultado de um processo de gradual eliminação de discriminações e, por"&amp;"tanto, de unificação daquilo que ia sendo reconhecido como idêntico: uma natureza comum do homem acima de qualquer diferença de sexo, raça, religião etc.
De acordo com o texto, a construção de uma sociedade democrática fundamenta-se em: 
")</f>
        <v xml:space="preserve">O processo de justiça é um processo ora de diversificação do diverso, ora da unificação do idêntico.  A igualdade entre todos os seres humanos em relação aos direitos fundamentais é o resultado de um processo de gradual eliminação de discriminações e, portanto, de unificação daquilo que ia sendo reconhecido como idêntico: uma natureza comum do homem acima de qualquer diferença de sexo, raça, religião etc.
De acordo com o texto, a construção de uma sociedade democrática fundamenta-se em: 
</v>
      </c>
      <c r="M31" s="3" t="str">
        <f ca="1">IFERROR(__xludf.DUMMYFUNCTION("""COMPUTED_VALUE"""),"A norma estabelecida pela disciplina social. 
")</f>
        <v xml:space="preserve">A norma estabelecida pela disciplina social. 
</v>
      </c>
      <c r="N31" s="3" t="str">
        <f ca="1">IFERROR(__xludf.DUMMYFUNCTION("""COMPUTED_VALUE"""),"A pertença dos indivíduos à mesma categoria. ")</f>
        <v xml:space="preserve">A pertença dos indivíduos à mesma categoria. </v>
      </c>
      <c r="O31" s="3" t="str">
        <f ca="1">IFERROR(__xludf.DUMMYFUNCTION("""COMPUTED_VALUE"""),"A ausência de constrangimentos de ordem pública. 
")</f>
        <v xml:space="preserve">A ausência de constrangimentos de ordem pública. 
</v>
      </c>
      <c r="P31" s="3" t="str">
        <f ca="1">IFERROR(__xludf.DUMMYFUNCTION("""COMPUTED_VALUE"""),"A debilitação das esperanças na condição humana. 
")</f>
        <v xml:space="preserve">A debilitação das esperanças na condição humana. 
</v>
      </c>
      <c r="Q31" s="3" t="str">
        <f ca="1">IFERROR(__xludf.DUMMYFUNCTION("""COMPUTED_VALUE"""),"A garantia da segurança das pessoas e valores
")</f>
        <v xml:space="preserve">A garantia da segurança das pessoas e valores
</v>
      </c>
      <c r="R31" s="3"/>
      <c r="S31" s="3"/>
      <c r="T31" s="3"/>
      <c r="U31" s="3"/>
      <c r="V31" s="3"/>
      <c r="W31" s="3"/>
      <c r="X31" s="3"/>
      <c r="Y31" s="3"/>
      <c r="Z31" s="3"/>
    </row>
    <row r="32" spans="1:26" x14ac:dyDescent="0.2">
      <c r="A32" s="2" t="str">
        <f ca="1">IFERROR(__xludf.DUMMYFUNCTION("""COMPUTED_VALUE"""),"https://drive.google.com/open?id=1kywtTt-ZdCFMbk7B8Z1Qomf_57KoJADR")</f>
        <v>https://drive.google.com/open?id=1kywtTt-ZdCFMbk7B8Z1Qomf_57KoJADR</v>
      </c>
      <c r="B32" s="3" t="str">
        <f ca="1">IFERROR(__xludf.DUMMYFUNCTION("""COMPUTED_VALUE"""),"Enem")</f>
        <v>Enem</v>
      </c>
      <c r="C32" s="3">
        <f ca="1">IFERROR(__xludf.DUMMYFUNCTION("""COMPUTED_VALUE"""),2016)</f>
        <v>2016</v>
      </c>
      <c r="D32" s="3" t="str">
        <f ca="1">IFERROR(__xludf.DUMMYFUNCTION("""COMPUTED_VALUE"""),"Ciências Humanas")</f>
        <v>Ciências Humanas</v>
      </c>
      <c r="E32" s="3" t="str">
        <f ca="1">IFERROR(__xludf.DUMMYFUNCTION("""COMPUTED_VALUE"""),"Sociologia")</f>
        <v>Sociologia</v>
      </c>
      <c r="F32" s="3" t="str">
        <f ca="1">IFERROR(__xludf.DUMMYFUNCTION("""COMPUTED_VALUE"""),"Sociologia")</f>
        <v>Sociologia</v>
      </c>
      <c r="G32" s="3" t="str">
        <f ca="1">IFERROR(__xludf.DUMMYFUNCTION("""COMPUTED_VALUE"""),"Geografia do Brasil")</f>
        <v>Geografia do Brasil</v>
      </c>
      <c r="H32" s="3"/>
      <c r="I32" s="3" t="str">
        <f ca="1">IFERROR(__xludf.DUMMYFUNCTION("""COMPUTED_VALUE"""),"Azul")</f>
        <v>Azul</v>
      </c>
      <c r="J32" s="3">
        <f ca="1">IFERROR(__xludf.DUMMYFUNCTION("""COMPUTED_VALUE"""),39)</f>
        <v>39</v>
      </c>
      <c r="K32" s="3" t="str">
        <f ca="1">IFERROR(__xludf.DUMMYFUNCTION("""COMPUTED_VALUE"""),"B")</f>
        <v>B</v>
      </c>
      <c r="L32" s="3" t="str">
        <f ca="1">IFERROR(__xludf.DUMMYFUNCTION("""COMPUTED_VALUE"""),"Simples, saborosa e, acima de tudo, exótica. Se a culinária brasileira tem o tempero do estranhamento, esta verdade decorre de dois elementos: a dimensão do território e a infinidade de ingredientes. Percebe-se que o segredo da cozinha brasileira é a mist"&amp;"ura com ingredientes e técnicas indígenas. É esse o elemento que a torna autêntica.O processo de formação identitária descrito no texto está associado à 
")</f>
        <v xml:space="preserve">Simples, saborosa e, acima de tudo, exótica. Se a culinária brasileira tem o tempero do estranhamento, esta verdade decorre de dois elementos: a dimensão do território e a infinidade de ingredientes. Percebe-se que o segredo da cozinha brasileira é a mistura com ingredientes e técnicas indígenas. É esse o elemento que a torna autêntica.O processo de formação identitária descrito no texto está associado à 
</v>
      </c>
      <c r="M32" s="3" t="str">
        <f ca="1">IFERROR(__xludf.DUMMYFUNCTION("""COMPUTED_VALUE"""),"imposição de rituais sagrados. 
")</f>
        <v xml:space="preserve">imposição de rituais sagrados. 
</v>
      </c>
      <c r="N32" s="3" t="str">
        <f ca="1">IFERROR(__xludf.DUMMYFUNCTION("""COMPUTED_VALUE"""),"assimilação de tradições culturais. 
")</f>
        <v xml:space="preserve">assimilação de tradições culturais. 
</v>
      </c>
      <c r="O32" s="3" t="str">
        <f ca="1">IFERROR(__xludf.DUMMYFUNCTION("""COMPUTED_VALUE"""),"tipificação de hábitos comunitários 
")</f>
        <v xml:space="preserve">tipificação de hábitos comunitários 
</v>
      </c>
      <c r="P32" s="3" t="str">
        <f ca="1">IFERROR(__xludf.DUMMYFUNCTION("""COMPUTED_VALUE"""),"hierarquização de conhecimentos tribais. 
")</f>
        <v xml:space="preserve">hierarquização de conhecimentos tribais. 
</v>
      </c>
      <c r="Q32" s="3" t="str">
        <f ca="1">IFERROR(__xludf.DUMMYFUNCTION("""COMPUTED_VALUE"""),"superação de diferenças etnorraciais.
")</f>
        <v xml:space="preserve">superação de diferenças etnorraciais.
</v>
      </c>
      <c r="R32" s="3"/>
      <c r="S32" s="3"/>
      <c r="T32" s="3"/>
      <c r="U32" s="3"/>
      <c r="V32" s="3"/>
      <c r="W32" s="3"/>
      <c r="X32" s="3"/>
      <c r="Y32" s="3"/>
      <c r="Z32" s="3"/>
    </row>
    <row r="33" spans="1:26" x14ac:dyDescent="0.2">
      <c r="A33" s="2" t="str">
        <f ca="1">IFERROR(__xludf.DUMMYFUNCTION("""COMPUTED_VALUE"""),"https://drive.google.com/open?id=1lEhdQ36teqoR2-cE1TviDr_MKiYRMRBO")</f>
        <v>https://drive.google.com/open?id=1lEhdQ36teqoR2-cE1TviDr_MKiYRMRBO</v>
      </c>
      <c r="B33" s="3" t="str">
        <f ca="1">IFERROR(__xludf.DUMMYFUNCTION("""COMPUTED_VALUE"""),"Enem")</f>
        <v>Enem</v>
      </c>
      <c r="C33" s="3">
        <f ca="1">IFERROR(__xludf.DUMMYFUNCTION("""COMPUTED_VALUE"""),2016)</f>
        <v>2016</v>
      </c>
      <c r="D33" s="3" t="str">
        <f ca="1">IFERROR(__xludf.DUMMYFUNCTION("""COMPUTED_VALUE"""),"Ciências Humanas")</f>
        <v>Ciências Humanas</v>
      </c>
      <c r="E33" s="3" t="str">
        <f ca="1">IFERROR(__xludf.DUMMYFUNCTION("""COMPUTED_VALUE"""),"Sociologia")</f>
        <v>Sociologia</v>
      </c>
      <c r="F33" s="3" t="str">
        <f ca="1">IFERROR(__xludf.DUMMYFUNCTION("""COMPUTED_VALUE"""),"Sociologia")</f>
        <v>Sociologia</v>
      </c>
      <c r="G33" s="3" t="str">
        <f ca="1">IFERROR(__xludf.DUMMYFUNCTION("""COMPUTED_VALUE"""),"Filosofia")</f>
        <v>Filosofia</v>
      </c>
      <c r="H33" s="3"/>
      <c r="I33" s="3" t="str">
        <f ca="1">IFERROR(__xludf.DUMMYFUNCTION("""COMPUTED_VALUE"""),"Azul")</f>
        <v>Azul</v>
      </c>
      <c r="J33" s="3">
        <f ca="1">IFERROR(__xludf.DUMMYFUNCTION("""COMPUTED_VALUE"""),11)</f>
        <v>11</v>
      </c>
      <c r="K33" s="3" t="str">
        <f ca="1">IFERROR(__xludf.DUMMYFUNCTION("""COMPUTED_VALUE"""),"B")</f>
        <v>B</v>
      </c>
      <c r="L33" s="3" t="str">
        <f ca="1">IFERROR(__xludf.DUMMYFUNCTION("""COMPUTED_VALUE"""),"A justiça e a conformidade ao contrato consistem em algo com que a maioria dos homens parece concordar. Constitui um princípio julgado estender-se até os esconderijos dos ladrões e às confederações dos maiores vilões; até os que se afastaram a tal ponto d"&amp;"a própria humanidade conservam entre si a fé e as regras da justiça. De acordo com Locke, até a mais precária coletividade depende de uma noção de justiça, pois tal noção 
")</f>
        <v xml:space="preserve">A justiça e a conformidade ao contrato consistem em algo com que a maioria dos homens parece concordar. Constitui um princípio julgado estender-se até os esconderijos dos ladrões e às confederações dos maiores vilões; até os que se afastaram a tal ponto da própria humanidade conservam entre si a fé e as regras da justiça. De acordo com Locke, até a mais precária coletividade depende de uma noção de justiça, pois tal noção 
</v>
      </c>
      <c r="M33" s="3" t="str">
        <f ca="1">IFERROR(__xludf.DUMMYFUNCTION("""COMPUTED_VALUE"""),"identifica indivíduos despreparados para a vida em comum")</f>
        <v>identifica indivíduos despreparados para a vida em comum</v>
      </c>
      <c r="N33" s="3" t="str">
        <f ca="1">IFERROR(__xludf.DUMMYFUNCTION("""COMPUTED_VALUE"""),"contribui com a manutenção da ordem e do equilíbrio social")</f>
        <v>contribui com a manutenção da ordem e do equilíbrio social</v>
      </c>
      <c r="O33" s="3" t="str">
        <f ca="1">IFERROR(__xludf.DUMMYFUNCTION("""COMPUTED_VALUE"""),"estabelece um conjunto de regras para a formação da sociedade")</f>
        <v>estabelece um conjunto de regras para a formação da sociedade</v>
      </c>
      <c r="P33" s="3" t="str">
        <f ca="1">IFERROR(__xludf.DUMMYFUNCTION("""COMPUTED_VALUE"""),"determina o que é certo ou errado num contexto de
interesses conflitantes.
")</f>
        <v xml:space="preserve">determina o que é certo ou errado num contexto de
interesses conflitantes.
</v>
      </c>
      <c r="Q33" s="3" t="str">
        <f ca="1">IFERROR(__xludf.DUMMYFUNCTION("""COMPUTED_VALUE"""),"representa os interesses da coletividade, expressos pela vontade da maioria.
")</f>
        <v xml:space="preserve">representa os interesses da coletividade, expressos pela vontade da maioria.
</v>
      </c>
      <c r="R33" s="3"/>
      <c r="S33" s="3"/>
      <c r="T33" s="3"/>
      <c r="U33" s="3"/>
      <c r="V33" s="3"/>
      <c r="W33" s="3"/>
      <c r="X33" s="3"/>
      <c r="Y33" s="3"/>
      <c r="Z33" s="3"/>
    </row>
    <row r="34" spans="1:26" x14ac:dyDescent="0.2">
      <c r="A34" s="2" t="str">
        <f ca="1">IFERROR(__xludf.DUMMYFUNCTION("""COMPUTED_VALUE"""),"https://drive.google.com/open?id=1tlRMbSV292t1f4WpaDRLMdqqY7JRmkAp")</f>
        <v>https://drive.google.com/open?id=1tlRMbSV292t1f4WpaDRLMdqqY7JRmkAp</v>
      </c>
      <c r="B34" s="3" t="str">
        <f ca="1">IFERROR(__xludf.DUMMYFUNCTION("""COMPUTED_VALUE"""),"Enem")</f>
        <v>Enem</v>
      </c>
      <c r="C34" s="3">
        <f ca="1">IFERROR(__xludf.DUMMYFUNCTION("""COMPUTED_VALUE"""),2016)</f>
        <v>2016</v>
      </c>
      <c r="D34" s="3" t="str">
        <f ca="1">IFERROR(__xludf.DUMMYFUNCTION("""COMPUTED_VALUE"""),"Ciências Humanas")</f>
        <v>Ciências Humanas</v>
      </c>
      <c r="E34" s="3" t="str">
        <f ca="1">IFERROR(__xludf.DUMMYFUNCTION("""COMPUTED_VALUE"""),"Sociologia")</f>
        <v>Sociologia</v>
      </c>
      <c r="F34" s="3" t="str">
        <f ca="1">IFERROR(__xludf.DUMMYFUNCTION("""COMPUTED_VALUE"""),"Sociologia")</f>
        <v>Sociologia</v>
      </c>
      <c r="G34" s="3" t="str">
        <f ca="1">IFERROR(__xludf.DUMMYFUNCTION("""COMPUTED_VALUE"""),"Geografia do Brasil")</f>
        <v>Geografia do Brasil</v>
      </c>
      <c r="H34" s="3"/>
      <c r="I34" s="3" t="str">
        <f ca="1">IFERROR(__xludf.DUMMYFUNCTION("""COMPUTED_VALUE"""),"Azul")</f>
        <v>Azul</v>
      </c>
      <c r="J34" s="3">
        <f ca="1">IFERROR(__xludf.DUMMYFUNCTION("""COMPUTED_VALUE"""),14)</f>
        <v>14</v>
      </c>
      <c r="K34" s="3" t="str">
        <f ca="1">IFERROR(__xludf.DUMMYFUNCTION("""COMPUTED_VALUE"""),"B")</f>
        <v>B</v>
      </c>
      <c r="L34" s="3" t="str">
        <f ca="1">IFERROR(__xludf.DUMMYFUNCTION("""COMPUTED_VALUE"""),"A demanda da comunidade afro-brasileira por reconhecimento, valorização e afirmação de direitos, no que que diz respeito à educação, passou a ser particularmente
apoiada com a promulgação da Lei 10.639/2003, que
alterou a Lei 9.394/1996, estabelecendo a o"&amp;"brigatoriedade
do ensino de história e cultura afro-brasileiras e africanas.
A alteração legal no Brasil contemporâneo descrita no
texto é resultado do processo de")</f>
        <v>A demanda da comunidade afro-brasileira por reconhecimento, valorização e afirmação de direitos, no que que diz respeito à educação, passou a ser particularmente
apoiada com a promulgação da Lei 10.639/2003, que
alterou a Lei 9.394/1996, estabelecendo a obrigatoriedade
do ensino de história e cultura afro-brasileiras e africanas.
A alteração legal no Brasil contemporâneo descrita no
texto é resultado do processo de</v>
      </c>
      <c r="M34" s="3" t="str">
        <f ca="1">IFERROR(__xludf.DUMMYFUNCTION("""COMPUTED_VALUE"""),"aumento da renda nacional")</f>
        <v>aumento da renda nacional</v>
      </c>
      <c r="N34" s="3" t="str">
        <f ca="1">IFERROR(__xludf.DUMMYFUNCTION("""COMPUTED_VALUE"""),"mobilização do movimento negro")</f>
        <v>mobilização do movimento negro</v>
      </c>
      <c r="O34" s="3" t="str">
        <f ca="1">IFERROR(__xludf.DUMMYFUNCTION("""COMPUTED_VALUE"""),"melhoria da infraestrutura escolar")</f>
        <v>melhoria da infraestrutura escolar</v>
      </c>
      <c r="P34" s="3" t="str">
        <f ca="1">IFERROR(__xludf.DUMMYFUNCTION("""COMPUTED_VALUE"""),"ampliação das disciplinas obrigatórias")</f>
        <v>ampliação das disciplinas obrigatórias</v>
      </c>
      <c r="Q34" s="3" t="str">
        <f ca="1">IFERROR(__xludf.DUMMYFUNCTION("""COMPUTED_VALUE"""),"politização das universidades públicas.")</f>
        <v>politização das universidades públicas.</v>
      </c>
      <c r="R34" s="3"/>
      <c r="S34" s="3"/>
      <c r="T34" s="3"/>
      <c r="U34" s="3"/>
      <c r="V34" s="3"/>
      <c r="W34" s="3"/>
      <c r="X34" s="3"/>
      <c r="Y34" s="3"/>
      <c r="Z34" s="3"/>
    </row>
    <row r="35" spans="1:26" x14ac:dyDescent="0.2">
      <c r="A35" s="2" t="str">
        <f ca="1">IFERROR(__xludf.DUMMYFUNCTION("""COMPUTED_VALUE"""),"https://drive.google.com/open?id=1uu785Ijmm5i5hF1K63duqKTKxGcynaNl")</f>
        <v>https://drive.google.com/open?id=1uu785Ijmm5i5hF1K63duqKTKxGcynaNl</v>
      </c>
      <c r="B35" s="3" t="str">
        <f ca="1">IFERROR(__xludf.DUMMYFUNCTION("""COMPUTED_VALUE"""),"Enem")</f>
        <v>Enem</v>
      </c>
      <c r="C35" s="3">
        <f ca="1">IFERROR(__xludf.DUMMYFUNCTION("""COMPUTED_VALUE"""),2016)</f>
        <v>2016</v>
      </c>
      <c r="D35" s="3" t="str">
        <f ca="1">IFERROR(__xludf.DUMMYFUNCTION("""COMPUTED_VALUE"""),"Ciências Humanas")</f>
        <v>Ciências Humanas</v>
      </c>
      <c r="E35" s="3" t="str">
        <f ca="1">IFERROR(__xludf.DUMMYFUNCTION("""COMPUTED_VALUE"""),"Sociologia")</f>
        <v>Sociologia</v>
      </c>
      <c r="F35" s="3" t="str">
        <f ca="1">IFERROR(__xludf.DUMMYFUNCTION("""COMPUTED_VALUE"""),"Sociologia")</f>
        <v>Sociologia</v>
      </c>
      <c r="G35" s="3" t="str">
        <f ca="1">IFERROR(__xludf.DUMMYFUNCTION("""COMPUTED_VALUE"""),"Geografia Geral")</f>
        <v>Geografia Geral</v>
      </c>
      <c r="H35" s="3"/>
      <c r="I35" s="3" t="str">
        <f ca="1">IFERROR(__xludf.DUMMYFUNCTION("""COMPUTED_VALUE"""),"Azul")</f>
        <v>Azul</v>
      </c>
      <c r="J35" s="3">
        <f ca="1">IFERROR(__xludf.DUMMYFUNCTION("""COMPUTED_VALUE"""),16)</f>
        <v>16</v>
      </c>
      <c r="K35" s="3" t="str">
        <f ca="1">IFERROR(__xludf.DUMMYFUNCTION("""COMPUTED_VALUE"""),"D")</f>
        <v>D</v>
      </c>
      <c r="L35" s="3" t="str">
        <f ca="1">IFERROR(__xludf.DUMMYFUNCTION("""COMPUTED_VALUE""")," Diante dos fatos e da análise apresentados, a política econômica e a demanda popular correlacionada encontram-se, respectivamente, em 
")</f>
        <v xml:space="preserve"> Diante dos fatos e da análise apresentados, a política econômica e a demanda popular correlacionada encontram-se, respectivamente, em 
</v>
      </c>
      <c r="M35" s="3" t="str">
        <f ca="1">IFERROR(__xludf.DUMMYFUNCTION("""COMPUTED_VALUE""")," controle da dívida interna e implementação das regras patronais. ")</f>
        <v xml:space="preserve"> controle da dívida interna e implementação das regras patronais. </v>
      </c>
      <c r="N35" s="3" t="str">
        <f ca="1">IFERROR(__xludf.DUMMYFUNCTION("""COMPUTED_VALUE"""),"afrouxamento da economia de mercado e superação da lógica individualista. ")</f>
        <v xml:space="preserve">afrouxamento da economia de mercado e superação da lógica individualista. </v>
      </c>
      <c r="O35" s="3" t="str">
        <f ca="1">IFERROR(__xludf.DUMMYFUNCTION("""COMPUTED_VALUE"""),"aplicação de plano desenvolvimentista e afirmação das conquistas neoliberais. 
")</f>
        <v xml:space="preserve">aplicação de plano desenvolvimentista e afirmação das conquistas neoliberais. 
</v>
      </c>
      <c r="P35" s="3" t="str">
        <f ca="1">IFERROR(__xludf.DUMMYFUNCTION("""COMPUTED_VALUE"""),"defesa dos interesses corporativos do capital e manutenção de direitos sociais. 
")</f>
        <v xml:space="preserve">defesa dos interesses corporativos do capital e manutenção de direitos sociais. 
</v>
      </c>
      <c r="Q35" s="3" t="str">
        <f ca="1">IFERROR(__xludf.DUMMYFUNCTION("""COMPUTED_VALUE"""),"mudança na estrutura do sistema produtivo e democratização do acesso ao trabalho.
")</f>
        <v xml:space="preserve">mudança na estrutura do sistema produtivo e democratização do acesso ao trabalho.
</v>
      </c>
      <c r="R35" s="3"/>
      <c r="S35" s="3"/>
      <c r="T35" s="3"/>
      <c r="U35" s="3"/>
      <c r="V35" s="3"/>
      <c r="W35" s="3"/>
      <c r="X35" s="3"/>
      <c r="Y35" s="3"/>
      <c r="Z35" s="3"/>
    </row>
    <row r="36" spans="1:26" x14ac:dyDescent="0.2">
      <c r="A36" s="2" t="str">
        <f ca="1">IFERROR(__xludf.DUMMYFUNCTION("""COMPUTED_VALUE"""),"https://drive.google.com/open?id=1yRDd5R0-wP2OWRxoEcHykhLFLcFyaVgk")</f>
        <v>https://drive.google.com/open?id=1yRDd5R0-wP2OWRxoEcHykhLFLcFyaVgk</v>
      </c>
      <c r="B36" s="3" t="str">
        <f ca="1">IFERROR(__xludf.DUMMYFUNCTION("""COMPUTED_VALUE"""),"Enem")</f>
        <v>Enem</v>
      </c>
      <c r="C36" s="3">
        <f ca="1">IFERROR(__xludf.DUMMYFUNCTION("""COMPUTED_VALUE"""),2016)</f>
        <v>2016</v>
      </c>
      <c r="D36" s="3" t="str">
        <f ca="1">IFERROR(__xludf.DUMMYFUNCTION("""COMPUTED_VALUE"""),"Ciências Humanas")</f>
        <v>Ciências Humanas</v>
      </c>
      <c r="E36" s="3" t="str">
        <f ca="1">IFERROR(__xludf.DUMMYFUNCTION("""COMPUTED_VALUE"""),"Sociologia")</f>
        <v>Sociologia</v>
      </c>
      <c r="F36" s="3" t="str">
        <f ca="1">IFERROR(__xludf.DUMMYFUNCTION("""COMPUTED_VALUE"""),"Sociologia")</f>
        <v>Sociologia</v>
      </c>
      <c r="G36" s="3" t="str">
        <f ca="1">IFERROR(__xludf.DUMMYFUNCTION("""COMPUTED_VALUE"""),"Filosofia")</f>
        <v>Filosofia</v>
      </c>
      <c r="H36" s="3"/>
      <c r="I36" s="3" t="str">
        <f ca="1">IFERROR(__xludf.DUMMYFUNCTION("""COMPUTED_VALUE"""),"Azul")</f>
        <v>Azul</v>
      </c>
      <c r="J36" s="3">
        <f ca="1">IFERROR(__xludf.DUMMYFUNCTION("""COMPUTED_VALUE"""),31)</f>
        <v>31</v>
      </c>
      <c r="K36" s="3" t="str">
        <f ca="1">IFERROR(__xludf.DUMMYFUNCTION("""COMPUTED_VALUE"""),"A")</f>
        <v>A</v>
      </c>
      <c r="L36" s="3" t="str">
        <f ca="1">IFERROR(__xludf.DUMMYFUNCTION("""COMPUTED_VALUE""")," Thomas Hobbes e John Locke, importantes teóricos contratualistas, discutiram aspectos ligados à natureza humana e ao Estado. Thomas Hobbes, diferentemente de John Locke, entende o estado de natureza como um(a) 
")</f>
        <v xml:space="preserve"> Thomas Hobbes e John Locke, importantes teóricos contratualistas, discutiram aspectos ligados à natureza humana e ao Estado. Thomas Hobbes, diferentemente de John Locke, entende o estado de natureza como um(a) 
</v>
      </c>
      <c r="M36" s="3" t="str">
        <f ca="1">IFERROR(__xludf.DUMMYFUNCTION("""COMPUTED_VALUE"""),"condição de guerra de todos contra todos, miséria universal, insegurança e medo da morte violenta.
")</f>
        <v xml:space="preserve">condição de guerra de todos contra todos, miséria universal, insegurança e medo da morte violenta.
</v>
      </c>
      <c r="N36" s="3" t="str">
        <f ca="1">IFERROR(__xludf.DUMMYFUNCTION("""COMPUTED_VALUE"""),"organização pré-social e pré-política em que o homem nasce com os direitos naturais: vida, liberdade, igualdade e propriedade. 
")</f>
        <v xml:space="preserve">organização pré-social e pré-política em que o homem nasce com os direitos naturais: vida, liberdade, igualdade e propriedade. 
</v>
      </c>
      <c r="O36" s="3" t="str">
        <f ca="1">IFERROR(__xludf.DUMMYFUNCTION("""COMPUTED_VALUE"""),"capricho típico da menoridade, que deve ser eliminado pela exigência moral, para que o homem possa constituir o Estado civil. ")</f>
        <v xml:space="preserve">capricho típico da menoridade, que deve ser eliminado pela exigência moral, para que o homem possa constituir o Estado civil. </v>
      </c>
      <c r="P36" s="3" t="str">
        <f ca="1">IFERROR(__xludf.DUMMYFUNCTION("""COMPUTED_VALUE"""),"situação em que os homens nascem como detentores de livre-arbítrio, mas são feridos em sua livre decisão pelo pecado original. 
")</f>
        <v xml:space="preserve">situação em que os homens nascem como detentores de livre-arbítrio, mas são feridos em sua livre decisão pelo pecado original. 
</v>
      </c>
      <c r="Q36" s="3" t="str">
        <f ca="1">IFERROR(__xludf.DUMMYFUNCTION("""COMPUTED_VALUE"""),"estado de felicidade, saúde e liberdade que é destruído pela civilização, que perturba as relações sociais e violenta a humanidade.
")</f>
        <v xml:space="preserve">estado de felicidade, saúde e liberdade que é destruído pela civilização, que perturba as relações sociais e violenta a humanidade.
</v>
      </c>
      <c r="R36" s="3"/>
      <c r="S36" s="3"/>
      <c r="T36" s="3"/>
      <c r="U36" s="3"/>
      <c r="V36" s="3"/>
      <c r="W36" s="3"/>
      <c r="X36" s="3"/>
      <c r="Y36" s="3"/>
      <c r="Z36" s="3"/>
    </row>
    <row r="37" spans="1:26" x14ac:dyDescent="0.2">
      <c r="A37" s="2" t="str">
        <f ca="1">IFERROR(__xludf.DUMMYFUNCTION("""COMPUTED_VALUE"""),"https://drive.google.com/open?id=15E22_LrVcx56GbhEOBU46KAi6mfeBWTy")</f>
        <v>https://drive.google.com/open?id=15E22_LrVcx56GbhEOBU46KAi6mfeBWTy</v>
      </c>
      <c r="B37" s="3" t="str">
        <f ca="1">IFERROR(__xludf.DUMMYFUNCTION("""COMPUTED_VALUE"""),"Enem")</f>
        <v>Enem</v>
      </c>
      <c r="C37" s="3">
        <f ca="1">IFERROR(__xludf.DUMMYFUNCTION("""COMPUTED_VALUE"""),2016)</f>
        <v>2016</v>
      </c>
      <c r="D37" s="3" t="str">
        <f ca="1">IFERROR(__xludf.DUMMYFUNCTION("""COMPUTED_VALUE"""),"Ciências Humanas")</f>
        <v>Ciências Humanas</v>
      </c>
      <c r="E37" s="3" t="str">
        <f ca="1">IFERROR(__xludf.DUMMYFUNCTION("""COMPUTED_VALUE"""),"Sociologia")</f>
        <v>Sociologia</v>
      </c>
      <c r="F37" s="3" t="str">
        <f ca="1">IFERROR(__xludf.DUMMYFUNCTION("""COMPUTED_VALUE"""),"Sociologia")</f>
        <v>Sociologia</v>
      </c>
      <c r="G37" s="3"/>
      <c r="H37" s="3"/>
      <c r="I37" s="3" t="str">
        <f ca="1">IFERROR(__xludf.DUMMYFUNCTION("""COMPUTED_VALUE"""),"Azul")</f>
        <v>Azul</v>
      </c>
      <c r="J37" s="3">
        <f ca="1">IFERROR(__xludf.DUMMYFUNCTION("""COMPUTED_VALUE"""),32)</f>
        <v>32</v>
      </c>
      <c r="K37" s="3" t="str">
        <f ca="1">IFERROR(__xludf.DUMMYFUNCTION("""COMPUTED_VALUE"""),"B")</f>
        <v>B</v>
      </c>
      <c r="L37" s="3" t="str">
        <f ca="1">IFERROR(__xludf.DUMMYFUNCTION("""COMPUTED_VALUE"""),"O Movimento Negro Unificado (MNU) distingue-se do Teatro Experimental do Negro (TEN) por sua crítica ao discurso nacional hegemônico. Isto é, enquanto o TEN defende a plena integração simbólica dos negros na identidade nacional “híbrida”, o MNU condena qu"&amp;"alquer tipo de assimilação, fazendo do combate à ideologia da democracia racial uma das suas principais bandeiras de luta, visto que, aos olhos desse movimento, a igualdade formal assegurada pela lei entre negros e brancos e a difusão do mito de que a soc"&amp;"iedade brasileira não é racista teriam servido para sustentar, ideologicamente, a opressão racial. COSTA, S. Dois Atlânticos: teoria social, antirracismo, cosmopolitismo. Belo Horizonte: UFMG, 2006 (adaptado). No texto, são comparadas duas organizações do"&amp;" movimento negro brasileiro, criadas em diferentes contextos históricos: o TEN, em 1944, e o MNU, em 1978. Ao assumir uma postura divergente da do TEN, o MNU pretendia 
")</f>
        <v xml:space="preserve">O Movimento Negro Unificado (MNU) distingue-se do Teatro Experimental do Negro (TEN) por sua crítica ao discurso nacional hegemônico. Isto é, enquanto o TEN defende a plena integração simbólica dos negros na identidade nacional “híbrida”, o MNU condena qualquer tipo de assimilação, fazendo do combate à ideologia da democracia racial uma das suas principais bandeiras de luta, visto que, aos olhos desse movimento, a igualdade formal assegurada pela lei entre negros e brancos e a difusão do mito de que a sociedade brasileira não é racista teriam servido para sustentar, ideologicamente, a opressão racial. COSTA, S. Dois Atlânticos: teoria social, antirracismo, cosmopolitismo. Belo Horizonte: UFMG, 2006 (adaptado). No texto, são comparadas duas organizações do movimento negro brasileiro, criadas em diferentes contextos históricos: o TEN, em 1944, e o MNU, em 1978. Ao assumir uma postura divergente da do TEN, o MNU pretendia 
</v>
      </c>
      <c r="M37" s="3" t="str">
        <f ca="1">IFERROR(__xludf.DUMMYFUNCTION("""COMPUTED_VALUE""")," pressionar o governo brasileiro a decretar a igualdade racial. ")</f>
        <v xml:space="preserve"> pressionar o governo brasileiro a decretar a igualdade racial. </v>
      </c>
      <c r="N37" s="3" t="str">
        <f ca="1">IFERROR(__xludf.DUMMYFUNCTION("""COMPUTED_VALUE""")," denunciar a permanência do racismo nas relações sociais. 
")</f>
        <v xml:space="preserve"> denunciar a permanência do racismo nas relações sociais. 
</v>
      </c>
      <c r="O37" s="3" t="str">
        <f ca="1">IFERROR(__xludf.DUMMYFUNCTION("""COMPUTED_VALUE"""),"contestar a necessidade da igualdade entre negros e brancos. 
")</f>
        <v xml:space="preserve">contestar a necessidade da igualdade entre negros e brancos. 
</v>
      </c>
      <c r="P37" s="3" t="str">
        <f ca="1">IFERROR(__xludf.DUMMYFUNCTION("""COMPUTED_VALUE"""),"defender a assimilação do negro por meios não democráticos. 
")</f>
        <v xml:space="preserve">defender a assimilação do negro por meios não democráticos. 
</v>
      </c>
      <c r="Q37" s="3" t="str">
        <f ca="1">IFERROR(__xludf.DUMMYFUNCTION("""COMPUTED_VALUE""")," divulgar a ideia da miscigenação como marca da nacionalidade.
")</f>
        <v xml:space="preserve"> divulgar a ideia da miscigenação como marca da nacionalidade.
</v>
      </c>
      <c r="R37" s="3"/>
      <c r="S37" s="3"/>
      <c r="T37" s="3"/>
      <c r="U37" s="3"/>
      <c r="V37" s="3"/>
      <c r="W37" s="3"/>
      <c r="X37" s="3"/>
      <c r="Y37" s="3"/>
      <c r="Z37" s="3"/>
    </row>
    <row r="38" spans="1:26" x14ac:dyDescent="0.2">
      <c r="A38" s="2" t="str">
        <f ca="1">IFERROR(__xludf.DUMMYFUNCTION("""COMPUTED_VALUE"""),"https://drive.google.com/open?id=1UuFIWlbjDb-HalIeajSh0TStzEH7Khtr")</f>
        <v>https://drive.google.com/open?id=1UuFIWlbjDb-HalIeajSh0TStzEH7Khtr</v>
      </c>
      <c r="B38" s="3" t="str">
        <f ca="1">IFERROR(__xludf.DUMMYFUNCTION("""COMPUTED_VALUE"""),"Enem")</f>
        <v>Enem</v>
      </c>
      <c r="C38" s="3">
        <f ca="1">IFERROR(__xludf.DUMMYFUNCTION("""COMPUTED_VALUE"""),2016)</f>
        <v>2016</v>
      </c>
      <c r="D38" s="3" t="str">
        <f ca="1">IFERROR(__xludf.DUMMYFUNCTION("""COMPUTED_VALUE"""),"Ciências Humanas")</f>
        <v>Ciências Humanas</v>
      </c>
      <c r="E38" s="3" t="str">
        <f ca="1">IFERROR(__xludf.DUMMYFUNCTION("""COMPUTED_VALUE"""),"Sociologia")</f>
        <v>Sociologia</v>
      </c>
      <c r="F38" s="3" t="str">
        <f ca="1">IFERROR(__xludf.DUMMYFUNCTION("""COMPUTED_VALUE"""),"Sociologia")</f>
        <v>Sociologia</v>
      </c>
      <c r="G38" s="3"/>
      <c r="H38" s="3"/>
      <c r="I38" s="3" t="str">
        <f ca="1">IFERROR(__xludf.DUMMYFUNCTION("""COMPUTED_VALUE"""),"Azul")</f>
        <v>Azul</v>
      </c>
      <c r="J38" s="3">
        <f ca="1">IFERROR(__xludf.DUMMYFUNCTION("""COMPUTED_VALUE"""),34)</f>
        <v>34</v>
      </c>
      <c r="K38" s="3" t="str">
        <f ca="1">IFERROR(__xludf.DUMMYFUNCTION("""COMPUTED_VALUE"""),"C")</f>
        <v>C</v>
      </c>
      <c r="L38" s="3" t="str">
        <f ca="1">IFERROR(__xludf.DUMMYFUNCTION("""COMPUTED_VALUE"""),"As convicções religiosas dos escravos eram entretanto colocadas a duras provas quando de sua chegada ao Novo Mundo, onde eram batizados obrigatoriamente “para a salvação de sua alma” e deviam curvar-se às doutrinas religiosas de seus mestres. Iemanjá, mãe"&amp;" de numerosos outros orixás, foi sincretizada com Nossa Senhora da Conceição, e Nanã Buruku, a mais idosa das divindades das águas, foi comparada a Sant’Ana, mãe da Virgem Maria.
O sincretismo religioso no Brasil colônia foi uma estratégia utilizada pelos"&amp;" negros escravizados para 
")</f>
        <v xml:space="preserve">As convicções religiosas dos escravos eram entretanto colocadas a duras provas quando de sua chegada ao Novo Mundo, onde eram batizados obrigatoriamente “para a salvação de sua alma” e deviam curvar-se às doutrinas religiosas de seus mestres. Iemanjá, mãe de numerosos outros orixás, foi sincretizada com Nossa Senhora da Conceição, e Nanã Buruku, a mais idosa das divindades das águas, foi comparada a Sant’Ana, mãe da Virgem Maria.
O sincretismo religioso no Brasil colônia foi uma estratégia utilizada pelos negros escravizados para 
</v>
      </c>
      <c r="M38" s="3" t="str">
        <f ca="1">IFERROR(__xludf.DUMMYFUNCTION("""COMPUTED_VALUE"""),"compreender o papel do sagrado para a cultura europeia. 
")</f>
        <v xml:space="preserve">compreender o papel do sagrado para a cultura europeia. 
</v>
      </c>
      <c r="N38" s="3" t="str">
        <f ca="1">IFERROR(__xludf.DUMMYFUNCTION("""COMPUTED_VALUE"""),"garantir a aceitação pelas comunidades dos convertidos. 
")</f>
        <v xml:space="preserve">garantir a aceitação pelas comunidades dos convertidos. 
</v>
      </c>
      <c r="O38" s="3" t="str">
        <f ca="1">IFERROR(__xludf.DUMMYFUNCTION("""COMPUTED_VALUE"""),"preservar as crenças e a sua relação com o sagrado. 
")</f>
        <v xml:space="preserve">preservar as crenças e a sua relação com o sagrado. 
</v>
      </c>
      <c r="P38" s="3" t="str">
        <f ca="1">IFERROR(__xludf.DUMMYFUNCTION("""COMPUTED_VALUE"""),"integrar as distintas culturas no Novo Mundo. 
")</f>
        <v xml:space="preserve">integrar as distintas culturas no Novo Mundo. 
</v>
      </c>
      <c r="Q38" s="3" t="str">
        <f ca="1">IFERROR(__xludf.DUMMYFUNCTION("""COMPUTED_VALUE"""),"possibilitar a adoração de santos católicos.
")</f>
        <v xml:space="preserve">possibilitar a adoração de santos católicos.
</v>
      </c>
      <c r="R38" s="3"/>
      <c r="S38" s="3"/>
      <c r="T38" s="3"/>
      <c r="U38" s="3"/>
      <c r="V38" s="3"/>
      <c r="W38" s="3"/>
      <c r="X38" s="3"/>
      <c r="Y38" s="3"/>
      <c r="Z38" s="3"/>
    </row>
    <row r="39" spans="1:26" x14ac:dyDescent="0.2">
      <c r="A39" s="2" t="str">
        <f ca="1">IFERROR(__xludf.DUMMYFUNCTION("""COMPUTED_VALUE"""),"https://drive.google.com/open?id=1ZR1rhznUwxAQclUYF6tqXvdKhGuWq9Ta")</f>
        <v>https://drive.google.com/open?id=1ZR1rhznUwxAQclUYF6tqXvdKhGuWq9Ta</v>
      </c>
      <c r="B39" s="3" t="str">
        <f ca="1">IFERROR(__xludf.DUMMYFUNCTION("""COMPUTED_VALUE"""),"Enem")</f>
        <v>Enem</v>
      </c>
      <c r="C39" s="3">
        <f ca="1">IFERROR(__xludf.DUMMYFUNCTION("""COMPUTED_VALUE"""),2016)</f>
        <v>2016</v>
      </c>
      <c r="D39" s="3" t="str">
        <f ca="1">IFERROR(__xludf.DUMMYFUNCTION("""COMPUTED_VALUE"""),"Ciências Humanas")</f>
        <v>Ciências Humanas</v>
      </c>
      <c r="E39" s="3" t="str">
        <f ca="1">IFERROR(__xludf.DUMMYFUNCTION("""COMPUTED_VALUE"""),"Sociologia")</f>
        <v>Sociologia</v>
      </c>
      <c r="F39" s="3" t="str">
        <f ca="1">IFERROR(__xludf.DUMMYFUNCTION("""COMPUTED_VALUE"""),"Sociologia")</f>
        <v>Sociologia</v>
      </c>
      <c r="G39" s="3" t="str">
        <f ca="1">IFERROR(__xludf.DUMMYFUNCTION("""COMPUTED_VALUE"""),"História do Brasil")</f>
        <v>História do Brasil</v>
      </c>
      <c r="H39" s="3"/>
      <c r="I39" s="3" t="str">
        <f ca="1">IFERROR(__xludf.DUMMYFUNCTION("""COMPUTED_VALUE"""),"Azul")</f>
        <v>Azul</v>
      </c>
      <c r="J39" s="3">
        <f ca="1">IFERROR(__xludf.DUMMYFUNCTION("""COMPUTED_VALUE"""),44)</f>
        <v>44</v>
      </c>
      <c r="K39" s="3" t="str">
        <f ca="1">IFERROR(__xludf.DUMMYFUNCTION("""COMPUTED_VALUE"""),"E")</f>
        <v>E</v>
      </c>
      <c r="L39" s="3" t="str">
        <f ca="1">IFERROR(__xludf.DUMMYFUNCTION("""COMPUTED_VALUE"""),"[imagem em anexo]
Na imagem, o autor procura representar as diferentes gerações de uma família associada a uma noção consagrada pelas elites intelectuais da época, que era a de 
")</f>
        <v xml:space="preserve">[imagem em anexo]
Na imagem, o autor procura representar as diferentes gerações de uma família associada a uma noção consagrada pelas elites intelectuais da época, que era a de 
</v>
      </c>
      <c r="M39" s="3" t="str">
        <f ca="1">IFERROR(__xludf.DUMMYFUNCTION("""COMPUTED_VALUE"""),"defesa da democracia racial. 
")</f>
        <v xml:space="preserve">defesa da democracia racial. 
</v>
      </c>
      <c r="N39" s="3" t="str">
        <f ca="1">IFERROR(__xludf.DUMMYFUNCTION("""COMPUTED_VALUE"""),"idealização do universo rural. 
")</f>
        <v xml:space="preserve">idealização do universo rural. 
</v>
      </c>
      <c r="O39" s="3" t="str">
        <f ca="1">IFERROR(__xludf.DUMMYFUNCTION("""COMPUTED_VALUE"""),"crise dos valores republicanos. 
")</f>
        <v xml:space="preserve">crise dos valores republicanos. 
</v>
      </c>
      <c r="P39" s="3" t="str">
        <f ca="1">IFERROR(__xludf.DUMMYFUNCTION("""COMPUTED_VALUE""")," constatação do atraso sertanejo. 
")</f>
        <v xml:space="preserve"> constatação do atraso sertanejo. 
</v>
      </c>
      <c r="Q39" s="3" t="str">
        <f ca="1">IFERROR(__xludf.DUMMYFUNCTION("""COMPUTED_VALUE"""),"embranquecimento da população.
")</f>
        <v xml:space="preserve">embranquecimento da população.
</v>
      </c>
      <c r="R39" s="3"/>
      <c r="S39" s="3"/>
      <c r="T39" s="3"/>
      <c r="U39" s="3"/>
      <c r="V39" s="3"/>
      <c r="W39" s="3"/>
      <c r="X39" s="3"/>
      <c r="Y39" s="3"/>
      <c r="Z39" s="3"/>
    </row>
    <row r="40" spans="1:26" x14ac:dyDescent="0.2">
      <c r="A40" s="2" t="str">
        <f ca="1">IFERROR(__xludf.DUMMYFUNCTION("""COMPUTED_VALUE"""),"https://drive.google.com/open?id=1L9d9arx-xDaz0JIx57HqiAt-I1okdIiI")</f>
        <v>https://drive.google.com/open?id=1L9d9arx-xDaz0JIx57HqiAt-I1okdIiI</v>
      </c>
      <c r="B40" s="3" t="str">
        <f ca="1">IFERROR(__xludf.DUMMYFUNCTION("""COMPUTED_VALUE"""),"Enem")</f>
        <v>Enem</v>
      </c>
      <c r="C40" s="3">
        <f ca="1">IFERROR(__xludf.DUMMYFUNCTION("""COMPUTED_VALUE"""),2016)</f>
        <v>2016</v>
      </c>
      <c r="D40" s="3" t="str">
        <f ca="1">IFERROR(__xludf.DUMMYFUNCTION("""COMPUTED_VALUE"""),"Ciências Humanas")</f>
        <v>Ciências Humanas</v>
      </c>
      <c r="E40" s="3" t="str">
        <f ca="1">IFERROR(__xludf.DUMMYFUNCTION("""COMPUTED_VALUE"""),"Sociologia")</f>
        <v>Sociologia</v>
      </c>
      <c r="F40" s="3" t="str">
        <f ca="1">IFERROR(__xludf.DUMMYFUNCTION("""COMPUTED_VALUE"""),"Sociologia")</f>
        <v>Sociologia</v>
      </c>
      <c r="G40" s="3"/>
      <c r="H40" s="3"/>
      <c r="I40" s="3" t="str">
        <f ca="1">IFERROR(__xludf.DUMMYFUNCTION("""COMPUTED_VALUE"""),"Azul")</f>
        <v>Azul</v>
      </c>
      <c r="J40" s="3">
        <f ca="1">IFERROR(__xludf.DUMMYFUNCTION("""COMPUTED_VALUE"""),45)</f>
        <v>45</v>
      </c>
      <c r="K40" s="3" t="str">
        <f ca="1">IFERROR(__xludf.DUMMYFUNCTION("""COMPUTED_VALUE"""),"C")</f>
        <v>C</v>
      </c>
      <c r="L40" s="3" t="str">
        <f ca="1">IFERROR(__xludf.DUMMYFUNCTION("""COMPUTED_VALUE"""),"O mercado tende a gerir e regulamentar todas as atividades humanas. Até há pouco, certos campos — cultura, esporte, religião — ficavam fora do seu alcance. Agora, são absorvidos pela esfera do mercado. Os governos confiam cada vez mais nele (abandono dos "&amp;"setores de Estado, privatizações). ")</f>
        <v xml:space="preserve">O mercado tende a gerir e regulamentar todas as atividades humanas. Até há pouco, certos campos — cultura, esporte, religião — ficavam fora do seu alcance. Agora, são absorvidos pela esfera do mercado. Os governos confiam cada vez mais nele (abandono dos setores de Estado, privatizações). </v>
      </c>
      <c r="M40" s="3" t="str">
        <f ca="1">IFERROR(__xludf.DUMMYFUNCTION("""COMPUTED_VALUE"""),"Socialismo.")</f>
        <v>Socialismo.</v>
      </c>
      <c r="N40" s="3" t="str">
        <f ca="1">IFERROR(__xludf.DUMMYFUNCTION("""COMPUTED_VALUE"""),"Feudalismo. 
")</f>
        <v xml:space="preserve">Feudalismo. 
</v>
      </c>
      <c r="O40" s="3" t="str">
        <f ca="1">IFERROR(__xludf.DUMMYFUNCTION("""COMPUTED_VALUE"""),"Capitalismo. 
")</f>
        <v xml:space="preserve">Capitalismo. 
</v>
      </c>
      <c r="P40" s="3" t="str">
        <f ca="1">IFERROR(__xludf.DUMMYFUNCTION("""COMPUTED_VALUE"""),"Anarquismo. 
")</f>
        <v xml:space="preserve">Anarquismo. 
</v>
      </c>
      <c r="Q40" s="3" t="str">
        <f ca="1">IFERROR(__xludf.DUMMYFUNCTION("""COMPUTED_VALUE"""),"Comunitarismo
")</f>
        <v xml:space="preserve">Comunitarismo
</v>
      </c>
      <c r="R40" s="3"/>
      <c r="S40" s="3"/>
      <c r="T40" s="3"/>
      <c r="U40" s="3"/>
      <c r="V40" s="3"/>
      <c r="W40" s="3"/>
      <c r="X40" s="3"/>
      <c r="Y40" s="3"/>
      <c r="Z40" s="3"/>
    </row>
    <row r="41" spans="1:26" x14ac:dyDescent="0.2">
      <c r="A41" s="2" t="str">
        <f ca="1">IFERROR(__xludf.DUMMYFUNCTION("""COMPUTED_VALUE"""),"https://drive.google.com/open?id=1hQ40B9afsrCQZFsdn4vY4zgGKPW6EOmY")</f>
        <v>https://drive.google.com/open?id=1hQ40B9afsrCQZFsdn4vY4zgGKPW6EOmY</v>
      </c>
      <c r="B41" s="3" t="str">
        <f ca="1">IFERROR(__xludf.DUMMYFUNCTION("""COMPUTED_VALUE"""),"Enem")</f>
        <v>Enem</v>
      </c>
      <c r="C41" s="3">
        <f ca="1">IFERROR(__xludf.DUMMYFUNCTION("""COMPUTED_VALUE"""),2017)</f>
        <v>2017</v>
      </c>
      <c r="D41" s="3" t="str">
        <f ca="1">IFERROR(__xludf.DUMMYFUNCTION("""COMPUTED_VALUE"""),"Linguagens")</f>
        <v>Linguagens</v>
      </c>
      <c r="E41" s="3" t="str">
        <f ca="1">IFERROR(__xludf.DUMMYFUNCTION("""COMPUTED_VALUE"""),"Literatura")</f>
        <v>Literatura</v>
      </c>
      <c r="F41" s="3" t="str">
        <f ca="1">IFERROR(__xludf.DUMMYFUNCTION("""COMPUTED_VALUE"""),"Literatura")</f>
        <v>Literatura</v>
      </c>
      <c r="G41" s="3"/>
      <c r="H41" s="3"/>
      <c r="I41" s="3" t="str">
        <f ca="1">IFERROR(__xludf.DUMMYFUNCTION("""COMPUTED_VALUE"""),"Azul")</f>
        <v>Azul</v>
      </c>
      <c r="J41" s="3"/>
      <c r="K41" s="3" t="str">
        <f ca="1">IFERROR(__xludf.DUMMYFUNCTION("""COMPUTED_VALUE"""),"D")</f>
        <v>D</v>
      </c>
      <c r="L41" s="3" t="str">
        <f ca="1">IFERROR(__xludf.DUMMYFUNCTION("""COMPUTED_VALUE"""),"[trecho de conto contido no arquivo)
No fragmento, o narrador adota um ponto de vista que acompanha a perspectiva de Fortunato. O que singulariza esse procedimento narrativo é o registro do(a)")</f>
        <v>[trecho de conto contido no arquivo)
No fragmento, o narrador adota um ponto de vista que acompanha a perspectiva de Fortunato. O que singulariza esse procedimento narrativo é o registro do(a)</v>
      </c>
      <c r="M41" s="3" t="str">
        <f ca="1">IFERROR(__xludf.DUMMYFUNCTION("""COMPUTED_VALUE"""),"indignação face à suspeita do adultério da esposa.")</f>
        <v>indignação face à suspeita do adultério da esposa.</v>
      </c>
      <c r="N41" s="3" t="str">
        <f ca="1">IFERROR(__xludf.DUMMYFUNCTION("""COMPUTED_VALUE"""),"tristeza compartilhada pela perda da mulher amada.")</f>
        <v>tristeza compartilhada pela perda da mulher amada.</v>
      </c>
      <c r="O41" s="3" t="str">
        <f ca="1">IFERROR(__xludf.DUMMYFUNCTION("""COMPUTED_VALUE"""),"espanto diante da demonstração de afeto de Garcia.")</f>
        <v>espanto diante da demonstração de afeto de Garcia.</v>
      </c>
      <c r="P41" s="3" t="str">
        <f ca="1">IFERROR(__xludf.DUMMYFUNCTION("""COMPUTED_VALUE"""),"prazer da personagem em relação ao sofrimento alheio.")</f>
        <v>prazer da personagem em relação ao sofrimento alheio.</v>
      </c>
      <c r="Q41" s="3" t="str">
        <f ca="1">IFERROR(__xludf.DUMMYFUNCTION("""COMPUTED_VALUE"""),"superação do ciúme pela comoção decorrente da morte.")</f>
        <v>superação do ciúme pela comoção decorrente da morte.</v>
      </c>
      <c r="R41" s="3"/>
      <c r="S41" s="3"/>
      <c r="T41" s="3"/>
      <c r="U41" s="3"/>
      <c r="V41" s="3"/>
      <c r="W41" s="3"/>
      <c r="X41" s="3"/>
      <c r="Y41" s="3"/>
      <c r="Z41" s="3"/>
    </row>
    <row r="42" spans="1:26" x14ac:dyDescent="0.2">
      <c r="A42" s="2" t="str">
        <f ca="1">IFERROR(__xludf.DUMMYFUNCTION("""COMPUTED_VALUE"""),"https://drive.google.com/open?id=1FPM1V_XlBmHdPHFmJzjszrXiag7j86eh")</f>
        <v>https://drive.google.com/open?id=1FPM1V_XlBmHdPHFmJzjszrXiag7j86eh</v>
      </c>
      <c r="B42" s="3" t="str">
        <f ca="1">IFERROR(__xludf.DUMMYFUNCTION("""COMPUTED_VALUE"""),"Enem")</f>
        <v>Enem</v>
      </c>
      <c r="C42" s="3">
        <f ca="1">IFERROR(__xludf.DUMMYFUNCTION("""COMPUTED_VALUE"""),2017)</f>
        <v>2017</v>
      </c>
      <c r="D42" s="3" t="str">
        <f ca="1">IFERROR(__xludf.DUMMYFUNCTION("""COMPUTED_VALUE"""),"Linguagens")</f>
        <v>Linguagens</v>
      </c>
      <c r="E42" s="3" t="str">
        <f ca="1">IFERROR(__xludf.DUMMYFUNCTION("""COMPUTED_VALUE"""),"Literatura")</f>
        <v>Literatura</v>
      </c>
      <c r="F42" s="3" t="str">
        <f ca="1">IFERROR(__xludf.DUMMYFUNCTION("""COMPUTED_VALUE"""),"Literatura")</f>
        <v>Literatura</v>
      </c>
      <c r="G42" s="3"/>
      <c r="H42" s="3"/>
      <c r="I42" s="3" t="str">
        <f ca="1">IFERROR(__xludf.DUMMYFUNCTION("""COMPUTED_VALUE"""),"Azul")</f>
        <v>Azul</v>
      </c>
      <c r="J42" s="3">
        <f ca="1">IFERROR(__xludf.DUMMYFUNCTION("""COMPUTED_VALUE"""),13)</f>
        <v>13</v>
      </c>
      <c r="K42" s="3" t="str">
        <f ca="1">IFERROR(__xludf.DUMMYFUNCTION("""COMPUTED_VALUE"""),"B")</f>
        <v>B</v>
      </c>
      <c r="L42" s="3" t="str">
        <f ca="1">IFERROR(__xludf.DUMMYFUNCTION("""COMPUTED_VALUE"""),"[poema contido no arquivo]
A obra de Murilo Mendes situa-se na fase inicial do Modernismo, cujas propostas estéticas transparecem, no poema, por um eu lírico que")</f>
        <v>[poema contido no arquivo]
A obra de Murilo Mendes situa-se na fase inicial do Modernismo, cujas propostas estéticas transparecem, no poema, por um eu lírico que</v>
      </c>
      <c r="M42" s="3" t="str">
        <f ca="1">IFERROR(__xludf.DUMMYFUNCTION("""COMPUTED_VALUE"""),"configura um ideal de nacionalidade pela integração regional.")</f>
        <v>configura um ideal de nacionalidade pela integração regional.</v>
      </c>
      <c r="N42" s="3" t="str">
        <f ca="1">IFERROR(__xludf.DUMMYFUNCTION("""COMPUTED_VALUE"""),"remonta ao colonialismo assente sob um viés iconoclasta.")</f>
        <v>remonta ao colonialismo assente sob um viés iconoclasta.</v>
      </c>
      <c r="O42" s="3" t="str">
        <f ca="1">IFERROR(__xludf.DUMMYFUNCTION("""COMPUTED_VALUE"""),"repercute as manifestações do sincretismo religioso.")</f>
        <v>repercute as manifestações do sincretismo religioso.</v>
      </c>
      <c r="P42" s="3" t="str">
        <f ca="1">IFERROR(__xludf.DUMMYFUNCTION("""COMPUTED_VALUE"""),"descreve a gênese da formação do povo brasileiro.")</f>
        <v>descreve a gênese da formação do povo brasileiro.</v>
      </c>
      <c r="Q42" s="3" t="str">
        <f ca="1">IFERROR(__xludf.DUMMYFUNCTION("""COMPUTED_VALUE"""),"promove inovações no repertório linguístico.")</f>
        <v>promove inovações no repertório linguístico.</v>
      </c>
      <c r="R42" s="3"/>
      <c r="S42" s="3"/>
      <c r="T42" s="3"/>
      <c r="U42" s="3"/>
      <c r="V42" s="3"/>
      <c r="W42" s="3"/>
      <c r="X42" s="3"/>
      <c r="Y42" s="3"/>
      <c r="Z42" s="3"/>
    </row>
    <row r="43" spans="1:26" x14ac:dyDescent="0.2">
      <c r="A43" s="2" t="str">
        <f ca="1">IFERROR(__xludf.DUMMYFUNCTION("""COMPUTED_VALUE"""),"https://drive.google.com/open?id=1fD0GYjVJCKiLY2xqKdkiGaB0qE7zMerg")</f>
        <v>https://drive.google.com/open?id=1fD0GYjVJCKiLY2xqKdkiGaB0qE7zMerg</v>
      </c>
      <c r="B43" s="3" t="str">
        <f ca="1">IFERROR(__xludf.DUMMYFUNCTION("""COMPUTED_VALUE"""),"Enem")</f>
        <v>Enem</v>
      </c>
      <c r="C43" s="3">
        <f ca="1">IFERROR(__xludf.DUMMYFUNCTION("""COMPUTED_VALUE"""),2017)</f>
        <v>2017</v>
      </c>
      <c r="D43" s="3" t="str">
        <f ca="1">IFERROR(__xludf.DUMMYFUNCTION("""COMPUTED_VALUE"""),"Linguagens")</f>
        <v>Linguagens</v>
      </c>
      <c r="E43" s="3" t="str">
        <f ca="1">IFERROR(__xludf.DUMMYFUNCTION("""COMPUTED_VALUE"""),"Literatura")</f>
        <v>Literatura</v>
      </c>
      <c r="F43" s="3" t="str">
        <f ca="1">IFERROR(__xludf.DUMMYFUNCTION("""COMPUTED_VALUE"""),"Literatura")</f>
        <v>Literatura</v>
      </c>
      <c r="G43" s="3"/>
      <c r="H43" s="3"/>
      <c r="I43" s="3" t="str">
        <f ca="1">IFERROR(__xludf.DUMMYFUNCTION("""COMPUTED_VALUE"""),"Azul")</f>
        <v>Azul</v>
      </c>
      <c r="J43" s="3">
        <f ca="1">IFERROR(__xludf.DUMMYFUNCTION("""COMPUTED_VALUE"""),18)</f>
        <v>18</v>
      </c>
      <c r="K43" s="3" t="str">
        <f ca="1">IFERROR(__xludf.DUMMYFUNCTION("""COMPUTED_VALUE"""),"A")</f>
        <v>A</v>
      </c>
      <c r="L43" s="3" t="str">
        <f ca="1">IFERROR(__xludf.DUMMYFUNCTION("""COMPUTED_VALUE"""),"[poema contido no arquivo]
No processo de reconstituição do tempo vivido, o eu lírico projeta um conjunto de imagens cujo lirismo se fundamenta no")</f>
        <v>[poema contido no arquivo]
No processo de reconstituição do tempo vivido, o eu lírico projeta um conjunto de imagens cujo lirismo se fundamenta no</v>
      </c>
      <c r="M43" s="3" t="str">
        <f ca="1">IFERROR(__xludf.DUMMYFUNCTION("""COMPUTED_VALUE"""),"inventário das memórias evocadas afetivamente.")</f>
        <v>inventário das memórias evocadas afetivamente.</v>
      </c>
      <c r="N43" s="3" t="str">
        <f ca="1">IFERROR(__xludf.DUMMYFUNCTION("""COMPUTED_VALUE"""),"reflexo da saudade no desejo de voltar à infância.")</f>
        <v>reflexo da saudade no desejo de voltar à infância.</v>
      </c>
      <c r="O43" s="3" t="str">
        <f ca="1">IFERROR(__xludf.DUMMYFUNCTION("""COMPUTED_VALUE""")," sentimento de inadequação com o presente vivido.")</f>
        <v xml:space="preserve"> sentimento de inadequação com o presente vivido.</v>
      </c>
      <c r="P43" s="3" t="str">
        <f ca="1">IFERROR(__xludf.DUMMYFUNCTION("""COMPUTED_VALUE"""),"ressentimento com as perdas materiais e humanas.")</f>
        <v>ressentimento com as perdas materiais e humanas.</v>
      </c>
      <c r="Q43" s="3" t="str">
        <f ca="1">IFERROR(__xludf.DUMMYFUNCTION("""COMPUTED_VALUE"""),"lapso o fluxo temporal dos eventos trazidos à cena.")</f>
        <v>lapso o fluxo temporal dos eventos trazidos à cena.</v>
      </c>
      <c r="R43" s="3"/>
      <c r="S43" s="3"/>
      <c r="T43" s="3"/>
      <c r="U43" s="3"/>
      <c r="V43" s="3"/>
      <c r="W43" s="3"/>
      <c r="X43" s="3"/>
      <c r="Y43" s="3"/>
      <c r="Z43" s="3"/>
    </row>
    <row r="44" spans="1:26" x14ac:dyDescent="0.2">
      <c r="A44" s="2" t="str">
        <f ca="1">IFERROR(__xludf.DUMMYFUNCTION("""COMPUTED_VALUE"""),"https://drive.google.com/open?id=1adcOIeS8WPunZcUsqvchJpcqj1qtOmqw")</f>
        <v>https://drive.google.com/open?id=1adcOIeS8WPunZcUsqvchJpcqj1qtOmqw</v>
      </c>
      <c r="B44" s="3" t="str">
        <f ca="1">IFERROR(__xludf.DUMMYFUNCTION("""COMPUTED_VALUE"""),"Enem")</f>
        <v>Enem</v>
      </c>
      <c r="C44" s="3">
        <f ca="1">IFERROR(__xludf.DUMMYFUNCTION("""COMPUTED_VALUE"""),2017)</f>
        <v>2017</v>
      </c>
      <c r="D44" s="3" t="str">
        <f ca="1">IFERROR(__xludf.DUMMYFUNCTION("""COMPUTED_VALUE"""),"Linguagens")</f>
        <v>Linguagens</v>
      </c>
      <c r="E44" s="3" t="str">
        <f ca="1">IFERROR(__xludf.DUMMYFUNCTION("""COMPUTED_VALUE"""),"Literatura")</f>
        <v>Literatura</v>
      </c>
      <c r="F44" s="3" t="str">
        <f ca="1">IFERROR(__xludf.DUMMYFUNCTION("""COMPUTED_VALUE"""),"Literatura")</f>
        <v>Literatura</v>
      </c>
      <c r="G44" s="3"/>
      <c r="H44" s="3"/>
      <c r="I44" s="3" t="str">
        <f ca="1">IFERROR(__xludf.DUMMYFUNCTION("""COMPUTED_VALUE"""),"Azul")</f>
        <v>Azul</v>
      </c>
      <c r="J44" s="3">
        <f ca="1">IFERROR(__xludf.DUMMYFUNCTION("""COMPUTED_VALUE"""),24)</f>
        <v>24</v>
      </c>
      <c r="K44" s="3" t="str">
        <f ca="1">IFERROR(__xludf.DUMMYFUNCTION("""COMPUTED_VALUE"""),"D")</f>
        <v>D</v>
      </c>
      <c r="L44" s="3" t="str">
        <f ca="1">IFERROR(__xludf.DUMMYFUNCTION("""COMPUTED_VALUE"""),"[trecho de peça teatral contido no arquivo]
A peça Liberdade, liberdade, encenada em 1964, apresenta o impasse vivido pela sociedade brasileira em face do regime vigente. Esse impasse é representado no fragmento pelo(a)")</f>
        <v>[trecho de peça teatral contido no arquivo]
A peça Liberdade, liberdade, encenada em 1964, apresenta o impasse vivido pela sociedade brasileira em face do regime vigente. Esse impasse é representado no fragmento pelo(a)</v>
      </c>
      <c r="M44" s="3" t="str">
        <f ca="1">IFERROR(__xludf.DUMMYFUNCTION("""COMPUTED_VALUE"""),"barulho excessivo produzido pelo ranger das cadeiras do teatro.")</f>
        <v>barulho excessivo produzido pelo ranger das cadeiras do teatro.</v>
      </c>
      <c r="N44" s="3" t="str">
        <f ca="1">IFERROR(__xludf.DUMMYFUNCTION("""COMPUTED_VALUE"""),"indicação da neutralidade como a melhor opção ideológica naquele momento.")</f>
        <v>indicação da neutralidade como a melhor opção ideológica naquele momento.</v>
      </c>
      <c r="O44" s="3" t="str">
        <f ca="1">IFERROR(__xludf.DUMMYFUNCTION("""COMPUTED_VALUE"""),"constatação da censura em função do engajamento social do texto dramático.")</f>
        <v>constatação da censura em função do engajamento social do texto dramático.</v>
      </c>
      <c r="P44" s="3" t="str">
        <f ca="1">IFERROR(__xludf.DUMMYFUNCTION("""COMPUTED_VALUE"""),"correlação entre o alinhamento político e a posição corporal dos espectadores.")</f>
        <v>correlação entre o alinhamento político e a posição corporal dos espectadores.</v>
      </c>
      <c r="Q44" s="3" t="str">
        <f ca="1">IFERROR(__xludf.DUMMYFUNCTION("""COMPUTED_VALUE"""),"interrupção do espetáculo em virtude do comportamento inadequado do público.")</f>
        <v>interrupção do espetáculo em virtude do comportamento inadequado do público.</v>
      </c>
      <c r="R44" s="3"/>
      <c r="S44" s="3"/>
      <c r="T44" s="3"/>
      <c r="U44" s="3"/>
      <c r="V44" s="3"/>
      <c r="W44" s="3"/>
      <c r="X44" s="3"/>
      <c r="Y44" s="3"/>
      <c r="Z44" s="3"/>
    </row>
    <row r="45" spans="1:26" x14ac:dyDescent="0.2">
      <c r="A45" s="2" t="str">
        <f ca="1">IFERROR(__xludf.DUMMYFUNCTION("""COMPUTED_VALUE"""),"https://drive.google.com/open?id=1rUU8lBoVaTW6M1lo72OMt943he_AKbcy")</f>
        <v>https://drive.google.com/open?id=1rUU8lBoVaTW6M1lo72OMt943he_AKbcy</v>
      </c>
      <c r="B45" s="3" t="str">
        <f ca="1">IFERROR(__xludf.DUMMYFUNCTION("""COMPUTED_VALUE"""),"Enem")</f>
        <v>Enem</v>
      </c>
      <c r="C45" s="3">
        <f ca="1">IFERROR(__xludf.DUMMYFUNCTION("""COMPUTED_VALUE"""),2017)</f>
        <v>2017</v>
      </c>
      <c r="D45" s="3" t="str">
        <f ca="1">IFERROR(__xludf.DUMMYFUNCTION("""COMPUTED_VALUE"""),"Linguagens")</f>
        <v>Linguagens</v>
      </c>
      <c r="E45" s="3" t="str">
        <f ca="1">IFERROR(__xludf.DUMMYFUNCTION("""COMPUTED_VALUE"""),"Literatura")</f>
        <v>Literatura</v>
      </c>
      <c r="F45" s="3" t="str">
        <f ca="1">IFERROR(__xludf.DUMMYFUNCTION("""COMPUTED_VALUE"""),"Literatura")</f>
        <v>Literatura</v>
      </c>
      <c r="G45" s="3"/>
      <c r="H45" s="3"/>
      <c r="I45" s="3" t="str">
        <f ca="1">IFERROR(__xludf.DUMMYFUNCTION("""COMPUTED_VALUE"""),"Azul")</f>
        <v>Azul</v>
      </c>
      <c r="J45" s="3">
        <f ca="1">IFERROR(__xludf.DUMMYFUNCTION("""COMPUTED_VALUE"""),30)</f>
        <v>30</v>
      </c>
      <c r="K45" s="3" t="str">
        <f ca="1">IFERROR(__xludf.DUMMYFUNCTION("""COMPUTED_VALUE"""),"D")</f>
        <v>D</v>
      </c>
      <c r="L45" s="3" t="str">
        <f ca="1">IFERROR(__xludf.DUMMYFUNCTION("""COMPUTED_VALUE"""),"[poema contido no arquivo]
A busca pela identidade constitui uma faceta da tradição literária, redimensionada pelo olhar contemporâneo. No poema, essa nova dimensão revela a")</f>
        <v>[poema contido no arquivo]
A busca pela identidade constitui uma faceta da tradição literária, redimensionada pelo olhar contemporâneo. No poema, essa nova dimensão revela a</v>
      </c>
      <c r="M45" s="3" t="str">
        <f ca="1">IFERROR(__xludf.DUMMYFUNCTION("""COMPUTED_VALUE"""),"ausência de traços identitários.")</f>
        <v>ausência de traços identitários.</v>
      </c>
      <c r="N45" s="3" t="str">
        <f ca="1">IFERROR(__xludf.DUMMYFUNCTION("""COMPUTED_VALUE"""),"angústia com a solidão em público.")</f>
        <v>angústia com a solidão em público.</v>
      </c>
      <c r="O45" s="3" t="str">
        <f ca="1">IFERROR(__xludf.DUMMYFUNCTION("""COMPUTED_VALUE"""),"valorização da descoberta do “eu” autêntico.")</f>
        <v>valorização da descoberta do “eu” autêntico.</v>
      </c>
      <c r="P45" s="3" t="str">
        <f ca="1">IFERROR(__xludf.DUMMYFUNCTION("""COMPUTED_VALUE"""),"percepção da empatia como fator de autoconhecimento.")</f>
        <v>percepção da empatia como fator de autoconhecimento.</v>
      </c>
      <c r="Q45" s="3" t="str">
        <f ca="1">IFERROR(__xludf.DUMMYFUNCTION("""COMPUTED_VALUE"""),"impossibilidade de vivenciar experiências de pertencimento.")</f>
        <v>impossibilidade de vivenciar experiências de pertencimento.</v>
      </c>
      <c r="R45" s="3"/>
      <c r="S45" s="3"/>
      <c r="T45" s="3"/>
      <c r="U45" s="3"/>
      <c r="V45" s="3"/>
      <c r="W45" s="3"/>
      <c r="X45" s="3"/>
      <c r="Y45" s="3"/>
      <c r="Z45" s="3"/>
    </row>
    <row r="46" spans="1:26" x14ac:dyDescent="0.2">
      <c r="A46" s="2" t="str">
        <f ca="1">IFERROR(__xludf.DUMMYFUNCTION("""COMPUTED_VALUE"""),"https://drive.google.com/open?id=1Uxn6aDc8498h7BYqFrKq8Z-y2p3BadmZ")</f>
        <v>https://drive.google.com/open?id=1Uxn6aDc8498h7BYqFrKq8Z-y2p3BadmZ</v>
      </c>
      <c r="B46" s="3" t="str">
        <f ca="1">IFERROR(__xludf.DUMMYFUNCTION("""COMPUTED_VALUE"""),"Enem")</f>
        <v>Enem</v>
      </c>
      <c r="C46" s="3">
        <f ca="1">IFERROR(__xludf.DUMMYFUNCTION("""COMPUTED_VALUE"""),2017)</f>
        <v>2017</v>
      </c>
      <c r="D46" s="3" t="str">
        <f ca="1">IFERROR(__xludf.DUMMYFUNCTION("""COMPUTED_VALUE"""),"Linguagens")</f>
        <v>Linguagens</v>
      </c>
      <c r="E46" s="3" t="str">
        <f ca="1">IFERROR(__xludf.DUMMYFUNCTION("""COMPUTED_VALUE"""),"Literatura")</f>
        <v>Literatura</v>
      </c>
      <c r="F46" s="3" t="str">
        <f ca="1">IFERROR(__xludf.DUMMYFUNCTION("""COMPUTED_VALUE"""),"Literatura")</f>
        <v>Literatura</v>
      </c>
      <c r="G46" s="3"/>
      <c r="H46" s="3"/>
      <c r="I46" s="3" t="str">
        <f ca="1">IFERROR(__xludf.DUMMYFUNCTION("""COMPUTED_VALUE"""),"Azul")</f>
        <v>Azul</v>
      </c>
      <c r="J46" s="3">
        <f ca="1">IFERROR(__xludf.DUMMYFUNCTION("""COMPUTED_VALUE"""),32)</f>
        <v>32</v>
      </c>
      <c r="K46" s="3" t="str">
        <f ca="1">IFERROR(__xludf.DUMMYFUNCTION("""COMPUTED_VALUE"""),"A")</f>
        <v>A</v>
      </c>
      <c r="L46" s="3" t="str">
        <f ca="1">IFERROR(__xludf.DUMMYFUNCTION("""COMPUTED_VALUE"""),"[trecho de peça teatral contido no arquivo]
O gênero peça teatral tem o entretenimento como uma de suas funções. Outra função relevante do gênero, explícita nesse trecho de O bem amado, é")</f>
        <v>[trecho de peça teatral contido no arquivo]
O gênero peça teatral tem o entretenimento como uma de suas funções. Outra função relevante do gênero, explícita nesse trecho de O bem amado, é</v>
      </c>
      <c r="M46" s="3" t="str">
        <f ca="1">IFERROR(__xludf.DUMMYFUNCTION("""COMPUTED_VALUE"""),"criticar satiricamente o comportamento de pessoas públicas.")</f>
        <v>criticar satiricamente o comportamento de pessoas públicas.</v>
      </c>
      <c r="N46" s="3" t="str">
        <f ca="1">IFERROR(__xludf.DUMMYFUNCTION("""COMPUTED_VALUE"""),"denunciar a escassez de recursos públicos nas prefeituras do interior.")</f>
        <v>denunciar a escassez de recursos públicos nas prefeituras do interior.</v>
      </c>
      <c r="O46" s="3" t="str">
        <f ca="1">IFERROR(__xludf.DUMMYFUNCTION("""COMPUTED_VALUE"""),"censurar a falta de domínio da língua padrão em eventos sociais.")</f>
        <v>censurar a falta de domínio da língua padrão em eventos sociais.</v>
      </c>
      <c r="P46" s="3" t="str">
        <f ca="1">IFERROR(__xludf.DUMMYFUNCTION("""COMPUTED_VALUE"""),"despertar a preocupação da plateia com a expectativa de vida dos cidadãos.")</f>
        <v>despertar a preocupação da plateia com a expectativa de vida dos cidadãos.</v>
      </c>
      <c r="Q46" s="3" t="str">
        <f ca="1">IFERROR(__xludf.DUMMYFUNCTION("""COMPUTED_VALUE"""),"questionar o apoio irrestrito de agentes públicos aos gestores governamentais.")</f>
        <v>questionar o apoio irrestrito de agentes públicos aos gestores governamentais.</v>
      </c>
      <c r="R46" s="3"/>
      <c r="S46" s="3"/>
      <c r="T46" s="3"/>
      <c r="U46" s="3"/>
      <c r="V46" s="3"/>
      <c r="W46" s="3"/>
      <c r="X46" s="3"/>
      <c r="Y46" s="3"/>
      <c r="Z46" s="3"/>
    </row>
    <row r="47" spans="1:26" x14ac:dyDescent="0.2">
      <c r="A47" s="2" t="str">
        <f ca="1">IFERROR(__xludf.DUMMYFUNCTION("""COMPUTED_VALUE"""),"https://drive.google.com/open?id=1GQTHkPIFEZZlimFiohJ9JAtja7-XPbiS")</f>
        <v>https://drive.google.com/open?id=1GQTHkPIFEZZlimFiohJ9JAtja7-XPbiS</v>
      </c>
      <c r="B47" s="3" t="str">
        <f ca="1">IFERROR(__xludf.DUMMYFUNCTION("""COMPUTED_VALUE"""),"Enem")</f>
        <v>Enem</v>
      </c>
      <c r="C47" s="3">
        <f ca="1">IFERROR(__xludf.DUMMYFUNCTION("""COMPUTED_VALUE"""),2018)</f>
        <v>2018</v>
      </c>
      <c r="D47" s="3" t="str">
        <f ca="1">IFERROR(__xludf.DUMMYFUNCTION("""COMPUTED_VALUE"""),"Linguagens")</f>
        <v>Linguagens</v>
      </c>
      <c r="E47" s="3" t="str">
        <f ca="1">IFERROR(__xludf.DUMMYFUNCTION("""COMPUTED_VALUE"""),"Literatura")</f>
        <v>Literatura</v>
      </c>
      <c r="F47" s="3" t="str">
        <f ca="1">IFERROR(__xludf.DUMMYFUNCTION("""COMPUTED_VALUE"""),"Literatura")</f>
        <v>Literatura</v>
      </c>
      <c r="G47" s="3"/>
      <c r="H47" s="3"/>
      <c r="I47" s="3" t="str">
        <f ca="1">IFERROR(__xludf.DUMMYFUNCTION("""COMPUTED_VALUE"""),"Azul")</f>
        <v>Azul</v>
      </c>
      <c r="J47" s="3">
        <f ca="1">IFERROR(__xludf.DUMMYFUNCTION("""COMPUTED_VALUE"""),10)</f>
        <v>10</v>
      </c>
      <c r="K47" s="3" t="str">
        <f ca="1">IFERROR(__xludf.DUMMYFUNCTION("""COMPUTED_VALUE"""),"A")</f>
        <v>A</v>
      </c>
      <c r="L47" s="3" t="str">
        <f ca="1">IFERROR(__xludf.DUMMYFUNCTION("""COMPUTED_VALUE"""),"Na literatura de temática negra produzida no Brasil, é recorrente a presença
de elementos que traduzem experiências históricas de preconceito e violência.
No poema, essa vivência revela que o eu lírico")</f>
        <v>Na literatura de temática negra produzida no Brasil, é recorrente a presença
de elementos que traduzem experiências históricas de preconceito e violência.
No poema, essa vivência revela que o eu lírico</v>
      </c>
      <c r="M47" s="3" t="str">
        <f ca="1">IFERROR(__xludf.DUMMYFUNCTION("""COMPUTED_VALUE"""),"incorpora seletivamente o discurso do seu opressor")</f>
        <v>incorpora seletivamente o discurso do seu opressor</v>
      </c>
      <c r="N47" s="3" t="str">
        <f ca="1">IFERROR(__xludf.DUMMYFUNCTION("""COMPUTED_VALUE"""),"submete-se à discriminação como meio de fortalecimento.")</f>
        <v>submete-se à discriminação como meio de fortalecimento.</v>
      </c>
      <c r="O47" s="3" t="str">
        <f ca="1">IFERROR(__xludf.DUMMYFUNCTION("""COMPUTED_VALUE"""),"engaja-se na denúncia do passado de opressão e injustiças.")</f>
        <v>engaja-se na denúncia do passado de opressão e injustiças.</v>
      </c>
      <c r="P47" s="3" t="str">
        <f ca="1">IFERROR(__xludf.DUMMYFUNCTION("""COMPUTED_VALUE"""),"sofre uma perda de identidade e de noção de pertencimento.")</f>
        <v>sofre uma perda de identidade e de noção de pertencimento.</v>
      </c>
      <c r="Q47" s="3" t="str">
        <f ca="1">IFERROR(__xludf.DUMMYFUNCTION("""COMPUTED_VALUE"""),"acredita esporadicamente na utopia de uma sociedade igualitária.")</f>
        <v>acredita esporadicamente na utopia de uma sociedade igualitária.</v>
      </c>
      <c r="R47" s="3"/>
      <c r="S47" s="3"/>
      <c r="T47" s="3"/>
      <c r="U47" s="3"/>
      <c r="V47" s="3"/>
      <c r="W47" s="3"/>
      <c r="X47" s="3"/>
      <c r="Y47" s="3"/>
      <c r="Z47" s="3"/>
    </row>
    <row r="48" spans="1:26" x14ac:dyDescent="0.2">
      <c r="A48" s="2" t="str">
        <f ca="1">IFERROR(__xludf.DUMMYFUNCTION("""COMPUTED_VALUE"""),"https://drive.google.com/open?id=1S9fgBnGZZQgbWX3inKlrorqQ1B9QM4iT")</f>
        <v>https://drive.google.com/open?id=1S9fgBnGZZQgbWX3inKlrorqQ1B9QM4iT</v>
      </c>
      <c r="B48" s="3" t="str">
        <f ca="1">IFERROR(__xludf.DUMMYFUNCTION("""COMPUTED_VALUE"""),"Enem")</f>
        <v>Enem</v>
      </c>
      <c r="C48" s="3">
        <f ca="1">IFERROR(__xludf.DUMMYFUNCTION("""COMPUTED_VALUE"""),2018)</f>
        <v>2018</v>
      </c>
      <c r="D48" s="3" t="str">
        <f ca="1">IFERROR(__xludf.DUMMYFUNCTION("""COMPUTED_VALUE"""),"Linguagens")</f>
        <v>Linguagens</v>
      </c>
      <c r="E48" s="3" t="str">
        <f ca="1">IFERROR(__xludf.DUMMYFUNCTION("""COMPUTED_VALUE"""),"Literatura")</f>
        <v>Literatura</v>
      </c>
      <c r="F48" s="3" t="str">
        <f ca="1">IFERROR(__xludf.DUMMYFUNCTION("""COMPUTED_VALUE"""),"Literatura")</f>
        <v>Literatura</v>
      </c>
      <c r="G48" s="3"/>
      <c r="H48" s="3"/>
      <c r="I48" s="3" t="str">
        <f ca="1">IFERROR(__xludf.DUMMYFUNCTION("""COMPUTED_VALUE"""),"Azul")</f>
        <v>Azul</v>
      </c>
      <c r="J48" s="3">
        <f ca="1">IFERROR(__xludf.DUMMYFUNCTION("""COMPUTED_VALUE"""),15)</f>
        <v>15</v>
      </c>
      <c r="K48" s="3" t="str">
        <f ca="1">IFERROR(__xludf.DUMMYFUNCTION("""COMPUTED_VALUE"""),"D")</f>
        <v>D</v>
      </c>
      <c r="L48" s="3" t="str">
        <f ca="1">IFERROR(__xludf.DUMMYFUNCTION("""COMPUTED_VALUE"""),"O processo de construção do texto formata uma mensagem por ele dimensionada, uma
vez que")</f>
        <v>O processo de construção do texto formata uma mensagem por ele dimensionada, uma
vez que</v>
      </c>
      <c r="M48" s="3" t="str">
        <f ca="1">IFERROR(__xludf.DUMMYFUNCTION("""COMPUTED_VALUE"""),"configura o estreitamento da linguagem poética.")</f>
        <v>configura o estreitamento da linguagem poética.</v>
      </c>
      <c r="N48" s="3" t="str">
        <f ca="1">IFERROR(__xludf.DUMMYFUNCTION("""COMPUTED_VALUE"""),"reflete as lacunas da lucidez em desconstrução.")</f>
        <v>reflete as lacunas da lucidez em desconstrução.</v>
      </c>
      <c r="O48" s="3" t="str">
        <f ca="1">IFERROR(__xludf.DUMMYFUNCTION("""COMPUTED_VALUE"""),"projeta a persistência das emoções reprimidas.")</f>
        <v>projeta a persistência das emoções reprimidas.</v>
      </c>
      <c r="P48" s="3" t="str">
        <f ca="1">IFERROR(__xludf.DUMMYFUNCTION("""COMPUTED_VALUE"""),"repercute a consciência da agonia antecipada.")</f>
        <v>repercute a consciência da agonia antecipada.</v>
      </c>
      <c r="Q48" s="3" t="str">
        <f ca="1">IFERROR(__xludf.DUMMYFUNCTION("""COMPUTED_VALUE"""),"revela a fragmentação das relações humanas.")</f>
        <v>revela a fragmentação das relações humanas.</v>
      </c>
      <c r="R48" s="3"/>
      <c r="S48" s="3"/>
      <c r="T48" s="3"/>
      <c r="U48" s="3"/>
      <c r="V48" s="3"/>
      <c r="W48" s="3"/>
      <c r="X48" s="3"/>
      <c r="Y48" s="3"/>
      <c r="Z48" s="3"/>
    </row>
    <row r="49" spans="1:26" x14ac:dyDescent="0.2">
      <c r="A49" s="2" t="str">
        <f ca="1">IFERROR(__xludf.DUMMYFUNCTION("""COMPUTED_VALUE"""),"https://drive.google.com/open?id=1NfG_j96BGZdXV8oBQHgHgDbEsXNId1bQ")</f>
        <v>https://drive.google.com/open?id=1NfG_j96BGZdXV8oBQHgHgDbEsXNId1bQ</v>
      </c>
      <c r="B49" s="3" t="str">
        <f ca="1">IFERROR(__xludf.DUMMYFUNCTION("""COMPUTED_VALUE"""),"Enem")</f>
        <v>Enem</v>
      </c>
      <c r="C49" s="3">
        <f ca="1">IFERROR(__xludf.DUMMYFUNCTION("""COMPUTED_VALUE"""),2018)</f>
        <v>2018</v>
      </c>
      <c r="D49" s="3" t="str">
        <f ca="1">IFERROR(__xludf.DUMMYFUNCTION("""COMPUTED_VALUE"""),"Linguagens")</f>
        <v>Linguagens</v>
      </c>
      <c r="E49" s="3" t="str">
        <f ca="1">IFERROR(__xludf.DUMMYFUNCTION("""COMPUTED_VALUE"""),"Literatura")</f>
        <v>Literatura</v>
      </c>
      <c r="F49" s="3" t="str">
        <f ca="1">IFERROR(__xludf.DUMMYFUNCTION("""COMPUTED_VALUE"""),"Literatura")</f>
        <v>Literatura</v>
      </c>
      <c r="G49" s="3"/>
      <c r="H49" s="3"/>
      <c r="I49" s="3" t="str">
        <f ca="1">IFERROR(__xludf.DUMMYFUNCTION("""COMPUTED_VALUE"""),"Azul")</f>
        <v>Azul</v>
      </c>
      <c r="J49" s="3">
        <f ca="1">IFERROR(__xludf.DUMMYFUNCTION("""COMPUTED_VALUE"""),16)</f>
        <v>16</v>
      </c>
      <c r="K49" s="3" t="str">
        <f ca="1">IFERROR(__xludf.DUMMYFUNCTION("""COMPUTED_VALUE"""),"A")</f>
        <v>A</v>
      </c>
      <c r="L49" s="3" t="str">
        <f ca="1">IFERROR(__xludf.DUMMYFUNCTION("""COMPUTED_VALUE"""),"Na apresentação da paisagem e da personagem, o narrador estabelece uma correlação
de sentidos em que esses elementos se entrelaçam. Nesse processo, a condição humana configura-se")</f>
        <v>Na apresentação da paisagem e da personagem, o narrador estabelece uma correlação
de sentidos em que esses elementos se entrelaçam. Nesse processo, a condição humana configura-se</v>
      </c>
      <c r="M49" s="3" t="str">
        <f ca="1">IFERROR(__xludf.DUMMYFUNCTION("""COMPUTED_VALUE"""),"amalgamada pelo processo comum de desertificação e de solidão.")</f>
        <v>amalgamada pelo processo comum de desertificação e de solidão.</v>
      </c>
      <c r="N49" s="3" t="str">
        <f ca="1">IFERROR(__xludf.DUMMYFUNCTION("""COMPUTED_VALUE"""),"fortalecida pela adversidade extensiva à terra e aos seres vivos.")</f>
        <v>fortalecida pela adversidade extensiva à terra e aos seres vivos.</v>
      </c>
      <c r="O49" s="3" t="str">
        <f ca="1">IFERROR(__xludf.DUMMYFUNCTION("""COMPUTED_VALUE"""),"redimensionada pela intensidade da luz e da exuberância local.")</f>
        <v>redimensionada pela intensidade da luz e da exuberância local.</v>
      </c>
      <c r="P49" s="3" t="str">
        <f ca="1">IFERROR(__xludf.DUMMYFUNCTION("""COMPUTED_VALUE"""),"imersa num drama existencial de identidade e de origem.")</f>
        <v>imersa num drama existencial de identidade e de origem.</v>
      </c>
      <c r="Q49" s="3" t="str">
        <f ca="1">IFERROR(__xludf.DUMMYFUNCTION("""COMPUTED_VALUE"""),"imobilizada pela escassez e pela opressão do ambiente.")</f>
        <v>imobilizada pela escassez e pela opressão do ambiente.</v>
      </c>
      <c r="R49" s="3"/>
      <c r="S49" s="3"/>
      <c r="T49" s="3"/>
      <c r="U49" s="3"/>
      <c r="V49" s="3"/>
      <c r="W49" s="3"/>
      <c r="X49" s="3"/>
      <c r="Y49" s="3"/>
      <c r="Z49" s="3"/>
    </row>
    <row r="50" spans="1:26" x14ac:dyDescent="0.2">
      <c r="A50" s="2" t="str">
        <f ca="1">IFERROR(__xludf.DUMMYFUNCTION("""COMPUTED_VALUE"""),"https://drive.google.com/open?id=1nQXghGbqYcgUMmrLLxWIShh988mf-i-S")</f>
        <v>https://drive.google.com/open?id=1nQXghGbqYcgUMmrLLxWIShh988mf-i-S</v>
      </c>
      <c r="B50" s="3" t="str">
        <f ca="1">IFERROR(__xludf.DUMMYFUNCTION("""COMPUTED_VALUE"""),"Enem")</f>
        <v>Enem</v>
      </c>
      <c r="C50" s="3">
        <f ca="1">IFERROR(__xludf.DUMMYFUNCTION("""COMPUTED_VALUE"""),2018)</f>
        <v>2018</v>
      </c>
      <c r="D50" s="3" t="str">
        <f ca="1">IFERROR(__xludf.DUMMYFUNCTION("""COMPUTED_VALUE"""),"Linguagens")</f>
        <v>Linguagens</v>
      </c>
      <c r="E50" s="3" t="str">
        <f ca="1">IFERROR(__xludf.DUMMYFUNCTION("""COMPUTED_VALUE"""),"Literatura")</f>
        <v>Literatura</v>
      </c>
      <c r="F50" s="3" t="str">
        <f ca="1">IFERROR(__xludf.DUMMYFUNCTION("""COMPUTED_VALUE"""),"Literatura")</f>
        <v>Literatura</v>
      </c>
      <c r="G50" s="3"/>
      <c r="H50" s="3"/>
      <c r="I50" s="3" t="str">
        <f ca="1">IFERROR(__xludf.DUMMYFUNCTION("""COMPUTED_VALUE"""),"Azul")</f>
        <v>Azul</v>
      </c>
      <c r="J50" s="3">
        <f ca="1">IFERROR(__xludf.DUMMYFUNCTION("""COMPUTED_VALUE"""),20)</f>
        <v>20</v>
      </c>
      <c r="K50" s="3" t="str">
        <f ca="1">IFERROR(__xludf.DUMMYFUNCTION("""COMPUTED_VALUE"""),"B")</f>
        <v>B</v>
      </c>
      <c r="L50" s="3" t="str">
        <f ca="1">IFERROR(__xludf.DUMMYFUNCTION("""COMPUTED_VALUE"""),"A situação narrada revela uma tensão fundamentada na perspectiva do")</f>
        <v>A situação narrada revela uma tensão fundamentada na perspectiva do</v>
      </c>
      <c r="M50" s="3" t="str">
        <f ca="1">IFERROR(__xludf.DUMMYFUNCTION("""COMPUTED_VALUE"""),"conflito com os interesses de poder.")</f>
        <v>conflito com os interesses de poder.</v>
      </c>
      <c r="N50" s="3" t="str">
        <f ca="1">IFERROR(__xludf.DUMMYFUNCTION("""COMPUTED_VALUE"""),"silêncio em nome do equilíbrio familiar.")</f>
        <v>silêncio em nome do equilíbrio familiar.</v>
      </c>
      <c r="O50" s="3" t="str">
        <f ca="1">IFERROR(__xludf.DUMMYFUNCTION("""COMPUTED_VALUE"""),"medo instaurado pelas ameaças de punição.")</f>
        <v>medo instaurado pelas ameaças de punição.</v>
      </c>
      <c r="P50" s="3" t="str">
        <f ca="1">IFERROR(__xludf.DUMMYFUNCTION("""COMPUTED_VALUE"""),"choque imposto pela distância entre as gerações.")</f>
        <v>choque imposto pela distância entre as gerações.</v>
      </c>
      <c r="Q50" s="3" t="str">
        <f ca="1">IFERROR(__xludf.DUMMYFUNCTION("""COMPUTED_VALUE"""),"apego aos protocolos de conduta segundo os gêneros.")</f>
        <v>apego aos protocolos de conduta segundo os gêneros.</v>
      </c>
      <c r="R50" s="3"/>
      <c r="S50" s="3"/>
      <c r="T50" s="3"/>
      <c r="U50" s="3"/>
      <c r="V50" s="3"/>
      <c r="W50" s="3"/>
      <c r="X50" s="3"/>
      <c r="Y50" s="3"/>
      <c r="Z50" s="3"/>
    </row>
    <row r="51" spans="1:26" x14ac:dyDescent="0.2">
      <c r="A51" s="2" t="str">
        <f ca="1">IFERROR(__xludf.DUMMYFUNCTION("""COMPUTED_VALUE"""),"https://drive.google.com/open?id=1Fb_gSJOrlw0FUnDuPaByNMLu3Y0EpObV")</f>
        <v>https://drive.google.com/open?id=1Fb_gSJOrlw0FUnDuPaByNMLu3Y0EpObV</v>
      </c>
      <c r="B51" s="3" t="str">
        <f ca="1">IFERROR(__xludf.DUMMYFUNCTION("""COMPUTED_VALUE"""),"Enem")</f>
        <v>Enem</v>
      </c>
      <c r="C51" s="3">
        <f ca="1">IFERROR(__xludf.DUMMYFUNCTION("""COMPUTED_VALUE"""),2018)</f>
        <v>2018</v>
      </c>
      <c r="D51" s="3" t="str">
        <f ca="1">IFERROR(__xludf.DUMMYFUNCTION("""COMPUTED_VALUE"""),"Linguagens")</f>
        <v>Linguagens</v>
      </c>
      <c r="E51" s="3" t="str">
        <f ca="1">IFERROR(__xludf.DUMMYFUNCTION("""COMPUTED_VALUE"""),"Literatura")</f>
        <v>Literatura</v>
      </c>
      <c r="F51" s="3" t="str">
        <f ca="1">IFERROR(__xludf.DUMMYFUNCTION("""COMPUTED_VALUE"""),"Literatura")</f>
        <v>Literatura</v>
      </c>
      <c r="G51" s="3"/>
      <c r="H51" s="3"/>
      <c r="I51" s="3" t="str">
        <f ca="1">IFERROR(__xludf.DUMMYFUNCTION("""COMPUTED_VALUE"""),"Azul")</f>
        <v>Azul</v>
      </c>
      <c r="J51" s="3">
        <f ca="1">IFERROR(__xludf.DUMMYFUNCTION("""COMPUTED_VALUE"""),23)</f>
        <v>23</v>
      </c>
      <c r="K51" s="3" t="str">
        <f ca="1">IFERROR(__xludf.DUMMYFUNCTION("""COMPUTED_VALUE"""),"E")</f>
        <v>E</v>
      </c>
      <c r="L51" s="3" t="str">
        <f ca="1">IFERROR(__xludf.DUMMYFUNCTION("""COMPUTED_VALUE"""),"O romance, de 1939, traz à cena tipos e situações que espelham o Rio de Janeiro
daquela década. No fragmento, o narrador delineia esse contexto centrado no")</f>
        <v>O romance, de 1939, traz à cena tipos e situações que espelham o Rio de Janeiro
daquela década. No fragmento, o narrador delineia esse contexto centrado no</v>
      </c>
      <c r="M51" s="3" t="str">
        <f ca="1">IFERROR(__xludf.DUMMYFUNCTION("""COMPUTED_VALUE"""),"julgamento da mulher fora do espaço doméstico.")</f>
        <v>julgamento da mulher fora do espaço doméstico.</v>
      </c>
      <c r="N51" s="3" t="str">
        <f ca="1">IFERROR(__xludf.DUMMYFUNCTION("""COMPUTED_VALUE"""),"relato sobre as condições de trabalho no Estado Novo.")</f>
        <v>relato sobre as condições de trabalho no Estado Novo.</v>
      </c>
      <c r="O51" s="3" t="str">
        <f ca="1">IFERROR(__xludf.DUMMYFUNCTION("""COMPUTED_VALUE"""),"destaque a grupos populares na condição de protagonistas.")</f>
        <v>destaque a grupos populares na condição de protagonistas.</v>
      </c>
      <c r="P51" s="3" t="str">
        <f ca="1">IFERROR(__xludf.DUMMYFUNCTION("""COMPUTED_VALUE"""),"processo de inclusão do palavrão nos hábitos de linguagem.")</f>
        <v>processo de inclusão do palavrão nos hábitos de linguagem.</v>
      </c>
      <c r="Q51" s="3" t="str">
        <f ca="1">IFERROR(__xludf.DUMMYFUNCTION("""COMPUTED_VALUE"""),"vínculo entre as transformações urbanas e os papéis femininos.")</f>
        <v>vínculo entre as transformações urbanas e os papéis femininos.</v>
      </c>
      <c r="R51" s="3"/>
      <c r="S51" s="3"/>
      <c r="T51" s="3"/>
      <c r="U51" s="3"/>
      <c r="V51" s="3"/>
      <c r="W51" s="3"/>
      <c r="X51" s="3"/>
      <c r="Y51" s="3"/>
      <c r="Z51" s="3"/>
    </row>
    <row r="52" spans="1:26" x14ac:dyDescent="0.2">
      <c r="A52" s="2" t="str">
        <f ca="1">IFERROR(__xludf.DUMMYFUNCTION("""COMPUTED_VALUE"""),"https://drive.google.com/open?id=1iyxAiDKlRRbyVtODY80-ncAdZ38AGrC8")</f>
        <v>https://drive.google.com/open?id=1iyxAiDKlRRbyVtODY80-ncAdZ38AGrC8</v>
      </c>
      <c r="B52" s="3" t="str">
        <f ca="1">IFERROR(__xludf.DUMMYFUNCTION("""COMPUTED_VALUE"""),"Enem")</f>
        <v>Enem</v>
      </c>
      <c r="C52" s="3">
        <f ca="1">IFERROR(__xludf.DUMMYFUNCTION("""COMPUTED_VALUE"""),2018)</f>
        <v>2018</v>
      </c>
      <c r="D52" s="3" t="str">
        <f ca="1">IFERROR(__xludf.DUMMYFUNCTION("""COMPUTED_VALUE"""),"Linguagens")</f>
        <v>Linguagens</v>
      </c>
      <c r="E52" s="3" t="str">
        <f ca="1">IFERROR(__xludf.DUMMYFUNCTION("""COMPUTED_VALUE"""),"Literatura")</f>
        <v>Literatura</v>
      </c>
      <c r="F52" s="3" t="str">
        <f ca="1">IFERROR(__xludf.DUMMYFUNCTION("""COMPUTED_VALUE"""),"Literatura")</f>
        <v>Literatura</v>
      </c>
      <c r="G52" s="3"/>
      <c r="H52" s="3"/>
      <c r="I52" s="3" t="str">
        <f ca="1">IFERROR(__xludf.DUMMYFUNCTION("""COMPUTED_VALUE"""),"Azul")</f>
        <v>Azul</v>
      </c>
      <c r="J52" s="3">
        <f ca="1">IFERROR(__xludf.DUMMYFUNCTION("""COMPUTED_VALUE"""),25)</f>
        <v>25</v>
      </c>
      <c r="K52" s="3" t="str">
        <f ca="1">IFERROR(__xludf.DUMMYFUNCTION("""COMPUTED_VALUE"""),"D")</f>
        <v>D</v>
      </c>
      <c r="L52" s="3" t="str">
        <f ca="1">IFERROR(__xludf.DUMMYFUNCTION("""COMPUTED_VALUE"""),"A imagem integra uma adaptação em quadrinhos da obra Grande sertão: veredas, de Guimarães Rosa. Na representação gráfica, a inter-relação de diferentes linguagens caracteriza-se por ")</f>
        <v xml:space="preserve">A imagem integra uma adaptação em quadrinhos da obra Grande sertão: veredas, de Guimarães Rosa. Na representação gráfica, a inter-relação de diferentes linguagens caracteriza-se por </v>
      </c>
      <c r="M52" s="3" t="str">
        <f ca="1">IFERROR(__xludf.DUMMYFUNCTION("""COMPUTED_VALUE"""),"romper com a linearidade das ações da narrativa literária.")</f>
        <v>romper com a linearidade das ações da narrativa literária.</v>
      </c>
      <c r="N52" s="3" t="str">
        <f ca="1">IFERROR(__xludf.DUMMYFUNCTION("""COMPUTED_VALUE"""),"ilustrar de modo fidedigno passagens representativas da história.")</f>
        <v>ilustrar de modo fidedigno passagens representativas da história.</v>
      </c>
      <c r="O52" s="3" t="str">
        <f ca="1">IFERROR(__xludf.DUMMYFUNCTION("""COMPUTED_VALUE"""),"articular a tensão do romance à desproporcionalidade das formas.")</f>
        <v>articular a tensão do romance à desproporcionalidade das formas.</v>
      </c>
      <c r="P52" s="3" t="str">
        <f ca="1">IFERROR(__xludf.DUMMYFUNCTION("""COMPUTED_VALUE"""),"potencializar a dramaticidade do episódio com recursos das artes visuais.")</f>
        <v>potencializar a dramaticidade do episódio com recursos das artes visuais.</v>
      </c>
      <c r="Q52" s="3" t="str">
        <f ca="1">IFERROR(__xludf.DUMMYFUNCTION("""COMPUTED_VALUE"""),"desconstruir a diagramação do texto literário pelo desequilíbrio da composição.")</f>
        <v>desconstruir a diagramação do texto literário pelo desequilíbrio da composição.</v>
      </c>
      <c r="R52" s="3"/>
      <c r="S52" s="3"/>
      <c r="T52" s="3"/>
      <c r="U52" s="3"/>
      <c r="V52" s="3"/>
      <c r="W52" s="3"/>
      <c r="X52" s="3"/>
      <c r="Y52" s="3"/>
      <c r="Z52" s="3"/>
    </row>
    <row r="53" spans="1:26" x14ac:dyDescent="0.2">
      <c r="A53" s="2" t="str">
        <f ca="1">IFERROR(__xludf.DUMMYFUNCTION("""COMPUTED_VALUE"""),"https://drive.google.com/open?id=1RX4O-IQN33YEVfTrFwekF9m_xFtCZXkh")</f>
        <v>https://drive.google.com/open?id=1RX4O-IQN33YEVfTrFwekF9m_xFtCZXkh</v>
      </c>
      <c r="B53" s="3" t="str">
        <f ca="1">IFERROR(__xludf.DUMMYFUNCTION("""COMPUTED_VALUE"""),"Enem")</f>
        <v>Enem</v>
      </c>
      <c r="C53" s="3">
        <f ca="1">IFERROR(__xludf.DUMMYFUNCTION("""COMPUTED_VALUE"""),2018)</f>
        <v>2018</v>
      </c>
      <c r="D53" s="3" t="str">
        <f ca="1">IFERROR(__xludf.DUMMYFUNCTION("""COMPUTED_VALUE"""),"Linguagens")</f>
        <v>Linguagens</v>
      </c>
      <c r="E53" s="3" t="str">
        <f ca="1">IFERROR(__xludf.DUMMYFUNCTION("""COMPUTED_VALUE"""),"Literatura")</f>
        <v>Literatura</v>
      </c>
      <c r="F53" s="3" t="str">
        <f ca="1">IFERROR(__xludf.DUMMYFUNCTION("""COMPUTED_VALUE"""),"Literatura")</f>
        <v>Literatura</v>
      </c>
      <c r="G53" s="3"/>
      <c r="H53" s="3"/>
      <c r="I53" s="3" t="str">
        <f ca="1">IFERROR(__xludf.DUMMYFUNCTION("""COMPUTED_VALUE"""),"Azul")</f>
        <v>Azul</v>
      </c>
      <c r="J53" s="3">
        <f ca="1">IFERROR(__xludf.DUMMYFUNCTION("""COMPUTED_VALUE"""),30)</f>
        <v>30</v>
      </c>
      <c r="K53" s="3" t="str">
        <f ca="1">IFERROR(__xludf.DUMMYFUNCTION("""COMPUTED_VALUE"""),"E")</f>
        <v>E</v>
      </c>
      <c r="L53" s="3" t="str">
        <f ca="1">IFERROR(__xludf.DUMMYFUNCTION("""COMPUTED_VALUE"""),"Nesse poema de Stela do Patrocínio, a singularidade da expressão lírica manifesta-se na")</f>
        <v>Nesse poema de Stela do Patrocínio, a singularidade da expressão lírica manifesta-se na</v>
      </c>
      <c r="M53" s="3" t="str">
        <f ca="1">IFERROR(__xludf.DUMMYFUNCTION("""COMPUTED_VALUE"""),"representação da infância, redimensionada no resgate da memória.")</f>
        <v>representação da infância, redimensionada no resgate da memória.</v>
      </c>
      <c r="N53" s="3" t="str">
        <f ca="1">IFERROR(__xludf.DUMMYFUNCTION("""COMPUTED_VALUE"""),"associação de imagens desconexas, articuladas por uma fala delirante.")</f>
        <v>associação de imagens desconexas, articuladas por uma fala delirante.</v>
      </c>
      <c r="O53" s="3" t="str">
        <f ca="1">IFERROR(__xludf.DUMMYFUNCTION("""COMPUTED_VALUE"""),"expressão autobiográfica, fundada no relato de experiências de alteridade.")</f>
        <v>expressão autobiográfica, fundada no relato de experiências de alteridade.</v>
      </c>
      <c r="P53" s="3" t="str">
        <f ca="1">IFERROR(__xludf.DUMMYFUNCTION("""COMPUTED_VALUE"""),"incorporação de elementos fantásticos, explicitada por versos incoerentes.")</f>
        <v>incorporação de elementos fantásticos, explicitada por versos incoerentes.</v>
      </c>
      <c r="Q53" s="3" t="str">
        <f ca="1">IFERROR(__xludf.DUMMYFUNCTION("""COMPUTED_VALUE"""),"transgressão à razão, ecoada na desconstrução de referências temporais.")</f>
        <v>transgressão à razão, ecoada na desconstrução de referências temporais.</v>
      </c>
      <c r="R53" s="3"/>
      <c r="S53" s="3"/>
      <c r="T53" s="3"/>
      <c r="U53" s="3"/>
      <c r="V53" s="3"/>
      <c r="W53" s="3"/>
      <c r="X53" s="3"/>
      <c r="Y53" s="3"/>
      <c r="Z53" s="3"/>
    </row>
    <row r="54" spans="1:26" x14ac:dyDescent="0.2">
      <c r="A54" s="2" t="str">
        <f ca="1">IFERROR(__xludf.DUMMYFUNCTION("""COMPUTED_VALUE"""),"https://drive.google.com/open?id=1EgthPuR8Zhc6vekWTuZZvTdSyFZYRm-A")</f>
        <v>https://drive.google.com/open?id=1EgthPuR8Zhc6vekWTuZZvTdSyFZYRm-A</v>
      </c>
      <c r="B54" s="3" t="str">
        <f ca="1">IFERROR(__xludf.DUMMYFUNCTION("""COMPUTED_VALUE"""),"Enem")</f>
        <v>Enem</v>
      </c>
      <c r="C54" s="3">
        <f ca="1">IFERROR(__xludf.DUMMYFUNCTION("""COMPUTED_VALUE"""),2018)</f>
        <v>2018</v>
      </c>
      <c r="D54" s="3" t="str">
        <f ca="1">IFERROR(__xludf.DUMMYFUNCTION("""COMPUTED_VALUE"""),"Linguagens")</f>
        <v>Linguagens</v>
      </c>
      <c r="E54" s="3" t="str">
        <f ca="1">IFERROR(__xludf.DUMMYFUNCTION("""COMPUTED_VALUE"""),"Literatura")</f>
        <v>Literatura</v>
      </c>
      <c r="F54" s="3" t="str">
        <f ca="1">IFERROR(__xludf.DUMMYFUNCTION("""COMPUTED_VALUE"""),"Literatura")</f>
        <v>Literatura</v>
      </c>
      <c r="G54" s="3"/>
      <c r="H54" s="3"/>
      <c r="I54" s="3" t="str">
        <f ca="1">IFERROR(__xludf.DUMMYFUNCTION("""COMPUTED_VALUE"""),"Azul")</f>
        <v>Azul</v>
      </c>
      <c r="J54" s="3">
        <f ca="1">IFERROR(__xludf.DUMMYFUNCTION("""COMPUTED_VALUE"""),32)</f>
        <v>32</v>
      </c>
      <c r="K54" s="3" t="str">
        <f ca="1">IFERROR(__xludf.DUMMYFUNCTION("""COMPUTED_VALUE"""),"B")</f>
        <v>B</v>
      </c>
      <c r="L54" s="3" t="str">
        <f ca="1">IFERROR(__xludf.DUMMYFUNCTION("""COMPUTED_VALUE"""),"O grupo O Teatro Mágico apresenta composições autorais que têm referências estéticas
do rock, do pop e da música folclórica brasileira. A originalidade dos seus shows tem
relação com a ópera europeia do século XIX a partir da")</f>
        <v>O grupo O Teatro Mágico apresenta composições autorais que têm referências estéticas
do rock, do pop e da música folclórica brasileira. A originalidade dos seus shows tem
relação com a ópera europeia do século XIX a partir da</v>
      </c>
      <c r="M54" s="3" t="str">
        <f ca="1">IFERROR(__xludf.DUMMYFUNCTION("""COMPUTED_VALUE"""),"disposição cênica dos artistas no espaço teatral.")</f>
        <v>disposição cênica dos artistas no espaço teatral.</v>
      </c>
      <c r="N54" s="3" t="str">
        <f ca="1">IFERROR(__xludf.DUMMYFUNCTION("""COMPUTED_VALUE"""),"integração de diversas linguagens artísticas.")</f>
        <v>integração de diversas linguagens artísticas.</v>
      </c>
      <c r="O54" s="3" t="str">
        <f ca="1">IFERROR(__xludf.DUMMYFUNCTION("""COMPUTED_VALUE"""),"sobreposição entre música e texto literário.")</f>
        <v>sobreposição entre música e texto literário.</v>
      </c>
      <c r="P54" s="3" t="str">
        <f ca="1">IFERROR(__xludf.DUMMYFUNCTION("""COMPUTED_VALUE"""),"manutenção de um diálogo com o público.")</f>
        <v>manutenção de um diálogo com o público.</v>
      </c>
      <c r="Q54" s="3" t="str">
        <f ca="1">IFERROR(__xludf.DUMMYFUNCTION("""COMPUTED_VALUE"""),"adoção de um enredo como fio condutor.")</f>
        <v>adoção de um enredo como fio condutor.</v>
      </c>
      <c r="R54" s="3"/>
      <c r="S54" s="3"/>
      <c r="T54" s="3"/>
      <c r="U54" s="3"/>
      <c r="V54" s="3"/>
      <c r="W54" s="3"/>
      <c r="X54" s="3"/>
      <c r="Y54" s="3"/>
      <c r="Z54" s="3"/>
    </row>
    <row r="55" spans="1:26" x14ac:dyDescent="0.2">
      <c r="A55" s="2" t="str">
        <f ca="1">IFERROR(__xludf.DUMMYFUNCTION("""COMPUTED_VALUE"""),"https://drive.google.com/open?id=1mqtMmPSA7WP8_zCbXIk3wJqzuhujQZoP")</f>
        <v>https://drive.google.com/open?id=1mqtMmPSA7WP8_zCbXIk3wJqzuhujQZoP</v>
      </c>
      <c r="B55" s="3" t="str">
        <f ca="1">IFERROR(__xludf.DUMMYFUNCTION("""COMPUTED_VALUE"""),"Enem")</f>
        <v>Enem</v>
      </c>
      <c r="C55" s="3">
        <f ca="1">IFERROR(__xludf.DUMMYFUNCTION("""COMPUTED_VALUE"""),2018)</f>
        <v>2018</v>
      </c>
      <c r="D55" s="3" t="str">
        <f ca="1">IFERROR(__xludf.DUMMYFUNCTION("""COMPUTED_VALUE"""),"Linguagens")</f>
        <v>Linguagens</v>
      </c>
      <c r="E55" s="3" t="str">
        <f ca="1">IFERROR(__xludf.DUMMYFUNCTION("""COMPUTED_VALUE"""),"Literatura")</f>
        <v>Literatura</v>
      </c>
      <c r="F55" s="3" t="str">
        <f ca="1">IFERROR(__xludf.DUMMYFUNCTION("""COMPUTED_VALUE"""),"Literatura")</f>
        <v>Literatura</v>
      </c>
      <c r="G55" s="3"/>
      <c r="H55" s="3"/>
      <c r="I55" s="3" t="str">
        <f ca="1">IFERROR(__xludf.DUMMYFUNCTION("""COMPUTED_VALUE"""),"Azul")</f>
        <v>Azul</v>
      </c>
      <c r="J55" s="3">
        <f ca="1">IFERROR(__xludf.DUMMYFUNCTION("""COMPUTED_VALUE"""),35)</f>
        <v>35</v>
      </c>
      <c r="K55" s="3" t="str">
        <f ca="1">IFERROR(__xludf.DUMMYFUNCTION("""COMPUTED_VALUE"""),"A")</f>
        <v>A</v>
      </c>
      <c r="L55" s="3" t="str">
        <f ca="1">IFERROR(__xludf.DUMMYFUNCTION("""COMPUTED_VALUE"""),"No processo de elaboração do poema, a autora confere ao eu lírico uma identidade que
aqui representa a")</f>
        <v>No processo de elaboração do poema, a autora confere ao eu lírico uma identidade que
aqui representa a</v>
      </c>
      <c r="M55" s="3" t="str">
        <f ca="1">IFERROR(__xludf.DUMMYFUNCTION("""COMPUTED_VALUE"""),"hipocrisia do discurso alicerçado sobre o senso comum.")</f>
        <v>hipocrisia do discurso alicerçado sobre o senso comum.</v>
      </c>
      <c r="N55" s="3" t="str">
        <f ca="1">IFERROR(__xludf.DUMMYFUNCTION("""COMPUTED_VALUE"""),"mudança de paradigmas de imagem atribuídos à mulher.")</f>
        <v>mudança de paradigmas de imagem atribuídos à mulher.</v>
      </c>
      <c r="O55" s="3" t="str">
        <f ca="1">IFERROR(__xludf.DUMMYFUNCTION("""COMPUTED_VALUE"""),"tentativa de estabelecer preceitos da psicologia feminina.")</f>
        <v>tentativa de estabelecer preceitos da psicologia feminina.</v>
      </c>
      <c r="P55" s="3" t="str">
        <f ca="1">IFERROR(__xludf.DUMMYFUNCTION("""COMPUTED_VALUE"""),"importância da correlação entre ações e efeitos causados.")</f>
        <v>importância da correlação entre ações e efeitos causados.</v>
      </c>
      <c r="Q55" s="3" t="str">
        <f ca="1">IFERROR(__xludf.DUMMYFUNCTION("""COMPUTED_VALUE"""),"valorização da sensibilidade como característica de gênero.")</f>
        <v>valorização da sensibilidade como característica de gênero.</v>
      </c>
      <c r="R55" s="3"/>
      <c r="S55" s="3"/>
      <c r="T55" s="3"/>
      <c r="U55" s="3"/>
      <c r="V55" s="3"/>
      <c r="W55" s="3"/>
      <c r="X55" s="3"/>
      <c r="Y55" s="3"/>
      <c r="Z55" s="3"/>
    </row>
    <row r="56" spans="1:26" x14ac:dyDescent="0.2">
      <c r="A56" s="2" t="str">
        <f ca="1">IFERROR(__xludf.DUMMYFUNCTION("""COMPUTED_VALUE"""),"https://drive.google.com/open?id=1n9Qa1HwKCOhVWXGwtBahrkHDEt-zh6i9")</f>
        <v>https://drive.google.com/open?id=1n9Qa1HwKCOhVWXGwtBahrkHDEt-zh6i9</v>
      </c>
      <c r="B56" s="3" t="str">
        <f ca="1">IFERROR(__xludf.DUMMYFUNCTION("""COMPUTED_VALUE"""),"Enem")</f>
        <v>Enem</v>
      </c>
      <c r="C56" s="3">
        <f ca="1">IFERROR(__xludf.DUMMYFUNCTION("""COMPUTED_VALUE"""),2018)</f>
        <v>2018</v>
      </c>
      <c r="D56" s="3" t="str">
        <f ca="1">IFERROR(__xludf.DUMMYFUNCTION("""COMPUTED_VALUE"""),"Linguagens")</f>
        <v>Linguagens</v>
      </c>
      <c r="E56" s="3" t="str">
        <f ca="1">IFERROR(__xludf.DUMMYFUNCTION("""COMPUTED_VALUE"""),"Literatura")</f>
        <v>Literatura</v>
      </c>
      <c r="F56" s="3" t="str">
        <f ca="1">IFERROR(__xludf.DUMMYFUNCTION("""COMPUTED_VALUE"""),"Literatura")</f>
        <v>Literatura</v>
      </c>
      <c r="G56" s="3"/>
      <c r="H56" s="3"/>
      <c r="I56" s="3" t="str">
        <f ca="1">IFERROR(__xludf.DUMMYFUNCTION("""COMPUTED_VALUE"""),"Azul")</f>
        <v>Azul</v>
      </c>
      <c r="J56" s="3">
        <f ca="1">IFERROR(__xludf.DUMMYFUNCTION("""COMPUTED_VALUE"""),42)</f>
        <v>42</v>
      </c>
      <c r="K56" s="3" t="str">
        <f ca="1">IFERROR(__xludf.DUMMYFUNCTION("""COMPUTED_VALUE"""),"C")</f>
        <v>C</v>
      </c>
      <c r="L56" s="3" t="str">
        <f ca="1">IFERROR(__xludf.DUMMYFUNCTION("""COMPUTED_VALUE"""),"Publicado em 1979, o texto compartilha com outras obras da literatura brasileira escritas
no período as marcas do contexto em que foi produzido, como a")</f>
        <v>Publicado em 1979, o texto compartilha com outras obras da literatura brasileira escritas
no período as marcas do contexto em que foi produzido, como a</v>
      </c>
      <c r="M56" s="3" t="str">
        <f ca="1">IFERROR(__xludf.DUMMYFUNCTION("""COMPUTED_VALUE"""),"referência à censura e à opressão para alegorizar a falta de liberdade de expressão
característica da época.")</f>
        <v>referência à censura e à opressão para alegorizar a falta de liberdade de expressão
característica da época.</v>
      </c>
      <c r="N56" s="3" t="str">
        <f ca="1">IFERROR(__xludf.DUMMYFUNCTION("""COMPUTED_VALUE"""),"valorização de situações do cotidiano para atenuar os sentimentos de revolta em
relação ao governo instituído.")</f>
        <v>valorização de situações do cotidiano para atenuar os sentimentos de revolta em
relação ao governo instituído.</v>
      </c>
      <c r="O56" s="3" t="str">
        <f ca="1">IFERROR(__xludf.DUMMYFUNCTION("""COMPUTED_VALUE"""),"utilização de metáforas e ironias para expressar um olhar crítico em relação à
situação social e política do país.")</f>
        <v>utilização de metáforas e ironias para expressar um olhar crítico em relação à
situação social e política do país.</v>
      </c>
      <c r="P56" s="3" t="str">
        <f ca="1">IFERROR(__xludf.DUMMYFUNCTION("""COMPUTED_VALUE"""),"tendência realista para documentar com verossimilhança o drama da população
brasileira durante o Regime Militar.")</f>
        <v>tendência realista para documentar com verossimilhança o drama da população
brasileira durante o Regime Militar.</v>
      </c>
      <c r="Q56" s="3" t="str">
        <f ca="1">IFERROR(__xludf.DUMMYFUNCTION("""COMPUTED_VALUE"""),"sobreposição das manifestações populares pelo discurso oficial para destacar o autoritarismo do momento histórico.")</f>
        <v>sobreposição das manifestações populares pelo discurso oficial para destacar o autoritarismo do momento histórico.</v>
      </c>
      <c r="R56" s="3"/>
      <c r="S56" s="3"/>
      <c r="T56" s="3"/>
      <c r="U56" s="3"/>
      <c r="V56" s="3"/>
      <c r="W56" s="3"/>
      <c r="X56" s="3"/>
      <c r="Y56" s="3"/>
      <c r="Z56" s="3"/>
    </row>
    <row r="57" spans="1:26" x14ac:dyDescent="0.2">
      <c r="A57" s="2" t="str">
        <f ca="1">IFERROR(__xludf.DUMMYFUNCTION("""COMPUTED_VALUE"""),"https://drive.google.com/open?id=1wRY2eSa5SY5MSOlaJK6TrCe_3TtmC2T3")</f>
        <v>https://drive.google.com/open?id=1wRY2eSa5SY5MSOlaJK6TrCe_3TtmC2T3</v>
      </c>
      <c r="B57" s="3" t="str">
        <f ca="1">IFERROR(__xludf.DUMMYFUNCTION("""COMPUTED_VALUE"""),"Enem")</f>
        <v>Enem</v>
      </c>
      <c r="C57" s="3">
        <f ca="1">IFERROR(__xludf.DUMMYFUNCTION("""COMPUTED_VALUE"""),2017)</f>
        <v>2017</v>
      </c>
      <c r="D57" s="3" t="str">
        <f ca="1">IFERROR(__xludf.DUMMYFUNCTION("""COMPUTED_VALUE"""),"Ciências Humanas")</f>
        <v>Ciências Humanas</v>
      </c>
      <c r="E57" s="3" t="str">
        <f ca="1">IFERROR(__xludf.DUMMYFUNCTION("""COMPUTED_VALUE"""),"História")</f>
        <v>História</v>
      </c>
      <c r="F57" s="3" t="str">
        <f ca="1">IFERROR(__xludf.DUMMYFUNCTION("""COMPUTED_VALUE"""),"História Geral")</f>
        <v>História Geral</v>
      </c>
      <c r="G57" s="3"/>
      <c r="H57" s="3"/>
      <c r="I57" s="3" t="str">
        <f ca="1">IFERROR(__xludf.DUMMYFUNCTION("""COMPUTED_VALUE"""),"Azul")</f>
        <v>Azul</v>
      </c>
      <c r="J57" s="3">
        <f ca="1">IFERROR(__xludf.DUMMYFUNCTION("""COMPUTED_VALUE"""),46)</f>
        <v>46</v>
      </c>
      <c r="K57" s="3" t="str">
        <f ca="1">IFERROR(__xludf.DUMMYFUNCTION("""COMPUTED_VALUE"""),"C")</f>
        <v>C</v>
      </c>
      <c r="L57" s="3" t="str">
        <f ca="1">IFERROR(__xludf.DUMMYFUNCTION("""COMPUTED_VALUE"""),"No império africano do Mali, no século XIV, Tombuctu
foi centro de um comércio internacional onde tudo era negociado - sal, escravos, marfim etc. Havia também um grande comércio de livros de história, medicina,
astronomia e matemática, além de grande conc"&amp;"entração
de estudantes. A importância cultural de Tombuctu pode
ser percebida por meio de um velho provérbio: “O sal vem
do norte, o ouro vem do sul, mas as palavras de Deus e
os tesouros da sabedoria vêm de Tombuctu”.
Uma explicação para o dinamismo dess"&amp;"a cidade e sua importância histórica no período mencionado era o(a):")</f>
        <v>No império africano do Mali, no século XIV, Tombuctu
foi centro de um comércio internacional onde tudo era negociado - sal, escravos, marfim etc. Havia também um grande comércio de livros de história, medicina,
astronomia e matemática, além de grande concentração
de estudantes. A importância cultural de Tombuctu pode
ser percebida por meio de um velho provérbio: “O sal vem
do norte, o ouro vem do sul, mas as palavras de Deus e
os tesouros da sabedoria vêm de Tombuctu”.
Uma explicação para o dinamismo dessa cidade e sua importância histórica no período mencionado era o(a):</v>
      </c>
      <c r="M57" s="3" t="str">
        <f ca="1">IFERROR(__xludf.DUMMYFUNCTION("""COMPUTED_VALUE"""),"Isolamento geográfico do Saara ocidental")</f>
        <v>Isolamento geográfico do Saara ocidental</v>
      </c>
      <c r="N57" s="3" t="str">
        <f ca="1">IFERROR(__xludf.DUMMYFUNCTION("""COMPUTED_VALUE"""),"exploração intensiva de recursos naturais")</f>
        <v>exploração intensiva de recursos naturais</v>
      </c>
      <c r="O57" s="3" t="str">
        <f ca="1">IFERROR(__xludf.DUMMYFUNCTION("""COMPUTED_VALUE"""),"posição relativa nas redes de circulação")</f>
        <v>posição relativa nas redes de circulação</v>
      </c>
      <c r="P57" s="3" t="str">
        <f ca="1">IFERROR(__xludf.DUMMYFUNCTION("""COMPUTED_VALUE"""),"tráfico transatlântico de mão de obra servil")</f>
        <v>tráfico transatlântico de mão de obra servil</v>
      </c>
      <c r="Q57" s="3" t="str">
        <f ca="1">IFERROR(__xludf.DUMMYFUNCTION("""COMPUTED_VALUE"""),"competição econômica dos reinos da região ")</f>
        <v xml:space="preserve">competição econômica dos reinos da região </v>
      </c>
      <c r="R57" s="3"/>
      <c r="S57" s="3"/>
      <c r="T57" s="3"/>
      <c r="U57" s="3"/>
      <c r="V57" s="3"/>
      <c r="W57" s="3"/>
      <c r="X57" s="3"/>
      <c r="Y57" s="3"/>
      <c r="Z57" s="3"/>
    </row>
    <row r="58" spans="1:26" x14ac:dyDescent="0.2">
      <c r="A58" s="2" t="str">
        <f ca="1">IFERROR(__xludf.DUMMYFUNCTION("""COMPUTED_VALUE"""),"https://drive.google.com/open?id=1TKcBDI1dkVnlY65t2vCSt_yAwMkS5-Oz")</f>
        <v>https://drive.google.com/open?id=1TKcBDI1dkVnlY65t2vCSt_yAwMkS5-Oz</v>
      </c>
      <c r="B58" s="3" t="str">
        <f ca="1">IFERROR(__xludf.DUMMYFUNCTION("""COMPUTED_VALUE"""),"Enem")</f>
        <v>Enem</v>
      </c>
      <c r="C58" s="3">
        <f ca="1">IFERROR(__xludf.DUMMYFUNCTION("""COMPUTED_VALUE"""),2017)</f>
        <v>2017</v>
      </c>
      <c r="D58" s="3" t="str">
        <f ca="1">IFERROR(__xludf.DUMMYFUNCTION("""COMPUTED_VALUE"""),"Ciências Humanas")</f>
        <v>Ciências Humanas</v>
      </c>
      <c r="E58" s="3" t="str">
        <f ca="1">IFERROR(__xludf.DUMMYFUNCTION("""COMPUTED_VALUE"""),"História")</f>
        <v>História</v>
      </c>
      <c r="F58" s="3" t="str">
        <f ca="1">IFERROR(__xludf.DUMMYFUNCTION("""COMPUTED_VALUE"""),"História Geral")</f>
        <v>História Geral</v>
      </c>
      <c r="G58" s="3" t="str">
        <f ca="1">IFERROR(__xludf.DUMMYFUNCTION("""COMPUTED_VALUE"""),"Atualidade")</f>
        <v>Atualidade</v>
      </c>
      <c r="H58" s="3"/>
      <c r="I58" s="3" t="str">
        <f ca="1">IFERROR(__xludf.DUMMYFUNCTION("""COMPUTED_VALUE"""),"Azul")</f>
        <v>Azul</v>
      </c>
      <c r="J58" s="3">
        <f ca="1">IFERROR(__xludf.DUMMYFUNCTION("""COMPUTED_VALUE"""),47)</f>
        <v>47</v>
      </c>
      <c r="K58" s="3" t="str">
        <f ca="1">IFERROR(__xludf.DUMMYFUNCTION("""COMPUTED_VALUE"""),"D")</f>
        <v>D</v>
      </c>
      <c r="L58" s="3" t="str">
        <f ca="1">IFERROR(__xludf.DUMMYFUNCTION("""COMPUTED_VALUE"""),"Após a Declaração Universal dos Direitos Humanos
pela ONU, em 1948, a Unesco publicou estudos de cientistas de todo o mundo que desqualificaram as doutrinas racistas e demonstraram a unidade do gênero
humano. Desde então, a maioria dos próprios cientistas"&amp;"
europeus passou a reconhecer o caráter discriminatório
da pretensa superioridade racial do homem branco e a
condenar as aberrações cometidas em seu nome. 
A posição assumida pela Unesco, a partir de 1948, foi motivada por acontecimentos então recentes, d"&amp;"entre os quais se destacava o(a)")</f>
        <v>Após a Declaração Universal dos Direitos Humanos
pela ONU, em 1948, a Unesco publicou estudos de cientistas de todo o mundo que desqualificaram as doutrinas racistas e demonstraram a unidade do gênero
humano. Desde então, a maioria dos próprios cientistas
europeus passou a reconhecer o caráter discriminatório
da pretensa superioridade racial do homem branco e a
condenar as aberrações cometidas em seu nome. 
A posição assumida pela Unesco, a partir de 1948, foi motivada por acontecimentos então recentes, dentre os quais se destacava o(a)</v>
      </c>
      <c r="M58" s="3" t="str">
        <f ca="1">IFERROR(__xludf.DUMMYFUNCTION("""COMPUTED_VALUE"""),"ataque feito pelos japoneses à base militar americana
de Pearl Harbor")</f>
        <v>ataque feito pelos japoneses à base militar americana
de Pearl Harbor</v>
      </c>
      <c r="N58" s="3" t="str">
        <f ca="1">IFERROR(__xludf.DUMMYFUNCTION("""COMPUTED_VALUE"""),"desencadeamento da Guerra Fria e de novas
rivalidades entre nações.")</f>
        <v>desencadeamento da Guerra Fria e de novas
rivalidades entre nações.</v>
      </c>
      <c r="O58" s="3" t="str">
        <f ca="1">IFERROR(__xludf.DUMMYFUNCTION("""COMPUTED_VALUE"""),"C morte de milhões de soldados nos combates da
Segunda Guerra Mundial.")</f>
        <v>C morte de milhões de soldados nos combates da
Segunda Guerra Mundial.</v>
      </c>
      <c r="P58" s="3" t="str">
        <f ca="1">IFERROR(__xludf.DUMMYFUNCTION("""COMPUTED_VALUE"""),"execução de judeus e eslavos presos em guetos e
campos de concentração nazistas.")</f>
        <v>execução de judeus e eslavos presos em guetos e
campos de concentração nazistas.</v>
      </c>
      <c r="Q58" s="3" t="str">
        <f ca="1">IFERROR(__xludf.DUMMYFUNCTION("""COMPUTED_VALUE"""),"lançamento de bombas atômicas em Hiroshima e Nagasaki pelas forças norte-americanas.")</f>
        <v>lançamento de bombas atômicas em Hiroshima e Nagasaki pelas forças norte-americanas.</v>
      </c>
      <c r="R58" s="3"/>
      <c r="S58" s="3"/>
      <c r="T58" s="3"/>
      <c r="U58" s="3"/>
      <c r="V58" s="3"/>
      <c r="W58" s="3"/>
      <c r="X58" s="3"/>
      <c r="Y58" s="3"/>
      <c r="Z58" s="3"/>
    </row>
    <row r="59" spans="1:26" x14ac:dyDescent="0.2">
      <c r="A59" s="2" t="str">
        <f ca="1">IFERROR(__xludf.DUMMYFUNCTION("""COMPUTED_VALUE"""),"https://drive.google.com/open?id=1GDqefiWkPRpPRC_TDB5xrUtkLShKTWC2")</f>
        <v>https://drive.google.com/open?id=1GDqefiWkPRpPRC_TDB5xrUtkLShKTWC2</v>
      </c>
      <c r="B59" s="3" t="str">
        <f ca="1">IFERROR(__xludf.DUMMYFUNCTION("""COMPUTED_VALUE"""),"Enem")</f>
        <v>Enem</v>
      </c>
      <c r="C59" s="3">
        <f ca="1">IFERROR(__xludf.DUMMYFUNCTION("""COMPUTED_VALUE"""),2017)</f>
        <v>2017</v>
      </c>
      <c r="D59" s="3" t="str">
        <f ca="1">IFERROR(__xludf.DUMMYFUNCTION("""COMPUTED_VALUE"""),"Ciências Humanas")</f>
        <v>Ciências Humanas</v>
      </c>
      <c r="E59" s="3" t="str">
        <f ca="1">IFERROR(__xludf.DUMMYFUNCTION("""COMPUTED_VALUE"""),"História")</f>
        <v>História</v>
      </c>
      <c r="F59" s="3" t="str">
        <f ca="1">IFERROR(__xludf.DUMMYFUNCTION("""COMPUTED_VALUE"""),"História Geral")</f>
        <v>História Geral</v>
      </c>
      <c r="G59" s="3"/>
      <c r="H59" s="3"/>
      <c r="I59" s="3" t="str">
        <f ca="1">IFERROR(__xludf.DUMMYFUNCTION("""COMPUTED_VALUE"""),"Azul")</f>
        <v>Azul</v>
      </c>
      <c r="J59" s="3">
        <f ca="1">IFERROR(__xludf.DUMMYFUNCTION("""COMPUTED_VALUE"""),49)</f>
        <v>49</v>
      </c>
      <c r="K59" s="3" t="str">
        <f ca="1">IFERROR(__xludf.DUMMYFUNCTION("""COMPUTED_VALUE"""),"E")</f>
        <v>E</v>
      </c>
      <c r="L59" s="3" t="str">
        <f ca="1">IFERROR(__xludf.DUMMYFUNCTION("""COMPUTED_VALUE"""),"Fala-se muito nos dias de hoje em direitos do homem.
Pois bem: foi no século XVIII - em 1789, precisamente - que uma Assembleia Constituinte produziu e proclamou em Paris a Declaração dos Direitos do Homem e do
Cidadão. Essa Declaração se impôs como neces"&amp;"sária
para um grupo de revolucionários, por ter sido preparada
por uma mudança no plano das ideias e das mentalidades:
O Iluminismo. 
Correlacionando temporalidades históricas, o texto
apresenta uma concepção de pensamento que tem como
uma de suas bases a"&amp;":")</f>
        <v>Fala-se muito nos dias de hoje em direitos do homem.
Pois bem: foi no século XVIII - em 1789, precisamente - que uma Assembleia Constituinte produziu e proclamou em Paris a Declaração dos Direitos do Homem e do
Cidadão. Essa Declaração se impôs como necessária
para um grupo de revolucionários, por ter sido preparada
por uma mudança no plano das ideias e das mentalidades:
O Iluminismo. 
Correlacionando temporalidades históricas, o texto
apresenta uma concepção de pensamento que tem como
uma de suas bases a:</v>
      </c>
      <c r="M59" s="3" t="str">
        <f ca="1">IFERROR(__xludf.DUMMYFUNCTION("""COMPUTED_VALUE"""),"modernização da educação escolar.")</f>
        <v>modernização da educação escolar.</v>
      </c>
      <c r="N59" s="3" t="str">
        <f ca="1">IFERROR(__xludf.DUMMYFUNCTION("""COMPUTED_VALUE"""),"atualização da disciplina moral cristã.")</f>
        <v>atualização da disciplina moral cristã.</v>
      </c>
      <c r="O59" s="3" t="str">
        <f ca="1">IFERROR(__xludf.DUMMYFUNCTION("""COMPUTED_VALUE"""),"divulgação de costumes aristocráticos. ")</f>
        <v xml:space="preserve">divulgação de costumes aristocráticos. </v>
      </c>
      <c r="P59" s="3" t="str">
        <f ca="1">IFERROR(__xludf.DUMMYFUNCTION("""COMPUTED_VALUE"""),"socialização do conhecimento científico. ")</f>
        <v xml:space="preserve">socialização do conhecimento científico. </v>
      </c>
      <c r="Q59" s="3" t="str">
        <f ca="1">IFERROR(__xludf.DUMMYFUNCTION("""COMPUTED_VALUE"""),"universalização do princípio da igualdade civil.")</f>
        <v>universalização do princípio da igualdade civil.</v>
      </c>
      <c r="R59" s="3"/>
      <c r="S59" s="3"/>
      <c r="T59" s="3"/>
      <c r="U59" s="3"/>
      <c r="V59" s="3"/>
      <c r="W59" s="3"/>
      <c r="X59" s="3"/>
      <c r="Y59" s="3"/>
      <c r="Z59" s="3"/>
    </row>
    <row r="60" spans="1:26" x14ac:dyDescent="0.2">
      <c r="A60" s="2" t="str">
        <f ca="1">IFERROR(__xludf.DUMMYFUNCTION("""COMPUTED_VALUE"""),"https://drive.google.com/open?id=1YE73np9jxPZ3rLrri_bO2gjwVjCAfvBN")</f>
        <v>https://drive.google.com/open?id=1YE73np9jxPZ3rLrri_bO2gjwVjCAfvBN</v>
      </c>
      <c r="B60" s="3" t="str">
        <f ca="1">IFERROR(__xludf.DUMMYFUNCTION("""COMPUTED_VALUE"""),"Enem")</f>
        <v>Enem</v>
      </c>
      <c r="C60" s="3">
        <f ca="1">IFERROR(__xludf.DUMMYFUNCTION("""COMPUTED_VALUE"""),2017)</f>
        <v>2017</v>
      </c>
      <c r="D60" s="3" t="str">
        <f ca="1">IFERROR(__xludf.DUMMYFUNCTION("""COMPUTED_VALUE"""),"Ciências Humanas")</f>
        <v>Ciências Humanas</v>
      </c>
      <c r="E60" s="3" t="str">
        <f ca="1">IFERROR(__xludf.DUMMYFUNCTION("""COMPUTED_VALUE"""),"História")</f>
        <v>História</v>
      </c>
      <c r="F60" s="3" t="str">
        <f ca="1">IFERROR(__xludf.DUMMYFUNCTION("""COMPUTED_VALUE"""),"História Geral")</f>
        <v>História Geral</v>
      </c>
      <c r="G60" s="3"/>
      <c r="H60" s="3"/>
      <c r="I60" s="3" t="str">
        <f ca="1">IFERROR(__xludf.DUMMYFUNCTION("""COMPUTED_VALUE"""),"Azul")</f>
        <v>Azul</v>
      </c>
      <c r="J60" s="3">
        <f ca="1">IFERROR(__xludf.DUMMYFUNCTION("""COMPUTED_VALUE"""),50)</f>
        <v>50</v>
      </c>
      <c r="K60" s="3" t="str">
        <f ca="1">IFERROR(__xludf.DUMMYFUNCTION("""COMPUTED_VALUE"""),"C")</f>
        <v>C</v>
      </c>
      <c r="L60" s="3" t="str">
        <f ca="1">IFERROR(__xludf.DUMMYFUNCTION("""COMPUTED_VALUE"""),"Art. 231. São reconhecidos aos índios sua
organização social, costumes, línguas, crenças e
tradições, e os direitos originários sobre as terras
que tradicionalmente ocupam, competindo à União
demarcá-las, proteger e fazer respeitar todos os
seus bens.
A p"&amp;"ersistência das reivindicações relativas à aplicação
desse preceito normativo tem em vista a vinculação
histórica fundamental entre")</f>
        <v>Art. 231. São reconhecidos aos índios sua
organização social, costumes, línguas, crenças e
tradições, e os direitos originários sobre as terras
que tradicionalmente ocupam, competindo à União
demarcá-las, proteger e fazer respeitar todos os
seus bens.
A persistência das reivindicações relativas à aplicação
desse preceito normativo tem em vista a vinculação
histórica fundamental entre</v>
      </c>
      <c r="M60" s="3" t="str">
        <f ca="1">IFERROR(__xludf.DUMMYFUNCTION("""COMPUTED_VALUE"""),"etnia e miscigenação racial.")</f>
        <v>etnia e miscigenação racial.</v>
      </c>
      <c r="N60" s="3" t="str">
        <f ca="1">IFERROR(__xludf.DUMMYFUNCTION("""COMPUTED_VALUE"""),"sociedade e igualdade jurídica")</f>
        <v>sociedade e igualdade jurídica</v>
      </c>
      <c r="O60" s="3" t="str">
        <f ca="1">IFERROR(__xludf.DUMMYFUNCTION("""COMPUTED_VALUE"""),"espaço e sobrevivência cultural.")</f>
        <v>espaço e sobrevivência cultural.</v>
      </c>
      <c r="P60" s="3" t="str">
        <f ca="1">IFERROR(__xludf.DUMMYFUNCTION("""COMPUTED_VALUE"""),"progresso e educação ambiental.")</f>
        <v>progresso e educação ambiental.</v>
      </c>
      <c r="Q60" s="3" t="str">
        <f ca="1">IFERROR(__xludf.DUMMYFUNCTION("""COMPUTED_VALUE"""),"bem-estar e modernização econômica.")</f>
        <v>bem-estar e modernização econômica.</v>
      </c>
      <c r="R60" s="3"/>
      <c r="S60" s="3"/>
      <c r="T60" s="3"/>
      <c r="U60" s="3"/>
      <c r="V60" s="3"/>
      <c r="W60" s="3"/>
      <c r="X60" s="3"/>
      <c r="Y60" s="3"/>
      <c r="Z60" s="3"/>
    </row>
    <row r="61" spans="1:26" x14ac:dyDescent="0.2">
      <c r="A61" s="2" t="str">
        <f ca="1">IFERROR(__xludf.DUMMYFUNCTION("""COMPUTED_VALUE"""),"https://drive.google.com/open?id=1S-_4n-V8Tf_iuxqJYjR3Nv2Gj8oy6OhE")</f>
        <v>https://drive.google.com/open?id=1S-_4n-V8Tf_iuxqJYjR3Nv2Gj8oy6OhE</v>
      </c>
      <c r="B61" s="3" t="str">
        <f ca="1">IFERROR(__xludf.DUMMYFUNCTION("""COMPUTED_VALUE"""),"Enem")</f>
        <v>Enem</v>
      </c>
      <c r="C61" s="3">
        <f ca="1">IFERROR(__xludf.DUMMYFUNCTION("""COMPUTED_VALUE"""),2017)</f>
        <v>2017</v>
      </c>
      <c r="D61" s="3" t="str">
        <f ca="1">IFERROR(__xludf.DUMMYFUNCTION("""COMPUTED_VALUE"""),"Ciências Humanas")</f>
        <v>Ciências Humanas</v>
      </c>
      <c r="E61" s="3" t="str">
        <f ca="1">IFERROR(__xludf.DUMMYFUNCTION("""COMPUTED_VALUE"""),"História")</f>
        <v>História</v>
      </c>
      <c r="F61" s="3" t="str">
        <f ca="1">IFERROR(__xludf.DUMMYFUNCTION("""COMPUTED_VALUE"""),"História do Brasil")</f>
        <v>História do Brasil</v>
      </c>
      <c r="G61" s="3"/>
      <c r="H61" s="3"/>
      <c r="I61" s="3" t="str">
        <f ca="1">IFERROR(__xludf.DUMMYFUNCTION("""COMPUTED_VALUE"""),"Azul")</f>
        <v>Azul</v>
      </c>
      <c r="J61" s="3">
        <f ca="1">IFERROR(__xludf.DUMMYFUNCTION("""COMPUTED_VALUE"""),51)</f>
        <v>51</v>
      </c>
      <c r="K61" s="3" t="str">
        <f ca="1">IFERROR(__xludf.DUMMYFUNCTION("""COMPUTED_VALUE"""),"A")</f>
        <v>A</v>
      </c>
      <c r="L61" s="3" t="str">
        <f ca="1">IFERROR(__xludf.DUMMYFUNCTION("""COMPUTED_VALUE"""),"A fotografia, datada de 1860, é um indício da cultura escravista no Brasil, ao expressar a ")</f>
        <v xml:space="preserve">A fotografia, datada de 1860, é um indício da cultura escravista no Brasil, ao expressar a </v>
      </c>
      <c r="M61" s="3" t="str">
        <f ca="1">IFERROR(__xludf.DUMMYFUNCTION("""COMPUTED_VALUE"""),"ambiguidade do trabalho doméstico exercido pela
ama de leite, desenvolvendo uma relação de
proximidade e subordinação em relação aos senhores")</f>
        <v>ambiguidade do trabalho doméstico exercido pela
ama de leite, desenvolvendo uma relação de
proximidade e subordinação em relação aos senhores</v>
      </c>
      <c r="N61" s="3" t="str">
        <f ca="1">IFERROR(__xludf.DUMMYFUNCTION("""COMPUTED_VALUE"""),"integração dos escravos aos valores das classes médias,
cultivando a família como pilar da sociedade imperial.")</f>
        <v>integração dos escravos aos valores das classes médias,
cultivando a família como pilar da sociedade imperial.</v>
      </c>
      <c r="O61" s="3" t="str">
        <f ca="1">IFERROR(__xludf.DUMMYFUNCTION("""COMPUTED_VALUE"""),"melhoria das condições de vida dos escravos
observada pela roupa luxuosa, associando o trabalho
doméstico a privilégios para os cativos")</f>
        <v>melhoria das condições de vida dos escravos
observada pela roupa luxuosa, associando o trabalho
doméstico a privilégios para os cativos</v>
      </c>
      <c r="P61" s="3" t="str">
        <f ca="1">IFERROR(__xludf.DUMMYFUNCTION("""COMPUTED_VALUE"""),"esfera da vida privada, centralizando a figura feminina para afirmar o trabalho da mulher na educação letrada dos infantes.")</f>
        <v>esfera da vida privada, centralizando a figura feminina para afirmar o trabalho da mulher na educação letrada dos infantes.</v>
      </c>
      <c r="Q61" s="3" t="str">
        <f ca="1">IFERROR(__xludf.DUMMYFUNCTION("""COMPUTED_VALUE"""),"distinção étnica entre senhores e escravos,
demarcando a convivência entre estratos sociais
como meio para superar a mestiçagem.")</f>
        <v>distinção étnica entre senhores e escravos,
demarcando a convivência entre estratos sociais
como meio para superar a mestiçagem.</v>
      </c>
      <c r="R61" s="3"/>
      <c r="S61" s="3"/>
      <c r="T61" s="3"/>
      <c r="U61" s="3"/>
      <c r="V61" s="3"/>
      <c r="W61" s="3"/>
      <c r="X61" s="3"/>
      <c r="Y61" s="3"/>
      <c r="Z61" s="3"/>
    </row>
    <row r="62" spans="1:26" x14ac:dyDescent="0.2">
      <c r="A62" s="2" t="str">
        <f ca="1">IFERROR(__xludf.DUMMYFUNCTION("""COMPUTED_VALUE"""),"https://drive.google.com/open?id=1LnGTO01S93F21u5q432zK3kIeHLiRikD")</f>
        <v>https://drive.google.com/open?id=1LnGTO01S93F21u5q432zK3kIeHLiRikD</v>
      </c>
      <c r="B62" s="3" t="str">
        <f ca="1">IFERROR(__xludf.DUMMYFUNCTION("""COMPUTED_VALUE"""),"Enem")</f>
        <v>Enem</v>
      </c>
      <c r="C62" s="3">
        <f ca="1">IFERROR(__xludf.DUMMYFUNCTION("""COMPUTED_VALUE"""),2017)</f>
        <v>2017</v>
      </c>
      <c r="D62" s="3" t="str">
        <f ca="1">IFERROR(__xludf.DUMMYFUNCTION("""COMPUTED_VALUE"""),"Ciências Humanas")</f>
        <v>Ciências Humanas</v>
      </c>
      <c r="E62" s="3" t="str">
        <f ca="1">IFERROR(__xludf.DUMMYFUNCTION("""COMPUTED_VALUE"""),"História")</f>
        <v>História</v>
      </c>
      <c r="F62" s="3" t="str">
        <f ca="1">IFERROR(__xludf.DUMMYFUNCTION("""COMPUTED_VALUE"""),"História Geral")</f>
        <v>História Geral</v>
      </c>
      <c r="G62" s="3"/>
      <c r="H62" s="3"/>
      <c r="I62" s="3" t="str">
        <f ca="1">IFERROR(__xludf.DUMMYFUNCTION("""COMPUTED_VALUE"""),"Azul")</f>
        <v>Azul</v>
      </c>
      <c r="J62" s="3">
        <f ca="1">IFERROR(__xludf.DUMMYFUNCTION("""COMPUTED_VALUE"""),61)</f>
        <v>61</v>
      </c>
      <c r="K62" s="3" t="str">
        <f ca="1">IFERROR(__xludf.DUMMYFUNCTION("""COMPUTED_VALUE"""),"A")</f>
        <v>A</v>
      </c>
      <c r="L62" s="3" t="str">
        <f ca="1">IFERROR(__xludf.DUMMYFUNCTION("""COMPUTED_VALUE"""),"A primeira Guerra do Golfo, genuinamente apoiada
pelas Nações Unidas e pela comunidade internacional,
assim como a reação imediata ao Onze de Setembro,
demonstravam a força da posição dos Estados Unidos na
era pós-soviética.
Um aspecto que explica a força"&amp;" dos Estados Unidos,
apontada pelo texto, reside no(a)")</f>
        <v>A primeira Guerra do Golfo, genuinamente apoiada
pelas Nações Unidas e pela comunidade internacional,
assim como a reação imediata ao Onze de Setembro,
demonstravam a força da posição dos Estados Unidos na
era pós-soviética.
Um aspecto que explica a força dos Estados Unidos,
apontada pelo texto, reside no(a)</v>
      </c>
      <c r="M62" s="3" t="str">
        <f ca="1">IFERROR(__xludf.DUMMYFUNCTION("""COMPUTED_VALUE"""),"poder de suas bases militares espalhadas ao redor do
mundo")</f>
        <v>poder de suas bases militares espalhadas ao redor do
mundo</v>
      </c>
      <c r="N62" s="3" t="str">
        <f ca="1">IFERROR(__xludf.DUMMYFUNCTION("""COMPUTED_VALUE"""),"alinhamento geopolítico da Rússia em relação aos EUA.")</f>
        <v>alinhamento geopolítico da Rússia em relação aos EUA.</v>
      </c>
      <c r="O62" s="3" t="str">
        <f ca="1">IFERROR(__xludf.DUMMYFUNCTION("""COMPUTED_VALUE"""),"política de expansionismo territorial exercida sobre Cuba.")</f>
        <v>política de expansionismo territorial exercida sobre Cuba.</v>
      </c>
      <c r="P62" s="3" t="str">
        <f ca="1">IFERROR(__xludf.DUMMYFUNCTION("""COMPUTED_VALUE"""),"aliança estratégica com países produtores de petróleo, como Kuwait e Irã")</f>
        <v>aliança estratégica com países produtores de petróleo, como Kuwait e Irã</v>
      </c>
      <c r="Q62" s="3" t="str">
        <f ca="1">IFERROR(__xludf.DUMMYFUNCTION("""COMPUTED_VALUE"""),"incorporação da China à Organização do Tratado
do Atlântico Norte (Otan).")</f>
        <v>incorporação da China à Organização do Tratado
do Atlântico Norte (Otan).</v>
      </c>
      <c r="R62" s="3"/>
      <c r="S62" s="3"/>
      <c r="T62" s="3"/>
      <c r="U62" s="3"/>
      <c r="V62" s="3"/>
      <c r="W62" s="3"/>
      <c r="X62" s="3"/>
      <c r="Y62" s="3"/>
      <c r="Z62" s="3"/>
    </row>
    <row r="63" spans="1:26" x14ac:dyDescent="0.2">
      <c r="A63" s="2" t="str">
        <f ca="1">IFERROR(__xludf.DUMMYFUNCTION("""COMPUTED_VALUE"""),"https://drive.google.com/open?id=1IQkfULACka2A1hijfhRsi7iArS-IXl6B")</f>
        <v>https://drive.google.com/open?id=1IQkfULACka2A1hijfhRsi7iArS-IXl6B</v>
      </c>
      <c r="B63" s="3" t="str">
        <f ca="1">IFERROR(__xludf.DUMMYFUNCTION("""COMPUTED_VALUE"""),"Enem")</f>
        <v>Enem</v>
      </c>
      <c r="C63" s="3">
        <f ca="1">IFERROR(__xludf.DUMMYFUNCTION("""COMPUTED_VALUE"""),2017)</f>
        <v>2017</v>
      </c>
      <c r="D63" s="3" t="str">
        <f ca="1">IFERROR(__xludf.DUMMYFUNCTION("""COMPUTED_VALUE"""),"Ciências Humanas")</f>
        <v>Ciências Humanas</v>
      </c>
      <c r="E63" s="3" t="str">
        <f ca="1">IFERROR(__xludf.DUMMYFUNCTION("""COMPUTED_VALUE"""),"História")</f>
        <v>História</v>
      </c>
      <c r="F63" s="3" t="str">
        <f ca="1">IFERROR(__xludf.DUMMYFUNCTION("""COMPUTED_VALUE"""),"História Geral")</f>
        <v>História Geral</v>
      </c>
      <c r="G63" s="3"/>
      <c r="H63" s="3"/>
      <c r="I63" s="3" t="str">
        <f ca="1">IFERROR(__xludf.DUMMYFUNCTION("""COMPUTED_VALUE"""),"Azul")</f>
        <v>Azul</v>
      </c>
      <c r="J63" s="3">
        <f ca="1">IFERROR(__xludf.DUMMYFUNCTION("""COMPUTED_VALUE"""),62)</f>
        <v>62</v>
      </c>
      <c r="K63" s="3" t="str">
        <f ca="1">IFERROR(__xludf.DUMMYFUNCTION("""COMPUTED_VALUE"""),"E")</f>
        <v>E</v>
      </c>
      <c r="L63" s="3" t="str">
        <f ca="1">IFERROR(__xludf.DUMMYFUNCTION("""COMPUTED_VALUE"""),"O New Deal visa restabelecer o equilíbrio entre o
custo de produção e o preço, entre a cidade e o campo,
entre os preços agrícolas e os preços industriais, reativar
o mercado interno — o único que é importante —, pelo
controle de preços e da produção, pel"&amp;"a revalorização
dos salários e do poder aquisitivo das massas, isto é,
dos lavradores e operários, e pela regulamentação das
condições de emprego.
Tendo como referência os condicionantes históricos do
entreguerras, as medidas governamentais descritas
obje"&amp;"tivavam")</f>
        <v>O New Deal visa restabelecer o equilíbrio entre o
custo de produção e o preço, entre a cidade e o campo,
entre os preços agrícolas e os preços industriais, reativar
o mercado interno — o único que é importante —, pelo
controle de preços e da produção, pela revalorização
dos salários e do poder aquisitivo das massas, isto é,
dos lavradores e operários, e pela regulamentação das
condições de emprego.
Tendo como referência os condicionantes históricos do
entreguerras, as medidas governamentais descritas
objetivavam</v>
      </c>
      <c r="M63" s="3" t="str">
        <f ca="1">IFERROR(__xludf.DUMMYFUNCTION("""COMPUTED_VALUE"""),"flexibilizar as regras do mercado financeiro")</f>
        <v>flexibilizar as regras do mercado financeiro</v>
      </c>
      <c r="N63" s="3" t="str">
        <f ca="1">IFERROR(__xludf.DUMMYFUNCTION("""COMPUTED_VALUE"""),"fortalecer o sistema de tributação regressiva")</f>
        <v>fortalecer o sistema de tributação regressiva</v>
      </c>
      <c r="O63" s="3" t="str">
        <f ca="1">IFERROR(__xludf.DUMMYFUNCTION("""COMPUTED_VALUE"""),"introduzir os dispositivos de contenção creditícia")</f>
        <v>introduzir os dispositivos de contenção creditícia</v>
      </c>
      <c r="P63" s="3" t="str">
        <f ca="1">IFERROR(__xludf.DUMMYFUNCTION("""COMPUTED_VALUE"""),"racionalizar os custos da automação industrial
mediante negociação sindical.")</f>
        <v>racionalizar os custos da automação industrial
mediante negociação sindical.</v>
      </c>
      <c r="Q63" s="3" t="str">
        <f ca="1">IFERROR(__xludf.DUMMYFUNCTION("""COMPUTED_VALUE"""),"recompor os mecanismos de acumulação econômica
por meio da intervenção estatal")</f>
        <v>recompor os mecanismos de acumulação econômica
por meio da intervenção estatal</v>
      </c>
      <c r="R63" s="3"/>
      <c r="S63" s="3"/>
      <c r="T63" s="3"/>
      <c r="U63" s="3"/>
      <c r="V63" s="3"/>
      <c r="W63" s="3"/>
      <c r="X63" s="3"/>
      <c r="Y63" s="3"/>
      <c r="Z63" s="3"/>
    </row>
    <row r="64" spans="1:26" x14ac:dyDescent="0.2">
      <c r="A64" s="2" t="str">
        <f ca="1">IFERROR(__xludf.DUMMYFUNCTION("""COMPUTED_VALUE"""),"https://drive.google.com/open?id=15vGyAFLjwLpOzIzwcu4lyeYSdgJKo6Ne")</f>
        <v>https://drive.google.com/open?id=15vGyAFLjwLpOzIzwcu4lyeYSdgJKo6Ne</v>
      </c>
      <c r="B64" s="3" t="str">
        <f ca="1">IFERROR(__xludf.DUMMYFUNCTION("""COMPUTED_VALUE"""),"Enem")</f>
        <v>Enem</v>
      </c>
      <c r="C64" s="3">
        <f ca="1">IFERROR(__xludf.DUMMYFUNCTION("""COMPUTED_VALUE"""),2017)</f>
        <v>2017</v>
      </c>
      <c r="D64" s="3" t="str">
        <f ca="1">IFERROR(__xludf.DUMMYFUNCTION("""COMPUTED_VALUE"""),"Ciências Humanas")</f>
        <v>Ciências Humanas</v>
      </c>
      <c r="E64" s="3" t="str">
        <f ca="1">IFERROR(__xludf.DUMMYFUNCTION("""COMPUTED_VALUE"""),"História")</f>
        <v>História</v>
      </c>
      <c r="F64" s="3" t="str">
        <f ca="1">IFERROR(__xludf.DUMMYFUNCTION("""COMPUTED_VALUE"""),"História Geral")</f>
        <v>História Geral</v>
      </c>
      <c r="G64" s="3"/>
      <c r="H64" s="3"/>
      <c r="I64" s="3" t="str">
        <f ca="1">IFERROR(__xludf.DUMMYFUNCTION("""COMPUTED_VALUE"""),"Azul")</f>
        <v>Azul</v>
      </c>
      <c r="J64" s="3">
        <f ca="1">IFERROR(__xludf.DUMMYFUNCTION("""COMPUTED_VALUE"""),70)</f>
        <v>70</v>
      </c>
      <c r="K64" s="3" t="str">
        <f ca="1">IFERROR(__xludf.DUMMYFUNCTION("""COMPUTED_VALUE"""),"B")</f>
        <v>B</v>
      </c>
      <c r="L64" s="3" t="str">
        <f ca="1">IFERROR(__xludf.DUMMYFUNCTION("""COMPUTED_VALUE"""),"Mas era sobretudo a lã que os compradores, vindos
da Flandres ou da Itália, procuravam por toda a parte.
Para satisfazê-los, as raças foram melhoradas através
do aumento progressivo das suas dimensões. Esse crescimento prosseguiu durante todo o século XII"&amp;"I, e as abadias da Ordem de Cister, onde eram utilizados os métodos mais racionais de criação de gado, desempenharam certamente um papel determinante
nesse aperfeiçoamento.
O texto aponta para a relação entre aperfeiçoamento da atividade pastoril e avanço"&amp;" técnico na Europa ocidental feudal, que resultou do(a)")</f>
        <v>Mas era sobretudo a lã que os compradores, vindos
da Flandres ou da Itália, procuravam por toda a parte.
Para satisfazê-los, as raças foram melhoradas através
do aumento progressivo das suas dimensões. Esse crescimento prosseguiu durante todo o século XIII, e as abadias da Ordem de Cister, onde eram utilizados os métodos mais racionais de criação de gado, desempenharam certamente um papel determinante
nesse aperfeiçoamento.
O texto aponta para a relação entre aperfeiçoamento da atividade pastoril e avanço técnico na Europa ocidental feudal, que resultou do(a)</v>
      </c>
      <c r="M64" s="3" t="str">
        <f ca="1">IFERROR(__xludf.DUMMYFUNCTION("""COMPUTED_VALUE"""),"crescimento do trabalho escravo. ")</f>
        <v xml:space="preserve">crescimento do trabalho escravo. </v>
      </c>
      <c r="N64" s="3" t="str">
        <f ca="1">IFERROR(__xludf.DUMMYFUNCTION("""COMPUTED_VALUE"""),"desenvolvimento da vida urbana")</f>
        <v>desenvolvimento da vida urbana</v>
      </c>
      <c r="O64" s="3" t="str">
        <f ca="1">IFERROR(__xludf.DUMMYFUNCTION("""COMPUTED_VALUE"""),"padronização dos impostos locais.")</f>
        <v>padronização dos impostos locais.</v>
      </c>
      <c r="P64" s="3" t="str">
        <f ca="1">IFERROR(__xludf.DUMMYFUNCTION("""COMPUTED_VALUE"""),"uniformização do processo produtivo.")</f>
        <v>uniformização do processo produtivo.</v>
      </c>
      <c r="Q64" s="3" t="str">
        <f ca="1">IFERROR(__xludf.DUMMYFUNCTION("""COMPUTED_VALUE"""),"desconcentração da estrutura fundiária.")</f>
        <v>desconcentração da estrutura fundiária.</v>
      </c>
      <c r="R64" s="3"/>
      <c r="S64" s="3"/>
      <c r="T64" s="3"/>
      <c r="U64" s="3"/>
      <c r="V64" s="3"/>
      <c r="W64" s="3"/>
      <c r="X64" s="3"/>
      <c r="Y64" s="3"/>
      <c r="Z64" s="3"/>
    </row>
    <row r="65" spans="1:26" x14ac:dyDescent="0.2">
      <c r="A65" s="2" t="str">
        <f ca="1">IFERROR(__xludf.DUMMYFUNCTION("""COMPUTED_VALUE"""),"https://drive.google.com/open?id=1z-IqDCMAmZg9J8MDK9mcDeLOmJv_9sci")</f>
        <v>https://drive.google.com/open?id=1z-IqDCMAmZg9J8MDK9mcDeLOmJv_9sci</v>
      </c>
      <c r="B65" s="3" t="str">
        <f ca="1">IFERROR(__xludf.DUMMYFUNCTION("""COMPUTED_VALUE"""),"Enem")</f>
        <v>Enem</v>
      </c>
      <c r="C65" s="3">
        <f ca="1">IFERROR(__xludf.DUMMYFUNCTION("""COMPUTED_VALUE"""),2017)</f>
        <v>2017</v>
      </c>
      <c r="D65" s="3" t="str">
        <f ca="1">IFERROR(__xludf.DUMMYFUNCTION("""COMPUTED_VALUE"""),"Ciências Humanas")</f>
        <v>Ciências Humanas</v>
      </c>
      <c r="E65" s="3" t="str">
        <f ca="1">IFERROR(__xludf.DUMMYFUNCTION("""COMPUTED_VALUE"""),"História")</f>
        <v>História</v>
      </c>
      <c r="F65" s="3" t="str">
        <f ca="1">IFERROR(__xludf.DUMMYFUNCTION("""COMPUTED_VALUE"""),"História Geral")</f>
        <v>História Geral</v>
      </c>
      <c r="G65" s="3" t="str">
        <f ca="1">IFERROR(__xludf.DUMMYFUNCTION("""COMPUTED_VALUE"""),"Atualidade")</f>
        <v>Atualidade</v>
      </c>
      <c r="H65" s="3"/>
      <c r="I65" s="3" t="str">
        <f ca="1">IFERROR(__xludf.DUMMYFUNCTION("""COMPUTED_VALUE"""),"Azul")</f>
        <v>Azul</v>
      </c>
      <c r="J65" s="3">
        <f ca="1">IFERROR(__xludf.DUMMYFUNCTION("""COMPUTED_VALUE"""),75)</f>
        <v>75</v>
      </c>
      <c r="K65" s="3" t="str">
        <f ca="1">IFERROR(__xludf.DUMMYFUNCTION("""COMPUTED_VALUE"""),"D")</f>
        <v>D</v>
      </c>
      <c r="L65" s="3" t="str">
        <f ca="1">IFERROR(__xludf.DUMMYFUNCTION("""COMPUTED_VALUE"""),"Palestinos se agruparam em frente a aparelhos de
televisão e telas montadas ao ar livre em Ramalah, na
Cisjordânia, para acompanhar o voto da resolução que
pedia o reconhecimento da chamada Palestina como
um Estado observador não membro da Organização
das"&amp;" Nações Unidas (ONU). O objetivo era esperar pelo
nascimento, ao menos formal, de um Estado palestino.
Depois da aprovação da resolução, centenas de pessoas
foram à praça da cidade com bandeiras palestinas, soltaram fogos de artifício, fizeram buzinaços e"&amp;" dançaram pelas ruas. Aprovada com 138 votos dos 193 da
Assembleia-Geral, a resolução eleva o status do Estado
palestino perante a organização.
A mencionada resolução da ONU referendou o(a)")</f>
        <v>Palestinos se agruparam em frente a aparelhos de
televisão e telas montadas ao ar livre em Ramalah, na
Cisjordânia, para acompanhar o voto da resolução que
pedia o reconhecimento da chamada Palestina como
um Estado observador não membro da Organização
das Nações Unidas (ONU). O objetivo era esperar pelo
nascimento, ao menos formal, de um Estado palestino.
Depois da aprovação da resolução, centenas de pessoas
foram à praça da cidade com bandeiras palestinas, soltaram fogos de artifício, fizeram buzinaços e dançaram pelas ruas. Aprovada com 138 votos dos 193 da
Assembleia-Geral, a resolução eleva o status do Estado
palestino perante a organização.
A mencionada resolução da ONU referendou o(a)</v>
      </c>
      <c r="M65" s="3" t="str">
        <f ca="1">IFERROR(__xludf.DUMMYFUNCTION("""COMPUTED_VALUE"""),"delimitação institucional das fronteiras territoriais.")</f>
        <v>delimitação institucional das fronteiras territoriais.</v>
      </c>
      <c r="N65" s="3" t="str">
        <f ca="1">IFERROR(__xludf.DUMMYFUNCTION("""COMPUTED_VALUE"""),"aumento da qualidade de vida da população local.")</f>
        <v>aumento da qualidade de vida da população local.</v>
      </c>
      <c r="O65" s="3" t="str">
        <f ca="1">IFERROR(__xludf.DUMMYFUNCTION("""COMPUTED_VALUE"""),"implementação do tratado de paz com os israelenses")</f>
        <v>implementação do tratado de paz com os israelenses</v>
      </c>
      <c r="P65" s="3" t="str">
        <f ca="1">IFERROR(__xludf.DUMMYFUNCTION("""COMPUTED_VALUE"""),"apoio da comunidade internacional à demanda
nacional")</f>
        <v>apoio da comunidade internacional à demanda
nacional</v>
      </c>
      <c r="Q65" s="3" t="str">
        <f ca="1">IFERROR(__xludf.DUMMYFUNCTION("""COMPUTED_VALUE"""),"equiparação da condição política com a dos demais
países")</f>
        <v>equiparação da condição política com a dos demais
países</v>
      </c>
      <c r="R65" s="3"/>
      <c r="S65" s="3"/>
      <c r="T65" s="3"/>
      <c r="U65" s="3"/>
      <c r="V65" s="3"/>
      <c r="W65" s="3"/>
      <c r="X65" s="3"/>
      <c r="Y65" s="3"/>
      <c r="Z65" s="3"/>
    </row>
    <row r="66" spans="1:26" x14ac:dyDescent="0.2">
      <c r="A66" s="2" t="str">
        <f ca="1">IFERROR(__xludf.DUMMYFUNCTION("""COMPUTED_VALUE"""),"https://drive.google.com/open?id=1h_SckoDRWeGkt-D783iNptVuA3DpL4tW")</f>
        <v>https://drive.google.com/open?id=1h_SckoDRWeGkt-D783iNptVuA3DpL4tW</v>
      </c>
      <c r="B66" s="3" t="str">
        <f ca="1">IFERROR(__xludf.DUMMYFUNCTION("""COMPUTED_VALUE"""),"Enem")</f>
        <v>Enem</v>
      </c>
      <c r="C66" s="3">
        <f ca="1">IFERROR(__xludf.DUMMYFUNCTION("""COMPUTED_VALUE"""),2017)</f>
        <v>2017</v>
      </c>
      <c r="D66" s="3" t="str">
        <f ca="1">IFERROR(__xludf.DUMMYFUNCTION("""COMPUTED_VALUE"""),"Ciências Humanas")</f>
        <v>Ciências Humanas</v>
      </c>
      <c r="E66" s="3" t="str">
        <f ca="1">IFERROR(__xludf.DUMMYFUNCTION("""COMPUTED_VALUE"""),"História")</f>
        <v>História</v>
      </c>
      <c r="F66" s="3" t="str">
        <f ca="1">IFERROR(__xludf.DUMMYFUNCTION("""COMPUTED_VALUE"""),"História do Brasil")</f>
        <v>História do Brasil</v>
      </c>
      <c r="G66" s="3"/>
      <c r="H66" s="3"/>
      <c r="I66" s="3" t="str">
        <f ca="1">IFERROR(__xludf.DUMMYFUNCTION("""COMPUTED_VALUE"""),"Azul")</f>
        <v>Azul</v>
      </c>
      <c r="J66" s="3">
        <f ca="1">IFERROR(__xludf.DUMMYFUNCTION("""COMPUTED_VALUE"""),80)</f>
        <v>80</v>
      </c>
      <c r="K66" s="3" t="str">
        <f ca="1">IFERROR(__xludf.DUMMYFUNCTION("""COMPUTED_VALUE"""),"C")</f>
        <v>C</v>
      </c>
      <c r="L66" s="3" t="str">
        <f ca="1">IFERROR(__xludf.DUMMYFUNCTION("""COMPUTED_VALUE"""),"Com a Lei de Terras de 1850, o acesso à terra só
passou a ser possível por meio da compra com pagamento
em dinheiro. Isso limitava, ou mesmo praticamente impedia, o acesso à terra para os trabalhadores escravos
que conquistavam a liberdade.
O fato legal e"&amp;"videnciado no texto acentuou o processo de")</f>
        <v>Com a Lei de Terras de 1850, o acesso à terra só
passou a ser possível por meio da compra com pagamento
em dinheiro. Isso limitava, ou mesmo praticamente impedia, o acesso à terra para os trabalhadores escravos
que conquistavam a liberdade.
O fato legal evidenciado no texto acentuou o processo de</v>
      </c>
      <c r="M66" s="3" t="str">
        <f ca="1">IFERROR(__xludf.DUMMYFUNCTION("""COMPUTED_VALUE"""),"A reforma agrária")</f>
        <v>A reforma agrária</v>
      </c>
      <c r="N66" s="3" t="str">
        <f ca="1">IFERROR(__xludf.DUMMYFUNCTION("""COMPUTED_VALUE"""),"expansão mercantil.
")</f>
        <v xml:space="preserve">expansão mercantil.
</v>
      </c>
      <c r="O66" s="3" t="str">
        <f ca="1">IFERROR(__xludf.DUMMYFUNCTION("""COMPUTED_VALUE"""),"concentração fundiária")</f>
        <v>concentração fundiária</v>
      </c>
      <c r="P66" s="3" t="str">
        <f ca="1">IFERROR(__xludf.DUMMYFUNCTION("""COMPUTED_VALUE"""),"desruralização da elite")</f>
        <v>desruralização da elite</v>
      </c>
      <c r="Q66" s="3" t="str">
        <f ca="1">IFERROR(__xludf.DUMMYFUNCTION("""COMPUTED_VALUE"""),"mecanização da produção.")</f>
        <v>mecanização da produção.</v>
      </c>
      <c r="R66" s="3"/>
      <c r="S66" s="3"/>
      <c r="T66" s="3"/>
      <c r="U66" s="3"/>
      <c r="V66" s="3"/>
      <c r="W66" s="3"/>
      <c r="X66" s="3"/>
      <c r="Y66" s="3"/>
      <c r="Z66" s="3"/>
    </row>
    <row r="67" spans="1:26" x14ac:dyDescent="0.2">
      <c r="A67" s="2" t="str">
        <f ca="1">IFERROR(__xludf.DUMMYFUNCTION("""COMPUTED_VALUE"""),"https://drive.google.com/open?id=1HFCYZ_vH8xISsT3hNA16ow2h2KqXgjpE")</f>
        <v>https://drive.google.com/open?id=1HFCYZ_vH8xISsT3hNA16ow2h2KqXgjpE</v>
      </c>
      <c r="B67" s="3" t="str">
        <f ca="1">IFERROR(__xludf.DUMMYFUNCTION("""COMPUTED_VALUE"""),"Enem")</f>
        <v>Enem</v>
      </c>
      <c r="C67" s="3">
        <f ca="1">IFERROR(__xludf.DUMMYFUNCTION("""COMPUTED_VALUE"""),2017)</f>
        <v>2017</v>
      </c>
      <c r="D67" s="3" t="str">
        <f ca="1">IFERROR(__xludf.DUMMYFUNCTION("""COMPUTED_VALUE"""),"Ciências Humanas")</f>
        <v>Ciências Humanas</v>
      </c>
      <c r="E67" s="3" t="str">
        <f ca="1">IFERROR(__xludf.DUMMYFUNCTION("""COMPUTED_VALUE"""),"História")</f>
        <v>História</v>
      </c>
      <c r="F67" s="3" t="str">
        <f ca="1">IFERROR(__xludf.DUMMYFUNCTION("""COMPUTED_VALUE"""),"História do Brasil")</f>
        <v>História do Brasil</v>
      </c>
      <c r="G67" s="3"/>
      <c r="H67" s="3"/>
      <c r="I67" s="3" t="str">
        <f ca="1">IFERROR(__xludf.DUMMYFUNCTION("""COMPUTED_VALUE"""),"Azul")</f>
        <v>Azul</v>
      </c>
      <c r="J67" s="3">
        <f ca="1">IFERROR(__xludf.DUMMYFUNCTION("""COMPUTED_VALUE"""),81)</f>
        <v>81</v>
      </c>
      <c r="K67" s="3" t="str">
        <f ca="1">IFERROR(__xludf.DUMMYFUNCTION("""COMPUTED_VALUE"""),"D")</f>
        <v>D</v>
      </c>
      <c r="L67" s="3" t="str">
        <f ca="1">IFERROR(__xludf.DUMMYFUNCTION("""COMPUTED_VALUE"""),"Estão aí, como se sabe, dois candidatos à presidência,
os senhores Eduardo Gomes e Eurico Dutra, e um terceiro,
o senhor Getúlio Vargas, que deve ser candidato de algum
grupo político oculto, mas é também o candidato popular.
Porque há dois “queremos”: o "&amp;"“queremos” dos que
querem ver se continuam nas posições e o “queremos”
dos que querem ver se continuam nas posições e o ''queremos'' popular... Afinal, o que é que o senhor Getúlio Vargas é? É fascista? É comunista? É ateu? É Cristão? Quer sair? Quer fica"&amp;"r? O povo, entretanto, parece que gosta dele
por isso mesmo, porque ele é “à moda da casa”.
O movimento político mencionado no texto caracterizou-se
por")</f>
        <v>Estão aí, como se sabe, dois candidatos à presidência,
os senhores Eduardo Gomes e Eurico Dutra, e um terceiro,
o senhor Getúlio Vargas, que deve ser candidato de algum
grupo político oculto, mas é também o candidato popular.
Porque há dois “queremos”: o “queremos” dos que
querem ver se continuam nas posições e o “queremos”
dos que querem ver se continuam nas posições e o ''queremos'' popular... Afinal, o que é que o senhor Getúlio Vargas é? É fascista? É comunista? É ateu? É Cristão? Quer sair? Quer ficar? O povo, entretanto, parece que gosta dele
por isso mesmo, porque ele é “à moda da casa”.
O movimento político mencionado no texto caracterizou-se
por</v>
      </c>
      <c r="M67" s="3" t="str">
        <f ca="1">IFERROR(__xludf.DUMMYFUNCTION("""COMPUTED_VALUE"""),"reclamar a participação das agremiações partidárias")</f>
        <v>reclamar a participação das agremiações partidárias</v>
      </c>
      <c r="N67" s="3" t="str">
        <f ca="1">IFERROR(__xludf.DUMMYFUNCTION("""COMPUTED_VALUE"""),"apoiar a permanência da ditadura estadonovista.")</f>
        <v>apoiar a permanência da ditadura estadonovista.</v>
      </c>
      <c r="O67" s="3" t="str">
        <f ca="1">IFERROR(__xludf.DUMMYFUNCTION("""COMPUTED_VALUE"""),"demandar a confirmação dos direitos trabalhistas.")</f>
        <v>demandar a confirmação dos direitos trabalhistas.</v>
      </c>
      <c r="P67" s="3" t="str">
        <f ca="1">IFERROR(__xludf.DUMMYFUNCTION("""COMPUTED_VALUE"""),"reivindicar a transição constitucional sob influência do governante.")</f>
        <v>reivindicar a transição constitucional sob influência do governante.</v>
      </c>
      <c r="Q67" s="3" t="str">
        <f ca="1">IFERROR(__xludf.DUMMYFUNCTION("""COMPUTED_VALUE"""),"resgatar a representatividade dos sindicatos sob controle social.")</f>
        <v>resgatar a representatividade dos sindicatos sob controle social.</v>
      </c>
      <c r="R67" s="3"/>
      <c r="S67" s="3"/>
      <c r="T67" s="3"/>
      <c r="U67" s="3"/>
      <c r="V67" s="3"/>
      <c r="W67" s="3"/>
      <c r="X67" s="3"/>
      <c r="Y67" s="3"/>
      <c r="Z67" s="3"/>
    </row>
    <row r="68" spans="1:26" x14ac:dyDescent="0.2">
      <c r="A68" s="2" t="str">
        <f ca="1">IFERROR(__xludf.DUMMYFUNCTION("""COMPUTED_VALUE"""),"https://drive.google.com/open?id=1B-G-3yozFa-djBSBT4wu6WT4Qcrwae-n")</f>
        <v>https://drive.google.com/open?id=1B-G-3yozFa-djBSBT4wu6WT4Qcrwae-n</v>
      </c>
      <c r="B68" s="3" t="str">
        <f ca="1">IFERROR(__xludf.DUMMYFUNCTION("""COMPUTED_VALUE"""),"Enem")</f>
        <v>Enem</v>
      </c>
      <c r="C68" s="3">
        <f ca="1">IFERROR(__xludf.DUMMYFUNCTION("""COMPUTED_VALUE"""),2017)</f>
        <v>2017</v>
      </c>
      <c r="D68" s="3" t="str">
        <f ca="1">IFERROR(__xludf.DUMMYFUNCTION("""COMPUTED_VALUE"""),"Ciências Humanas")</f>
        <v>Ciências Humanas</v>
      </c>
      <c r="E68" s="3" t="str">
        <f ca="1">IFERROR(__xludf.DUMMYFUNCTION("""COMPUTED_VALUE"""),"História")</f>
        <v>História</v>
      </c>
      <c r="F68" s="3" t="str">
        <f ca="1">IFERROR(__xludf.DUMMYFUNCTION("""COMPUTED_VALUE"""),"História do Brasil")</f>
        <v>História do Brasil</v>
      </c>
      <c r="G68" s="3"/>
      <c r="H68" s="3"/>
      <c r="I68" s="3" t="str">
        <f ca="1">IFERROR(__xludf.DUMMYFUNCTION("""COMPUTED_VALUE"""),"Azul")</f>
        <v>Azul</v>
      </c>
      <c r="J68" s="3">
        <f ca="1">IFERROR(__xludf.DUMMYFUNCTION("""COMPUTED_VALUE"""),82)</f>
        <v>82</v>
      </c>
      <c r="K68" s="3" t="str">
        <f ca="1">IFERROR(__xludf.DUMMYFUNCTION("""COMPUTED_VALUE"""),"A")</f>
        <v>A</v>
      </c>
      <c r="L68" s="3" t="str">
        <f ca="1">IFERROR(__xludf.DUMMYFUNCTION("""COMPUTED_VALUE"""),"O instituto popular, de acordo com o exame da
razão, fez da figura do alferes Xavier o principal dos inconfidentes, e colocou os seus parceiros a meia ração de glória. Merecem, decerto, a nossa estima aqueles outros;
eram patriotas. Mas o que se ofereceu "&amp;"a carregar com os
pecadores de Israel, o que se ofereceu a carregar com os pecadores de Israel, o que chorou de alegria quando viu comutada a pena de morte dos seus companheiros, pena
que só ia ser executada nele, o enforcado, o esquartejado,
o decapitado"&amp;", esse tem de receber o prêmio na proporção
do martírio, e ganhar por todos, visto que pagou por todos.
No processo de transição para a República, a narrativa machadiana sobre a Inconfidência Mineira associa")</f>
        <v>O instituto popular, de acordo com o exame da
razão, fez da figura do alferes Xavier o principal dos inconfidentes, e colocou os seus parceiros a meia ração de glória. Merecem, decerto, a nossa estima aqueles outros;
eram patriotas. Mas o que se ofereceu a carregar com os
pecadores de Israel, o que se ofereceu a carregar com os pecadores de Israel, o que chorou de alegria quando viu comutada a pena de morte dos seus companheiros, pena
que só ia ser executada nele, o enforcado, o esquartejado,
o decapitado, esse tem de receber o prêmio na proporção
do martírio, e ganhar por todos, visto que pagou por todos.
No processo de transição para a República, a narrativa machadiana sobre a Inconfidência Mineira associa</v>
      </c>
      <c r="M68" s="3" t="str">
        <f ca="1">IFERROR(__xludf.DUMMYFUNCTION("""COMPUTED_VALUE"""),"redenção cristã e cultura cívica")</f>
        <v>redenção cristã e cultura cívica</v>
      </c>
      <c r="N68" s="3" t="str">
        <f ca="1">IFERROR(__xludf.DUMMYFUNCTION("""COMPUTED_VALUE"""),"veneração aos santos e radicalismo militar")</f>
        <v>veneração aos santos e radicalismo militar</v>
      </c>
      <c r="O68" s="3" t="str">
        <f ca="1">IFERROR(__xludf.DUMMYFUNCTION("""COMPUTED_VALUE"""),"apologia aos protestantes e culto ufanista.")</f>
        <v>apologia aos protestantes e culto ufanista.</v>
      </c>
      <c r="P68" s="3" t="str">
        <f ca="1">IFERROR(__xludf.DUMMYFUNCTION("""COMPUTED_VALUE"""),"tradição messiânica e tendência regionalista")</f>
        <v>tradição messiânica e tendência regionalista</v>
      </c>
      <c r="Q68" s="3" t="str">
        <f ca="1">IFERROR(__xludf.DUMMYFUNCTION("""COMPUTED_VALUE"""),"representação eclesiástica e dogmatismo ideológico")</f>
        <v>representação eclesiástica e dogmatismo ideológico</v>
      </c>
      <c r="R68" s="3"/>
      <c r="S68" s="3"/>
      <c r="T68" s="3"/>
      <c r="U68" s="3"/>
      <c r="V68" s="3"/>
      <c r="W68" s="3"/>
      <c r="X68" s="3"/>
      <c r="Y68" s="3"/>
      <c r="Z68" s="3"/>
    </row>
    <row r="69" spans="1:26" x14ac:dyDescent="0.2">
      <c r="A69" s="2" t="str">
        <f ca="1">IFERROR(__xludf.DUMMYFUNCTION("""COMPUTED_VALUE"""),"https://drive.google.com/open?id=1nPIZ3ZQ8ARMv_0LEd7x5FI1xTIcrfYql")</f>
        <v>https://drive.google.com/open?id=1nPIZ3ZQ8ARMv_0LEd7x5FI1xTIcrfYql</v>
      </c>
      <c r="B69" s="3" t="str">
        <f ca="1">IFERROR(__xludf.DUMMYFUNCTION("""COMPUTED_VALUE"""),"Enem")</f>
        <v>Enem</v>
      </c>
      <c r="C69" s="3">
        <f ca="1">IFERROR(__xludf.DUMMYFUNCTION("""COMPUTED_VALUE"""),2017)</f>
        <v>2017</v>
      </c>
      <c r="D69" s="3" t="str">
        <f ca="1">IFERROR(__xludf.DUMMYFUNCTION("""COMPUTED_VALUE"""),"Ciências Humanas")</f>
        <v>Ciências Humanas</v>
      </c>
      <c r="E69" s="3" t="str">
        <f ca="1">IFERROR(__xludf.DUMMYFUNCTION("""COMPUTED_VALUE"""),"História")</f>
        <v>História</v>
      </c>
      <c r="F69" s="3" t="str">
        <f ca="1">IFERROR(__xludf.DUMMYFUNCTION("""COMPUTED_VALUE"""),"História do Brasil")</f>
        <v>História do Brasil</v>
      </c>
      <c r="G69" s="3"/>
      <c r="H69" s="3"/>
      <c r="I69" s="3" t="str">
        <f ca="1">IFERROR(__xludf.DUMMYFUNCTION("""COMPUTED_VALUE"""),"Azul")</f>
        <v>Azul</v>
      </c>
      <c r="J69" s="3">
        <f ca="1">IFERROR(__xludf.DUMMYFUNCTION("""COMPUTED_VALUE"""),83)</f>
        <v>83</v>
      </c>
      <c r="K69" s="3" t="str">
        <f ca="1">IFERROR(__xludf.DUMMYFUNCTION("""COMPUTED_VALUE"""),"E")</f>
        <v>E</v>
      </c>
      <c r="L69" s="3" t="str">
        <f ca="1">IFERROR(__xludf.DUMMYFUNCTION("""COMPUTED_VALUE"""),"No período anterior ao golpe militar de 1964, os
documentos episcopais indicavam para os bispos
que o desenvolvimento econômico, e claramente o
desenvolvimento capitalista, orientando-se no sentido
da justa distribuição da riqueza, resolveria o problema
d"&amp;"a miséria rural e, consequentemente, suprimiria a
possibilidade do proselitismo e da expansão comunista
entre os camponeses. Foi nesse sentido que o golpe de Estado, de 31 de março de 1964, foi acolhido pela Igreja.
Em que pesem as divergências no interio"&amp;"r do clero após
a instalação da ditadura civil-militar, o posicionamento
mencionado no texto fundamentou-se no entendimento
da hierarquia católica de que o(a)")</f>
        <v>No período anterior ao golpe militar de 1964, os
documentos episcopais indicavam para os bispos
que o desenvolvimento econômico, e claramente o
desenvolvimento capitalista, orientando-se no sentido
da justa distribuição da riqueza, resolveria o problema
da miséria rural e, consequentemente, suprimiria a
possibilidade do proselitismo e da expansão comunista
entre os camponeses. Foi nesse sentido que o golpe de Estado, de 31 de março de 1964, foi acolhido pela Igreja.
Em que pesem as divergências no interior do clero após
a instalação da ditadura civil-militar, o posicionamento
mencionado no texto fundamentou-se no entendimento
da hierarquia católica de que o(a)</v>
      </c>
      <c r="M69" s="3" t="str">
        <f ca="1">IFERROR(__xludf.DUMMYFUNCTION("""COMPUTED_VALUE"""),"luta de classes é estimulada pelo livre mercado.")</f>
        <v>luta de classes é estimulada pelo livre mercado.</v>
      </c>
      <c r="N69" s="3" t="str">
        <f ca="1">IFERROR(__xludf.DUMMYFUNCTION("""COMPUTED_VALUE"""),"poder oligárquico é limitado pela ação do Exército")</f>
        <v>poder oligárquico é limitado pela ação do Exército</v>
      </c>
      <c r="O69" s="3" t="str">
        <f ca="1">IFERROR(__xludf.DUMMYFUNCTION("""COMPUTED_VALUE"""),"doutrina cristã é beneficiada pelo atraso do interior")</f>
        <v>doutrina cristã é beneficiada pelo atraso do interior</v>
      </c>
      <c r="P69" s="3" t="str">
        <f ca="1">IFERROR(__xludf.DUMMYFUNCTION("""COMPUTED_VALUE"""),"espaço político é dominado pelo interesse empresarial")</f>
        <v>espaço político é dominado pelo interesse empresarial</v>
      </c>
      <c r="Q69" s="3" t="str">
        <f ca="1">IFERROR(__xludf.DUMMYFUNCTION("""COMPUTED_VALUE"""),"E manipulação ideológica é favorecida pela privação
material.")</f>
        <v>E manipulação ideológica é favorecida pela privação
material.</v>
      </c>
      <c r="R69" s="3"/>
      <c r="S69" s="3"/>
      <c r="T69" s="3"/>
      <c r="U69" s="3"/>
      <c r="V69" s="3"/>
      <c r="W69" s="3"/>
      <c r="X69" s="3"/>
      <c r="Y69" s="3"/>
      <c r="Z69" s="3"/>
    </row>
    <row r="70" spans="1:26" x14ac:dyDescent="0.2">
      <c r="A70" s="2" t="str">
        <f ca="1">IFERROR(__xludf.DUMMYFUNCTION("""COMPUTED_VALUE"""),"https://drive.google.com/open?id=1WaLJIWXqQk6YHdyRTD9KnGIgh703astR")</f>
        <v>https://drive.google.com/open?id=1WaLJIWXqQk6YHdyRTD9KnGIgh703astR</v>
      </c>
      <c r="B70" s="3" t="str">
        <f ca="1">IFERROR(__xludf.DUMMYFUNCTION("""COMPUTED_VALUE"""),"Enem")</f>
        <v>Enem</v>
      </c>
      <c r="C70" s="3">
        <f ca="1">IFERROR(__xludf.DUMMYFUNCTION("""COMPUTED_VALUE"""),2017)</f>
        <v>2017</v>
      </c>
      <c r="D70" s="3" t="str">
        <f ca="1">IFERROR(__xludf.DUMMYFUNCTION("""COMPUTED_VALUE"""),"Ciências Humanas")</f>
        <v>Ciências Humanas</v>
      </c>
      <c r="E70" s="3" t="str">
        <f ca="1">IFERROR(__xludf.DUMMYFUNCTION("""COMPUTED_VALUE"""),"História")</f>
        <v>História</v>
      </c>
      <c r="F70" s="3" t="str">
        <f ca="1">IFERROR(__xludf.DUMMYFUNCTION("""COMPUTED_VALUE"""),"História do Brasil")</f>
        <v>História do Brasil</v>
      </c>
      <c r="G70" s="3"/>
      <c r="H70" s="3"/>
      <c r="I70" s="3" t="str">
        <f ca="1">IFERROR(__xludf.DUMMYFUNCTION("""COMPUTED_VALUE"""),"Azul")</f>
        <v>Azul</v>
      </c>
      <c r="J70" s="3">
        <f ca="1">IFERROR(__xludf.DUMMYFUNCTION("""COMPUTED_VALUE"""),90)</f>
        <v>90</v>
      </c>
      <c r="K70" s="3" t="str">
        <f ca="1">IFERROR(__xludf.DUMMYFUNCTION("""COMPUTED_VALUE"""),"E")</f>
        <v>E</v>
      </c>
      <c r="L70" s="3" t="str">
        <f ca="1">IFERROR(__xludf.DUMMYFUNCTION("""COMPUTED_VALUE"""),"Elaborada em 1969, a releitura contida na Figura 2 revela
aspectos de uma trajetória e obra dedicadas à")</f>
        <v>Elaborada em 1969, a releitura contida na Figura 2 revela
aspectos de uma trajetória e obra dedicadas à</v>
      </c>
      <c r="M70" s="3" t="str">
        <f ca="1">IFERROR(__xludf.DUMMYFUNCTION("""COMPUTED_VALUE"""),"valorização de uma representação tradicional da
mulher.")</f>
        <v>valorização de uma representação tradicional da
mulher.</v>
      </c>
      <c r="N70" s="3" t="str">
        <f ca="1">IFERROR(__xludf.DUMMYFUNCTION("""COMPUTED_VALUE"""),"descaracterização de referências do folclore
nordestino.")</f>
        <v>descaracterização de referências do folclore
nordestino.</v>
      </c>
      <c r="O70" s="3" t="str">
        <f ca="1">IFERROR(__xludf.DUMMYFUNCTION("""COMPUTED_VALUE"""),"fusão de elementos brasileiros à moda da Europa")</f>
        <v>fusão de elementos brasileiros à moda da Europa</v>
      </c>
      <c r="P70" s="3" t="str">
        <f ca="1">IFERROR(__xludf.DUMMYFUNCTION("""COMPUTED_VALUE"""),"massificação do consumo de uma arte local")</f>
        <v>massificação do consumo de uma arte local</v>
      </c>
      <c r="Q70" s="3" t="str">
        <f ca="1">IFERROR(__xludf.DUMMYFUNCTION("""COMPUTED_VALUE"""),"criação de uma estética de resistência.")</f>
        <v>criação de uma estética de resistência.</v>
      </c>
      <c r="R70" s="3"/>
      <c r="S70" s="3"/>
      <c r="T70" s="3"/>
      <c r="U70" s="3"/>
      <c r="V70" s="3"/>
      <c r="W70" s="3"/>
      <c r="X70" s="3"/>
      <c r="Y70" s="3"/>
      <c r="Z70" s="3"/>
    </row>
    <row r="71" spans="1:26" x14ac:dyDescent="0.2">
      <c r="A71" s="2" t="str">
        <f ca="1">IFERROR(__xludf.DUMMYFUNCTION("""COMPUTED_VALUE"""),"https://drive.google.com/open?id=1OM08pH11kirVVZWGz267olVn1NJyuVD9")</f>
        <v>https://drive.google.com/open?id=1OM08pH11kirVVZWGz267olVn1NJyuVD9</v>
      </c>
      <c r="B71" s="3" t="str">
        <f ca="1">IFERROR(__xludf.DUMMYFUNCTION("""COMPUTED_VALUE"""),"Enem")</f>
        <v>Enem</v>
      </c>
      <c r="C71" s="3">
        <f ca="1">IFERROR(__xludf.DUMMYFUNCTION("""COMPUTED_VALUE"""),2019)</f>
        <v>2019</v>
      </c>
      <c r="D71" s="3" t="str">
        <f ca="1">IFERROR(__xludf.DUMMYFUNCTION("""COMPUTED_VALUE"""),"Linguagens")</f>
        <v>Linguagens</v>
      </c>
      <c r="E71" s="3" t="str">
        <f ca="1">IFERROR(__xludf.DUMMYFUNCTION("""COMPUTED_VALUE"""),"Literatura")</f>
        <v>Literatura</v>
      </c>
      <c r="F71" s="3" t="str">
        <f ca="1">IFERROR(__xludf.DUMMYFUNCTION("""COMPUTED_VALUE"""),"Literatura")</f>
        <v>Literatura</v>
      </c>
      <c r="G71" s="3"/>
      <c r="H71" s="3"/>
      <c r="I71" s="3" t="str">
        <f ca="1">IFERROR(__xludf.DUMMYFUNCTION("""COMPUTED_VALUE"""),"Azul")</f>
        <v>Azul</v>
      </c>
      <c r="J71" s="3">
        <f ca="1">IFERROR(__xludf.DUMMYFUNCTION("""COMPUTED_VALUE"""),7)</f>
        <v>7</v>
      </c>
      <c r="K71" s="3" t="str">
        <f ca="1">IFERROR(__xludf.DUMMYFUNCTION("""COMPUTED_VALUE"""),"B")</f>
        <v>B</v>
      </c>
      <c r="L71" s="3" t="str">
        <f ca="1">IFERROR(__xludf.DUMMYFUNCTION("""COMPUTED_VALUE"""),"19-11-1959
Eu a conheci da primeira vez em que estive aqui. Parece-me que é esquizofrênica, caso crônico, doente há 
mais de vinte anos — não estou bem certa. Foi transferida para a Colônia Juliano Moreira e nunca mais a vi. [...] 
À tarde, quando ia lá, "&amp;"pedia-lhe para cantar a ária da Bohème, “Valsa da Musetta”. Dona Georgiana, recortada no 
meio do pátio, cantava — e era de doer o coração. As dementes, descalças e rasgadas, paravam em surpresa, 
rindo bonito em silêncio, os rostos transformados. Outras,"&amp;" sentadas no chão úmido, avançavam as faces inundadas 
de presença — elas que eram tão distantes. Os rostos fulgiam por instantes, irisados e indestrutíveis. Me deixava 
imóvel, as lágrimas cegando-me. Dona Georgiana cantava: cheia de graça, os olhos azui"&amp;"s sorrindo, aquele passado 
tão presente, ela que fora, ela que era, se elevando na limpidez das notas, minhas lágrimas descendo caladas, o 
pátio de mulheres existindo em dor e beleza. A beleza terrífica que Puccini não alcançou: uma mulher descalça, 
su"&amp;"ja, gasta, louca, e as notas saindo-lhe em tragicidade difícil e bela demais — para existir fora de um hospício.
CANÇADO, M. L. Hospício é Deus. Belo Horizonte: Autêntica, 2015.
O diário da autora, como interna de hospital psiquiátrico, configura um regis"&amp;"tro singular, fundamentado por uma 
percepção que")</f>
        <v>19-11-1959
Eu a conheci da primeira vez em que estive aqui. Parece-me que é esquizofrênica, caso crônico, doente há 
mais de vinte anos — não estou bem certa. Foi transferida para a Colônia Juliano Moreira e nunca mais a vi. [...] 
À tarde, quando ia lá, pedia-lhe para cantar a ária da Bohème, “Valsa da Musetta”. Dona Georgiana, recortada no 
meio do pátio, cantava — e era de doer o coração. As dementes, descalças e rasgadas, paravam em surpresa, 
rindo bonito em silêncio, os rostos transformados. Outras, sentadas no chão úmido, avançavam as faces inundadas 
de presença — elas que eram tão distantes. Os rostos fulgiam por instantes, irisados e indestrutíveis. Me deixava 
imóvel, as lágrimas cegando-me. Dona Georgiana cantava: cheia de graça, os olhos azuis sorrindo, aquele passado 
tão presente, ela que fora, ela que era, se elevando na limpidez das notas, minhas lágrimas descendo caladas, o 
pátio de mulheres existindo em dor e beleza. A beleza terrífica que Puccini não alcançou: uma mulher descalça, 
suja, gasta, louca, e as notas saindo-lhe em tragicidade difícil e bela demais — para existir fora de um hospício.
CANÇADO, M. L. Hospício é Deus. Belo Horizonte: Autêntica, 2015.
O diário da autora, como interna de hospital psiquiátrico, configura um registro singular, fundamentado por uma 
percepção que</v>
      </c>
      <c r="M71" s="3" t="str">
        <f ca="1">IFERROR(__xludf.DUMMYFUNCTION("""COMPUTED_VALUE"""),"atenua a realidade do sofrimento por meio da música.")</f>
        <v>atenua a realidade do sofrimento por meio da música.</v>
      </c>
      <c r="N71" s="3" t="str">
        <f ca="1">IFERROR(__xludf.DUMMYFUNCTION("""COMPUTED_VALUE"""),"redimensiona a essência humana tocada pela sensibilidade.")</f>
        <v>redimensiona a essência humana tocada pela sensibilidade.</v>
      </c>
      <c r="O71" s="3" t="str">
        <f ca="1">IFERROR(__xludf.DUMMYFUNCTION("""COMPUTED_VALUE"""),"evidencia os efeitos dos maus-tratos sobre a imagem feminina.")</f>
        <v>evidencia os efeitos dos maus-tratos sobre a imagem feminina.</v>
      </c>
      <c r="P71" s="3" t="str">
        <f ca="1">IFERROR(__xludf.DUMMYFUNCTION("""COMPUTED_VALUE"""),"transfigura o cotidiano da internação pelo poder de se emocionar.")</f>
        <v>transfigura o cotidiano da internação pelo poder de se emocionar.</v>
      </c>
      <c r="Q71" s="3" t="str">
        <f ca="1">IFERROR(__xludf.DUMMYFUNCTION("""COMPUTED_VALUE"""),"aponta para a recuperação da saúde mental graças à atividade artística.")</f>
        <v>aponta para a recuperação da saúde mental graças à atividade artística.</v>
      </c>
      <c r="R71" s="3"/>
      <c r="S71" s="3"/>
      <c r="T71" s="3"/>
      <c r="U71" s="3"/>
      <c r="V71" s="3"/>
      <c r="W71" s="3"/>
      <c r="X71" s="3"/>
      <c r="Y71" s="3"/>
      <c r="Z71" s="3"/>
    </row>
    <row r="72" spans="1:26" x14ac:dyDescent="0.2">
      <c r="A72" s="2" t="str">
        <f ca="1">IFERROR(__xludf.DUMMYFUNCTION("""COMPUTED_VALUE"""),"https://drive.google.com/open?id=19IA3ziA80GpL4OeOnRnDE-GppPRaBjyj")</f>
        <v>https://drive.google.com/open?id=19IA3ziA80GpL4OeOnRnDE-GppPRaBjyj</v>
      </c>
      <c r="B72" s="3" t="str">
        <f ca="1">IFERROR(__xludf.DUMMYFUNCTION("""COMPUTED_VALUE"""),"Enem")</f>
        <v>Enem</v>
      </c>
      <c r="C72" s="3">
        <f ca="1">IFERROR(__xludf.DUMMYFUNCTION("""COMPUTED_VALUE"""),2019)</f>
        <v>2019</v>
      </c>
      <c r="D72" s="3" t="str">
        <f ca="1">IFERROR(__xludf.DUMMYFUNCTION("""COMPUTED_VALUE"""),"Linguagens")</f>
        <v>Linguagens</v>
      </c>
      <c r="E72" s="3" t="str">
        <f ca="1">IFERROR(__xludf.DUMMYFUNCTION("""COMPUTED_VALUE"""),"Literatura")</f>
        <v>Literatura</v>
      </c>
      <c r="F72" s="3" t="str">
        <f ca="1">IFERROR(__xludf.DUMMYFUNCTION("""COMPUTED_VALUE"""),"Literatura")</f>
        <v>Literatura</v>
      </c>
      <c r="G72" s="3"/>
      <c r="H72" s="3"/>
      <c r="I72" s="3" t="str">
        <f ca="1">IFERROR(__xludf.DUMMYFUNCTION("""COMPUTED_VALUE"""),"Azul")</f>
        <v>Azul</v>
      </c>
      <c r="J72" s="3"/>
      <c r="K72" s="3" t="str">
        <f ca="1">IFERROR(__xludf.DUMMYFUNCTION("""COMPUTED_VALUE"""),"A")</f>
        <v>A</v>
      </c>
      <c r="L72" s="3" t="str">
        <f ca="1">IFERROR(__xludf.DUMMYFUNCTION("""COMPUTED_VALUE"""),"A porca e os sete leitões
É um mito que está desaparecendo, pouca gente 
o conhece. É provável que a geração infantil atual o 
desconheça. (Em nossa infância em Botucatu, ouvimos 
falar que aparecia atrás da igreja de São Benedito no 
largo do Rosário.) A"&amp;"parece atrás das igrejas antigas. Não 
faz mal a ninguém, pode-se correr para apanhá-la com 
seus bacorinhos que não se conseguirá. Desaparecem 
do lugar costumeiro da aparição, a qual só se dá à noite, 
depois de terem “cumprido a sina”.
Em São Luís do P"&amp;"araitinga, informaram que se a 
gente atirar contra a porca, o tiro não acerta. Ninguém 
é dono dela e por muitos anos apareceu atrás da igreja 
de Nossa Senhora das Mercês, na cidade onde nasceu 
Oswaldo Cruz.
ARAÚJO, A. M. Folclore nacional I: festas, b"&amp;"ailados, mitos e lendas. 
São Paulo: Martins Fontes, 2004.
Os mitos são importantes para a cultura porque, entre 
outras funções, auxiliam na composição do imaginário 
de um povo por meio da linguagem. Esse texto contribui 
com o patrimônio cultural brasi"&amp;"leiro porque")</f>
        <v>A porca e os sete leitões
É um mito que está desaparecendo, pouca gente 
o conhece. É provável que a geração infantil atual o 
desconheça. (Em nossa infância em Botucatu, ouvimos 
falar que aparecia atrás da igreja de São Benedito no 
largo do Rosário.) Aparece atrás das igrejas antigas. Não 
faz mal a ninguém, pode-se correr para apanhá-la com 
seus bacorinhos que não se conseguirá. Desaparecem 
do lugar costumeiro da aparição, a qual só se dá à noite, 
depois de terem “cumprido a sina”.
Em São Luís do Paraitinga, informaram que se a 
gente atirar contra a porca, o tiro não acerta. Ninguém 
é dono dela e por muitos anos apareceu atrás da igreja 
de Nossa Senhora das Mercês, na cidade onde nasceu 
Oswaldo Cruz.
ARAÚJO, A. M. Folclore nacional I: festas, bailados, mitos e lendas. 
São Paulo: Martins Fontes, 2004.
Os mitos são importantes para a cultura porque, entre 
outras funções, auxiliam na composição do imaginário 
de um povo por meio da linguagem. Esse texto contribui 
com o patrimônio cultural brasileiro porque</v>
      </c>
      <c r="M72" s="3" t="str">
        <f ca="1">IFERROR(__xludf.DUMMYFUNCTION("""COMPUTED_VALUE"""),"preserva uma história da tradição oral.")</f>
        <v>preserva uma história da tradição oral.</v>
      </c>
      <c r="N72" s="3" t="str">
        <f ca="1">IFERROR(__xludf.DUMMYFUNCTION("""COMPUTED_VALUE"""),"confirma a veracidade dos fatos narrados.")</f>
        <v>confirma a veracidade dos fatos narrados.</v>
      </c>
      <c r="O72" s="3" t="str">
        <f ca="1">IFERROR(__xludf.DUMMYFUNCTION("""COMPUTED_VALUE"""),"identifica a origem de uma história popular.")</f>
        <v>identifica a origem de uma história popular.</v>
      </c>
      <c r="P72" s="3" t="str">
        <f ca="1">IFERROR(__xludf.DUMMYFUNCTION("""COMPUTED_VALUE"""),"apresenta as diferentes visões sobre a aparição.")</f>
        <v>apresenta as diferentes visões sobre a aparição.</v>
      </c>
      <c r="Q72" s="3" t="str">
        <f ca="1">IFERROR(__xludf.DUMMYFUNCTION("""COMPUTED_VALUE"""),"reforça a necessidade de registro das narrativas 
folclóricas.")</f>
        <v>reforça a necessidade de registro das narrativas 
folclóricas.</v>
      </c>
      <c r="R72" s="3"/>
      <c r="S72" s="3"/>
      <c r="T72" s="3"/>
      <c r="U72" s="3"/>
      <c r="V72" s="3"/>
      <c r="W72" s="3"/>
      <c r="X72" s="3"/>
      <c r="Y72" s="3"/>
      <c r="Z72" s="3"/>
    </row>
    <row r="73" spans="1:26" x14ac:dyDescent="0.2">
      <c r="A73" s="2" t="str">
        <f ca="1">IFERROR(__xludf.DUMMYFUNCTION("""COMPUTED_VALUE"""),"https://drive.google.com/open?id=1vHSubPRDJZMn4uMwb-R3KljA3IyYq4al")</f>
        <v>https://drive.google.com/open?id=1vHSubPRDJZMn4uMwb-R3KljA3IyYq4al</v>
      </c>
      <c r="B73" s="3" t="str">
        <f ca="1">IFERROR(__xludf.DUMMYFUNCTION("""COMPUTED_VALUE"""),"Enem")</f>
        <v>Enem</v>
      </c>
      <c r="C73" s="3">
        <f ca="1">IFERROR(__xludf.DUMMYFUNCTION("""COMPUTED_VALUE"""),2019)</f>
        <v>2019</v>
      </c>
      <c r="D73" s="3" t="str">
        <f ca="1">IFERROR(__xludf.DUMMYFUNCTION("""COMPUTED_VALUE"""),"Linguagens")</f>
        <v>Linguagens</v>
      </c>
      <c r="E73" s="3" t="str">
        <f ca="1">IFERROR(__xludf.DUMMYFUNCTION("""COMPUTED_VALUE"""),"Literatura")</f>
        <v>Literatura</v>
      </c>
      <c r="F73" s="3" t="str">
        <f ca="1">IFERROR(__xludf.DUMMYFUNCTION("""COMPUTED_VALUE"""),"Literatura")</f>
        <v>Literatura</v>
      </c>
      <c r="G73" s="3"/>
      <c r="H73" s="3"/>
      <c r="I73" s="3" t="str">
        <f ca="1">IFERROR(__xludf.DUMMYFUNCTION("""COMPUTED_VALUE"""),"Azul")</f>
        <v>Azul</v>
      </c>
      <c r="J73" s="3">
        <f ca="1">IFERROR(__xludf.DUMMYFUNCTION("""COMPUTED_VALUE"""),12)</f>
        <v>12</v>
      </c>
      <c r="K73" s="3" t="str">
        <f ca="1">IFERROR(__xludf.DUMMYFUNCTION("""COMPUTED_VALUE"""),"A")</f>
        <v>A</v>
      </c>
      <c r="L73" s="3" t="str">
        <f ca="1">IFERROR(__xludf.DUMMYFUNCTION("""COMPUTED_VALUE"""),"Em suas produções, nem o olho nem o ouvido 
são capazes de encontrar um ponto fixo no qual se 
concentrarem. O espectador das peças de Foreman é 
bombardeado por uma multiplicidade de eventos visuais 
e auditivos. No nível visual, há contínuas mudanças 
d"&amp;"a forma geométrica do palco, mesmo dentro de um 
ato. A iluminação também muda continuamente; suas 
transformações podem ocorrer com lentidão ou rapidez 
e podem afetar o palco e a plateia: os espectadores 
podem de súbito se ver banhados de luz quando os"&amp;" 
canhões são voltados para eles sem aviso. Quanto 
ao som, tudo é gravado: buzinas de carros, sirenes, 
apitos, trechos de jazz, bem como o próprio diálogo. 
O roteiro é fragmentado, composto de frases curtas, 
aforísticas, desconectadas.
DURAND, R. In: "&amp;"CONNOR, S. Cultura pós-moderna: introdução às 
teorias do contemporâneo. São Paulo: Loyola, 1992 (adaptado).
A descrição, que referencia o Teatro Ontológico-
-Histérico do dramaturgo estadunidense Richard Foreman, 
representa uma forma de fazer teatro mar"&amp;"cada pela")</f>
        <v>Em suas produções, nem o olho nem o ouvido 
são capazes de encontrar um ponto fixo no qual se 
concentrarem. O espectador das peças de Foreman é 
bombardeado por uma multiplicidade de eventos visuais 
e auditivos. No nível visual, há contínuas mudanças 
da forma geométrica do palco, mesmo dentro de um 
ato. A iluminação também muda continuamente; suas 
transformações podem ocorrer com lentidão ou rapidez 
e podem afetar o palco e a plateia: os espectadores 
podem de súbito se ver banhados de luz quando os 
canhões são voltados para eles sem aviso. Quanto 
ao som, tudo é gravado: buzinas de carros, sirenes, 
apitos, trechos de jazz, bem como o próprio diálogo. 
O roteiro é fragmentado, composto de frases curtas, 
aforísticas, desconectadas.
DURAND, R. In: CONNOR, S. Cultura pós-moderna: introdução às 
teorias do contemporâneo. São Paulo: Loyola, 1992 (adaptado).
A descrição, que referencia o Teatro Ontológico-
-Histérico do dramaturgo estadunidense Richard Foreman, 
representa uma forma de fazer teatro marcada pela</v>
      </c>
      <c r="M73" s="3" t="str">
        <f ca="1">IFERROR(__xludf.DUMMYFUNCTION("""COMPUTED_VALUE"""),"subversão aos elementos tradicionais da narrativa 
teatral.")</f>
        <v>subversão aos elementos tradicionais da narrativa 
teatral.</v>
      </c>
      <c r="N73" s="3" t="str">
        <f ca="1">IFERROR(__xludf.DUMMYFUNCTION("""COMPUTED_VALUE"""),"visão idealizada do mundo na construção de uma 
narrativa onírica.")</f>
        <v>visão idealizada do mundo na construção de uma 
narrativa onírica.</v>
      </c>
      <c r="O73" s="3" t="str">
        <f ca="1">IFERROR(__xludf.DUMMYFUNCTION("""COMPUTED_VALUE"""),"representação da vida real, aproximando-se de uma 
verdade histórica.")</f>
        <v>representação da vida real, aproximando-se de uma 
verdade histórica.</v>
      </c>
      <c r="P73" s="3" t="str">
        <f ca="1">IFERROR(__xludf.DUMMYFUNCTION("""COMPUTED_VALUE"""),"adaptação aos novos valores da burguesia 
frequentadora de espaços teatrais.")</f>
        <v>adaptação aos novos valores da burguesia 
frequentadora de espaços teatrais.</v>
      </c>
      <c r="Q73" s="3" t="str">
        <f ca="1">IFERROR(__xludf.DUMMYFUNCTION("""COMPUTED_VALUE""")," valorização espetacular do ideal humano, retomando 
o princípio do Classicismo grego.")</f>
        <v xml:space="preserve"> valorização espetacular do ideal humano, retomando 
o princípio do Classicismo grego.</v>
      </c>
      <c r="R73" s="3"/>
      <c r="S73" s="3"/>
      <c r="T73" s="3"/>
      <c r="U73" s="3"/>
      <c r="V73" s="3"/>
      <c r="W73" s="3"/>
      <c r="X73" s="3"/>
      <c r="Y73" s="3"/>
      <c r="Z73" s="3"/>
    </row>
    <row r="74" spans="1:26" x14ac:dyDescent="0.2">
      <c r="A74" s="2" t="str">
        <f ca="1">IFERROR(__xludf.DUMMYFUNCTION("""COMPUTED_VALUE"""),"https://drive.google.com/open?id=1-rigo8wXxrWQ2WDfjt2o3oyATbfMdbvJ")</f>
        <v>https://drive.google.com/open?id=1-rigo8wXxrWQ2WDfjt2o3oyATbfMdbvJ</v>
      </c>
      <c r="B74" s="3" t="str">
        <f ca="1">IFERROR(__xludf.DUMMYFUNCTION("""COMPUTED_VALUE"""),"Enem")</f>
        <v>Enem</v>
      </c>
      <c r="C74" s="3">
        <f ca="1">IFERROR(__xludf.DUMMYFUNCTION("""COMPUTED_VALUE"""),2019)</f>
        <v>2019</v>
      </c>
      <c r="D74" s="3" t="str">
        <f ca="1">IFERROR(__xludf.DUMMYFUNCTION("""COMPUTED_VALUE"""),"Linguagens")</f>
        <v>Linguagens</v>
      </c>
      <c r="E74" s="3" t="str">
        <f ca="1">IFERROR(__xludf.DUMMYFUNCTION("""COMPUTED_VALUE"""),"Literatura")</f>
        <v>Literatura</v>
      </c>
      <c r="F74" s="3" t="str">
        <f ca="1">IFERROR(__xludf.DUMMYFUNCTION("""COMPUTED_VALUE"""),"Literatura")</f>
        <v>Literatura</v>
      </c>
      <c r="G74" s="3"/>
      <c r="H74" s="3"/>
      <c r="I74" s="3" t="str">
        <f ca="1">IFERROR(__xludf.DUMMYFUNCTION("""COMPUTED_VALUE"""),"Azul")</f>
        <v>Azul</v>
      </c>
      <c r="J74" s="3">
        <f ca="1">IFERROR(__xludf.DUMMYFUNCTION("""COMPUTED_VALUE"""),14)</f>
        <v>14</v>
      </c>
      <c r="K74" s="3" t="str">
        <f ca="1">IFERROR(__xludf.DUMMYFUNCTION("""COMPUTED_VALUE"""),"E")</f>
        <v>E</v>
      </c>
      <c r="L74" s="3" t="str">
        <f ca="1">IFERROR(__xludf.DUMMYFUNCTION("""COMPUTED_VALUE"""),"O mato do Mutúm é um enorme mundo preto, que 
nasce dos buracões e sobe a serra. O guará-lobo trota 
a vago no campo. As pessôas mais velhas são inimigas 
dos meninos. Soltam e estumam cachorros, para ir 
matar os bichinhos assustados — o tatú que se agar"&amp;"ra 
no chão dando guinchos suplicantes, os macacos que 
fazem artes, o coelho que mesmo até quando dorme 
todo-tempo sonha que está sendo perseguido. O tatú 
levanta as mãozinhas cruzadas, ele não sabe — e os 
cachorros estão rasgando o sangue dele, e ele"&amp;" pega a 
sororocar. O tamanduá. Tamanduá passeia no cerrado, 
na beira do capoeirão. Ele conhece as árvores, abraça 
as árvores. Nenhum nem pode rezar, triste é o gemido 
deles campeando socôrro. Todo choro suplicando por 
socôrro é feito para Nossa Senho"&amp;"ra, como quem diz 
a salve-rainha. Tem uma Nossa Senhora velhinha. Os 
homens, pé-ante-pé, indo a peitavento, cercaram o 
casal de tamanduás, encantoados contra o barranco, 
o casal de tamanduás estavam dormindo. Os homens 
empurraram com a vara de ferrão"&amp;", com pancada bruta, 
o tamanduá que se acordava. Deu som surdo, no corpo 
do bicho, quando bateram, o tamanduá caiu pra lá, como 
um colchão velho.
ROSA, G. Noites do sertão (Corpo de baile). 
Rio de Janeiro: Nova Fronteira, 2016.
Na obra de Guimarães Ro"&amp;"sa, destaca-se o aspecto 
afetivo no contorno da paisagem dos sertões mineiros. 
Nesse fragmento, o narrador empresta à cena uma 
expressividade apoiada na")</f>
        <v>O mato do Mutúm é um enorme mundo preto, que 
nasce dos buracões e sobe a serra. O guará-lobo trota 
a vago no campo. As pessôas mais velhas são inimigas 
dos meninos. Soltam e estumam cachorros, para ir 
matar os bichinhos assustados — o tatú que se agarra 
no chão dando guinchos suplicantes, os macacos que 
fazem artes, o coelho que mesmo até quando dorme 
todo-tempo sonha que está sendo perseguido. O tatú 
levanta as mãozinhas cruzadas, ele não sabe — e os 
cachorros estão rasgando o sangue dele, e ele pega a 
sororocar. O tamanduá. Tamanduá passeia no cerrado, 
na beira do capoeirão. Ele conhece as árvores, abraça 
as árvores. Nenhum nem pode rezar, triste é o gemido 
deles campeando socôrro. Todo choro suplicando por 
socôrro é feito para Nossa Senhora, como quem diz 
a salve-rainha. Tem uma Nossa Senhora velhinha. Os 
homens, pé-ante-pé, indo a peitavento, cercaram o 
casal de tamanduás, encantoados contra o barranco, 
o casal de tamanduás estavam dormindo. Os homens 
empurraram com a vara de ferrão, com pancada bruta, 
o tamanduá que se acordava. Deu som surdo, no corpo 
do bicho, quando bateram, o tamanduá caiu pra lá, como 
um colchão velho.
ROSA, G. Noites do sertão (Corpo de baile). 
Rio de Janeiro: Nova Fronteira, 2016.
Na obra de Guimarães Rosa, destaca-se o aspecto 
afetivo no contorno da paisagem dos sertões mineiros. 
Nesse fragmento, o narrador empresta à cena uma 
expressividade apoiada na</v>
      </c>
      <c r="M74" s="3" t="str">
        <f ca="1">IFERROR(__xludf.DUMMYFUNCTION("""COMPUTED_VALUE"""),"plasticidade de cores e sons dos elementos nativos")</f>
        <v>plasticidade de cores e sons dos elementos nativos</v>
      </c>
      <c r="N74" s="3" t="str">
        <f ca="1">IFERROR(__xludf.DUMMYFUNCTION("""COMPUTED_VALUE"""),"dinâmica do ataque e da fuga na luta pela 
sobrevivência.")</f>
        <v>dinâmica do ataque e da fuga na luta pela 
sobrevivência.</v>
      </c>
      <c r="O74" s="3" t="str">
        <f ca="1">IFERROR(__xludf.DUMMYFUNCTION("""COMPUTED_VALUE"""),"religiosidade na contemplação do sertanejo e de 
seus costumes")</f>
        <v>religiosidade na contemplação do sertanejo e de 
seus costumes</v>
      </c>
      <c r="P74" s="3" t="str">
        <f ca="1">IFERROR(__xludf.DUMMYFUNCTION("""COMPUTED_VALUE"""),"correspondência entre práticas e tradições e a 
hostilidade do campo.")</f>
        <v>correspondência entre práticas e tradições e a 
hostilidade do campo.</v>
      </c>
      <c r="Q74" s="3" t="str">
        <f ca="1">IFERROR(__xludf.DUMMYFUNCTION("""COMPUTED_VALUE"""),"humanização da presa em contraste com o desdém 
e a ferocidade do homem.")</f>
        <v>humanização da presa em contraste com o desdém 
e a ferocidade do homem.</v>
      </c>
      <c r="R74" s="3"/>
      <c r="S74" s="3"/>
      <c r="T74" s="3"/>
      <c r="U74" s="3"/>
      <c r="V74" s="3"/>
      <c r="W74" s="3"/>
      <c r="X74" s="3"/>
      <c r="Y74" s="3"/>
      <c r="Z74" s="3"/>
    </row>
    <row r="75" spans="1:26" x14ac:dyDescent="0.2">
      <c r="A75" s="2" t="str">
        <f ca="1">IFERROR(__xludf.DUMMYFUNCTION("""COMPUTED_VALUE"""),"https://drive.google.com/open?id=1YrAFNwYXPKKdbSLDuHgSYrwjHQhJURPn")</f>
        <v>https://drive.google.com/open?id=1YrAFNwYXPKKdbSLDuHgSYrwjHQhJURPn</v>
      </c>
      <c r="B75" s="3" t="str">
        <f ca="1">IFERROR(__xludf.DUMMYFUNCTION("""COMPUTED_VALUE"""),"Enem")</f>
        <v>Enem</v>
      </c>
      <c r="C75" s="3">
        <f ca="1">IFERROR(__xludf.DUMMYFUNCTION("""COMPUTED_VALUE"""),2019)</f>
        <v>2019</v>
      </c>
      <c r="D75" s="3" t="str">
        <f ca="1">IFERROR(__xludf.DUMMYFUNCTION("""COMPUTED_VALUE"""),"Linguagens")</f>
        <v>Linguagens</v>
      </c>
      <c r="E75" s="3" t="str">
        <f ca="1">IFERROR(__xludf.DUMMYFUNCTION("""COMPUTED_VALUE"""),"Literatura")</f>
        <v>Literatura</v>
      </c>
      <c r="F75" s="3" t="str">
        <f ca="1">IFERROR(__xludf.DUMMYFUNCTION("""COMPUTED_VALUE"""),"Literatura")</f>
        <v>Literatura</v>
      </c>
      <c r="G75" s="3"/>
      <c r="H75" s="3"/>
      <c r="I75" s="3" t="str">
        <f ca="1">IFERROR(__xludf.DUMMYFUNCTION("""COMPUTED_VALUE"""),"Azul")</f>
        <v>Azul</v>
      </c>
      <c r="J75" s="3">
        <f ca="1">IFERROR(__xludf.DUMMYFUNCTION("""COMPUTED_VALUE"""),19)</f>
        <v>19</v>
      </c>
      <c r="K75" s="3" t="str">
        <f ca="1">IFERROR(__xludf.DUMMYFUNCTION("""COMPUTED_VALUE"""),"B")</f>
        <v>B</v>
      </c>
      <c r="L75" s="3" t="str">
        <f ca="1">IFERROR(__xludf.DUMMYFUNCTION("""COMPUTED_VALUE"""),"A nossa emotividade literária só se interessa pelos 
populares do sertão, unicamente porque são pitorescos 
e talvez não se possa verificar a verdade de suas 
criações. No mais é uma continuação do exame de 
português, uma retórica mais difícil, a se dese"&amp;"nvolver 
por este tema sempre o mesmo: Dona Dulce, moça 
de Botafogo em Petrópolis, que se casa com o 
Dr. Frederico. O comendador seu pai não quer 
porque o tal Dr. Frederico, apesar de doutor, não tem 
emprego. Dulce vai à superiora do colégio de irmãs."&amp;" 
Esta escreve à mulher do ministro, antiga aluna 
do colégio, que arranja um emprego para o rapaz. 
Está acabada a história. É preciso não esquecer que 
Frederico é moço pobre, isto é, o pai tem dinheiro, 
fazenda ou engenho, mas não pode dar uma mesada "&amp;"
grande.
Está aí o grande drama de amor em nossas letras, e 
o tema de seu ciclo literário.
BARRETO, L. Vida e morte de MJ Gonzaga de Sá. Disponível em: 
www.brasiliana.usp.br. Acesso em: 10 ago. 2017.
Situado num momento de transição, Lima Barreto 
produ"&amp;"ziu uma literatura renovadora em diversos 
aspectos. No fragmento, esse viés se fundamenta na")</f>
        <v>A nossa emotividade literária só se interessa pelos 
populares do sertão, unicamente porque são pitorescos 
e talvez não se possa verificar a verdade de suas 
criações. No mais é uma continuação do exame de 
português, uma retórica mais difícil, a se desenvolver 
por este tema sempre o mesmo: Dona Dulce, moça 
de Botafogo em Petrópolis, que se casa com o 
Dr. Frederico. O comendador seu pai não quer 
porque o tal Dr. Frederico, apesar de doutor, não tem 
emprego. Dulce vai à superiora do colégio de irmãs. 
Esta escreve à mulher do ministro, antiga aluna 
do colégio, que arranja um emprego para o rapaz. 
Está acabada a história. É preciso não esquecer que 
Frederico é moço pobre, isto é, o pai tem dinheiro, 
fazenda ou engenho, mas não pode dar uma mesada 
grande.
Está aí o grande drama de amor em nossas letras, e 
o tema de seu ciclo literário.
BARRETO, L. Vida e morte de MJ Gonzaga de Sá. Disponível em: 
www.brasiliana.usp.br. Acesso em: 10 ago. 2017.
Situado num momento de transição, Lima Barreto 
produziu uma literatura renovadora em diversos 
aspectos. No fragmento, esse viés se fundamenta na</v>
      </c>
      <c r="M75" s="3" t="str">
        <f ca="1">IFERROR(__xludf.DUMMYFUNCTION("""COMPUTED_VALUE"""),"releitura da importância do regionalismo.")</f>
        <v>releitura da importância do regionalismo.</v>
      </c>
      <c r="N75" s="3" t="str">
        <f ca="1">IFERROR(__xludf.DUMMYFUNCTION("""COMPUTED_VALUE"""),"ironia ao folhetim da tradição romântica.")</f>
        <v>ironia ao folhetim da tradição romântica.</v>
      </c>
      <c r="O75" s="3" t="str">
        <f ca="1">IFERROR(__xludf.DUMMYFUNCTION("""COMPUTED_VALUE"""),"desconstrução da formalidade parnasiana.")</f>
        <v>desconstrução da formalidade parnasiana.</v>
      </c>
      <c r="P75" s="3" t="str">
        <f ca="1">IFERROR(__xludf.DUMMYFUNCTION("""COMPUTED_VALUE"""),"quebra da padronização do gênero narrativo.")</f>
        <v>quebra da padronização do gênero narrativo.</v>
      </c>
      <c r="Q75" s="3" t="str">
        <f ca="1">IFERROR(__xludf.DUMMYFUNCTION("""COMPUTED_VALUE"""),"rejeição à classificação dos estilos de época.")</f>
        <v>rejeição à classificação dos estilos de época.</v>
      </c>
      <c r="R75" s="3"/>
      <c r="S75" s="3"/>
      <c r="T75" s="3"/>
      <c r="U75" s="3"/>
      <c r="V75" s="3"/>
      <c r="W75" s="3"/>
      <c r="X75" s="3"/>
      <c r="Y75" s="3"/>
      <c r="Z75" s="3"/>
    </row>
    <row r="76" spans="1:26" x14ac:dyDescent="0.2">
      <c r="A76" s="2" t="str">
        <f ca="1">IFERROR(__xludf.DUMMYFUNCTION("""COMPUTED_VALUE"""),"https://drive.google.com/open?id=1vdrArF8NH9JkVSaA6tkFCwkcOIQVjvGu")</f>
        <v>https://drive.google.com/open?id=1vdrArF8NH9JkVSaA6tkFCwkcOIQVjvGu</v>
      </c>
      <c r="B76" s="3" t="str">
        <f ca="1">IFERROR(__xludf.DUMMYFUNCTION("""COMPUTED_VALUE"""),"Enem")</f>
        <v>Enem</v>
      </c>
      <c r="C76" s="3">
        <f ca="1">IFERROR(__xludf.DUMMYFUNCTION("""COMPUTED_VALUE"""),2019)</f>
        <v>2019</v>
      </c>
      <c r="D76" s="3" t="str">
        <f ca="1">IFERROR(__xludf.DUMMYFUNCTION("""COMPUTED_VALUE"""),"Linguagens")</f>
        <v>Linguagens</v>
      </c>
      <c r="E76" s="3" t="str">
        <f ca="1">IFERROR(__xludf.DUMMYFUNCTION("""COMPUTED_VALUE"""),"Literatura")</f>
        <v>Literatura</v>
      </c>
      <c r="F76" s="3" t="str">
        <f ca="1">IFERROR(__xludf.DUMMYFUNCTION("""COMPUTED_VALUE"""),"Literatura")</f>
        <v>Literatura</v>
      </c>
      <c r="G76" s="3"/>
      <c r="H76" s="3"/>
      <c r="I76" s="3" t="str">
        <f ca="1">IFERROR(__xludf.DUMMYFUNCTION("""COMPUTED_VALUE"""),"Azul")</f>
        <v>Azul</v>
      </c>
      <c r="J76" s="3">
        <f ca="1">IFERROR(__xludf.DUMMYFUNCTION("""COMPUTED_VALUE"""),25)</f>
        <v>25</v>
      </c>
      <c r="K76" s="3" t="str">
        <f ca="1">IFERROR(__xludf.DUMMYFUNCTION("""COMPUTED_VALUE"""),"A")</f>
        <v>A</v>
      </c>
      <c r="L76" s="3" t="str">
        <f ca="1">IFERROR(__xludf.DUMMYFUNCTION("""COMPUTED_VALUE"""),"Biografia de Pasárgada
Quando eu tinha meus 15 anos e traduzia na classe 
de grego do D. Pedro II a Ciropédia fiquei encantado 
com o nome dessa cidadezinha fundada por Ciro, 
o Antigo, nas montanhas do sul da Pérsia, para lá 
passar os verões. A minha im"&amp;"aginação de adolescente 
começou a trabalhar, e vi Pasárgada e vivi durante 
alguns anos em Pasárgada.
Mais de vinte anos depois, num momento de 
profundo desânimo, saltou-me do subconsciente este 
grito de evasão: “Vou-me embora pra Pasárgada!” 
Imediata"&amp;"mente senti que era a célula de um poema. 
Peguei do lápis e do papel, mas o poema não veio. Não 
pensei mais nisso. Uns cinco anos mais tarde, o mesmo 
grito de evasão nas mesmas circunstâncias. Desta vez, 
o poema saiu quase ao correr da pena. Se há bel"&amp;"ezas 
em “Vou-me embora pra Pasárgada!”, elas não passam 
de acidentes. Não construí o poema, ele construiu-se 
em mim, nos recessos do subconsciente, utilizando as 
reminiscências da infância — as histórias que Rosa, 
minha ama-seca mulata, me contava, o"&amp;" sonho jamais 
realizado de uma bicicleta etc.
BANDEIRA, M. Itinerário de Pasárgada. São Paulo: Global, 2012.
O texto é um depoimento de Manuel Bandeira a respeito 
da criação de um de seus poemas mais conhecidos. 
De acordo com esse depoimento, o fazer p"&amp;"oético em 
“Vou-me embora pra Pasárgada!”")</f>
        <v>Biografia de Pasárgada
Quando eu tinha meus 15 anos e traduzia na classe 
de grego do D. Pedro II a Ciropédia fiquei encantado 
com o nome dessa cidadezinha fundada por Ciro, 
o Antigo, nas montanhas do sul da Pérsia, para lá 
passar os verões. A minha imaginação de adolescente 
começou a trabalhar, e vi Pasárgada e vivi durante 
alguns anos em Pasárgada.
Mais de vinte anos depois, num momento de 
profundo desânimo, saltou-me do subconsciente este 
grito de evasão: “Vou-me embora pra Pasárgada!” 
Imediatamente senti que era a célula de um poema. 
Peguei do lápis e do papel, mas o poema não veio. Não 
pensei mais nisso. Uns cinco anos mais tarde, o mesmo 
grito de evasão nas mesmas circunstâncias. Desta vez, 
o poema saiu quase ao correr da pena. Se há belezas 
em “Vou-me embora pra Pasárgada!”, elas não passam 
de acidentes. Não construí o poema, ele construiu-se 
em mim, nos recessos do subconsciente, utilizando as 
reminiscências da infância — as histórias que Rosa, 
minha ama-seca mulata, me contava, o sonho jamais 
realizado de uma bicicleta etc.
BANDEIRA, M. Itinerário de Pasárgada. São Paulo: Global, 2012.
O texto é um depoimento de Manuel Bandeira a respeito 
da criação de um de seus poemas mais conhecidos. 
De acordo com esse depoimento, o fazer poético em 
“Vou-me embora pra Pasárgada!”</v>
      </c>
      <c r="M76" s="3" t="str">
        <f ca="1">IFERROR(__xludf.DUMMYFUNCTION("""COMPUTED_VALUE"""),"acontece de maneira progressiva, natural e pouco 
intencional.")</f>
        <v>acontece de maneira progressiva, natural e pouco 
intencional.</v>
      </c>
      <c r="N76" s="3" t="str">
        <f ca="1">IFERROR(__xludf.DUMMYFUNCTION("""COMPUTED_VALUE"""),"decorre de uma inspiração fulminante, num momento 
de extrema emoção.")</f>
        <v>decorre de uma inspiração fulminante, num momento 
de extrema emoção.</v>
      </c>
      <c r="O76" s="3" t="str">
        <f ca="1">IFERROR(__xludf.DUMMYFUNCTION("""COMPUTED_VALUE"""),"ratifica as informações do senso comum de que 
Pasárgada é a representação de um lugar utópico.")</f>
        <v>ratifica as informações do senso comum de que 
Pasárgada é a representação de um lugar utópico.</v>
      </c>
      <c r="P76" s="3" t="str">
        <f ca="1">IFERROR(__xludf.DUMMYFUNCTION("""COMPUTED_VALUE"""),"resulta das mais fortes lembranças da juventude do 
poeta e de seu envolvimento com a literatura grega.")</f>
        <v>resulta das mais fortes lembranças da juventude do 
poeta e de seu envolvimento com a literatura grega.</v>
      </c>
      <c r="Q76" s="3" t="str">
        <f ca="1">IFERROR(__xludf.DUMMYFUNCTION("""COMPUTED_VALUE"""),"remete a um tempo da vida de Manuel Bandeira 
marcado por desigualdades sociais e econômicas.")</f>
        <v>remete a um tempo da vida de Manuel Bandeira 
marcado por desigualdades sociais e econômicas.</v>
      </c>
      <c r="R76" s="3"/>
      <c r="S76" s="3"/>
      <c r="T76" s="3"/>
      <c r="U76" s="3"/>
      <c r="V76" s="3"/>
      <c r="W76" s="3"/>
      <c r="X76" s="3"/>
      <c r="Y76" s="3"/>
      <c r="Z76" s="3"/>
    </row>
    <row r="77" spans="1:26" x14ac:dyDescent="0.2">
      <c r="A77" s="2" t="str">
        <f ca="1">IFERROR(__xludf.DUMMYFUNCTION("""COMPUTED_VALUE"""),"https://drive.google.com/open?id=1MvUrXdH_ql0F_QudnOMKVva5ivwpk2Hr")</f>
        <v>https://drive.google.com/open?id=1MvUrXdH_ql0F_QudnOMKVva5ivwpk2Hr</v>
      </c>
      <c r="B77" s="3" t="str">
        <f ca="1">IFERROR(__xludf.DUMMYFUNCTION("""COMPUTED_VALUE"""),"Enem")</f>
        <v>Enem</v>
      </c>
      <c r="C77" s="3">
        <f ca="1">IFERROR(__xludf.DUMMYFUNCTION("""COMPUTED_VALUE"""),2019)</f>
        <v>2019</v>
      </c>
      <c r="D77" s="3" t="str">
        <f ca="1">IFERROR(__xludf.DUMMYFUNCTION("""COMPUTED_VALUE"""),"Linguagens")</f>
        <v>Linguagens</v>
      </c>
      <c r="E77" s="3" t="str">
        <f ca="1">IFERROR(__xludf.DUMMYFUNCTION("""COMPUTED_VALUE"""),"Literatura")</f>
        <v>Literatura</v>
      </c>
      <c r="F77" s="3" t="str">
        <f ca="1">IFERROR(__xludf.DUMMYFUNCTION("""COMPUTED_VALUE"""),"Literatura")</f>
        <v>Literatura</v>
      </c>
      <c r="G77" s="3"/>
      <c r="H77" s="3"/>
      <c r="I77" s="3" t="str">
        <f ca="1">IFERROR(__xludf.DUMMYFUNCTION("""COMPUTED_VALUE"""),"Azul")</f>
        <v>Azul</v>
      </c>
      <c r="J77" s="3">
        <f ca="1">IFERROR(__xludf.DUMMYFUNCTION("""COMPUTED_VALUE"""),31)</f>
        <v>31</v>
      </c>
      <c r="K77" s="3" t="str">
        <f ca="1">IFERROR(__xludf.DUMMYFUNCTION("""COMPUTED_VALUE"""),"D")</f>
        <v>D</v>
      </c>
      <c r="L77" s="3" t="str">
        <f ca="1">IFERROR(__xludf.DUMMYFUNCTION("""COMPUTED_VALUE"""),"A
Esbraseia o Ocidente na agonia
O sol... Aves em bandos destacados,
Por céus de ouro e púrpura raiados,
Fogem... Fecha-se a pálpebra do dia...
Delineiam-se além da serrania
Os vértices de chamas aureolados,
E em tudo, em torno, esbatem derramados
Uns ton"&amp;"s suaves de melancolia.
Um mundo de vapores no ar flutua...
Como uma informe nódoa avulta e cresce
A sombra à proporção que a luz recua.
A natureza apática esmaece...
Pouco a pouco, entre as árvores, a lua
Surge trêmula, trêmula... Anoitece.
CORRÊA, R. Di"&amp;"sponível em: www.brasiliana.usp.br. 
Acesso em: 13 ago. 2017.
Composição de formato fixo, o soneto tornou-se um 
modelo particularmente ajustado à poesia parnasiana. 
No poema de Raimundo Corrêa, remete(m) a 
essa estética")</f>
        <v>A
Esbraseia o Ocidente na agonia
O sol... Aves em bandos destacados,
Por céus de ouro e púrpura raiados,
Fogem... Fecha-se a pálpebra do dia...
Delineiam-se além da serrania
Os vértices de chamas aureolados,
E em tudo, em torno, esbatem derramados
Uns tons suaves de melancolia.
Um mundo de vapores no ar flutua...
Como uma informe nódoa avulta e cresce
A sombra à proporção que a luz recua.
A natureza apática esmaece...
Pouco a pouco, entre as árvores, a lua
Surge trêmula, trêmula... Anoitece.
CORRÊA, R. Disponível em: www.brasiliana.usp.br. 
Acesso em: 13 ago. 2017.
Composição de formato fixo, o soneto tornou-se um 
modelo particularmente ajustado à poesia parnasiana. 
No poema de Raimundo Corrêa, remete(m) a 
essa estética</v>
      </c>
      <c r="M77" s="3" t="str">
        <f ca="1">IFERROR(__xludf.DUMMYFUNCTION("""COMPUTED_VALUE"""),"as metáforas inspiradas na visão da natureza.")</f>
        <v>as metáforas inspiradas na visão da natureza.</v>
      </c>
      <c r="N77" s="3" t="str">
        <f ca="1">IFERROR(__xludf.DUMMYFUNCTION("""COMPUTED_VALUE"""),"a ausência de emotividade pelo eu lírico.")</f>
        <v>a ausência de emotividade pelo eu lírico.</v>
      </c>
      <c r="O77" s="3" t="str">
        <f ca="1">IFERROR(__xludf.DUMMYFUNCTION("""COMPUTED_VALUE"""),"a retórica ornamental desvinculada da realidade.")</f>
        <v>a retórica ornamental desvinculada da realidade.</v>
      </c>
      <c r="P77" s="3" t="str">
        <f ca="1">IFERROR(__xludf.DUMMYFUNCTION("""COMPUTED_VALUE"""),"o uso da descrição como meio de expressividade.")</f>
        <v>o uso da descrição como meio de expressividade.</v>
      </c>
      <c r="Q77" s="3" t="str">
        <f ca="1">IFERROR(__xludf.DUMMYFUNCTION("""COMPUTED_VALUE"""),"o vínculo a temas comuns à Antiguidade Clássica.")</f>
        <v>o vínculo a temas comuns à Antiguidade Clássica.</v>
      </c>
      <c r="R77" s="3"/>
      <c r="S77" s="3"/>
      <c r="T77" s="3"/>
      <c r="U77" s="3"/>
      <c r="V77" s="3"/>
      <c r="W77" s="3"/>
      <c r="X77" s="3"/>
      <c r="Y77" s="3"/>
      <c r="Z77" s="3"/>
    </row>
    <row r="78" spans="1:26" x14ac:dyDescent="0.2">
      <c r="A78" s="2" t="str">
        <f ca="1">IFERROR(__xludf.DUMMYFUNCTION("""COMPUTED_VALUE"""),"https://drive.google.com/open?id=1vLP0xbx2AuARSTb8JSFa_n3sPyvSGAtn")</f>
        <v>https://drive.google.com/open?id=1vLP0xbx2AuARSTb8JSFa_n3sPyvSGAtn</v>
      </c>
      <c r="B78" s="3" t="str">
        <f ca="1">IFERROR(__xludf.DUMMYFUNCTION("""COMPUTED_VALUE"""),"Enem")</f>
        <v>Enem</v>
      </c>
      <c r="C78" s="3">
        <f ca="1">IFERROR(__xludf.DUMMYFUNCTION("""COMPUTED_VALUE"""),2019)</f>
        <v>2019</v>
      </c>
      <c r="D78" s="3" t="str">
        <f ca="1">IFERROR(__xludf.DUMMYFUNCTION("""COMPUTED_VALUE"""),"Linguagens")</f>
        <v>Linguagens</v>
      </c>
      <c r="E78" s="3" t="str">
        <f ca="1">IFERROR(__xludf.DUMMYFUNCTION("""COMPUTED_VALUE"""),"Literatura")</f>
        <v>Literatura</v>
      </c>
      <c r="F78" s="3" t="str">
        <f ca="1">IFERROR(__xludf.DUMMYFUNCTION("""COMPUTED_VALUE"""),"Literatura")</f>
        <v>Literatura</v>
      </c>
      <c r="G78" s="3"/>
      <c r="H78" s="3"/>
      <c r="I78" s="3" t="str">
        <f ca="1">IFERROR(__xludf.DUMMYFUNCTION("""COMPUTED_VALUE"""),"Azul")</f>
        <v>Azul</v>
      </c>
      <c r="J78" s="3">
        <f ca="1">IFERROR(__xludf.DUMMYFUNCTION("""COMPUTED_VALUE"""),36)</f>
        <v>36</v>
      </c>
      <c r="K78" s="3" t="str">
        <f ca="1">IFERROR(__xludf.DUMMYFUNCTION("""COMPUTED_VALUE"""),"A")</f>
        <v>A</v>
      </c>
      <c r="L78" s="3" t="str">
        <f ca="1">IFERROR(__xludf.DUMMYFUNCTION("""COMPUTED_VALUE"""),"As cores
Maria Alice abandonou o livro onde seus dedos 
longos liam uma história de amor. Em seu pequeno 
mundo de volumes, de cheiros, de sons, todas aquelas 
palavras eram a perpétua renovação dos mistérios em 
cujo seio sua imaginação se perdia. [...] "&amp;"Como seria cor 
e o que seria? [...]. Era, com certeza, a nota marcante de 
todas as coisas para aqueles cujos olhos viam, aqueles 
olhos que tantas vezes palpara com inveja calada e 
que se fechavam, quando os tocava, sensíveis como 
pássaros assustados,"&amp;" palpitantes de vida, sob seus 
dedos trêmulos, que diziam ser claros. Que seria o 
claro, afinal? Algo que aprendera, de há muito, ser igual 
ao branco. [...]
E agora Maria Alice voltava outra vez ao Instituto. 
E ao grande amigo que lá conhecera. [...]."&amp;" Lembrava-se 
da ternura daquela voz, da beleza daquela voz. De como 
se adivinhavam entre dezenas de outros e suas mãos 
se encontravam. De como as palavras de amor tinham 
irrompido e suas bocas se encontrado... De como um dia 
seus pais haviam surgido "&amp;"inesperadamente no Instituto e 
a haviam levado à sala do diretor e se haviam queixado 
da falta de vigilância e moralidade no estabelecimento. 
E de como, no momento em que a retiravam e quando 
ela disse que pretendia se despedir de um amigo pelo 
qual "&amp;"tinha grande afeição e com quem se queria casar, o 
pai exclamara, horrorizado:
— Você não tem juízo, criatura? Casar-se com um 
mulato? Nunca!
Mulato era cor. Estava longe aquele dia. Estava 
longe o Instituto, ao qual não saberia voltar, do qual 
nunca "&amp;"mais tivera notícia, e do qual somente restara o 
privilégio de caminhar sozinha pelo reino dos livros, tão 
parecido com a vida dos outros, tão cheio de cores...
LESSA, O. Seleta de Orígenes Lessa. 
Rio de Janeiro: José Olympio, 1973.
No texto, a condiçã"&amp;"o da personagem e os 
desdobramentos da narrativa conduzem o leitor a 
compreender o(a)")</f>
        <v>As cores
Maria Alice abandonou o livro onde seus dedos 
longos liam uma história de amor. Em seu pequeno 
mundo de volumes, de cheiros, de sons, todas aquelas 
palavras eram a perpétua renovação dos mistérios em 
cujo seio sua imaginação se perdia. [...] Como seria cor 
e o que seria? [...]. Era, com certeza, a nota marcante de 
todas as coisas para aqueles cujos olhos viam, aqueles 
olhos que tantas vezes palpara com inveja calada e 
que se fechavam, quando os tocava, sensíveis como 
pássaros assustados, palpitantes de vida, sob seus 
dedos trêmulos, que diziam ser claros. Que seria o 
claro, afinal? Algo que aprendera, de há muito, ser igual 
ao branco. [...]
E agora Maria Alice voltava outra vez ao Instituto. 
E ao grande amigo que lá conhecera. [...]. Lembrava-se 
da ternura daquela voz, da beleza daquela voz. De como 
se adivinhavam entre dezenas de outros e suas mãos 
se encontravam. De como as palavras de amor tinham 
irrompido e suas bocas se encontrado... De como um dia 
seus pais haviam surgido inesperadamente no Instituto e 
a haviam levado à sala do diretor e se haviam queixado 
da falta de vigilância e moralidade no estabelecimento. 
E de como, no momento em que a retiravam e quando 
ela disse que pretendia se despedir de um amigo pelo 
qual tinha grande afeição e com quem se queria casar, o 
pai exclamara, horrorizado:
— Você não tem juízo, criatura? Casar-se com um 
mulato? Nunca!
Mulato era cor. Estava longe aquele dia. Estava 
longe o Instituto, ao qual não saberia voltar, do qual 
nunca mais tivera notícia, e do qual somente restara o 
privilégio de caminhar sozinha pelo reino dos livros, tão 
parecido com a vida dos outros, tão cheio de cores...
LESSA, O. Seleta de Orígenes Lessa. 
Rio de Janeiro: José Olympio, 1973.
No texto, a condição da personagem e os 
desdobramentos da narrativa conduzem o leitor a 
compreender o(a)</v>
      </c>
      <c r="M78" s="3" t="str">
        <f ca="1">IFERROR(__xludf.DUMMYFUNCTION("""COMPUTED_VALUE"""),"percepção das cores como metáfora da discriminação 
racial.")</f>
        <v>percepção das cores como metáfora da discriminação 
racial.</v>
      </c>
      <c r="N78" s="3" t="str">
        <f ca="1">IFERROR(__xludf.DUMMYFUNCTION("""COMPUTED_VALUE"""),"privação da visão como elemento definidor das 
relações humanas.")</f>
        <v>privação da visão como elemento definidor das 
relações humanas.</v>
      </c>
      <c r="O78" s="3" t="str">
        <f ca="1">IFERROR(__xludf.DUMMYFUNCTION("""COMPUTED_VALUE"""),"contraste entre as representações do amor de 
diferentes gerações.")</f>
        <v>contraste entre as representações do amor de 
diferentes gerações.</v>
      </c>
      <c r="P78" s="3" t="str">
        <f ca="1">IFERROR(__xludf.DUMMYFUNCTION("""COMPUTED_VALUE"""),"prevalência das diferenças sociais sobre a liberdade 
das relações afetivas.")</f>
        <v>prevalência das diferenças sociais sobre a liberdade 
das relações afetivas.</v>
      </c>
      <c r="Q78" s="3" t="str">
        <f ca="1">IFERROR(__xludf.DUMMYFUNCTION("""COMPUTED_VALUE"""),"embate entre a ingenuidade juvenil e a manutenção 
de tradições familiares.")</f>
        <v>embate entre a ingenuidade juvenil e a manutenção 
de tradições familiares.</v>
      </c>
      <c r="R78" s="3"/>
      <c r="S78" s="3"/>
      <c r="T78" s="3"/>
      <c r="U78" s="3"/>
      <c r="V78" s="3"/>
      <c r="W78" s="3"/>
      <c r="X78" s="3"/>
      <c r="Y78" s="3"/>
      <c r="Z78" s="3"/>
    </row>
    <row r="79" spans="1:26" x14ac:dyDescent="0.2">
      <c r="A79" s="2" t="str">
        <f ca="1">IFERROR(__xludf.DUMMYFUNCTION("""COMPUTED_VALUE"""),"https://drive.google.com/open?id=1vb6SpnFpO7QpjL2NKKt3zcZffgjslj3K")</f>
        <v>https://drive.google.com/open?id=1vb6SpnFpO7QpjL2NKKt3zcZffgjslj3K</v>
      </c>
      <c r="B79" s="3" t="str">
        <f ca="1">IFERROR(__xludf.DUMMYFUNCTION("""COMPUTED_VALUE"""),"Enem")</f>
        <v>Enem</v>
      </c>
      <c r="C79" s="3">
        <f ca="1">IFERROR(__xludf.DUMMYFUNCTION("""COMPUTED_VALUE"""),2019)</f>
        <v>2019</v>
      </c>
      <c r="D79" s="3" t="str">
        <f ca="1">IFERROR(__xludf.DUMMYFUNCTION("""COMPUTED_VALUE"""),"Linguagens")</f>
        <v>Linguagens</v>
      </c>
      <c r="E79" s="3" t="str">
        <f ca="1">IFERROR(__xludf.DUMMYFUNCTION("""COMPUTED_VALUE"""),"Literatura")</f>
        <v>Literatura</v>
      </c>
      <c r="F79" s="3" t="str">
        <f ca="1">IFERROR(__xludf.DUMMYFUNCTION("""COMPUTED_VALUE"""),"Literatura")</f>
        <v>Literatura</v>
      </c>
      <c r="G79" s="3"/>
      <c r="H79" s="3"/>
      <c r="I79" s="3" t="str">
        <f ca="1">IFERROR(__xludf.DUMMYFUNCTION("""COMPUTED_VALUE"""),"Azul")</f>
        <v>Azul</v>
      </c>
      <c r="J79" s="3">
        <f ca="1">IFERROR(__xludf.DUMMYFUNCTION("""COMPUTED_VALUE"""),41)</f>
        <v>41</v>
      </c>
      <c r="K79" s="3" t="str">
        <f ca="1">IFERROR(__xludf.DUMMYFUNCTION("""COMPUTED_VALUE"""),"E")</f>
        <v>E</v>
      </c>
      <c r="L79" s="3" t="str">
        <f ca="1">IFERROR(__xludf.DUMMYFUNCTION("""COMPUTED_VALUE"""),"— Não digo que seja uma mulher perdida, mas recebeu uma educação muito livre, saracoteia sozinha por 
toda a cidade e não tem podido, por conseguinte, escapar à implacável maledicência dos fluminenses. Demais, 
está habituada ao luxo, ao luxo da rua, que "&amp;"é o mais caro; em casa arranjam-se ela e a tia sabe Deus como. Não 
é mulher com quem a gente se case. Depois, lembra-te que apenas começas e não tens ainda onde cair morto. 
Enfim, és um homem: faze o que bem te parecer.
Essas palavras, proferidas com um"&amp;"a franqueza por tantos motivos autorizada, calaram no ânimo do bacharel. 
Intimamente ele estimava que o velho amigo de seu pai o dissuadisse de requestar a moça, não pelas consequências 
morais do casamento, mas pela obrigação, que este lhe impunha, de s"&amp;"atisfazer uma dívida de vinte contos de réis, 
quando, apesar de todos os seus esforços, não conseguira até então pôr de parte nem o terço daquela quantia.
AZEVEDO, A. A dívida. Disponível em: www.dominiopublico.gov.br. Acesso em: 20 ago. 2017.
O texto, p"&amp;"ublicado no fim do século XIX, traz à tona representações sociais da sociedade brasileira da época. Em 
consonância com a estética realista, traços da visão crítica do narrador manifestam-se na")</f>
        <v>— Não digo que seja uma mulher perdida, mas recebeu uma educação muito livre, saracoteia sozinha por 
toda a cidade e não tem podido, por conseguinte, escapar à implacável maledicência dos fluminenses. Demais, 
está habituada ao luxo, ao luxo da rua, que é o mais caro; em casa arranjam-se ela e a tia sabe Deus como. Não 
é mulher com quem a gente se case. Depois, lembra-te que apenas começas e não tens ainda onde cair morto. 
Enfim, és um homem: faze o que bem te parecer.
Essas palavras, proferidas com uma franqueza por tantos motivos autorizada, calaram no ânimo do bacharel. 
Intimamente ele estimava que o velho amigo de seu pai o dissuadisse de requestar a moça, não pelas consequências 
morais do casamento, mas pela obrigação, que este lhe impunha, de satisfazer uma dívida de vinte contos de réis, 
quando, apesar de todos os seus esforços, não conseguira até então pôr de parte nem o terço daquela quantia.
AZEVEDO, A. A dívida. Disponível em: www.dominiopublico.gov.br. Acesso em: 20 ago. 2017.
O texto, publicado no fim do século XIX, traz à tona representações sociais da sociedade brasileira da época. Em 
consonância com a estética realista, traços da visão crítica do narrador manifestam-se na</v>
      </c>
      <c r="M79" s="3" t="str">
        <f ca="1">IFERROR(__xludf.DUMMYFUNCTION("""COMPUTED_VALUE"""),"caracterização pejorativa do comportamento da mulher solteira.")</f>
        <v>caracterização pejorativa do comportamento da mulher solteira.</v>
      </c>
      <c r="N79" s="3" t="str">
        <f ca="1">IFERROR(__xludf.DUMMYFUNCTION("""COMPUTED_VALUE"""),"concepção irônica acerca dos valores morais inerentes à vida conjugal.")</f>
        <v>concepção irônica acerca dos valores morais inerentes à vida conjugal.</v>
      </c>
      <c r="O79" s="3" t="str">
        <f ca="1">IFERROR(__xludf.DUMMYFUNCTION("""COMPUTED_VALUE"""),"contraposição entre a idealização do amor e as imposições do trabalho.")</f>
        <v>contraposição entre a idealização do amor e as imposições do trabalho.</v>
      </c>
      <c r="P79" s="3" t="str">
        <f ca="1">IFERROR(__xludf.DUMMYFUNCTION("""COMPUTED_VALUE"""),"expressão caricatural do casamento pelo viés do sentimentalismo burguês.")</f>
        <v>expressão caricatural do casamento pelo viés do sentimentalismo burguês.</v>
      </c>
      <c r="Q79" s="3" t="str">
        <f ca="1">IFERROR(__xludf.DUMMYFUNCTION("""COMPUTED_VALUE"""),"sobreposição da preocupação financeira em relação ao sentimento amoroso.")</f>
        <v>sobreposição da preocupação financeira em relação ao sentimento amoroso.</v>
      </c>
      <c r="R79" s="3"/>
      <c r="S79" s="3"/>
      <c r="T79" s="3"/>
      <c r="U79" s="3"/>
      <c r="V79" s="3"/>
      <c r="W79" s="3"/>
      <c r="X79" s="3"/>
      <c r="Y79" s="3"/>
      <c r="Z79" s="3"/>
    </row>
    <row r="80" spans="1:26" x14ac:dyDescent="0.2">
      <c r="A80" s="2" t="str">
        <f ca="1">IFERROR(__xludf.DUMMYFUNCTION("""COMPUTED_VALUE"""),"https://drive.google.com/open?id=15xdJnqzGszobad7URuO_lUfVxHcgivwk")</f>
        <v>https://drive.google.com/open?id=15xdJnqzGszobad7URuO_lUfVxHcgivwk</v>
      </c>
      <c r="B80" s="3" t="str">
        <f ca="1">IFERROR(__xludf.DUMMYFUNCTION("""COMPUTED_VALUE"""),"Enem")</f>
        <v>Enem</v>
      </c>
      <c r="C80" s="3">
        <f ca="1">IFERROR(__xludf.DUMMYFUNCTION("""COMPUTED_VALUE"""),2019)</f>
        <v>2019</v>
      </c>
      <c r="D80" s="3" t="str">
        <f ca="1">IFERROR(__xludf.DUMMYFUNCTION("""COMPUTED_VALUE"""),"Linguagens")</f>
        <v>Linguagens</v>
      </c>
      <c r="E80" s="3" t="str">
        <f ca="1">IFERROR(__xludf.DUMMYFUNCTION("""COMPUTED_VALUE"""),"Literatura")</f>
        <v>Literatura</v>
      </c>
      <c r="F80" s="3" t="str">
        <f ca="1">IFERROR(__xludf.DUMMYFUNCTION("""COMPUTED_VALUE"""),"Literatura")</f>
        <v>Literatura</v>
      </c>
      <c r="G80" s="3"/>
      <c r="H80" s="3"/>
      <c r="I80" s="3" t="str">
        <f ca="1">IFERROR(__xludf.DUMMYFUNCTION("""COMPUTED_VALUE"""),"Azul")</f>
        <v>Azul</v>
      </c>
      <c r="J80" s="3">
        <f ca="1">IFERROR(__xludf.DUMMYFUNCTION("""COMPUTED_VALUE"""),42)</f>
        <v>42</v>
      </c>
      <c r="K80" s="3" t="str">
        <f ca="1">IFERROR(__xludf.DUMMYFUNCTION("""COMPUTED_VALUE"""),"A")</f>
        <v>A</v>
      </c>
      <c r="L80" s="3" t="str">
        <f ca="1">IFERROR(__xludf.DUMMYFUNCTION("""COMPUTED_VALUE"""),"As alegres meninas que passam na rua, com suas 
pastas escolares, às vezes com seus namorados. 
As alegres meninas que estão sempre rindo, 
comentando o besouro que entrou na classe e pousou 
no vestido da professora; essas meninas; essas coisas 
sem impo"&amp;"rtância.
O uniforme as despersonaliza, mas o riso de 
cada uma as diferencia. Riem alto, riem musical, riem 
desafinado, riem sem motivo; riem.
Hoje de manhã estavam sérias, era como se nunca 
mais voltassem a rir e falar coisas sem importância. 
Faltava "&amp;"uma delas. O jornal dera notícia do crime. 
O corpo da menina encontrado naquelas condições, em 
lugar ermo. A selvageria de um tempo que não deixa 
mais rir.
As alegres meninas, agora sérias, tornaram-se 
adultas de uma hora para outra; essas mulheres.
A"&amp;"NDRADE, C. D. Essas meninas. Contos plausíveis. 
Rio de Janeiro: José Olympio, 1985.
No texto, há recorrência do emprego do artigo “as” e 
do pronome “essas”. No último parágrafo, esse recurso 
linguístico contribui para")</f>
        <v>As alegres meninas que passam na rua, com suas 
pastas escolares, às vezes com seus namorados. 
As alegres meninas que estão sempre rindo, 
comentando o besouro que entrou na classe e pousou 
no vestido da professora; essas meninas; essas coisas 
sem importância.
O uniforme as despersonaliza, mas o riso de 
cada uma as diferencia. Riem alto, riem musical, riem 
desafinado, riem sem motivo; riem.
Hoje de manhã estavam sérias, era como se nunca 
mais voltassem a rir e falar coisas sem importância. 
Faltava uma delas. O jornal dera notícia do crime. 
O corpo da menina encontrado naquelas condições, em 
lugar ermo. A selvageria de um tempo que não deixa 
mais rir.
As alegres meninas, agora sérias, tornaram-se 
adultas de uma hora para outra; essas mulheres.
ANDRADE, C. D. Essas meninas. Contos plausíveis. 
Rio de Janeiro: José Olympio, 1985.
No texto, há recorrência do emprego do artigo “as” e 
do pronome “essas”. No último parágrafo, esse recurso 
linguístico contribui para</v>
      </c>
      <c r="M80" s="3" t="str">
        <f ca="1">IFERROR(__xludf.DUMMYFUNCTION("""COMPUTED_VALUE"""),"intensificar a ideia do súbito amadurecimento.")</f>
        <v>intensificar a ideia do súbito amadurecimento.</v>
      </c>
      <c r="N80" s="3" t="str">
        <f ca="1">IFERROR(__xludf.DUMMYFUNCTION("""COMPUTED_VALUE"""),"indicar a falta de identidade típica da adolescência.")</f>
        <v>indicar a falta de identidade típica da adolescência.</v>
      </c>
      <c r="O80" s="3" t="str">
        <f ca="1">IFERROR(__xludf.DUMMYFUNCTION("""COMPUTED_VALUE"""),"organizar a sequência temporal dos fatos narrados.")</f>
        <v>organizar a sequência temporal dos fatos narrados.</v>
      </c>
      <c r="P80" s="3" t="str">
        <f ca="1">IFERROR(__xludf.DUMMYFUNCTION("""COMPUTED_VALUE""")," complementar a descrição do acontecimento trágico.")</f>
        <v xml:space="preserve"> complementar a descrição do acontecimento trágico.</v>
      </c>
      <c r="Q80" s="3" t="str">
        <f ca="1">IFERROR(__xludf.DUMMYFUNCTION("""COMPUTED_VALUE"""),"expressar a banalidade dos assuntos tratados 
na escola.")</f>
        <v>expressar a banalidade dos assuntos tratados 
na escola.</v>
      </c>
      <c r="R80" s="3"/>
      <c r="S80" s="3"/>
      <c r="T80" s="3"/>
      <c r="U80" s="3"/>
      <c r="V80" s="3"/>
      <c r="W80" s="3"/>
      <c r="X80" s="3"/>
      <c r="Y80" s="3"/>
      <c r="Z80" s="3"/>
    </row>
    <row r="81" spans="1:26" x14ac:dyDescent="0.2">
      <c r="A81" s="2" t="str">
        <f ca="1">IFERROR(__xludf.DUMMYFUNCTION("""COMPUTED_VALUE"""),"https://drive.google.com/open?id=14Bv8y_3du3aUApVTkh9lMshEAH7dN1ug")</f>
        <v>https://drive.google.com/open?id=14Bv8y_3du3aUApVTkh9lMshEAH7dN1ug</v>
      </c>
      <c r="B81" s="3" t="str">
        <f ca="1">IFERROR(__xludf.DUMMYFUNCTION("""COMPUTED_VALUE"""),"Enem")</f>
        <v>Enem</v>
      </c>
      <c r="C81" s="3">
        <f ca="1">IFERROR(__xludf.DUMMYFUNCTION("""COMPUTED_VALUE"""),2019)</f>
        <v>2019</v>
      </c>
      <c r="D81" s="3" t="str">
        <f ca="1">IFERROR(__xludf.DUMMYFUNCTION("""COMPUTED_VALUE"""),"Linguagens")</f>
        <v>Linguagens</v>
      </c>
      <c r="E81" s="3" t="str">
        <f ca="1">IFERROR(__xludf.DUMMYFUNCTION("""COMPUTED_VALUE"""),"Literatura")</f>
        <v>Literatura</v>
      </c>
      <c r="F81" s="3" t="str">
        <f ca="1">IFERROR(__xludf.DUMMYFUNCTION("""COMPUTED_VALUE"""),"Literatura")</f>
        <v>Literatura</v>
      </c>
      <c r="G81" s="3"/>
      <c r="H81" s="3"/>
      <c r="I81" s="3" t="str">
        <f ca="1">IFERROR(__xludf.DUMMYFUNCTION("""COMPUTED_VALUE"""),"Azul")</f>
        <v>Azul</v>
      </c>
      <c r="J81" s="3">
        <f ca="1">IFERROR(__xludf.DUMMYFUNCTION("""COMPUTED_VALUE"""),44)</f>
        <v>44</v>
      </c>
      <c r="K81" s="3" t="str">
        <f ca="1">IFERROR(__xludf.DUMMYFUNCTION("""COMPUTED_VALUE"""),"B")</f>
        <v>B</v>
      </c>
      <c r="L81" s="3" t="str">
        <f ca="1">IFERROR(__xludf.DUMMYFUNCTION("""COMPUTED_VALUE"""),"As montanhas correm agora, lá fora, umas atrás das 
outras, hostis e espectrais, desertas de vontades novas 
que as humanizem, esquecidas já dos antigos homens 
lendários que as povoaram e dominaram.
Carregam nos seus dorsos poderosos as pequenas 
cidades"&amp;" decadentes, como uma doença aviltante e 
tenaz, que se aninhou para sempre em suas dobras. 
Não podendo matá-las de todo ou arrancá-las de si 
e vencer, elas resignam-se e as ocultam com sua 
vegetação escura e densa, que lhes serve de coberta, e 
resgua"&amp;"rdam o seu sonho imperial de ferro e ouro.
PENNA, C. Fronteira. Rio de Janeiro: Artium, 2001.
As soluções de linguagem encontradas pelo narrador 
projetam uma perspectiva lírica da paisagem 
contemplada. Essa projeção alinha-se ao poético na 
medida em qu"&amp;"e")</f>
        <v>As montanhas correm agora, lá fora, umas atrás das 
outras, hostis e espectrais, desertas de vontades novas 
que as humanizem, esquecidas já dos antigos homens 
lendários que as povoaram e dominaram.
Carregam nos seus dorsos poderosos as pequenas 
cidades decadentes, como uma doença aviltante e 
tenaz, que se aninhou para sempre em suas dobras. 
Não podendo matá-las de todo ou arrancá-las de si 
e vencer, elas resignam-se e as ocultam com sua 
vegetação escura e densa, que lhes serve de coberta, e 
resguardam o seu sonho imperial de ferro e ouro.
PENNA, C. Fronteira. Rio de Janeiro: Artium, 2001.
As soluções de linguagem encontradas pelo narrador 
projetam uma perspectiva lírica da paisagem 
contemplada. Essa projeção alinha-se ao poético na 
medida em que</v>
      </c>
      <c r="M81" s="3" t="str">
        <f ca="1">IFERROR(__xludf.DUMMYFUNCTION("""COMPUTED_VALUE"""),"explora a identidade entre o homem e a natureza.")</f>
        <v>explora a identidade entre o homem e a natureza.</v>
      </c>
      <c r="N81" s="3" t="str">
        <f ca="1">IFERROR(__xludf.DUMMYFUNCTION("""COMPUTED_VALUE"""),"reveste o inanimado de vitalidade e ressentimento.")</f>
        <v>reveste o inanimado de vitalidade e ressentimento.</v>
      </c>
      <c r="O81" s="3" t="str">
        <f ca="1">IFERROR(__xludf.DUMMYFUNCTION("""COMPUTED_VALUE"""),"congela no tempo a prosperidade de antigas cidades.")</f>
        <v>congela no tempo a prosperidade de antigas cidades.</v>
      </c>
      <c r="P81" s="3" t="str">
        <f ca="1">IFERROR(__xludf.DUMMYFUNCTION("""COMPUTED_VALUE"""),"destaca a estética das formas e das cores da 
paisagem.")</f>
        <v>destaca a estética das formas e das cores da 
paisagem.</v>
      </c>
      <c r="Q81" s="3" t="str">
        <f ca="1">IFERROR(__xludf.DUMMYFUNCTION("""COMPUTED_VALUE"""),"captura o sentido da ruína causada pela extração 
mineral.")</f>
        <v>captura o sentido da ruína causada pela extração 
mineral.</v>
      </c>
      <c r="R81" s="3"/>
      <c r="S81" s="3"/>
      <c r="T81" s="3"/>
      <c r="U81" s="3"/>
      <c r="V81" s="3"/>
      <c r="W81" s="3"/>
      <c r="X81" s="3"/>
      <c r="Y81" s="3"/>
      <c r="Z81" s="3"/>
    </row>
    <row r="82" spans="1:26" x14ac:dyDescent="0.2">
      <c r="A82" s="2" t="str">
        <f ca="1">IFERROR(__xludf.DUMMYFUNCTION("""COMPUTED_VALUE"""),"https://drive.google.com/open?id=1cvRewWdWPWUOPDpFm5glm9STq65-PRzQ")</f>
        <v>https://drive.google.com/open?id=1cvRewWdWPWUOPDpFm5glm9STq65-PRzQ</v>
      </c>
      <c r="B82" s="3" t="str">
        <f ca="1">IFERROR(__xludf.DUMMYFUNCTION("""COMPUTED_VALUE"""),"Enem")</f>
        <v>Enem</v>
      </c>
      <c r="C82" s="3">
        <f ca="1">IFERROR(__xludf.DUMMYFUNCTION("""COMPUTED_VALUE"""),2017)</f>
        <v>2017</v>
      </c>
      <c r="D82" s="3" t="str">
        <f ca="1">IFERROR(__xludf.DUMMYFUNCTION("""COMPUTED_VALUE"""),"Linguagens")</f>
        <v>Linguagens</v>
      </c>
      <c r="E82" s="3" t="str">
        <f ca="1">IFERROR(__xludf.DUMMYFUNCTION("""COMPUTED_VALUE"""),"Língua Portuguesa")</f>
        <v>Língua Portuguesa</v>
      </c>
      <c r="F82" s="3" t="str">
        <f ca="1">IFERROR(__xludf.DUMMYFUNCTION("""COMPUTED_VALUE"""),"Gramática")</f>
        <v>Gramática</v>
      </c>
      <c r="G82" s="3" t="str">
        <f ca="1">IFERROR(__xludf.DUMMYFUNCTION("""COMPUTED_VALUE"""),"Gramática")</f>
        <v>Gramática</v>
      </c>
      <c r="H82" s="3"/>
      <c r="I82" s="3" t="str">
        <f ca="1">IFERROR(__xludf.DUMMYFUNCTION("""COMPUTED_VALUE"""),"Azul")</f>
        <v>Azul</v>
      </c>
      <c r="J82" s="3">
        <f ca="1">IFERROR(__xludf.DUMMYFUNCTION("""COMPUTED_VALUE"""),10)</f>
        <v>10</v>
      </c>
      <c r="K82" s="3" t="str">
        <f ca="1">IFERROR(__xludf.DUMMYFUNCTION("""COMPUTED_VALUE"""),"D")</f>
        <v>D</v>
      </c>
      <c r="L82" s="3" t="str">
        <f ca="1">IFERROR(__xludf.DUMMYFUNCTION("""COMPUTED_VALUE"""),"Essas moças tinham o vezo de afirmar o contrário do que desejavam. Notei
a singularidade quando principiaram a elogiar o meu paletó cor de macaco.
Examinavam-no sérias, achavam o pano e os aviamentos de qualidade superior, o
feitio admirável. Envaideci-me"&amp;": nunca havia reparado em tais vantagens. Mas os gabos
se prolongaram, trouxeram-me desconfiança. Percebi afinal que elas zombavam e não
me susceptibilizei. Longe disso: achei curiosa aquela maneira de falar pelo avesso,
diferente das grosserias a que me "&amp;"habituara. Em geral me diziam com franqueza que
a roupa não me assentava no corpo, sobrava nos sovacos.
Por meio de recursos linguísticos, os textos mobilizam estratégias para introduzir e retomar
ideias, promovendo a progressão do tema. No fragmento tran"&amp;"scrito, um novo aspecto do
tema é introduzido pela expressão")</f>
        <v>Essas moças tinham o vezo de afirmar o contrário do que desejavam. Notei
a singularidade quando principiaram a elogiar o meu paletó cor de macaco.
Examinavam-no sérias, achavam o pano e os aviamentos de qualidade superior, o
feitio admirável. Envaideci-me: nunca havia reparado em tais vantagens. Mas os gabos
se prolongaram, trouxeram-me desconfiança. Percebi afinal que elas zombavam e não
me susceptibilizei. Longe disso: achei curiosa aquela maneira de falar pelo avesso,
diferente das grosserias a que me habituara. Em geral me diziam com franqueza que
a roupa não me assentava no corpo, sobrava nos sovacos.
Por meio de recursos linguísticos, os textos mobilizam estratégias para introduzir e retomar
ideias, promovendo a progressão do tema. No fragmento transcrito, um novo aspecto do
tema é introduzido pela expressão</v>
      </c>
      <c r="M82" s="3" t="str">
        <f ca="1">IFERROR(__xludf.DUMMYFUNCTION("""COMPUTED_VALUE"""),"“a singularidade”.")</f>
        <v>“a singularidade”.</v>
      </c>
      <c r="N82" s="3" t="str">
        <f ca="1">IFERROR(__xludf.DUMMYFUNCTION("""COMPUTED_VALUE"""),"“tais vantagens”.")</f>
        <v>“tais vantagens”.</v>
      </c>
      <c r="O82" s="3" t="str">
        <f ca="1">IFERROR(__xludf.DUMMYFUNCTION("""COMPUTED_VALUE"""),"“os gabos”.")</f>
        <v>“os gabos”.</v>
      </c>
      <c r="P82" s="3" t="str">
        <f ca="1">IFERROR(__xludf.DUMMYFUNCTION("""COMPUTED_VALUE"""),"“Longe disso”.")</f>
        <v>“Longe disso”.</v>
      </c>
      <c r="Q82" s="3" t="str">
        <f ca="1">IFERROR(__xludf.DUMMYFUNCTION("""COMPUTED_VALUE"""),"“Em geral”.")</f>
        <v>“Em geral”.</v>
      </c>
      <c r="R82" s="3"/>
      <c r="S82" s="3"/>
      <c r="T82" s="3"/>
      <c r="U82" s="3"/>
      <c r="V82" s="3"/>
      <c r="W82" s="3"/>
      <c r="X82" s="3"/>
      <c r="Y82" s="3"/>
      <c r="Z82" s="3"/>
    </row>
    <row r="83" spans="1:26" x14ac:dyDescent="0.2">
      <c r="A83" s="2" t="str">
        <f ca="1">IFERROR(__xludf.DUMMYFUNCTION("""COMPUTED_VALUE"""),"https://drive.google.com/open?id=1Fb1xXFTBQQpc6DBpSD_w0maptRy-fk8e")</f>
        <v>https://drive.google.com/open?id=1Fb1xXFTBQQpc6DBpSD_w0maptRy-fk8e</v>
      </c>
      <c r="B83" s="3" t="str">
        <f ca="1">IFERROR(__xludf.DUMMYFUNCTION("""COMPUTED_VALUE"""),"Enem")</f>
        <v>Enem</v>
      </c>
      <c r="C83" s="3">
        <f ca="1">IFERROR(__xludf.DUMMYFUNCTION("""COMPUTED_VALUE"""),2018)</f>
        <v>2018</v>
      </c>
      <c r="D83" s="3" t="str">
        <f ca="1">IFERROR(__xludf.DUMMYFUNCTION("""COMPUTED_VALUE"""),"Linguagens")</f>
        <v>Linguagens</v>
      </c>
      <c r="E83" s="3" t="str">
        <f ca="1">IFERROR(__xludf.DUMMYFUNCTION("""COMPUTED_VALUE"""),"Língua Portuguesa")</f>
        <v>Língua Portuguesa</v>
      </c>
      <c r="F83" s="3" t="str">
        <f ca="1">IFERROR(__xludf.DUMMYFUNCTION("""COMPUTED_VALUE"""),"Gramática")</f>
        <v>Gramática</v>
      </c>
      <c r="G83" s="3" t="str">
        <f ca="1">IFERROR(__xludf.DUMMYFUNCTION("""COMPUTED_VALUE"""),"Gramática")</f>
        <v>Gramática</v>
      </c>
      <c r="H83" s="3" t="str">
        <f ca="1">IFERROR(__xludf.DUMMYFUNCTION("""COMPUTED_VALUE"""),"Gramática")</f>
        <v>Gramática</v>
      </c>
      <c r="I83" s="3" t="str">
        <f ca="1">IFERROR(__xludf.DUMMYFUNCTION("""COMPUTED_VALUE"""),"Azul")</f>
        <v>Azul</v>
      </c>
      <c r="J83" s="3">
        <f ca="1">IFERROR(__xludf.DUMMYFUNCTION("""COMPUTED_VALUE"""),7)</f>
        <v>7</v>
      </c>
      <c r="K83" s="3" t="str">
        <f ca="1">IFERROR(__xludf.DUMMYFUNCTION("""COMPUTED_VALUE"""),"E")</f>
        <v>E</v>
      </c>
      <c r="L83" s="3" t="str">
        <f ca="1">IFERROR(__xludf.DUMMYFUNCTION("""COMPUTED_VALUE"""),"A utilização de determinadas variedades linguísticas em campanhas educativas tem a função de atingir o público-alvo de forma mais direta e eficaz. No caso desse texto, identifica-se essa estratégia pelo(a)")</f>
        <v>A utilização de determinadas variedades linguísticas em campanhas educativas tem a função de atingir o público-alvo de forma mais direta e eficaz. No caso desse texto, identifica-se essa estratégia pelo(a)</v>
      </c>
      <c r="M83" s="3" t="str">
        <f ca="1">IFERROR(__xludf.DUMMYFUNCTION("""COMPUTED_VALUE"""),"A discurso formal da língua portuguesa.")</f>
        <v>A discurso formal da língua portuguesa.</v>
      </c>
      <c r="N83" s="3" t="str">
        <f ca="1">IFERROR(__xludf.DUMMYFUNCTION("""COMPUTED_VALUE"""),"registro padrão próprio da língua escrita.")</f>
        <v>registro padrão próprio da língua escrita.</v>
      </c>
      <c r="O83" s="3" t="str">
        <f ca="1">IFERROR(__xludf.DUMMYFUNCTION("""COMPUTED_VALUE"""),"seleção lexical restrita à esfera da medicina.")</f>
        <v>seleção lexical restrita à esfera da medicina.</v>
      </c>
      <c r="P83" s="3" t="str">
        <f ca="1">IFERROR(__xludf.DUMMYFUNCTION("""COMPUTED_VALUE"""),"fidelidade ao jargão da linguagem publicitária.")</f>
        <v>fidelidade ao jargão da linguagem publicitária.</v>
      </c>
      <c r="Q83" s="3" t="str">
        <f ca="1">IFERROR(__xludf.DUMMYFUNCTION("""COMPUTED_VALUE"""),"uso de marcas linguísticas típicas da oralidade.")</f>
        <v>uso de marcas linguísticas típicas da oralidade.</v>
      </c>
      <c r="R83" s="3"/>
      <c r="S83" s="3"/>
      <c r="T83" s="3"/>
      <c r="U83" s="3"/>
      <c r="V83" s="3"/>
      <c r="W83" s="3"/>
      <c r="X83" s="3"/>
      <c r="Y83" s="3"/>
      <c r="Z83" s="3"/>
    </row>
    <row r="84" spans="1:26" x14ac:dyDescent="0.2">
      <c r="A84" s="2" t="str">
        <f ca="1">IFERROR(__xludf.DUMMYFUNCTION("""COMPUTED_VALUE"""),"https://drive.google.com/open?id=1uAheop3lSl_XZi3VWAoSDnPlZrOtZgzf")</f>
        <v>https://drive.google.com/open?id=1uAheop3lSl_XZi3VWAoSDnPlZrOtZgzf</v>
      </c>
      <c r="B84" s="3" t="str">
        <f ca="1">IFERROR(__xludf.DUMMYFUNCTION("""COMPUTED_VALUE"""),"Enem")</f>
        <v>Enem</v>
      </c>
      <c r="C84" s="3">
        <f ca="1">IFERROR(__xludf.DUMMYFUNCTION("""COMPUTED_VALUE"""),2018)</f>
        <v>2018</v>
      </c>
      <c r="D84" s="3" t="str">
        <f ca="1">IFERROR(__xludf.DUMMYFUNCTION("""COMPUTED_VALUE"""),"Linguagens")</f>
        <v>Linguagens</v>
      </c>
      <c r="E84" s="3" t="str">
        <f ca="1">IFERROR(__xludf.DUMMYFUNCTION("""COMPUTED_VALUE"""),"Língua Portuguesa")</f>
        <v>Língua Portuguesa</v>
      </c>
      <c r="F84" s="3" t="str">
        <f ca="1">IFERROR(__xludf.DUMMYFUNCTION("""COMPUTED_VALUE"""),"Gramática")</f>
        <v>Gramática</v>
      </c>
      <c r="G84" s="3" t="str">
        <f ca="1">IFERROR(__xludf.DUMMYFUNCTION("""COMPUTED_VALUE"""),"Gramática")</f>
        <v>Gramática</v>
      </c>
      <c r="H84" s="3" t="str">
        <f ca="1">IFERROR(__xludf.DUMMYFUNCTION("""COMPUTED_VALUE"""),"Gramática")</f>
        <v>Gramática</v>
      </c>
      <c r="I84" s="3" t="str">
        <f ca="1">IFERROR(__xludf.DUMMYFUNCTION("""COMPUTED_VALUE"""),"Azul")</f>
        <v>Azul</v>
      </c>
      <c r="J84" s="3">
        <f ca="1">IFERROR(__xludf.DUMMYFUNCTION("""COMPUTED_VALUE"""),8)</f>
        <v>8</v>
      </c>
      <c r="K84" s="3" t="str">
        <f ca="1">IFERROR(__xludf.DUMMYFUNCTION("""COMPUTED_VALUE"""),"C")</f>
        <v>C</v>
      </c>
      <c r="L84" s="3" t="str">
        <f ca="1">IFERROR(__xludf.DUMMYFUNCTION("""COMPUTED_VALUE"""),"Nesse texto, a associação de vocábulos da língua portuguesa a determinados dias da
semana remete ao")</f>
        <v>Nesse texto, a associação de vocábulos da língua portuguesa a determinados dias da
semana remete ao</v>
      </c>
      <c r="M84" s="3" t="str">
        <f ca="1">IFERROR(__xludf.DUMMYFUNCTION("""COMPUTED_VALUE"""),"local de origem dos interlocutores.")</f>
        <v>local de origem dos interlocutores.</v>
      </c>
      <c r="N84" s="3" t="str">
        <f ca="1">IFERROR(__xludf.DUMMYFUNCTION("""COMPUTED_VALUE"""),"estado emocional dos interlocutores.")</f>
        <v>estado emocional dos interlocutores.</v>
      </c>
      <c r="O84" s="3" t="str">
        <f ca="1">IFERROR(__xludf.DUMMYFUNCTION("""COMPUTED_VALUE"""),"grau de coloquialidade da comunicação.")</f>
        <v>grau de coloquialidade da comunicação.</v>
      </c>
      <c r="P84" s="3" t="str">
        <f ca="1">IFERROR(__xludf.DUMMYFUNCTION("""COMPUTED_VALUE"""),"nível de intimidade entre os interlocutores.")</f>
        <v>nível de intimidade entre os interlocutores.</v>
      </c>
      <c r="Q84" s="3" t="str">
        <f ca="1">IFERROR(__xludf.DUMMYFUNCTION("""COMPUTED_VALUE"""),"conhecimento compartilhado na comunicação.")</f>
        <v>conhecimento compartilhado na comunicação.</v>
      </c>
      <c r="R84" s="3"/>
      <c r="S84" s="3"/>
      <c r="T84" s="3"/>
      <c r="U84" s="3"/>
      <c r="V84" s="3"/>
      <c r="W84" s="3"/>
      <c r="X84" s="3"/>
      <c r="Y84" s="3"/>
      <c r="Z84" s="3"/>
    </row>
    <row r="85" spans="1:26" x14ac:dyDescent="0.2">
      <c r="A85" s="2" t="str">
        <f ca="1">IFERROR(__xludf.DUMMYFUNCTION("""COMPUTED_VALUE"""),"https://drive.google.com/open?id=16orVnjjB-g9Qq6UcwSa26Jbw7QSb-eVN")</f>
        <v>https://drive.google.com/open?id=16orVnjjB-g9Qq6UcwSa26Jbw7QSb-eVN</v>
      </c>
      <c r="B85" s="3" t="str">
        <f ca="1">IFERROR(__xludf.DUMMYFUNCTION("""COMPUTED_VALUE"""),"Enem")</f>
        <v>Enem</v>
      </c>
      <c r="C85" s="3">
        <f ca="1">IFERROR(__xludf.DUMMYFUNCTION("""COMPUTED_VALUE"""),2018)</f>
        <v>2018</v>
      </c>
      <c r="D85" s="3" t="str">
        <f ca="1">IFERROR(__xludf.DUMMYFUNCTION("""COMPUTED_VALUE"""),"Linguagens")</f>
        <v>Linguagens</v>
      </c>
      <c r="E85" s="3" t="str">
        <f ca="1">IFERROR(__xludf.DUMMYFUNCTION("""COMPUTED_VALUE"""),"Língua Portuguesa")</f>
        <v>Língua Portuguesa</v>
      </c>
      <c r="F85" s="3" t="str">
        <f ca="1">IFERROR(__xludf.DUMMYFUNCTION("""COMPUTED_VALUE"""),"Gramática")</f>
        <v>Gramática</v>
      </c>
      <c r="G85" s="3" t="str">
        <f ca="1">IFERROR(__xludf.DUMMYFUNCTION("""COMPUTED_VALUE"""),"Gramática")</f>
        <v>Gramática</v>
      </c>
      <c r="H85" s="3" t="str">
        <f ca="1">IFERROR(__xludf.DUMMYFUNCTION("""COMPUTED_VALUE"""),"Gramática")</f>
        <v>Gramática</v>
      </c>
      <c r="I85" s="3" t="str">
        <f ca="1">IFERROR(__xludf.DUMMYFUNCTION("""COMPUTED_VALUE"""),"Azul")</f>
        <v>Azul</v>
      </c>
      <c r="J85" s="3">
        <f ca="1">IFERROR(__xludf.DUMMYFUNCTION("""COMPUTED_VALUE"""),22)</f>
        <v>22</v>
      </c>
      <c r="K85" s="3" t="str">
        <f ca="1">IFERROR(__xludf.DUMMYFUNCTION("""COMPUTED_VALUE"""),"B")</f>
        <v>B</v>
      </c>
      <c r="L85" s="3" t="str">
        <f ca="1">IFERROR(__xludf.DUMMYFUNCTION("""COMPUTED_VALUE"""),"A fotografia exibe a fachada de um supermercado em Foz do Iguaçu, cuja localização transfronteiriça é marcada tanto pelo limite com Argentina e Paraguai quanto pela
presença de outros povos. Essa fachada revela o(a)")</f>
        <v>A fotografia exibe a fachada de um supermercado em Foz do Iguaçu, cuja localização transfronteiriça é marcada tanto pelo limite com Argentina e Paraguai quanto pela
presença de outros povos. Essa fachada revela o(a)</v>
      </c>
      <c r="M85" s="3" t="str">
        <f ca="1">IFERROR(__xludf.DUMMYFUNCTION("""COMPUTED_VALUE"""),"apagamento da identidade linguística.")</f>
        <v>apagamento da identidade linguística.</v>
      </c>
      <c r="N85" s="3" t="str">
        <f ca="1">IFERROR(__xludf.DUMMYFUNCTION("""COMPUTED_VALUE"""),"planejamento linguístico no espaço urbano.")</f>
        <v>planejamento linguístico no espaço urbano.</v>
      </c>
      <c r="O85" s="3" t="str">
        <f ca="1">IFERROR(__xludf.DUMMYFUNCTION("""COMPUTED_VALUE"""),"presença marcante da tradição oral na cidade.")</f>
        <v>presença marcante da tradição oral na cidade.</v>
      </c>
      <c r="P85" s="3" t="str">
        <f ca="1">IFERROR(__xludf.DUMMYFUNCTION("""COMPUTED_VALUE"""),"disputa de comunidades linguísticas diferentes.")</f>
        <v>disputa de comunidades linguísticas diferentes.</v>
      </c>
      <c r="Q85" s="3" t="str">
        <f ca="1">IFERROR(__xludf.DUMMYFUNCTION("""COMPUTED_VALUE"""),"poluição visual promovida pelo multilinguismo.")</f>
        <v>poluição visual promovida pelo multilinguismo.</v>
      </c>
      <c r="R85" s="3"/>
      <c r="S85" s="3"/>
      <c r="T85" s="3"/>
      <c r="U85" s="3"/>
      <c r="V85" s="3"/>
      <c r="W85" s="3"/>
      <c r="X85" s="3"/>
      <c r="Y85" s="3"/>
      <c r="Z85" s="3"/>
    </row>
    <row r="86" spans="1:26" x14ac:dyDescent="0.2">
      <c r="A86" s="2" t="str">
        <f ca="1">IFERROR(__xludf.DUMMYFUNCTION("""COMPUTED_VALUE"""),"https://drive.google.com/open?id=1ykvpp3K38nSriDoNDB58c9P-7pjLCmzc")</f>
        <v>https://drive.google.com/open?id=1ykvpp3K38nSriDoNDB58c9P-7pjLCmzc</v>
      </c>
      <c r="B86" s="3" t="str">
        <f ca="1">IFERROR(__xludf.DUMMYFUNCTION("""COMPUTED_VALUE"""),"Enem")</f>
        <v>Enem</v>
      </c>
      <c r="C86" s="3">
        <f ca="1">IFERROR(__xludf.DUMMYFUNCTION("""COMPUTED_VALUE"""),2018)</f>
        <v>2018</v>
      </c>
      <c r="D86" s="3" t="str">
        <f ca="1">IFERROR(__xludf.DUMMYFUNCTION("""COMPUTED_VALUE"""),"Linguagens")</f>
        <v>Linguagens</v>
      </c>
      <c r="E86" s="3" t="str">
        <f ca="1">IFERROR(__xludf.DUMMYFUNCTION("""COMPUTED_VALUE"""),"Língua Portuguesa")</f>
        <v>Língua Portuguesa</v>
      </c>
      <c r="F86" s="3" t="str">
        <f ca="1">IFERROR(__xludf.DUMMYFUNCTION("""COMPUTED_VALUE"""),"Gramática")</f>
        <v>Gramática</v>
      </c>
      <c r="G86" s="3" t="str">
        <f ca="1">IFERROR(__xludf.DUMMYFUNCTION("""COMPUTED_VALUE"""),"Gramática")</f>
        <v>Gramática</v>
      </c>
      <c r="H86" s="3" t="str">
        <f ca="1">IFERROR(__xludf.DUMMYFUNCTION("""COMPUTED_VALUE"""),"Gramática")</f>
        <v>Gramática</v>
      </c>
      <c r="I86" s="3" t="str">
        <f ca="1">IFERROR(__xludf.DUMMYFUNCTION("""COMPUTED_VALUE"""),"Azul")</f>
        <v>Azul</v>
      </c>
      <c r="J86" s="3">
        <f ca="1">IFERROR(__xludf.DUMMYFUNCTION("""COMPUTED_VALUE"""),36)</f>
        <v>36</v>
      </c>
      <c r="K86" s="3" t="str">
        <f ca="1">IFERROR(__xludf.DUMMYFUNCTION("""COMPUTED_VALUE"""),"B")</f>
        <v>B</v>
      </c>
      <c r="L86" s="3" t="str">
        <f ca="1">IFERROR(__xludf.DUMMYFUNCTION("""COMPUTED_VALUE"""),"O sujeito poético questiona o uso do vocábulo “enseada” porque a")</f>
        <v>O sujeito poético questiona o uso do vocábulo “enseada” porque a</v>
      </c>
      <c r="M86" s="3" t="str">
        <f ca="1">IFERROR(__xludf.DUMMYFUNCTION("""COMPUTED_VALUE"""),"terminologia mencionada é incorreta.")</f>
        <v>terminologia mencionada é incorreta.</v>
      </c>
      <c r="N86" s="3" t="str">
        <f ca="1">IFERROR(__xludf.DUMMYFUNCTION("""COMPUTED_VALUE"""),"nomeação minimiza a percepção subjetiva.")</f>
        <v>nomeação minimiza a percepção subjetiva.</v>
      </c>
      <c r="O86" s="3" t="str">
        <f ca="1">IFERROR(__xludf.DUMMYFUNCTION("""COMPUTED_VALUE"""),"palavra é aplicada a outro espaço geográfico.")</f>
        <v>palavra é aplicada a outro espaço geográfico.</v>
      </c>
      <c r="P86" s="3" t="str">
        <f ca="1">IFERROR(__xludf.DUMMYFUNCTION("""COMPUTED_VALUE"""),"designação atribuída ao termo é desconhecida.")</f>
        <v>designação atribuída ao termo é desconhecida.</v>
      </c>
      <c r="Q86" s="3" t="str">
        <f ca="1">IFERROR(__xludf.DUMMYFUNCTION("""COMPUTED_VALUE"""),"definição modifica o significado do termo no dicionário.")</f>
        <v>definição modifica o significado do termo no dicionário.</v>
      </c>
      <c r="R86" s="3"/>
      <c r="S86" s="3"/>
      <c r="T86" s="3"/>
      <c r="U86" s="3"/>
      <c r="V86" s="3"/>
      <c r="W86" s="3"/>
      <c r="X86" s="3"/>
      <c r="Y86" s="3"/>
      <c r="Z86" s="3"/>
    </row>
    <row r="87" spans="1:26" x14ac:dyDescent="0.2">
      <c r="A87" s="2" t="str">
        <f ca="1">IFERROR(__xludf.DUMMYFUNCTION("""COMPUTED_VALUE"""),"https://drive.google.com/open?id=19AQ5kfEefB6y84-_g3ozlKyxmT5m1yZi")</f>
        <v>https://drive.google.com/open?id=19AQ5kfEefB6y84-_g3ozlKyxmT5m1yZi</v>
      </c>
      <c r="B87" s="3" t="str">
        <f ca="1">IFERROR(__xludf.DUMMYFUNCTION("""COMPUTED_VALUE"""),"Enem")</f>
        <v>Enem</v>
      </c>
      <c r="C87" s="3">
        <f ca="1">IFERROR(__xludf.DUMMYFUNCTION("""COMPUTED_VALUE"""),2018)</f>
        <v>2018</v>
      </c>
      <c r="D87" s="3" t="str">
        <f ca="1">IFERROR(__xludf.DUMMYFUNCTION("""COMPUTED_VALUE"""),"Linguagens")</f>
        <v>Linguagens</v>
      </c>
      <c r="E87" s="3" t="str">
        <f ca="1">IFERROR(__xludf.DUMMYFUNCTION("""COMPUTED_VALUE"""),"Língua Portuguesa")</f>
        <v>Língua Portuguesa</v>
      </c>
      <c r="F87" s="3" t="str">
        <f ca="1">IFERROR(__xludf.DUMMYFUNCTION("""COMPUTED_VALUE"""),"Gramática")</f>
        <v>Gramática</v>
      </c>
      <c r="G87" s="3" t="str">
        <f ca="1">IFERROR(__xludf.DUMMYFUNCTION("""COMPUTED_VALUE"""),"Gramática")</f>
        <v>Gramática</v>
      </c>
      <c r="H87" s="3" t="str">
        <f ca="1">IFERROR(__xludf.DUMMYFUNCTION("""COMPUTED_VALUE"""),"Gramática")</f>
        <v>Gramática</v>
      </c>
      <c r="I87" s="3" t="str">
        <f ca="1">IFERROR(__xludf.DUMMYFUNCTION("""COMPUTED_VALUE"""),"Azul")</f>
        <v>Azul</v>
      </c>
      <c r="J87" s="3">
        <f ca="1">IFERROR(__xludf.DUMMYFUNCTION("""COMPUTED_VALUE"""),37)</f>
        <v>37</v>
      </c>
      <c r="K87" s="3" t="str">
        <f ca="1">IFERROR(__xludf.DUMMYFUNCTION("""COMPUTED_VALUE"""),"C")</f>
        <v>C</v>
      </c>
      <c r="L87" s="3" t="str">
        <f ca="1">IFERROR(__xludf.DUMMYFUNCTION("""COMPUTED_VALUE"""),"Da perspectiva do usuário, o pajubá ganha status de dialeto, caracterizando-se como
elemento de patrimônio linguístico, especialmente por")</f>
        <v>Da perspectiva do usuário, o pajubá ganha status de dialeto, caracterizando-se como
elemento de patrimônio linguístico, especialmente por</v>
      </c>
      <c r="M87" s="3" t="str">
        <f ca="1">IFERROR(__xludf.DUMMYFUNCTION("""COMPUTED_VALUE"""),"ter mais de mil palavras conhecidas.")</f>
        <v>ter mais de mil palavras conhecidas.</v>
      </c>
      <c r="N87" s="3" t="str">
        <f ca="1">IFERROR(__xludf.DUMMYFUNCTION("""COMPUTED_VALUE"""),"ter palavras diferentes de uma linguagem secreta.")</f>
        <v>ter palavras diferentes de uma linguagem secreta.</v>
      </c>
      <c r="O87" s="3" t="str">
        <f ca="1">IFERROR(__xludf.DUMMYFUNCTION("""COMPUTED_VALUE"""),"ser consolidado por objetos formais de registro.")</f>
        <v>ser consolidado por objetos formais de registro.</v>
      </c>
      <c r="P87" s="3" t="str">
        <f ca="1">IFERROR(__xludf.DUMMYFUNCTION("""COMPUTED_VALUE"""),"ser utilizado por advogados em situações formais.")</f>
        <v>ser utilizado por advogados em situações formais.</v>
      </c>
      <c r="Q87" s="3" t="str">
        <f ca="1">IFERROR(__xludf.DUMMYFUNCTION("""COMPUTED_VALUE"""),"ser comum em conversas no ambiente de trabalho.")</f>
        <v>ser comum em conversas no ambiente de trabalho.</v>
      </c>
      <c r="R87" s="3"/>
      <c r="S87" s="3"/>
      <c r="T87" s="3"/>
      <c r="U87" s="3"/>
      <c r="V87" s="3"/>
      <c r="W87" s="3"/>
      <c r="X87" s="3"/>
      <c r="Y87" s="3"/>
      <c r="Z87" s="3"/>
    </row>
    <row r="88" spans="1:26" x14ac:dyDescent="0.2">
      <c r="A88" s="2" t="str">
        <f ca="1">IFERROR(__xludf.DUMMYFUNCTION("""COMPUTED_VALUE"""),"https://drive.google.com/open?id=1UpZW17UMtU_Yn4Zbh8UwC_a6VF7FR1De")</f>
        <v>https://drive.google.com/open?id=1UpZW17UMtU_Yn4Zbh8UwC_a6VF7FR1De</v>
      </c>
      <c r="B88" s="3" t="str">
        <f ca="1">IFERROR(__xludf.DUMMYFUNCTION("""COMPUTED_VALUE"""),"Enem")</f>
        <v>Enem</v>
      </c>
      <c r="C88" s="3">
        <f ca="1">IFERROR(__xludf.DUMMYFUNCTION("""COMPUTED_VALUE"""),2020)</f>
        <v>2020</v>
      </c>
      <c r="D88" s="3" t="str">
        <f ca="1">IFERROR(__xludf.DUMMYFUNCTION("""COMPUTED_VALUE"""),"Linguagens")</f>
        <v>Linguagens</v>
      </c>
      <c r="E88" s="3" t="str">
        <f ca="1">IFERROR(__xludf.DUMMYFUNCTION("""COMPUTED_VALUE"""),"Língua Portuguesa")</f>
        <v>Língua Portuguesa</v>
      </c>
      <c r="F88" s="3" t="str">
        <f ca="1">IFERROR(__xludf.DUMMYFUNCTION("""COMPUTED_VALUE"""),"Gramática")</f>
        <v>Gramática</v>
      </c>
      <c r="G88" s="3"/>
      <c r="H88" s="3"/>
      <c r="I88" s="3" t="str">
        <f ca="1">IFERROR(__xludf.DUMMYFUNCTION("""COMPUTED_VALUE"""),"Rosa")</f>
        <v>Rosa</v>
      </c>
      <c r="J88" s="3">
        <f ca="1">IFERROR(__xludf.DUMMYFUNCTION("""COMPUTED_VALUE"""),13)</f>
        <v>13</v>
      </c>
      <c r="K88" s="3" t="str">
        <f ca="1">IFERROR(__xludf.DUMMYFUNCTION("""COMPUTED_VALUE"""),"D")</f>
        <v>D</v>
      </c>
      <c r="L88" s="3" t="str">
        <f ca="1">IFERROR(__xludf.DUMMYFUNCTION("""COMPUTED_VALUE"""),"De acordo com o texto, é possível identificar o “empreendedor de palco” por")</f>
        <v>De acordo com o texto, é possível identificar o “empreendedor de palco” por</v>
      </c>
      <c r="M88" s="3" t="str">
        <f ca="1">IFERROR(__xludf.DUMMYFUNCTION("""COMPUTED_VALUE""")," livros por ele indicados.")</f>
        <v xml:space="preserve"> livros por ele indicados.</v>
      </c>
      <c r="N88" s="3" t="str">
        <f ca="1">IFERROR(__xludf.DUMMYFUNCTION("""COMPUTED_VALUE"""),"suas habilidades em língua inglesa.")</f>
        <v>suas habilidades em língua inglesa.</v>
      </c>
      <c r="O88" s="3" t="str">
        <f ca="1">IFERROR(__xludf.DUMMYFUNCTION("""COMPUTED_VALUE""")," experiências por ele compartilhadas.")</f>
        <v xml:space="preserve"> experiências por ele compartilhadas.</v>
      </c>
      <c r="P88" s="3" t="str">
        <f ca="1">IFERROR(__xludf.DUMMYFUNCTION("""COMPUTED_VALUE"""),"padrões de linguagem por ele utilizados.")</f>
        <v>padrões de linguagem por ele utilizados.</v>
      </c>
      <c r="Q88" s="3" t="str">
        <f ca="1">IFERROR(__xludf.DUMMYFUNCTION("""COMPUTED_VALUE"""),"preços acessíveis de seus treinamentos.")</f>
        <v>preços acessíveis de seus treinamentos.</v>
      </c>
      <c r="R88" s="3"/>
      <c r="S88" s="3"/>
      <c r="T88" s="3"/>
      <c r="U88" s="3"/>
      <c r="V88" s="3"/>
      <c r="W88" s="3"/>
      <c r="X88" s="3"/>
      <c r="Y88" s="3"/>
      <c r="Z88" s="3"/>
    </row>
    <row r="89" spans="1:26" x14ac:dyDescent="0.2">
      <c r="A89" s="2" t="str">
        <f ca="1">IFERROR(__xludf.DUMMYFUNCTION("""COMPUTED_VALUE"""),"https://drive.google.com/open?id=1CYL-JEu1m_NmjeNgx6ZFJcYaWjuotkHz")</f>
        <v>https://drive.google.com/open?id=1CYL-JEu1m_NmjeNgx6ZFJcYaWjuotkHz</v>
      </c>
      <c r="B89" s="3" t="str">
        <f ca="1">IFERROR(__xludf.DUMMYFUNCTION("""COMPUTED_VALUE"""),"Enem")</f>
        <v>Enem</v>
      </c>
      <c r="C89" s="3">
        <f ca="1">IFERROR(__xludf.DUMMYFUNCTION("""COMPUTED_VALUE"""),2020)</f>
        <v>2020</v>
      </c>
      <c r="D89" s="3" t="str">
        <f ca="1">IFERROR(__xludf.DUMMYFUNCTION("""COMPUTED_VALUE"""),"Linguagens")</f>
        <v>Linguagens</v>
      </c>
      <c r="E89" s="3" t="str">
        <f ca="1">IFERROR(__xludf.DUMMYFUNCTION("""COMPUTED_VALUE"""),"Língua Portuguesa")</f>
        <v>Língua Portuguesa</v>
      </c>
      <c r="F89" s="3" t="str">
        <f ca="1">IFERROR(__xludf.DUMMYFUNCTION("""COMPUTED_VALUE"""),"Gramática")</f>
        <v>Gramática</v>
      </c>
      <c r="G89" s="3"/>
      <c r="H89" s="3"/>
      <c r="I89" s="3" t="str">
        <f ca="1">IFERROR(__xludf.DUMMYFUNCTION("""COMPUTED_VALUE"""),"Rosa")</f>
        <v>Rosa</v>
      </c>
      <c r="J89" s="3">
        <f ca="1">IFERROR(__xludf.DUMMYFUNCTION("""COMPUTED_VALUE"""),29)</f>
        <v>29</v>
      </c>
      <c r="K89" s="3" t="str">
        <f ca="1">IFERROR(__xludf.DUMMYFUNCTION("""COMPUTED_VALUE"""),"D")</f>
        <v>D</v>
      </c>
      <c r="L89" s="3" t="str">
        <f ca="1">IFERROR(__xludf.DUMMYFUNCTION("""COMPUTED_VALUE"""),"Esse decreto pauta-se na ideia de que o uso do gerúndio, como “desculpa de ineficiência”,
indica")</f>
        <v>Esse decreto pauta-se na ideia de que o uso do gerúndio, como “desculpa de ineficiência”,
indica</v>
      </c>
      <c r="M89" s="3" t="str">
        <f ca="1">IFERROR(__xludf.DUMMYFUNCTION("""COMPUTED_VALUE"""),"conclusão de uma ação.")</f>
        <v>conclusão de uma ação.</v>
      </c>
      <c r="N89" s="3" t="str">
        <f ca="1">IFERROR(__xludf.DUMMYFUNCTION("""COMPUTED_VALUE""")," realização de um evento.")</f>
        <v xml:space="preserve"> realização de um evento.</v>
      </c>
      <c r="O89" s="3" t="str">
        <f ca="1">IFERROR(__xludf.DUMMYFUNCTION("""COMPUTED_VALUE"""),"repetição de uma prática.")</f>
        <v>repetição de uma prática.</v>
      </c>
      <c r="P89" s="3" t="str">
        <f ca="1">IFERROR(__xludf.DUMMYFUNCTION("""COMPUTED_VALUE""")," continuidade de um processo.")</f>
        <v xml:space="preserve"> continuidade de um processo.</v>
      </c>
      <c r="Q89" s="3" t="str">
        <f ca="1">IFERROR(__xludf.DUMMYFUNCTION("""COMPUTED_VALUE"""),"transferência de responsabilidade.")</f>
        <v>transferência de responsabilidade.</v>
      </c>
      <c r="R89" s="3"/>
      <c r="S89" s="3"/>
      <c r="T89" s="3"/>
      <c r="U89" s="3"/>
      <c r="V89" s="3"/>
      <c r="W89" s="3"/>
      <c r="X89" s="3"/>
      <c r="Y89" s="3"/>
      <c r="Z89" s="3"/>
    </row>
    <row r="90" spans="1:26" x14ac:dyDescent="0.2">
      <c r="A90" s="2" t="str">
        <f ca="1">IFERROR(__xludf.DUMMYFUNCTION("""COMPUTED_VALUE"""),"https://drive.google.com/open?id=1HId2s5OCE9AGyUxf9PbjLJJtWDH_OEoJ")</f>
        <v>https://drive.google.com/open?id=1HId2s5OCE9AGyUxf9PbjLJJtWDH_OEoJ</v>
      </c>
      <c r="B90" s="3" t="str">
        <f ca="1">IFERROR(__xludf.DUMMYFUNCTION("""COMPUTED_VALUE"""),"Enem")</f>
        <v>Enem</v>
      </c>
      <c r="C90" s="3">
        <f ca="1">IFERROR(__xludf.DUMMYFUNCTION("""COMPUTED_VALUE"""),2020)</f>
        <v>2020</v>
      </c>
      <c r="D90" s="3" t="str">
        <f ca="1">IFERROR(__xludf.DUMMYFUNCTION("""COMPUTED_VALUE"""),"Linguagens")</f>
        <v>Linguagens</v>
      </c>
      <c r="E90" s="3" t="str">
        <f ca="1">IFERROR(__xludf.DUMMYFUNCTION("""COMPUTED_VALUE"""),"Língua Portuguesa")</f>
        <v>Língua Portuguesa</v>
      </c>
      <c r="F90" s="3" t="str">
        <f ca="1">IFERROR(__xludf.DUMMYFUNCTION("""COMPUTED_VALUE"""),"Gramática")</f>
        <v>Gramática</v>
      </c>
      <c r="G90" s="3"/>
      <c r="H90" s="3"/>
      <c r="I90" s="3" t="str">
        <f ca="1">IFERROR(__xludf.DUMMYFUNCTION("""COMPUTED_VALUE"""),"Rosa")</f>
        <v>Rosa</v>
      </c>
      <c r="J90" s="3">
        <f ca="1">IFERROR(__xludf.DUMMYFUNCTION("""COMPUTED_VALUE"""),16)</f>
        <v>16</v>
      </c>
      <c r="K90" s="3" t="str">
        <f ca="1">IFERROR(__xludf.DUMMYFUNCTION("""COMPUTED_VALUE"""),"D")</f>
        <v>D</v>
      </c>
      <c r="L90" s="3" t="str">
        <f ca="1">IFERROR(__xludf.DUMMYFUNCTION("""COMPUTED_VALUE"""),"De acordo com o texto, podemos identificar uma abordagem das lutas nas aulas de
educação física quando o professor realiza uma proposta envolvendo")</f>
        <v>De acordo com o texto, podemos identificar uma abordagem das lutas nas aulas de
educação física quando o professor realiza uma proposta envolvendo</v>
      </c>
      <c r="M90" s="3" t="str">
        <f ca="1">IFERROR(__xludf.DUMMYFUNCTION("""COMPUTED_VALUE"""),"contato corporal intenso entre o aluno e seu oponente.")</f>
        <v>contato corporal intenso entre o aluno e seu oponente.</v>
      </c>
      <c r="N90" s="3" t="str">
        <f ca="1">IFERROR(__xludf.DUMMYFUNCTION("""COMPUTED_VALUE"""),"contenda entre os alunos que se agridem fisicamente.")</f>
        <v>contenda entre os alunos que se agridem fisicamente.</v>
      </c>
      <c r="O90" s="3" t="str">
        <f ca="1">IFERROR(__xludf.DUMMYFUNCTION("""COMPUTED_VALUE"""),"confronto corporal em que os vencedores são previamente identificados.")</f>
        <v>confronto corporal em que os vencedores são previamente identificados.</v>
      </c>
      <c r="P90" s="3" t="str">
        <f ca="1">IFERROR(__xludf.DUMMYFUNCTION("""COMPUTED_VALUE"""),"combate corporal intencional com ações regulamentadas entre os oponentes.")</f>
        <v>combate corporal intencional com ações regulamentadas entre os oponentes.</v>
      </c>
      <c r="Q90" s="3" t="str">
        <f ca="1">IFERROR(__xludf.DUMMYFUNCTION("""COMPUTED_VALUE""")," conflito resolvido pelos alunos por meio de regras previamente estabelecidas.")</f>
        <v xml:space="preserve"> conflito resolvido pelos alunos por meio de regras previamente estabelecidas.</v>
      </c>
      <c r="R90" s="3"/>
      <c r="S90" s="3"/>
      <c r="T90" s="3"/>
      <c r="U90" s="3"/>
      <c r="V90" s="3"/>
      <c r="W90" s="3"/>
      <c r="X90" s="3"/>
      <c r="Y90" s="3"/>
      <c r="Z90" s="3"/>
    </row>
    <row r="91" spans="1:26" x14ac:dyDescent="0.2">
      <c r="A91" s="2" t="str">
        <f ca="1">IFERROR(__xludf.DUMMYFUNCTION("""COMPUTED_VALUE"""),"https://drive.google.com/open?id=1Ind4ZLaOr5EW4Vjo56f_G9QQ4dmq8_xa")</f>
        <v>https://drive.google.com/open?id=1Ind4ZLaOr5EW4Vjo56f_G9QQ4dmq8_xa</v>
      </c>
      <c r="B91" s="3" t="str">
        <f ca="1">IFERROR(__xludf.DUMMYFUNCTION("""COMPUTED_VALUE"""),"Enem")</f>
        <v>Enem</v>
      </c>
      <c r="C91" s="3">
        <f ca="1">IFERROR(__xludf.DUMMYFUNCTION("""COMPUTED_VALUE"""),2020)</f>
        <v>2020</v>
      </c>
      <c r="D91" s="3" t="str">
        <f ca="1">IFERROR(__xludf.DUMMYFUNCTION("""COMPUTED_VALUE"""),"Linguagens")</f>
        <v>Linguagens</v>
      </c>
      <c r="E91" s="3" t="str">
        <f ca="1">IFERROR(__xludf.DUMMYFUNCTION("""COMPUTED_VALUE"""),"Língua Portuguesa")</f>
        <v>Língua Portuguesa</v>
      </c>
      <c r="F91" s="3" t="str">
        <f ca="1">IFERROR(__xludf.DUMMYFUNCTION("""COMPUTED_VALUE"""),"Gramática")</f>
        <v>Gramática</v>
      </c>
      <c r="G91" s="3"/>
      <c r="H91" s="3"/>
      <c r="I91" s="3" t="str">
        <f ca="1">IFERROR(__xludf.DUMMYFUNCTION("""COMPUTED_VALUE"""),"Rosa")</f>
        <v>Rosa</v>
      </c>
      <c r="J91" s="3">
        <f ca="1">IFERROR(__xludf.DUMMYFUNCTION("""COMPUTED_VALUE"""),11)</f>
        <v>11</v>
      </c>
      <c r="K91" s="3" t="str">
        <f ca="1">IFERROR(__xludf.DUMMYFUNCTION("""COMPUTED_VALUE"""),"A")</f>
        <v>A</v>
      </c>
      <c r="L91" s="3" t="str">
        <f ca="1">IFERROR(__xludf.DUMMYFUNCTION("""COMPUTED_VALUE"""),"Nessa petição da pitoresca personagem do romance de Lima Barreto, o uso da normapadrão justifica-se pela")</f>
        <v>Nessa petição da pitoresca personagem do romance de Lima Barreto, o uso da normapadrão justifica-se pela</v>
      </c>
      <c r="M91" s="3" t="str">
        <f ca="1">IFERROR(__xludf.DUMMYFUNCTION("""COMPUTED_VALUE"""),"situação social de enunciação representada.")</f>
        <v>situação social de enunciação representada.</v>
      </c>
      <c r="N91" s="3" t="str">
        <f ca="1">IFERROR(__xludf.DUMMYFUNCTION("""COMPUTED_VALUE""")," divergência teórica entre gramáticos e literatos.")</f>
        <v xml:space="preserve"> divergência teórica entre gramáticos e literatos.</v>
      </c>
      <c r="O91" s="3" t="str">
        <f ca="1">IFERROR(__xludf.DUMMYFUNCTION("""COMPUTED_VALUE"""),"pouca representatividade das línguas indígenas.")</f>
        <v>pouca representatividade das línguas indígenas.</v>
      </c>
      <c r="P91" s="3" t="str">
        <f ca="1">IFERROR(__xludf.DUMMYFUNCTION("""COMPUTED_VALUE"""),"atitude irônica diante da língua dos colonizadores.")</f>
        <v>atitude irônica diante da língua dos colonizadores.</v>
      </c>
      <c r="Q91" s="3" t="str">
        <f ca="1">IFERROR(__xludf.DUMMYFUNCTION("""COMPUTED_VALUE""")," tentativa de solicitação do documento demandado.")</f>
        <v xml:space="preserve"> tentativa de solicitação do documento demandado.</v>
      </c>
      <c r="R91" s="3"/>
      <c r="S91" s="3"/>
      <c r="T91" s="3"/>
      <c r="U91" s="3"/>
      <c r="V91" s="3"/>
      <c r="W91" s="3"/>
      <c r="X91" s="3"/>
      <c r="Y91" s="3"/>
      <c r="Z91" s="3"/>
    </row>
    <row r="92" spans="1:26" x14ac:dyDescent="0.2">
      <c r="A92" s="2" t="str">
        <f ca="1">IFERROR(__xludf.DUMMYFUNCTION("""COMPUTED_VALUE"""),"https://drive.google.com/open?id=1DbhU2WJAYm1gpf6aS-ePuZ09bn5JcdAs")</f>
        <v>https://drive.google.com/open?id=1DbhU2WJAYm1gpf6aS-ePuZ09bn5JcdAs</v>
      </c>
      <c r="B92" s="3" t="str">
        <f ca="1">IFERROR(__xludf.DUMMYFUNCTION("""COMPUTED_VALUE"""),"Enem")</f>
        <v>Enem</v>
      </c>
      <c r="C92" s="3">
        <f ca="1">IFERROR(__xludf.DUMMYFUNCTION("""COMPUTED_VALUE"""),2017)</f>
        <v>2017</v>
      </c>
      <c r="D92" s="3" t="str">
        <f ca="1">IFERROR(__xludf.DUMMYFUNCTION("""COMPUTED_VALUE"""),"Linguagens")</f>
        <v>Linguagens</v>
      </c>
      <c r="E92" s="3" t="str">
        <f ca="1">IFERROR(__xludf.DUMMYFUNCTION("""COMPUTED_VALUE"""),"Língua Portuguesa")</f>
        <v>Língua Portuguesa</v>
      </c>
      <c r="F92" s="3" t="str">
        <f ca="1">IFERROR(__xludf.DUMMYFUNCTION("""COMPUTED_VALUE"""),"Gramática")</f>
        <v>Gramática</v>
      </c>
      <c r="G92" s="3" t="str">
        <f ca="1">IFERROR(__xludf.DUMMYFUNCTION("""COMPUTED_VALUE"""),"Gramática")</f>
        <v>Gramática</v>
      </c>
      <c r="H92" s="3"/>
      <c r="I92" s="3" t="str">
        <f ca="1">IFERROR(__xludf.DUMMYFUNCTION("""COMPUTED_VALUE"""),"Azul")</f>
        <v>Azul</v>
      </c>
      <c r="J92" s="3">
        <f ca="1">IFERROR(__xludf.DUMMYFUNCTION("""COMPUTED_VALUE"""),16)</f>
        <v>16</v>
      </c>
      <c r="K92" s="3" t="str">
        <f ca="1">IFERROR(__xludf.DUMMYFUNCTION("""COMPUTED_VALUE"""),"C")</f>
        <v>C</v>
      </c>
      <c r="L92" s="3" t="str">
        <f ca="1">IFERROR(__xludf.DUMMYFUNCTION("""COMPUTED_VALUE"""),"Os dois textos apresentados versam sobre o tema Criatividade. O Texto I é um resumo de Caráter Científico e o Texto II, uma homenagem promovida por um site de publicidade. De que maneira O Texto II exemplifica o conceito de criatividade em publicidade apr"&amp;"esentado no Texto I?")</f>
        <v>Os dois textos apresentados versam sobre o tema Criatividade. O Texto I é um resumo de Caráter Científico e o Texto II, uma homenagem promovida por um site de publicidade. De que maneira O Texto II exemplifica o conceito de criatividade em publicidade apresentado no Texto I?</v>
      </c>
      <c r="M92" s="3" t="str">
        <f ca="1">IFERROR(__xludf.DUMMYFUNCTION("""COMPUTED_VALUE"""),"Fazendo menção ao difícil trabalho das mães em criar seus filhos.")</f>
        <v>Fazendo menção ao difícil trabalho das mães em criar seus filhos.</v>
      </c>
      <c r="N92" s="3" t="str">
        <f ca="1">IFERROR(__xludf.DUMMYFUNCTION("""COMPUTED_VALUE"""),"Promovendo uma leitura simplista do papel materno em seu trabalho de criar os filhos.")</f>
        <v>Promovendo uma leitura simplista do papel materno em seu trabalho de criar os filhos.</v>
      </c>
      <c r="O92" s="3" t="str">
        <f ca="1">IFERROR(__xludf.DUMMYFUNCTION("""COMPUTED_VALUE"""),"Explorando a polissemia do termo “criação”.")</f>
        <v>Explorando a polissemia do termo “criação”.</v>
      </c>
      <c r="P92" s="3" t="str">
        <f ca="1">IFERROR(__xludf.DUMMYFUNCTION("""COMPUTED_VALUE"""),"Recorrendo a uma estrutura linguística simples.")</f>
        <v>Recorrendo a uma estrutura linguística simples.</v>
      </c>
      <c r="Q92" s="3" t="str">
        <f ca="1">IFERROR(__xludf.DUMMYFUNCTION("""COMPUTED_VALUE"""),"Utilizando recursos gráficos diversificados.")</f>
        <v>Utilizando recursos gráficos diversificados.</v>
      </c>
      <c r="R92" s="3"/>
      <c r="S92" s="3"/>
      <c r="T92" s="3"/>
      <c r="U92" s="3"/>
      <c r="V92" s="3"/>
      <c r="W92" s="3"/>
      <c r="X92" s="3"/>
      <c r="Y92" s="3"/>
      <c r="Z92" s="3"/>
    </row>
    <row r="93" spans="1:26" x14ac:dyDescent="0.2">
      <c r="A93" s="2" t="str">
        <f ca="1">IFERROR(__xludf.DUMMYFUNCTION("""COMPUTED_VALUE"""),"https://drive.google.com/open?id=1ONus_lRoFRa7HGeVFP6NJcxTFEHF6Hny")</f>
        <v>https://drive.google.com/open?id=1ONus_lRoFRa7HGeVFP6NJcxTFEHF6Hny</v>
      </c>
      <c r="B93" s="3" t="str">
        <f ca="1">IFERROR(__xludf.DUMMYFUNCTION("""COMPUTED_VALUE"""),"Enem")</f>
        <v>Enem</v>
      </c>
      <c r="C93" s="3">
        <f ca="1">IFERROR(__xludf.DUMMYFUNCTION("""COMPUTED_VALUE"""),2017)</f>
        <v>2017</v>
      </c>
      <c r="D93" s="3" t="str">
        <f ca="1">IFERROR(__xludf.DUMMYFUNCTION("""COMPUTED_VALUE"""),"Linguagens")</f>
        <v>Linguagens</v>
      </c>
      <c r="E93" s="3" t="str">
        <f ca="1">IFERROR(__xludf.DUMMYFUNCTION("""COMPUTED_VALUE"""),"Língua Portuguesa")</f>
        <v>Língua Portuguesa</v>
      </c>
      <c r="F93" s="3" t="str">
        <f ca="1">IFERROR(__xludf.DUMMYFUNCTION("""COMPUTED_VALUE"""),"Gramática")</f>
        <v>Gramática</v>
      </c>
      <c r="G93" s="3"/>
      <c r="H93" s="3"/>
      <c r="I93" s="3" t="str">
        <f ca="1">IFERROR(__xludf.DUMMYFUNCTION("""COMPUTED_VALUE"""),"Azul")</f>
        <v>Azul</v>
      </c>
      <c r="J93" s="3">
        <f ca="1">IFERROR(__xludf.DUMMYFUNCTION("""COMPUTED_VALUE"""),22)</f>
        <v>22</v>
      </c>
      <c r="K93" s="3" t="str">
        <f ca="1">IFERROR(__xludf.DUMMYFUNCTION("""COMPUTED_VALUE"""),"D")</f>
        <v>D</v>
      </c>
      <c r="L93" s="3" t="str">
        <f ca="1">IFERROR(__xludf.DUMMYFUNCTION("""COMPUTED_VALUE"""),"Os textos tratam de línguas de culturas completamente diferentes, cujas realidades se aproximam em função do(a)")</f>
        <v>Os textos tratam de línguas de culturas completamente diferentes, cujas realidades se aproximam em função do(a)</v>
      </c>
      <c r="M93" s="3" t="str">
        <f ca="1">IFERROR(__xludf.DUMMYFUNCTION("""COMPUTED_VALUE"""),"semelhança no modo de expansão.")</f>
        <v>semelhança no modo de expansão.</v>
      </c>
      <c r="N93" s="3" t="str">
        <f ca="1">IFERROR(__xludf.DUMMYFUNCTION("""COMPUTED_VALUE"""),"preferência de uso na modalidade falada.")</f>
        <v>preferência de uso na modalidade falada.</v>
      </c>
      <c r="O93" s="3" t="str">
        <f ca="1">IFERROR(__xludf.DUMMYFUNCTION("""COMPUTED_VALUE"""),"modo de organização das regras sintáticas.")</f>
        <v>modo de organização das regras sintáticas.</v>
      </c>
      <c r="P93" s="3" t="str">
        <f ca="1">IFERROR(__xludf.DUMMYFUNCTION("""COMPUTED_VALUE"""),"predomínio em relação às outras línguas de contato.")</f>
        <v>predomínio em relação às outras línguas de contato.</v>
      </c>
      <c r="Q93" s="3" t="str">
        <f ca="1">IFERROR(__xludf.DUMMYFUNCTION("""COMPUTED_VALUE"""),"fato de motivarem o desaparecimento de línguas minoritárias.")</f>
        <v>fato de motivarem o desaparecimento de línguas minoritárias.</v>
      </c>
      <c r="R93" s="3"/>
      <c r="S93" s="3"/>
      <c r="T93" s="3"/>
      <c r="U93" s="3"/>
      <c r="V93" s="3"/>
      <c r="W93" s="3"/>
      <c r="X93" s="3"/>
      <c r="Y93" s="3"/>
      <c r="Z93" s="3"/>
    </row>
    <row r="94" spans="1:26" x14ac:dyDescent="0.2">
      <c r="A94" s="2" t="str">
        <f ca="1">IFERROR(__xludf.DUMMYFUNCTION("""COMPUTED_VALUE"""),"https://drive.google.com/open?id=16jeb4iL4gKmZ0f3fwubaaTbDsPkHjZeX")</f>
        <v>https://drive.google.com/open?id=16jeb4iL4gKmZ0f3fwubaaTbDsPkHjZeX</v>
      </c>
      <c r="B94" s="3" t="str">
        <f ca="1">IFERROR(__xludf.DUMMYFUNCTION("""COMPUTED_VALUE"""),"Enem")</f>
        <v>Enem</v>
      </c>
      <c r="C94" s="3">
        <f ca="1">IFERROR(__xludf.DUMMYFUNCTION("""COMPUTED_VALUE"""),2017)</f>
        <v>2017</v>
      </c>
      <c r="D94" s="3" t="str">
        <f ca="1">IFERROR(__xludf.DUMMYFUNCTION("""COMPUTED_VALUE"""),"Linguagens")</f>
        <v>Linguagens</v>
      </c>
      <c r="E94" s="3" t="str">
        <f ca="1">IFERROR(__xludf.DUMMYFUNCTION("""COMPUTED_VALUE"""),"Língua Portuguesa")</f>
        <v>Língua Portuguesa</v>
      </c>
      <c r="F94" s="3" t="str">
        <f ca="1">IFERROR(__xludf.DUMMYFUNCTION("""COMPUTED_VALUE"""),"Gramática")</f>
        <v>Gramática</v>
      </c>
      <c r="G94" s="3"/>
      <c r="H94" s="3"/>
      <c r="I94" s="3" t="str">
        <f ca="1">IFERROR(__xludf.DUMMYFUNCTION("""COMPUTED_VALUE"""),"Azul")</f>
        <v>Azul</v>
      </c>
      <c r="J94" s="3">
        <f ca="1">IFERROR(__xludf.DUMMYFUNCTION("""COMPUTED_VALUE"""),27)</f>
        <v>27</v>
      </c>
      <c r="K94" s="3" t="str">
        <f ca="1">IFERROR(__xludf.DUMMYFUNCTION("""COMPUTED_VALUE"""),"B")</f>
        <v>B</v>
      </c>
      <c r="L94" s="3" t="str">
        <f ca="1">IFERROR(__xludf.DUMMYFUNCTION("""COMPUTED_VALUE"""),"O texto trata da diferença de sentido entre vocábulos muito próximos. Essa diferença é apresentada considerando-se a(s)")</f>
        <v>O texto trata da diferença de sentido entre vocábulos muito próximos. Essa diferença é apresentada considerando-se a(s)</v>
      </c>
      <c r="M94" s="3" t="str">
        <f ca="1">IFERROR(__xludf.DUMMYFUNCTION("""COMPUTED_VALUE"""),"alternâncias na sonoridade.")</f>
        <v>alternâncias na sonoridade.</v>
      </c>
      <c r="N94" s="3" t="str">
        <f ca="1">IFERROR(__xludf.DUMMYFUNCTION("""COMPUTED_VALUE"""),"adequação às situações de uso.")</f>
        <v>adequação às situações de uso.</v>
      </c>
      <c r="O94" s="3" t="str">
        <f ca="1">IFERROR(__xludf.DUMMYFUNCTION("""COMPUTED_VALUE"""),"marcação flexional das palavras.")</f>
        <v>marcação flexional das palavras.</v>
      </c>
      <c r="P94" s="3" t="str">
        <f ca="1">IFERROR(__xludf.DUMMYFUNCTION("""COMPUTED_VALUE"""),"grafia na norma-padrão da língua.")</f>
        <v>grafia na norma-padrão da língua.</v>
      </c>
      <c r="Q94" s="3" t="str">
        <f ca="1">IFERROR(__xludf.DUMMYFUNCTION("""COMPUTED_VALUE"""),"categorias gramaticais das palavras.")</f>
        <v>categorias gramaticais das palavras.</v>
      </c>
      <c r="R94" s="3"/>
      <c r="S94" s="3"/>
      <c r="T94" s="3"/>
      <c r="U94" s="3"/>
      <c r="V94" s="3"/>
      <c r="W94" s="3"/>
      <c r="X94" s="3"/>
      <c r="Y94" s="3"/>
      <c r="Z94" s="3"/>
    </row>
    <row r="95" spans="1:26" x14ac:dyDescent="0.2">
      <c r="A95" s="2" t="str">
        <f ca="1">IFERROR(__xludf.DUMMYFUNCTION("""COMPUTED_VALUE"""),"https://drive.google.com/open?id=1DMaorImdwq1KsxuynZYpwBuxX9ha4T3W")</f>
        <v>https://drive.google.com/open?id=1DMaorImdwq1KsxuynZYpwBuxX9ha4T3W</v>
      </c>
      <c r="B95" s="3" t="str">
        <f ca="1">IFERROR(__xludf.DUMMYFUNCTION("""COMPUTED_VALUE"""),"Enem")</f>
        <v>Enem</v>
      </c>
      <c r="C95" s="3">
        <f ca="1">IFERROR(__xludf.DUMMYFUNCTION("""COMPUTED_VALUE"""),2017)</f>
        <v>2017</v>
      </c>
      <c r="D95" s="3" t="str">
        <f ca="1">IFERROR(__xludf.DUMMYFUNCTION("""COMPUTED_VALUE"""),"Linguagens")</f>
        <v>Linguagens</v>
      </c>
      <c r="E95" s="3" t="str">
        <f ca="1">IFERROR(__xludf.DUMMYFUNCTION("""COMPUTED_VALUE"""),"Língua Portuguesa")</f>
        <v>Língua Portuguesa</v>
      </c>
      <c r="F95" s="3" t="str">
        <f ca="1">IFERROR(__xludf.DUMMYFUNCTION("""COMPUTED_VALUE"""),"Gramática")</f>
        <v>Gramática</v>
      </c>
      <c r="G95" s="3"/>
      <c r="H95" s="3"/>
      <c r="I95" s="3" t="str">
        <f ca="1">IFERROR(__xludf.DUMMYFUNCTION("""COMPUTED_VALUE"""),"Azul")</f>
        <v>Azul</v>
      </c>
      <c r="J95" s="3">
        <f ca="1">IFERROR(__xludf.DUMMYFUNCTION("""COMPUTED_VALUE"""),33)</f>
        <v>33</v>
      </c>
      <c r="K95" s="3" t="str">
        <f ca="1">IFERROR(__xludf.DUMMYFUNCTION("""COMPUTED_VALUE"""),"B")</f>
        <v>B</v>
      </c>
      <c r="L95" s="3" t="str">
        <f ca="1">IFERROR(__xludf.DUMMYFUNCTION("""COMPUTED_VALUE"""),"Qual aspecto da organização gramatical atualiza os eventos apresentados na resenha, contribuindo para despertar o interesse do leitor pelo filme?")</f>
        <v>Qual aspecto da organização gramatical atualiza os eventos apresentados na resenha, contribuindo para despertar o interesse do leitor pelo filme?</v>
      </c>
      <c r="M95" s="3" t="str">
        <f ca="1">IFERROR(__xludf.DUMMYFUNCTION("""COMPUTED_VALUE"""),"O emprego do verbo haver, em vez de ter, em “há 20 anos atrás foi humilhado”.")</f>
        <v>O emprego do verbo haver, em vez de ter, em “há 20 anos atrás foi humilhado”.</v>
      </c>
      <c r="N95" s="3" t="str">
        <f ca="1">IFERROR(__xludf.DUMMYFUNCTION("""COMPUTED_VALUE"""),"A descrição dos fatos com verbos no presente do indicativo, como “retorna” e “descobre”.")</f>
        <v>A descrição dos fatos com verbos no presente do indicativo, como “retorna” e “descobre”.</v>
      </c>
      <c r="O95" s="3" t="str">
        <f ca="1">IFERROR(__xludf.DUMMYFUNCTION("""COMPUTED_VALUE"""),"A repetição do emprego da conjunção “mas” para contrapor ideias.")</f>
        <v>A repetição do emprego da conjunção “mas” para contrapor ideias.</v>
      </c>
      <c r="P95" s="3" t="str">
        <f ca="1">IFERROR(__xludf.DUMMYFUNCTION("""COMPUTED_VALUE"""),"A finalização do texto com a frase de efeito ""Será que ele conseguirá acertar as coisas?"".")</f>
        <v>A finalização do texto com a frase de efeito "Será que ele conseguirá acertar as coisas?".</v>
      </c>
      <c r="Q95" s="3" t="str">
        <f ca="1">IFERROR(__xludf.DUMMYFUNCTION("""COMPUTED_VALUE"""),"O uso do pronome de terceira pessoa “ele” ao longo do texto para fazer referência ao protagonista ""João/Zero"".")</f>
        <v>O uso do pronome de terceira pessoa “ele” ao longo do texto para fazer referência ao protagonista "João/Zero".</v>
      </c>
      <c r="R95" s="3"/>
      <c r="S95" s="3"/>
      <c r="T95" s="3"/>
      <c r="U95" s="3"/>
      <c r="V95" s="3"/>
      <c r="W95" s="3"/>
      <c r="X95" s="3"/>
      <c r="Y95" s="3"/>
      <c r="Z95" s="3"/>
    </row>
    <row r="96" spans="1:26" x14ac:dyDescent="0.2">
      <c r="A96" s="2" t="str">
        <f ca="1">IFERROR(__xludf.DUMMYFUNCTION("""COMPUTED_VALUE"""),"https://drive.google.com/open?id=12wJ06s4N1NmGQuDjk7kfBEVsCXf834rJ")</f>
        <v>https://drive.google.com/open?id=12wJ06s4N1NmGQuDjk7kfBEVsCXf834rJ</v>
      </c>
      <c r="B96" s="3" t="str">
        <f ca="1">IFERROR(__xludf.DUMMYFUNCTION("""COMPUTED_VALUE"""),"Enem")</f>
        <v>Enem</v>
      </c>
      <c r="C96" s="3">
        <f ca="1">IFERROR(__xludf.DUMMYFUNCTION("""COMPUTED_VALUE"""),2017)</f>
        <v>2017</v>
      </c>
      <c r="D96" s="3" t="str">
        <f ca="1">IFERROR(__xludf.DUMMYFUNCTION("""COMPUTED_VALUE"""),"Linguagens")</f>
        <v>Linguagens</v>
      </c>
      <c r="E96" s="3" t="str">
        <f ca="1">IFERROR(__xludf.DUMMYFUNCTION("""COMPUTED_VALUE"""),"Língua Portuguesa")</f>
        <v>Língua Portuguesa</v>
      </c>
      <c r="F96" s="3" t="str">
        <f ca="1">IFERROR(__xludf.DUMMYFUNCTION("""COMPUTED_VALUE"""),"Gramática")</f>
        <v>Gramática</v>
      </c>
      <c r="G96" s="3"/>
      <c r="H96" s="3"/>
      <c r="I96" s="3" t="str">
        <f ca="1">IFERROR(__xludf.DUMMYFUNCTION("""COMPUTED_VALUE"""),"Azul")</f>
        <v>Azul</v>
      </c>
      <c r="J96" s="3">
        <f ca="1">IFERROR(__xludf.DUMMYFUNCTION("""COMPUTED_VALUE"""),39)</f>
        <v>39</v>
      </c>
      <c r="K96" s="3" t="str">
        <f ca="1">IFERROR(__xludf.DUMMYFUNCTION("""COMPUTED_VALUE"""),"A")</f>
        <v>A</v>
      </c>
      <c r="L96" s="3" t="str">
        <f ca="1">IFERROR(__xludf.DUMMYFUNCTION("""COMPUTED_VALUE"""),"O comentário do narrador do romance “[…] emendou com uma valsa mais arretada ainda, cheia de palavras difíceis, mas bonita que só a gota serena” relaciona-se ao fato de que essa valsa é representativa de uma variedade linguística")</f>
        <v>O comentário do narrador do romance “[…] emendou com uma valsa mais arretada ainda, cheia de palavras difíceis, mas bonita que só a gota serena” relaciona-se ao fato de que essa valsa é representativa de uma variedade linguística</v>
      </c>
      <c r="M96" s="3" t="str">
        <f ca="1">IFERROR(__xludf.DUMMYFUNCTION("""COMPUTED_VALUE"""),"detentora de grande prestígio social.")</f>
        <v>detentora de grande prestígio social.</v>
      </c>
      <c r="N96" s="3" t="str">
        <f ca="1">IFERROR(__xludf.DUMMYFUNCTION("""COMPUTED_VALUE"""),"específica da modalidade oral da língua.")</f>
        <v>específica da modalidade oral da língua.</v>
      </c>
      <c r="O96" s="3" t="str">
        <f ca="1">IFERROR(__xludf.DUMMYFUNCTION("""COMPUTED_VALUE"""),"previsível para o contexto social da narrativa.")</f>
        <v>previsível para o contexto social da narrativa.</v>
      </c>
      <c r="P96" s="3" t="str">
        <f ca="1">IFERROR(__xludf.DUMMYFUNCTION("""COMPUTED_VALUE"""),"constituída de construções sintáticas complexas.")</f>
        <v>constituída de construções sintáticas complexas.</v>
      </c>
      <c r="Q96" s="3" t="str">
        <f ca="1">IFERROR(__xludf.DUMMYFUNCTION("""COMPUTED_VALUE"""),"valorizadora do conteúdo em detrimento da forma.")</f>
        <v>valorizadora do conteúdo em detrimento da forma.</v>
      </c>
      <c r="R96" s="3"/>
      <c r="S96" s="3"/>
      <c r="T96" s="3"/>
      <c r="U96" s="3"/>
      <c r="V96" s="3"/>
      <c r="W96" s="3"/>
      <c r="X96" s="3"/>
      <c r="Y96" s="3"/>
      <c r="Z96" s="3"/>
    </row>
    <row r="97" spans="1:26" x14ac:dyDescent="0.2">
      <c r="A97" s="2" t="str">
        <f ca="1">IFERROR(__xludf.DUMMYFUNCTION("""COMPUTED_VALUE"""),"https://drive.google.com/open?id=1Sv-CtUVQLNPBLBph1dkJkJwzM7lLvwFg")</f>
        <v>https://drive.google.com/open?id=1Sv-CtUVQLNPBLBph1dkJkJwzM7lLvwFg</v>
      </c>
      <c r="B97" s="3" t="str">
        <f ca="1">IFERROR(__xludf.DUMMYFUNCTION("""COMPUTED_VALUE"""),"Enem")</f>
        <v>Enem</v>
      </c>
      <c r="C97" s="3">
        <f ca="1">IFERROR(__xludf.DUMMYFUNCTION("""COMPUTED_VALUE"""),2017)</f>
        <v>2017</v>
      </c>
      <c r="D97" s="3" t="str">
        <f ca="1">IFERROR(__xludf.DUMMYFUNCTION("""COMPUTED_VALUE"""),"Linguagens")</f>
        <v>Linguagens</v>
      </c>
      <c r="E97" s="3" t="str">
        <f ca="1">IFERROR(__xludf.DUMMYFUNCTION("""COMPUTED_VALUE"""),"Língua Portuguesa")</f>
        <v>Língua Portuguesa</v>
      </c>
      <c r="F97" s="3" t="str">
        <f ca="1">IFERROR(__xludf.DUMMYFUNCTION("""COMPUTED_VALUE"""),"Gramática")</f>
        <v>Gramática</v>
      </c>
      <c r="G97" s="3"/>
      <c r="H97" s="3"/>
      <c r="I97" s="3" t="str">
        <f ca="1">IFERROR(__xludf.DUMMYFUNCTION("""COMPUTED_VALUE"""),"Azul")</f>
        <v>Azul</v>
      </c>
      <c r="J97" s="3">
        <f ca="1">IFERROR(__xludf.DUMMYFUNCTION("""COMPUTED_VALUE"""),44)</f>
        <v>44</v>
      </c>
      <c r="K97" s="3" t="str">
        <f ca="1">IFERROR(__xludf.DUMMYFUNCTION("""COMPUTED_VALUE"""),"C")</f>
        <v>C</v>
      </c>
      <c r="L97" s="3" t="str">
        <f ca="1">IFERROR(__xludf.DUMMYFUNCTION("""COMPUTED_VALUE"""),"A cena retrata as experiências das personagens em um país atingido por uma epidemia. No diálogo, a violação de determinadas regras de pontuação")</f>
        <v>A cena retrata as experiências das personagens em um país atingido por uma epidemia. No diálogo, a violação de determinadas regras de pontuação</v>
      </c>
      <c r="M97" s="3" t="str">
        <f ca="1">IFERROR(__xludf.DUMMYFUNCTION("""COMPUTED_VALUE"""),"revela uma incompatibilidade entre o sistema de pontuação convencional e a produção do gênero romance.")</f>
        <v>revela uma incompatibilidade entre o sistema de pontuação convencional e a produção do gênero romance.</v>
      </c>
      <c r="N97" s="3" t="str">
        <f ca="1">IFERROR(__xludf.DUMMYFUNCTION("""COMPUTED_VALUE"""),"provoca uma leitura equivocada das frases interrogativas e prejudica a verossimilhança.")</f>
        <v>provoca uma leitura equivocada das frases interrogativas e prejudica a verossimilhança.</v>
      </c>
      <c r="O97" s="3" t="str">
        <f ca="1">IFERROR(__xludf.DUMMYFUNCTION("""COMPUTED_VALUE"""),"singulariza o estilo do autor e auxilia na representação do ambiente caótico.")</f>
        <v>singulariza o estilo do autor e auxilia na representação do ambiente caótico.</v>
      </c>
      <c r="P97" s="3" t="str">
        <f ca="1">IFERROR(__xludf.DUMMYFUNCTION("""COMPUTED_VALUE"""),"representa uma exceção às regras do sistema de pontuação canônica.")</f>
        <v>representa uma exceção às regras do sistema de pontuação canônica.</v>
      </c>
      <c r="Q97" s="3" t="str">
        <f ca="1">IFERROR(__xludf.DUMMYFUNCTION("""COMPUTED_VALUE"""),"colabora para a construção da identidade do narrador pouco escolarizado.")</f>
        <v>colabora para a construção da identidade do narrador pouco escolarizado.</v>
      </c>
      <c r="R97" s="3"/>
      <c r="S97" s="3"/>
      <c r="T97" s="3"/>
      <c r="U97" s="3"/>
      <c r="V97" s="3"/>
      <c r="W97" s="3"/>
      <c r="X97" s="3"/>
      <c r="Y97" s="3"/>
      <c r="Z97" s="3"/>
    </row>
    <row r="98" spans="1:26" x14ac:dyDescent="0.2">
      <c r="A98" s="2" t="str">
        <f ca="1">IFERROR(__xludf.DUMMYFUNCTION("""COMPUTED_VALUE"""),"https://drive.google.com/open?id=1QC8LVv1-6-DdU9RebfNPorXi1xOyrbR8")</f>
        <v>https://drive.google.com/open?id=1QC8LVv1-6-DdU9RebfNPorXi1xOyrbR8</v>
      </c>
      <c r="B98" s="3" t="str">
        <f ca="1">IFERROR(__xludf.DUMMYFUNCTION("""COMPUTED_VALUE"""),"Enem")</f>
        <v>Enem</v>
      </c>
      <c r="C98" s="3">
        <f ca="1">IFERROR(__xludf.DUMMYFUNCTION("""COMPUTED_VALUE"""),2017)</f>
        <v>2017</v>
      </c>
      <c r="D98" s="3" t="str">
        <f ca="1">IFERROR(__xludf.DUMMYFUNCTION("""COMPUTED_VALUE"""),"Linguagens")</f>
        <v>Linguagens</v>
      </c>
      <c r="E98" s="3" t="str">
        <f ca="1">IFERROR(__xludf.DUMMYFUNCTION("""COMPUTED_VALUE"""),"Língua Estrangeira")</f>
        <v>Língua Estrangeira</v>
      </c>
      <c r="F98" s="3" t="str">
        <f ca="1">IFERROR(__xludf.DUMMYFUNCTION("""COMPUTED_VALUE"""),"Inglês")</f>
        <v>Inglês</v>
      </c>
      <c r="G98" s="3"/>
      <c r="H98" s="3"/>
      <c r="I98" s="3" t="str">
        <f ca="1">IFERROR(__xludf.DUMMYFUNCTION("""COMPUTED_VALUE"""),"Azul")</f>
        <v>Azul</v>
      </c>
      <c r="J98" s="3">
        <f ca="1">IFERROR(__xludf.DUMMYFUNCTION("""COMPUTED_VALUE"""),1)</f>
        <v>1</v>
      </c>
      <c r="K98" s="3" t="str">
        <f ca="1">IFERROR(__xludf.DUMMYFUNCTION("""COMPUTED_VALUE"""),"D")</f>
        <v>D</v>
      </c>
      <c r="L98" s="3" t="str">
        <f ca="1">IFERROR(__xludf.DUMMYFUNCTION("""COMPUTED_VALUE"""),"One of the things that made an incredible impression on me in the film was Frida’s comfort in and celebration of her own unique beauty. She didn’t try to fit into conventional ideas or images about womanhood or what makes someone or something beautiful. I"&amp;"nstead, she fully inhabited her own unique gifts, not particularly caring what other people thought. She was magnetic and beautiful in her own right. She painted for years, not to be a commercial success or to be discovered, but to express her own inner p"&amp;"ain, joy, family, love and culture. She absolutely and resolutely was who she was. The trueness of her own unique vision and her ability to stand firmly in her own truth was what made her successful in the end.
A autora deste comentário sobre o filme Fri"&amp;"da mostra-se impressionada com o fato de a pintora:")</f>
        <v>One of the things that made an incredible impression on me in the film was Frida’s comfort in and celebration of her own unique beauty. She didn’t try to fit into conventional ideas or images about womanhood or what makes someone or something beautiful. Instead, she fully inhabited her own unique gifts, not particularly caring what other people thought. She was magnetic and beautiful in her own right. She painted for years, not to be a commercial success or to be discovered, but to express her own inner pain, joy, family, love and culture. She absolutely and resolutely was who she was. The trueness of her own unique vision and her ability to stand firmly in her own truth was what made her successful in the end.
A autora deste comentário sobre o filme Frida mostra-se impressionada com o fato de a pintora:</v>
      </c>
      <c r="M98" s="3" t="str">
        <f ca="1">IFERROR(__xludf.DUMMYFUNCTION("""COMPUTED_VALUE"""),"ter uma aparência exótica.")</f>
        <v>ter uma aparência exótica.</v>
      </c>
      <c r="N98" s="3" t="str">
        <f ca="1">IFERROR(__xludf.DUMMYFUNCTION("""COMPUTED_VALUE"""),"vender bem a sua imagem.")</f>
        <v>vender bem a sua imagem.</v>
      </c>
      <c r="O98" s="3" t="str">
        <f ca="1">IFERROR(__xludf.DUMMYFUNCTION("""COMPUTED_VALUE"""),"ter grande poder de sedução.")</f>
        <v>ter grande poder de sedução.</v>
      </c>
      <c r="P98" s="3" t="str">
        <f ca="1">IFERROR(__xludf.DUMMYFUNCTION("""COMPUTED_VALUE"""),"assumir sua beleza singular.")</f>
        <v>assumir sua beleza singular.</v>
      </c>
      <c r="Q98" s="3" t="str">
        <f ca="1">IFERROR(__xludf.DUMMYFUNCTION("""COMPUTED_VALUE"""),"recriar-se por meio da pintura.")</f>
        <v>recriar-se por meio da pintura.</v>
      </c>
      <c r="R98" s="3"/>
      <c r="S98" s="3"/>
      <c r="T98" s="3"/>
      <c r="U98" s="3"/>
      <c r="V98" s="3"/>
      <c r="W98" s="3"/>
      <c r="X98" s="3"/>
      <c r="Y98" s="3"/>
      <c r="Z98" s="3"/>
    </row>
    <row r="99" spans="1:26" x14ac:dyDescent="0.2">
      <c r="A99" s="2" t="str">
        <f ca="1">IFERROR(__xludf.DUMMYFUNCTION("""COMPUTED_VALUE"""),"https://drive.google.com/open?id=1BwcruElr9-djNKE0aOT7wWHLAUjwyBDG")</f>
        <v>https://drive.google.com/open?id=1BwcruElr9-djNKE0aOT7wWHLAUjwyBDG</v>
      </c>
      <c r="B99" s="3" t="str">
        <f ca="1">IFERROR(__xludf.DUMMYFUNCTION("""COMPUTED_VALUE"""),"Enem")</f>
        <v>Enem</v>
      </c>
      <c r="C99" s="3">
        <f ca="1">IFERROR(__xludf.DUMMYFUNCTION("""COMPUTED_VALUE"""),2017)</f>
        <v>2017</v>
      </c>
      <c r="D99" s="3" t="str">
        <f ca="1">IFERROR(__xludf.DUMMYFUNCTION("""COMPUTED_VALUE"""),"Linguagens")</f>
        <v>Linguagens</v>
      </c>
      <c r="E99" s="3" t="str">
        <f ca="1">IFERROR(__xludf.DUMMYFUNCTION("""COMPUTED_VALUE"""),"Língua Estrangeira")</f>
        <v>Língua Estrangeira</v>
      </c>
      <c r="F99" s="3" t="str">
        <f ca="1">IFERROR(__xludf.DUMMYFUNCTION("""COMPUTED_VALUE"""),"Inglês")</f>
        <v>Inglês</v>
      </c>
      <c r="G99" s="3"/>
      <c r="H99" s="3"/>
      <c r="I99" s="3" t="str">
        <f ca="1">IFERROR(__xludf.DUMMYFUNCTION("""COMPUTED_VALUE"""),"Azul")</f>
        <v>Azul</v>
      </c>
      <c r="J99" s="3">
        <f ca="1">IFERROR(__xludf.DUMMYFUNCTION("""COMPUTED_VALUE"""),2)</f>
        <v>2</v>
      </c>
      <c r="K99" s="3" t="str">
        <f ca="1">IFERROR(__xludf.DUMMYFUNCTION("""COMPUTED_VALUE"""),"D")</f>
        <v>D</v>
      </c>
      <c r="L99" s="3" t="str">
        <f ca="1">IFERROR(__xludf.DUMMYFUNCTION("""COMPUTED_VALUE"""),"British Government to Recruit Teens as Next Generation of Spies
In the 50 years since the first James Bond movie created a lasting impression of a British secret agent, a completely different character is about to emerge. Britain’s intelligence agencies "&amp;"are to recruit their next generation of cyber spies by harnessing the talents of the “Xbox generation”.
In an expansion of a pilot program, Foreign Secretary William Hague announced Thursday that up to 100 18-year-olds will be given the chance to train fo"&amp;"r a career in Britain’s secret services. The move to recruit school-leavers marks a break with the past, when agencies mainly drew their staff from among university graduates.
“Young people are the key to our country’s future success, just as they were du"&amp;"ring the War”, Hague said. “Today we are not at war, but I see evidence every day of deliberate, organized attacks against intellectual property and government networks in the United Kingdom.”
The new recruitment program, called the Single Intelligence Ac"&amp;"count apprenticeship scheme will enable students with suitable qualifications in science, technology or engineering, to spend two years learning about communications, security and engineering through formal education, technical training and work placement"&amp;"s.
Segundo informações veiculadas pela NBC News, a geração digital já tem seu espaço conquistado nas agências britânicas de inteligência. O governo britânico
decidiu que
")</f>
        <v xml:space="preserve">British Government to Recruit Teens as Next Generation of Spies
In the 50 years since the first James Bond movie created a lasting impression of a British secret agent, a completely different character is about to emerge. Britain’s intelligence agencies are to recruit their next generation of cyber spies by harnessing the talents of the “Xbox generation”.
In an expansion of a pilot program, Foreign Secretary William Hague announced Thursday that up to 100 18-year-olds will be given the chance to train for a career in Britain’s secret services. The move to recruit school-leavers marks a break with the past, when agencies mainly drew their staff from among university graduates.
“Young people are the key to our country’s future success, just as they were during the War”, Hague said. “Today we are not at war, but I see evidence every day of deliberate, organized attacks against intellectual property and government networks in the United Kingdom.”
The new recruitment program, called the Single Intelligence Account apprenticeship scheme will enable students with suitable qualifications in science, technology or engineering, to spend two years learning about communications, security and engineering through formal education, technical training and work placements.
Segundo informações veiculadas pela NBC News, a geração digital já tem seu espaço conquistado nas agências britânicas de inteligência. O governo britânico
decidiu que
</v>
      </c>
      <c r="M99" s="3" t="str">
        <f ca="1">IFERROR(__xludf.DUMMYFUNCTION("""COMPUTED_VALUE"""),"enfrentará a guerra vigente e deliberada contra a propriedade intelectual no Reino Unido.")</f>
        <v>enfrentará a guerra vigente e deliberada contra a propriedade intelectual no Reino Unido.</v>
      </c>
      <c r="N99" s="3" t="str">
        <f ca="1">IFERROR(__xludf.DUMMYFUNCTION("""COMPUTED_VALUE"""),"abandonará a política de contratação de universitários como agentes secretos.")</f>
        <v>abandonará a política de contratação de universitários como agentes secretos.</v>
      </c>
      <c r="O99" s="3" t="str">
        <f ca="1">IFERROR(__xludf.DUMMYFUNCTION("""COMPUTED_VALUE"""),"recrutará jovens jogadores de Xbox como ciberespiões das agências de inteligência.")</f>
        <v>recrutará jovens jogadores de Xbox como ciberespiões das agências de inteligência.</v>
      </c>
      <c r="P99" s="3" t="str">
        <f ca="1">IFERROR(__xludf.DUMMYFUNCTION("""COMPUTED_VALUE"""),"implantará um esquema de capacitação de adolescentes para atuarem como agentes secretos.")</f>
        <v>implantará um esquema de capacitação de adolescentes para atuarem como agentes secretos.</v>
      </c>
      <c r="Q99" s="3" t="str">
        <f ca="1">IFERROR(__xludf.DUMMYFUNCTION("""COMPUTED_VALUE"""),"anunciará os nomes dos jovens a serem contratados pelas agências de inteligência.")</f>
        <v>anunciará os nomes dos jovens a serem contratados pelas agências de inteligência.</v>
      </c>
      <c r="R99" s="3"/>
      <c r="S99" s="3"/>
      <c r="T99" s="3"/>
      <c r="U99" s="3"/>
      <c r="V99" s="3"/>
      <c r="W99" s="3"/>
      <c r="X99" s="3"/>
      <c r="Y99" s="3"/>
      <c r="Z99" s="3"/>
    </row>
    <row r="100" spans="1:26" x14ac:dyDescent="0.2">
      <c r="A100" s="2" t="str">
        <f ca="1">IFERROR(__xludf.DUMMYFUNCTION("""COMPUTED_VALUE"""),"https://drive.google.com/open?id=1MowGKBs4nVoP3rvaM3sCJPezFwd8DV5i")</f>
        <v>https://drive.google.com/open?id=1MowGKBs4nVoP3rvaM3sCJPezFwd8DV5i</v>
      </c>
      <c r="B100" s="3" t="str">
        <f ca="1">IFERROR(__xludf.DUMMYFUNCTION("""COMPUTED_VALUE"""),"Enem")</f>
        <v>Enem</v>
      </c>
      <c r="C100" s="3">
        <f ca="1">IFERROR(__xludf.DUMMYFUNCTION("""COMPUTED_VALUE"""),2017)</f>
        <v>2017</v>
      </c>
      <c r="D100" s="3" t="str">
        <f ca="1">IFERROR(__xludf.DUMMYFUNCTION("""COMPUTED_VALUE"""),"Linguagens")</f>
        <v>Linguagens</v>
      </c>
      <c r="E100" s="3" t="str">
        <f ca="1">IFERROR(__xludf.DUMMYFUNCTION("""COMPUTED_VALUE"""),"Língua Estrangeira")</f>
        <v>Língua Estrangeira</v>
      </c>
      <c r="F100" s="3" t="str">
        <f ca="1">IFERROR(__xludf.DUMMYFUNCTION("""COMPUTED_VALUE"""),"Inglês")</f>
        <v>Inglês</v>
      </c>
      <c r="G100" s="3"/>
      <c r="H100" s="3"/>
      <c r="I100" s="3" t="str">
        <f ca="1">IFERROR(__xludf.DUMMYFUNCTION("""COMPUTED_VALUE"""),"Azul")</f>
        <v>Azul</v>
      </c>
      <c r="J100" s="3">
        <f ca="1">IFERROR(__xludf.DUMMYFUNCTION("""COMPUTED_VALUE"""),3)</f>
        <v>3</v>
      </c>
      <c r="K100" s="3" t="str">
        <f ca="1">IFERROR(__xludf.DUMMYFUNCTION("""COMPUTED_VALUE"""),"C")</f>
        <v>C</v>
      </c>
      <c r="L100" s="3" t="str">
        <f ca="1">IFERROR(__xludf.DUMMYFUNCTION("""COMPUTED_VALUE"""),"(imagem contida no arquivo) Nesse texto publicitário são utilizados recursos verbais e não verbais para transmitir a mensagem. Ao associar os termos anyplace e regret à imagem do texto, constata-se que o tema da propaganda é a importância da")</f>
        <v>(imagem contida no arquivo) Nesse texto publicitário são utilizados recursos verbais e não verbais para transmitir a mensagem. Ao associar os termos anyplace e regret à imagem do texto, constata-se que o tema da propaganda é a importância da</v>
      </c>
      <c r="M100" s="3" t="str">
        <f ca="1">IFERROR(__xludf.DUMMYFUNCTION("""COMPUTED_VALUE"""),"preservação do meio ambiente.")</f>
        <v>preservação do meio ambiente.</v>
      </c>
      <c r="N100" s="3" t="str">
        <f ca="1">IFERROR(__xludf.DUMMYFUNCTION("""COMPUTED_VALUE"""),"manutenção do motor.")</f>
        <v>manutenção do motor.</v>
      </c>
      <c r="O100" s="3" t="str">
        <f ca="1">IFERROR(__xludf.DUMMYFUNCTION("""COMPUTED_VALUE"""),"escolha da empresa certa.")</f>
        <v>escolha da empresa certa.</v>
      </c>
      <c r="P100" s="3" t="str">
        <f ca="1">IFERROR(__xludf.DUMMYFUNCTION("""COMPUTED_VALUE"""),"consistência do produto.")</f>
        <v>consistência do produto.</v>
      </c>
      <c r="Q100" s="3" t="str">
        <f ca="1">IFERROR(__xludf.DUMMYFUNCTION("""COMPUTED_VALUE"""),"conservação do carro.")</f>
        <v>conservação do carro.</v>
      </c>
      <c r="R100" s="3"/>
      <c r="S100" s="3"/>
      <c r="T100" s="3"/>
      <c r="U100" s="3"/>
      <c r="V100" s="3"/>
      <c r="W100" s="3"/>
      <c r="X100" s="3"/>
      <c r="Y100" s="3"/>
      <c r="Z100" s="3"/>
    </row>
    <row r="101" spans="1:26" x14ac:dyDescent="0.2">
      <c r="A101" s="2" t="str">
        <f ca="1">IFERROR(__xludf.DUMMYFUNCTION("""COMPUTED_VALUE"""),"https://drive.google.com/open?id=1JnMZZ1F1Ig4jFsudxFxhnPwVwRJhgCxd")</f>
        <v>https://drive.google.com/open?id=1JnMZZ1F1Ig4jFsudxFxhnPwVwRJhgCxd</v>
      </c>
      <c r="B101" s="3" t="str">
        <f ca="1">IFERROR(__xludf.DUMMYFUNCTION("""COMPUTED_VALUE"""),"Enem")</f>
        <v>Enem</v>
      </c>
      <c r="C101" s="3">
        <f ca="1">IFERROR(__xludf.DUMMYFUNCTION("""COMPUTED_VALUE"""),2017)</f>
        <v>2017</v>
      </c>
      <c r="D101" s="3" t="str">
        <f ca="1">IFERROR(__xludf.DUMMYFUNCTION("""COMPUTED_VALUE"""),"Linguagens")</f>
        <v>Linguagens</v>
      </c>
      <c r="E101" s="3" t="str">
        <f ca="1">IFERROR(__xludf.DUMMYFUNCTION("""COMPUTED_VALUE"""),"Língua Estrangeira")</f>
        <v>Língua Estrangeira</v>
      </c>
      <c r="F101" s="3" t="str">
        <f ca="1">IFERROR(__xludf.DUMMYFUNCTION("""COMPUTED_VALUE"""),"Inglês")</f>
        <v>Inglês</v>
      </c>
      <c r="G101" s="3"/>
      <c r="H101" s="3"/>
      <c r="I101" s="3" t="str">
        <f ca="1">IFERROR(__xludf.DUMMYFUNCTION("""COMPUTED_VALUE"""),"Azul")</f>
        <v>Azul</v>
      </c>
      <c r="J101" s="3">
        <f ca="1">IFERROR(__xludf.DUMMYFUNCTION("""COMPUTED_VALUE"""),4)</f>
        <v>4</v>
      </c>
      <c r="K101" s="3" t="str">
        <f ca="1">IFERROR(__xludf.DUMMYFUNCTION("""COMPUTED_VALUE"""),"D")</f>
        <v>D</v>
      </c>
      <c r="L101" s="3" t="str">
        <f ca="1">IFERROR(__xludf.DUMMYFUNCTION("""COMPUTED_VALUE"""),"Letters
Children and Guns
Published: May 7, 2013
To the editor: Re “Girl’s Death by gunshot Is Rejected as Symbol” (news article, May 6):
I find it abhorrent that the people of Burkesville, Ky., are not willing to learn a lesson from the tragic shooting"&amp;" of a 2-year-old girl by her 5-year-old brother. I am not judging their lifestyle of introducing guns to children at a young age, but I do feel that it’s irresponsible not to practice basic safety with anything potentially lethal — guns, knives, fire and "&amp;"so on. How can anyone justify leaving guns lying around, unlocked and possibly loaded, in a home with two young children? I wish the family of the victim comfort during this difficult time, but to dismiss this as a simple accident leaves open the potentia"&amp;"l for many more such “accidents” to occur. I hope this doesn’t have to happen several more times for legislators to realize that something needs to be changed.
EMILY LOUBATON
Brooklyn, May 6, 2013. 
No que diz respeito à tragédia ocorrida em Burkesville,"&amp;" a autora da carta enviada ao The New York Times busca
")</f>
        <v xml:space="preserve">Letters
Children and Guns
Published: May 7, 2013
To the editor: Re “Girl’s Death by gunshot Is Rejected as Symbol” (news article, May 6):
I find it abhorrent that the people of Burkesville, Ky., are not willing to learn a lesson from the tragic shooting of a 2-year-old girl by her 5-year-old brother. I am not judging their lifestyle of introducing guns to children at a young age, but I do feel that it’s irresponsible not to practice basic safety with anything potentially lethal — guns, knives, fire and so on. How can anyone justify leaving guns lying around, unlocked and possibly loaded, in a home with two young children? I wish the family of the victim comfort during this difficult time, but to dismiss this as a simple accident leaves open the potential for many more such “accidents” to occur. I hope this doesn’t have to happen several more times for legislators to realize that something needs to be changed.
EMILY LOUBATON
Brooklyn, May 6, 2013. 
No que diz respeito à tragédia ocorrida em Burkesville, a autora da carta enviada ao The New York Times busca
</v>
      </c>
      <c r="M101" s="3" t="str">
        <f ca="1">IFERROR(__xludf.DUMMYFUNCTION("""COMPUTED_VALUE"""),"reconhecer o acidente noticiado como um fato isolado.")</f>
        <v>reconhecer o acidente noticiado como um fato isolado.</v>
      </c>
      <c r="N101" s="3" t="str">
        <f ca="1">IFERROR(__xludf.DUMMYFUNCTION("""COMPUTED_VALUE"""),"responsabilizar o irmão da vítima pelo incidente ocorrido.")</f>
        <v>responsabilizar o irmão da vítima pelo incidente ocorrido.</v>
      </c>
      <c r="O101" s="3" t="str">
        <f ca="1">IFERROR(__xludf.DUMMYFUNCTION("""COMPUTED_VALUE"""),"apresentar versão diferente da notícia publicada pelo jornal.")</f>
        <v>apresentar versão diferente da notícia publicada pelo jornal.</v>
      </c>
      <c r="P101" s="3" t="str">
        <f ca="1">IFERROR(__xludf.DUMMYFUNCTION("""COMPUTED_VALUE"""),"expor sua indignação com a negligência de portadores de armas.")</f>
        <v>expor sua indignação com a negligência de portadores de armas.</v>
      </c>
      <c r="Q101" s="3" t="str">
        <f ca="1">IFERROR(__xludf.DUMMYFUNCTION("""COMPUTED_VALUE"""),"reforçar a necessidade de proibição do uso de armas por crianças.")</f>
        <v>reforçar a necessidade de proibição do uso de armas por crianças.</v>
      </c>
      <c r="R101" s="3"/>
      <c r="S101" s="3"/>
      <c r="T101" s="3"/>
      <c r="U101" s="3"/>
      <c r="V101" s="3"/>
      <c r="W101" s="3"/>
      <c r="X101" s="3"/>
      <c r="Y101" s="3"/>
      <c r="Z101" s="3"/>
    </row>
    <row r="102" spans="1:26" x14ac:dyDescent="0.2">
      <c r="A102" s="2" t="str">
        <f ca="1">IFERROR(__xludf.DUMMYFUNCTION("""COMPUTED_VALUE"""),"https://drive.google.com/open?id=11QZw9AwR3iac6mXk0ygtj_p2ZzGKGnxe")</f>
        <v>https://drive.google.com/open?id=11QZw9AwR3iac6mXk0ygtj_p2ZzGKGnxe</v>
      </c>
      <c r="B102" s="3" t="str">
        <f ca="1">IFERROR(__xludf.DUMMYFUNCTION("""COMPUTED_VALUE"""),"Enem")</f>
        <v>Enem</v>
      </c>
      <c r="C102" s="3">
        <f ca="1">IFERROR(__xludf.DUMMYFUNCTION("""COMPUTED_VALUE"""),2017)</f>
        <v>2017</v>
      </c>
      <c r="D102" s="3" t="str">
        <f ca="1">IFERROR(__xludf.DUMMYFUNCTION("""COMPUTED_VALUE"""),"Linguagens")</f>
        <v>Linguagens</v>
      </c>
      <c r="E102" s="3" t="str">
        <f ca="1">IFERROR(__xludf.DUMMYFUNCTION("""COMPUTED_VALUE"""),"Língua Estrangeira")</f>
        <v>Língua Estrangeira</v>
      </c>
      <c r="F102" s="3" t="str">
        <f ca="1">IFERROR(__xludf.DUMMYFUNCTION("""COMPUTED_VALUE"""),"Inglês")</f>
        <v>Inglês</v>
      </c>
      <c r="G102" s="3"/>
      <c r="H102" s="3"/>
      <c r="I102" s="3" t="str">
        <f ca="1">IFERROR(__xludf.DUMMYFUNCTION("""COMPUTED_VALUE"""),"Azul")</f>
        <v>Azul</v>
      </c>
      <c r="J102" s="3">
        <f ca="1">IFERROR(__xludf.DUMMYFUNCTION("""COMPUTED_VALUE"""),5)</f>
        <v>5</v>
      </c>
      <c r="K102" s="3" t="str">
        <f ca="1">IFERROR(__xludf.DUMMYFUNCTION("""COMPUTED_VALUE"""),"E")</f>
        <v>E</v>
      </c>
      <c r="L102" s="3" t="str">
        <f ca="1">IFERROR(__xludf.DUMMYFUNCTION("""COMPUTED_VALUE"""),"Israel Travel Guide
Israel has always been a standout destination. From the days of prophets to the modern day nomad this tiny slice of land on the eastern Mediteranean has long attracted visitors. While some arrive in the “Holy Land'' on a spiritual que"&amp;"st, many others are on cultural tours, beach holidays and eco-tourism trips. Weeding through Israel’s convoluted history is both exhilarating and exhausting. There are crumbling temples, ruined cities, abandoned forts and hundreds of places associated wit"&amp;"h the Bible. And while a sense of adventure is required, most sites are safe and easily accessible. Most of all, Israel is about its incredibly diverse population. Jews come from all over the world to live here, while about 20% of the population is Muslim"&amp;". Politics are hard to get away from in Israel as everyone has an opinion on how to move the country forward — with a ready ear you’re sure to hear opinions from every side of the political spectrum.
Antes de viajar, turistas geralmente buscam informaçõe"&amp;"s sobre o local para onde pretendem ir. O trecho do guia de viagens de Israel
")</f>
        <v xml:space="preserve">Israel Travel Guide
Israel has always been a standout destination. From the days of prophets to the modern day nomad this tiny slice of land on the eastern Mediteranean has long attracted visitors. While some arrive in the “Holy Land'' on a spiritual quest, many others are on cultural tours, beach holidays and eco-tourism trips. Weeding through Israel’s convoluted history is both exhilarating and exhausting. There are crumbling temples, ruined cities, abandoned forts and hundreds of places associated with the Bible. And while a sense of adventure is required, most sites are safe and easily accessible. Most of all, Israel is about its incredibly diverse population. Jews come from all over the world to live here, while about 20% of the population is Muslim. Politics are hard to get away from in Israel as everyone has an opinion on how to move the country forward — with a ready ear you’re sure to hear opinions from every side of the political spectrum.
Antes de viajar, turistas geralmente buscam informações sobre o local para onde pretendem ir. O trecho do guia de viagens de Israel
</v>
      </c>
      <c r="M102" s="3" t="str">
        <f ca="1">IFERROR(__xludf.DUMMYFUNCTION("""COMPUTED_VALUE"""),"descreve a história desse local para que turistas valorizem seus costumes milenares.")</f>
        <v>descreve a história desse local para que turistas valorizem seus costumes milenares.</v>
      </c>
      <c r="N102" s="3" t="str">
        <f ca="1">IFERROR(__xludf.DUMMYFUNCTION("""COMPUTED_VALUE"""),"informa hábitos religiosos para auxiliar turistas a entenderem as diferenças culturais.")</f>
        <v>informa hábitos religiosos para auxiliar turistas a entenderem as diferenças culturais.</v>
      </c>
      <c r="O102" s="3" t="str">
        <f ca="1">IFERROR(__xludf.DUMMYFUNCTION("""COMPUTED_VALUE"""),"divulga os principais pontos turísticos para ajudar turistas a planejarem sua viagem.")</f>
        <v>divulga os principais pontos turísticos para ajudar turistas a planejarem sua viagem.</v>
      </c>
      <c r="P102" s="3" t="str">
        <f ca="1">IFERROR(__xludf.DUMMYFUNCTION("""COMPUTED_VALUE"""),"recomenda medidas de segurança para alertar turistas sobre possíveis riscos locais.")</f>
        <v>recomenda medidas de segurança para alertar turistas sobre possíveis riscos locais.</v>
      </c>
      <c r="Q102" s="3" t="str">
        <f ca="1">IFERROR(__xludf.DUMMYFUNCTION("""COMPUTED_VALUE"""),"apresenta aspectos gerais da cultura do país para continuar a atrair turistas estrangeiros.")</f>
        <v>apresenta aspectos gerais da cultura do país para continuar a atrair turistas estrangeiros.</v>
      </c>
      <c r="R102" s="3"/>
      <c r="S102" s="3"/>
      <c r="T102" s="3"/>
      <c r="U102" s="3"/>
      <c r="V102" s="3"/>
      <c r="W102" s="3"/>
      <c r="X102" s="3"/>
      <c r="Y102" s="3"/>
      <c r="Z102" s="3"/>
    </row>
    <row r="103" spans="1:26" x14ac:dyDescent="0.2">
      <c r="A103" s="2" t="str">
        <f ca="1">IFERROR(__xludf.DUMMYFUNCTION("""COMPUTED_VALUE"""),"https://drive.google.com/open?id=1p13_hcjfbEhgGwgCS2UufCs9nEYsyeyy")</f>
        <v>https://drive.google.com/open?id=1p13_hcjfbEhgGwgCS2UufCs9nEYsyeyy</v>
      </c>
      <c r="B103" s="3" t="str">
        <f ca="1">IFERROR(__xludf.DUMMYFUNCTION("""COMPUTED_VALUE"""),"Enem")</f>
        <v>Enem</v>
      </c>
      <c r="C103" s="3">
        <f ca="1">IFERROR(__xludf.DUMMYFUNCTION("""COMPUTED_VALUE"""),2016)</f>
        <v>2016</v>
      </c>
      <c r="D103" s="3" t="str">
        <f ca="1">IFERROR(__xludf.DUMMYFUNCTION("""COMPUTED_VALUE"""),"Ciências Humanas")</f>
        <v>Ciências Humanas</v>
      </c>
      <c r="E103" s="3" t="str">
        <f ca="1">IFERROR(__xludf.DUMMYFUNCTION("""COMPUTED_VALUE"""),"História")</f>
        <v>História</v>
      </c>
      <c r="F103" s="3" t="str">
        <f ca="1">IFERROR(__xludf.DUMMYFUNCTION("""COMPUTED_VALUE"""),"História do Brasil")</f>
        <v>História do Brasil</v>
      </c>
      <c r="G103" s="3"/>
      <c r="H103" s="3"/>
      <c r="I103" s="3" t="str">
        <f ca="1">IFERROR(__xludf.DUMMYFUNCTION("""COMPUTED_VALUE"""),"Azul")</f>
        <v>Azul</v>
      </c>
      <c r="J103" s="3"/>
      <c r="K103" s="3" t="str">
        <f ca="1">IFERROR(__xludf.DUMMYFUNCTION("""COMPUTED_VALUE"""),"C")</f>
        <v>C</v>
      </c>
      <c r="L103" s="3" t="str">
        <f ca="1">IFERROR(__xludf.DUMMYFUNCTION("""COMPUTED_VALUE"""),"Batizado por Tancredo Neves de “Nova República”,
o período que marca o reencontro do Brasil com os
governos civis e a democracia ainda não completou
seu quinto ano e já viveu dias de grande comoção.
Começou com a tragédia de Tancredo, seguiu pela
euforia "&amp;"do Plano Cruzado, conheceu as depressões da inflação e das ameaças da hiperinflação e desembocou na movimentação que antecede as primeiras eleições
diretas para presidente em 29 anos.
O período descrito apresenta continuidades e rupturas
em relação à conj"&amp;"untura histórica anterior. Uma dessas
continuidades consistiu na")</f>
        <v>Batizado por Tancredo Neves de “Nova República”,
o período que marca o reencontro do Brasil com os
governos civis e a democracia ainda não completou
seu quinto ano e já viveu dias de grande comoção.
Começou com a tragédia de Tancredo, seguiu pela
euforia do Plano Cruzado, conheceu as depressões da inflação e das ameaças da hiperinflação e desembocou na movimentação que antecede as primeiras eleições
diretas para presidente em 29 anos.
O período descrito apresenta continuidades e rupturas
em relação à conjuntura histórica anterior. Uma dessas
continuidades consistiu na</v>
      </c>
      <c r="M103" s="3" t="str">
        <f ca="1">IFERROR(__xludf.DUMMYFUNCTION("""COMPUTED_VALUE"""),"representação do legislativo com a fórmula do
bipartidarismo.")</f>
        <v>representação do legislativo com a fórmula do
bipartidarismo.</v>
      </c>
      <c r="N103" s="3" t="str">
        <f ca="1">IFERROR(__xludf.DUMMYFUNCTION("""COMPUTED_VALUE"""),"detenção de lideranças populares por crimes de
subversão")</f>
        <v>detenção de lideranças populares por crimes de
subversão</v>
      </c>
      <c r="O103" s="3" t="str">
        <f ca="1">IFERROR(__xludf.DUMMYFUNCTION("""COMPUTED_VALUE"""),"presença de políticos com trajetórias no regime
autoritário")</f>
        <v>presença de políticos com trajetórias no regime
autoritário</v>
      </c>
      <c r="P103" s="3" t="str">
        <f ca="1">IFERROR(__xludf.DUMMYFUNCTION("""COMPUTED_VALUE"""),"prorrogação das restrições advindas dos atos
institucionais")</f>
        <v>prorrogação das restrições advindas dos atos
institucionais</v>
      </c>
      <c r="Q103" s="3" t="str">
        <f ca="1">IFERROR(__xludf.DUMMYFUNCTION("""COMPUTED_VALUE"""),"estabilidade da economia com o congelamento anual
de preços.")</f>
        <v>estabilidade da economia com o congelamento anual
de preços.</v>
      </c>
      <c r="R103" s="3"/>
      <c r="S103" s="3"/>
      <c r="T103" s="3"/>
      <c r="U103" s="3"/>
      <c r="V103" s="3"/>
      <c r="W103" s="3"/>
      <c r="X103" s="3"/>
      <c r="Y103" s="3"/>
      <c r="Z103" s="3"/>
    </row>
    <row r="104" spans="1:26" x14ac:dyDescent="0.2">
      <c r="A104" s="2" t="str">
        <f ca="1">IFERROR(__xludf.DUMMYFUNCTION("""COMPUTED_VALUE"""),"https://drive.google.com/open?id=1Y-0kNtJM9zL6o3vYwuBAev7jLQWuJ9pU")</f>
        <v>https://drive.google.com/open?id=1Y-0kNtJM9zL6o3vYwuBAev7jLQWuJ9pU</v>
      </c>
      <c r="B104" s="3" t="str">
        <f ca="1">IFERROR(__xludf.DUMMYFUNCTION("""COMPUTED_VALUE"""),"Enem")</f>
        <v>Enem</v>
      </c>
      <c r="C104" s="3">
        <f ca="1">IFERROR(__xludf.DUMMYFUNCTION("""COMPUTED_VALUE"""),2016)</f>
        <v>2016</v>
      </c>
      <c r="D104" s="3" t="str">
        <f ca="1">IFERROR(__xludf.DUMMYFUNCTION("""COMPUTED_VALUE"""),"Ciências Humanas")</f>
        <v>Ciências Humanas</v>
      </c>
      <c r="E104" s="3" t="str">
        <f ca="1">IFERROR(__xludf.DUMMYFUNCTION("""COMPUTED_VALUE"""),"História")</f>
        <v>História</v>
      </c>
      <c r="F104" s="3" t="str">
        <f ca="1">IFERROR(__xludf.DUMMYFUNCTION("""COMPUTED_VALUE"""),"História do Brasil")</f>
        <v>História do Brasil</v>
      </c>
      <c r="G104" s="3"/>
      <c r="H104" s="3"/>
      <c r="I104" s="3" t="str">
        <f ca="1">IFERROR(__xludf.DUMMYFUNCTION("""COMPUTED_VALUE"""),"Azul")</f>
        <v>Azul</v>
      </c>
      <c r="J104" s="3"/>
      <c r="K104" s="3" t="str">
        <f ca="1">IFERROR(__xludf.DUMMYFUNCTION("""COMPUTED_VALUE"""),"C")</f>
        <v>C</v>
      </c>
      <c r="L104" s="3" t="str">
        <f ca="1">IFERROR(__xludf.DUMMYFUNCTION("""COMPUTED_VALUE"""),"Documentos do século XVI algumas vezes se
referem aos habitantes indígenas como “os brasis”,
ou “gente brasília” e, ocasionalmente no século
XVII, o termo “brasileiro” era a eles aplicado, mas as
referências ao status econômico e jurídico desses
eram muit"&amp;"o mais populares. Assim, os termos “negro
da terra” e “índios” eram utilizados com mais frequência
do que qualquer outro.
Índio é um conceito construído no processo de
conquista da América pelos europeus. Desinteressados
pela diversidade cultural, imbuído"&amp;"s de forte preconceito
para com o outro, o indivíduo de outras culturas,
espanhóis, portugueses, franceses e anglo-saxões
terminaram por denominar da mesma forma povos tão
díspares quanto os tupinambás e os astecas.
Ao comparar os textos, as formas de des"&amp;"ignação dos
grupos nativos pelos europeus, durante o período
analisado, são reveladoras da")</f>
        <v>Documentos do século XVI algumas vezes se
referem aos habitantes indígenas como “os brasis”,
ou “gente brasília” e, ocasionalmente no século
XVII, o termo “brasileiro” era a eles aplicado, mas as
referências ao status econômico e jurídico desses
eram muito mais populares. Assim, os termos “negro
da terra” e “índios” eram utilizados com mais frequência
do que qualquer outro.
Índio é um conceito construído no processo de
conquista da América pelos europeus. Desinteressados
pela diversidade cultural, imbuídos de forte preconceito
para com o outro, o indivíduo de outras culturas,
espanhóis, portugueses, franceses e anglo-saxões
terminaram por denominar da mesma forma povos tão
díspares quanto os tupinambás e os astecas.
Ao comparar os textos, as formas de designação dos
grupos nativos pelos europeus, durante o período
analisado, são reveladoras da</v>
      </c>
      <c r="M104" s="3" t="str">
        <f ca="1">IFERROR(__xludf.DUMMYFUNCTION("""COMPUTED_VALUE"""),"concepção idealizada do território, entendido como
geograficamente indiferenciado")</f>
        <v>concepção idealizada do território, entendido como
geograficamente indiferenciado</v>
      </c>
      <c r="N104" s="3" t="str">
        <f ca="1">IFERROR(__xludf.DUMMYFUNCTION("""COMPUTED_VALUE"""),"percepção corrente de uma ancestralidade comum às
populações ameríndias.")</f>
        <v>percepção corrente de uma ancestralidade comum às
populações ameríndias.</v>
      </c>
      <c r="O104" s="3" t="str">
        <f ca="1">IFERROR(__xludf.DUMMYFUNCTION("""COMPUTED_VALUE"""),"compreensão etnocêntrica acerca das populações
dos territórios conquistados.")</f>
        <v>compreensão etnocêntrica acerca das populações
dos territórios conquistados.</v>
      </c>
      <c r="P104" s="3" t="str">
        <f ca="1">IFERROR(__xludf.DUMMYFUNCTION("""COMPUTED_VALUE"""),"transposição direta das categorias originadas no
imaginário medieval.")</f>
        <v>transposição direta das categorias originadas no
imaginário medieval.</v>
      </c>
      <c r="Q104" s="3" t="str">
        <f ca="1">IFERROR(__xludf.DUMMYFUNCTION("""COMPUTED_VALUE"""),"visão utópica configurada a partir de fantasias de riqueza.")</f>
        <v>visão utópica configurada a partir de fantasias de riqueza.</v>
      </c>
      <c r="R104" s="3"/>
      <c r="S104" s="3"/>
      <c r="T104" s="3"/>
      <c r="U104" s="3"/>
      <c r="V104" s="3"/>
      <c r="W104" s="3"/>
      <c r="X104" s="3"/>
      <c r="Y104" s="3"/>
      <c r="Z104" s="3"/>
    </row>
    <row r="105" spans="1:26" x14ac:dyDescent="0.2">
      <c r="A105" s="2" t="str">
        <f ca="1">IFERROR(__xludf.DUMMYFUNCTION("""COMPUTED_VALUE"""),"https://drive.google.com/open?id=1GZ6mZzL0cbpOEbvnmBa9hQ2qupBULvwI")</f>
        <v>https://drive.google.com/open?id=1GZ6mZzL0cbpOEbvnmBa9hQ2qupBULvwI</v>
      </c>
      <c r="B105" s="3" t="str">
        <f ca="1">IFERROR(__xludf.DUMMYFUNCTION("""COMPUTED_VALUE"""),"Enem")</f>
        <v>Enem</v>
      </c>
      <c r="C105" s="3">
        <f ca="1">IFERROR(__xludf.DUMMYFUNCTION("""COMPUTED_VALUE"""),2016)</f>
        <v>2016</v>
      </c>
      <c r="D105" s="3" t="str">
        <f ca="1">IFERROR(__xludf.DUMMYFUNCTION("""COMPUTED_VALUE"""),"Ciências Humanas")</f>
        <v>Ciências Humanas</v>
      </c>
      <c r="E105" s="3" t="str">
        <f ca="1">IFERROR(__xludf.DUMMYFUNCTION("""COMPUTED_VALUE"""),"História")</f>
        <v>História</v>
      </c>
      <c r="F105" s="3" t="str">
        <f ca="1">IFERROR(__xludf.DUMMYFUNCTION("""COMPUTED_VALUE"""),"Atualidade")</f>
        <v>Atualidade</v>
      </c>
      <c r="G105" s="3"/>
      <c r="H105" s="3"/>
      <c r="I105" s="3" t="str">
        <f ca="1">IFERROR(__xludf.DUMMYFUNCTION("""COMPUTED_VALUE"""),"Azul")</f>
        <v>Azul</v>
      </c>
      <c r="J105" s="3"/>
      <c r="K105" s="3" t="str">
        <f ca="1">IFERROR(__xludf.DUMMYFUNCTION("""COMPUTED_VALUE"""),"D")</f>
        <v>D</v>
      </c>
      <c r="L105" s="3" t="str">
        <f ca="1">IFERROR(__xludf.DUMMYFUNCTION("""COMPUTED_VALUE"""),"Metade da nova equipe da Nasa
é composta por mulheres
Até hoje, cerca de 350 astronautas americanos
já estiveram no espaço, enquanto as mulheres não
chegam a ser um terço desse número. Após o anúncio
da turma composta 50% por mulheres, alguns internautas
"&amp;"escreveram comentários machistas e desrespeitosos
sobre a escolha nas redes sociais.
A comparação entre o anúncio publicitário de 1968 e a
repercussão da notícia de 2016 mostra a")</f>
        <v>Metade da nova equipe da Nasa
é composta por mulheres
Até hoje, cerca de 350 astronautas americanos
já estiveram no espaço, enquanto as mulheres não
chegam a ser um terço desse número. Após o anúncio
da turma composta 50% por mulheres, alguns internautas
escreveram comentários machistas e desrespeitosos
sobre a escolha nas redes sociais.
A comparação entre o anúncio publicitário de 1968 e a
repercussão da notícia de 2016 mostra a</v>
      </c>
      <c r="M105" s="3" t="str">
        <f ca="1">IFERROR(__xludf.DUMMYFUNCTION("""COMPUTED_VALUE"""),"elitização da atividade doméstica ")</f>
        <v xml:space="preserve">elitização da atividade doméstica </v>
      </c>
      <c r="N105" s="3" t="str">
        <f ca="1">IFERROR(__xludf.DUMMYFUNCTION("""COMPUTED_VALUE"""),"qualificação da atividade doméstica")</f>
        <v>qualificação da atividade doméstica</v>
      </c>
      <c r="O105" s="3" t="str">
        <f ca="1">IFERROR(__xludf.DUMMYFUNCTION("""COMPUTED_VALUE"""),"ambição de indústrias patrocinadoras.")</f>
        <v>ambição de indústrias patrocinadoras.</v>
      </c>
      <c r="P105" s="3" t="str">
        <f ca="1">IFERROR(__xludf.DUMMYFUNCTION("""COMPUTED_VALUE"""),"manutenção de estereótipos de gênero.")</f>
        <v>manutenção de estereótipos de gênero.</v>
      </c>
      <c r="Q105" s="3" t="str">
        <f ca="1">IFERROR(__xludf.DUMMYFUNCTION("""COMPUTED_VALUE"""),"equiparação de papéis nas relações familiares.")</f>
        <v>equiparação de papéis nas relações familiares.</v>
      </c>
      <c r="R105" s="3"/>
      <c r="S105" s="3"/>
      <c r="T105" s="3"/>
      <c r="U105" s="3"/>
      <c r="V105" s="3"/>
      <c r="W105" s="3"/>
      <c r="X105" s="3"/>
      <c r="Y105" s="3"/>
      <c r="Z105" s="3"/>
    </row>
    <row r="106" spans="1:26" x14ac:dyDescent="0.2">
      <c r="A106" s="2" t="str">
        <f ca="1">IFERROR(__xludf.DUMMYFUNCTION("""COMPUTED_VALUE"""),"https://drive.google.com/open?id=1BHVWnXWsSVxHdyjuHS2IVNlrSYfPT9cZ")</f>
        <v>https://drive.google.com/open?id=1BHVWnXWsSVxHdyjuHS2IVNlrSYfPT9cZ</v>
      </c>
      <c r="B106" s="3" t="str">
        <f ca="1">IFERROR(__xludf.DUMMYFUNCTION("""COMPUTED_VALUE"""),"Enem")</f>
        <v>Enem</v>
      </c>
      <c r="C106" s="3">
        <f ca="1">IFERROR(__xludf.DUMMYFUNCTION("""COMPUTED_VALUE"""),2016)</f>
        <v>2016</v>
      </c>
      <c r="D106" s="3" t="str">
        <f ca="1">IFERROR(__xludf.DUMMYFUNCTION("""COMPUTED_VALUE"""),"Ciências Humanas")</f>
        <v>Ciências Humanas</v>
      </c>
      <c r="E106" s="3" t="str">
        <f ca="1">IFERROR(__xludf.DUMMYFUNCTION("""COMPUTED_VALUE"""),"História")</f>
        <v>História</v>
      </c>
      <c r="F106" s="3" t="str">
        <f ca="1">IFERROR(__xludf.DUMMYFUNCTION("""COMPUTED_VALUE"""),"História do Brasil")</f>
        <v>História do Brasil</v>
      </c>
      <c r="G106" s="3"/>
      <c r="H106" s="3"/>
      <c r="I106" s="3" t="str">
        <f ca="1">IFERROR(__xludf.DUMMYFUNCTION("""COMPUTED_VALUE"""),"Azul")</f>
        <v>Azul</v>
      </c>
      <c r="J106" s="3"/>
      <c r="K106" s="3" t="str">
        <f ca="1">IFERROR(__xludf.DUMMYFUNCTION("""COMPUTED_VALUE"""),"C")</f>
        <v>C</v>
      </c>
      <c r="L106" s="3" t="str">
        <f ca="1">IFERROR(__xludf.DUMMYFUNCTION("""COMPUTED_VALUE"""),"A África Ocidental é conhecida pela dinâmica das
suas mulheres comerciantes, caracterizadas pela perícia,
autonomia e mobilidade. A sua presença, que fora
atestada por viajantes e por missionários portugueses que
visitaram a costa a partir do século XV, c"&amp;"onsta também na
ampla documentação sobre a região. A literatura é rica
em referências às grandes mulheres como as vendedoras
ambulantes, cujo jeito para o negócio, bem como a
autonomia e mobilidade, é tão típico da região.
A abordagem realizada pelo autor"&amp;" sobre a vida social da
África Ocidental pode ser relacionada a uma característica
marcante das cidades no Brasil escravista nos séculos
XVIII e XIX, que se observa pela
")</f>
        <v xml:space="preserve">A África Ocidental é conhecida pela dinâmica das
suas mulheres comerciantes, caracterizadas pela perícia,
autonomia e mobilidade. A sua presença, que fora
atestada por viajantes e por missionários portugueses que
visitaram a costa a partir do século XV, consta também na
ampla documentação sobre a região. A literatura é rica
em referências às grandes mulheres como as vendedoras
ambulantes, cujo jeito para o negócio, bem como a
autonomia e mobilidade, é tão típico da região.
A abordagem realizada pelo autor sobre a vida social da
África Ocidental pode ser relacionada a uma característica
marcante das cidades no Brasil escravista nos séculos
XVIII e XIX, que se observa pela
</v>
      </c>
      <c r="M106" s="3" t="str">
        <f ca="1">IFERROR(__xludf.DUMMYFUNCTION("""COMPUTED_VALUE"""),"restrição à realização do comércio ambulante por
africanos escravizados e seus descendentes.")</f>
        <v>restrição à realização do comércio ambulante por
africanos escravizados e seus descendentes.</v>
      </c>
      <c r="N106" s="3" t="str">
        <f ca="1">IFERROR(__xludf.DUMMYFUNCTION("""COMPUTED_VALUE"""),"convivência entre homens e mulheres livres, de
diversas origens, no pequeno comércio")</f>
        <v>convivência entre homens e mulheres livres, de
diversas origens, no pequeno comércio</v>
      </c>
      <c r="O106" s="3" t="str">
        <f ca="1">IFERROR(__xludf.DUMMYFUNCTION("""COMPUTED_VALUE"""),"presença de mulheres negras no comércio de rua de
diversos produtos e alimentos")</f>
        <v>presença de mulheres negras no comércio de rua de
diversos produtos e alimentos</v>
      </c>
      <c r="P106" s="3" t="str">
        <f ca="1">IFERROR(__xludf.DUMMYFUNCTION("""COMPUTED_VALUE"""),"dissolução dos hábitos culturais trazidos do continente
de origem dos escravizados.")</f>
        <v>dissolução dos hábitos culturais trazidos do continente
de origem dos escravizados.</v>
      </c>
      <c r="Q106" s="3" t="str">
        <f ca="1">IFERROR(__xludf.DUMMYFUNCTION("""COMPUTED_VALUE"""),"entrada de imigrantes portugueses nas atividades
ligadas ao pequeno comércio urbano.")</f>
        <v>entrada de imigrantes portugueses nas atividades
ligadas ao pequeno comércio urbano.</v>
      </c>
      <c r="R106" s="3"/>
      <c r="S106" s="3"/>
      <c r="T106" s="3"/>
      <c r="U106" s="3"/>
      <c r="V106" s="3"/>
      <c r="W106" s="3"/>
      <c r="X106" s="3"/>
      <c r="Y106" s="3"/>
      <c r="Z106" s="3"/>
    </row>
    <row r="107" spans="1:26" x14ac:dyDescent="0.2">
      <c r="A107" s="2" t="str">
        <f ca="1">IFERROR(__xludf.DUMMYFUNCTION("""COMPUTED_VALUE"""),"https://drive.google.com/open?id=1jcogJRrj8WE2o8CODTYkZ5i4SFH7wzkx")</f>
        <v>https://drive.google.com/open?id=1jcogJRrj8WE2o8CODTYkZ5i4SFH7wzkx</v>
      </c>
      <c r="B107" s="3" t="str">
        <f ca="1">IFERROR(__xludf.DUMMYFUNCTION("""COMPUTED_VALUE"""),"Enem")</f>
        <v>Enem</v>
      </c>
      <c r="C107" s="3">
        <f ca="1">IFERROR(__xludf.DUMMYFUNCTION("""COMPUTED_VALUE"""),2016)</f>
        <v>2016</v>
      </c>
      <c r="D107" s="3" t="str">
        <f ca="1">IFERROR(__xludf.DUMMYFUNCTION("""COMPUTED_VALUE"""),"Ciências Humanas")</f>
        <v>Ciências Humanas</v>
      </c>
      <c r="E107" s="3" t="str">
        <f ca="1">IFERROR(__xludf.DUMMYFUNCTION("""COMPUTED_VALUE"""),"História")</f>
        <v>História</v>
      </c>
      <c r="F107" s="3" t="str">
        <f ca="1">IFERROR(__xludf.DUMMYFUNCTION("""COMPUTED_VALUE"""),"História Geral")</f>
        <v>História Geral</v>
      </c>
      <c r="G107" s="3"/>
      <c r="H107" s="3"/>
      <c r="I107" s="3" t="str">
        <f ca="1">IFERROR(__xludf.DUMMYFUNCTION("""COMPUTED_VALUE"""),"Azul")</f>
        <v>Azul</v>
      </c>
      <c r="J107" s="3"/>
      <c r="K107" s="3" t="str">
        <f ca="1">IFERROR(__xludf.DUMMYFUNCTION("""COMPUTED_VALUE"""),"C")</f>
        <v>C</v>
      </c>
      <c r="L107" s="3" t="str">
        <f ca="1">IFERROR(__xludf.DUMMYFUNCTION("""COMPUTED_VALUE"""),"Quanto mais complicada se tornou a produção
industrial, mais numerosos passaram a ser os elementos
da indústria que exigiam garantia de fornecimento.
Três deles eram de importância fundamental: o trabalho,
a terra e o dinheiro. Numa sociedade comercial, e"&amp;"sse
fornecimento só poderia ser organizado de uma forma:
tornando-os disponíveis à compra. Agora eles tinham que
ser organizados para a venda no mercado. Isso estava
de acordo com a exigência de um sistema de mercado.
Sabemos que em um sistema como esse, "&amp;"os lucros só
podem ser assegurados se se garante a autorregulação
por meio de mercados competitivos interdependentes
A consequência do processo de transformação
socioeconômica abordado no texto é a")</f>
        <v>Quanto mais complicada se tornou a produção
industrial, mais numerosos passaram a ser os elementos
da indústria que exigiam garantia de fornecimento.
Três deles eram de importância fundamental: o trabalho,
a terra e o dinheiro. Numa sociedade comercial, esse
fornecimento só poderia ser organizado de uma forma:
tornando-os disponíveis à compra. Agora eles tinham que
ser organizados para a venda no mercado. Isso estava
de acordo com a exigência de um sistema de mercado.
Sabemos que em um sistema como esse, os lucros só
podem ser assegurados se se garante a autorregulação
por meio de mercados competitivos interdependentes
A consequência do processo de transformação
socioeconômica abordado no texto é a</v>
      </c>
      <c r="M107" s="3" t="str">
        <f ca="1">IFERROR(__xludf.DUMMYFUNCTION("""COMPUTED_VALUE"""),"expansão das terras comunais.")</f>
        <v>expansão das terras comunais.</v>
      </c>
      <c r="N107" s="3" t="str">
        <f ca="1">IFERROR(__xludf.DUMMYFUNCTION("""COMPUTED_VALUE"""),"limitação do mercado como meio de especulação")</f>
        <v>limitação do mercado como meio de especulação</v>
      </c>
      <c r="O107" s="3" t="str">
        <f ca="1">IFERROR(__xludf.DUMMYFUNCTION("""COMPUTED_VALUE"""),"consolidação da força de trabalho como mercadoria.")</f>
        <v>consolidação da força de trabalho como mercadoria.</v>
      </c>
      <c r="P107" s="3" t="str">
        <f ca="1">IFERROR(__xludf.DUMMYFUNCTION("""COMPUTED_VALUE"""),"diminuição do comércio como efeito da industrialização")</f>
        <v>diminuição do comércio como efeito da industrialização</v>
      </c>
      <c r="Q107" s="3" t="str">
        <f ca="1">IFERROR(__xludf.DUMMYFUNCTION("""COMPUTED_VALUE"""),"adequação do dinheiro como elemento padrão
das transações.")</f>
        <v>adequação do dinheiro como elemento padrão
das transações.</v>
      </c>
      <c r="R107" s="3"/>
      <c r="S107" s="3"/>
      <c r="T107" s="3"/>
      <c r="U107" s="3"/>
      <c r="V107" s="3"/>
      <c r="W107" s="3"/>
      <c r="X107" s="3"/>
      <c r="Y107" s="3"/>
      <c r="Z107" s="3"/>
    </row>
    <row r="108" spans="1:26" x14ac:dyDescent="0.2">
      <c r="A108" s="2" t="str">
        <f ca="1">IFERROR(__xludf.DUMMYFUNCTION("""COMPUTED_VALUE"""),"https://drive.google.com/open?id=1BO3b--hkAHXvopUSKRGe90BVssQ9uwb6")</f>
        <v>https://drive.google.com/open?id=1BO3b--hkAHXvopUSKRGe90BVssQ9uwb6</v>
      </c>
      <c r="B108" s="3" t="str">
        <f ca="1">IFERROR(__xludf.DUMMYFUNCTION("""COMPUTED_VALUE"""),"Enem")</f>
        <v>Enem</v>
      </c>
      <c r="C108" s="3">
        <f ca="1">IFERROR(__xludf.DUMMYFUNCTION("""COMPUTED_VALUE"""),2016)</f>
        <v>2016</v>
      </c>
      <c r="D108" s="3" t="str">
        <f ca="1">IFERROR(__xludf.DUMMYFUNCTION("""COMPUTED_VALUE"""),"Ciências Humanas")</f>
        <v>Ciências Humanas</v>
      </c>
      <c r="E108" s="3" t="str">
        <f ca="1">IFERROR(__xludf.DUMMYFUNCTION("""COMPUTED_VALUE"""),"História")</f>
        <v>História</v>
      </c>
      <c r="F108" s="3" t="str">
        <f ca="1">IFERROR(__xludf.DUMMYFUNCTION("""COMPUTED_VALUE"""),"História do Brasil")</f>
        <v>História do Brasil</v>
      </c>
      <c r="G108" s="3"/>
      <c r="H108" s="3"/>
      <c r="I108" s="3" t="str">
        <f ca="1">IFERROR(__xludf.DUMMYFUNCTION("""COMPUTED_VALUE"""),"Azul")</f>
        <v>Azul</v>
      </c>
      <c r="J108" s="3">
        <f ca="1">IFERROR(__xludf.DUMMYFUNCTION("""COMPUTED_VALUE"""),10)</f>
        <v>10</v>
      </c>
      <c r="K108" s="3" t="str">
        <f ca="1">IFERROR(__xludf.DUMMYFUNCTION("""COMPUTED_VALUE"""),"B")</f>
        <v>B</v>
      </c>
      <c r="L108" s="3" t="str">
        <f ca="1">IFERROR(__xludf.DUMMYFUNCTION("""COMPUTED_VALUE"""),"O que ocorreu na Bahia de 1798, ao contrário das
outras situações de contestação política na América
portuguesa, é que o projeto que lhe era subjacente
não tocou somente na condição, ou no instrumento, da
integração subordinada das colônias no império lus"&amp;"o.
Dessa feita, ao contrário do que se deu nas Minas Gerais
(1789), a sedição avançou sobre a sua decorrência.
A diferença entre as sedições abordadas no texto
encontrava-se na pretensão de")</f>
        <v>O que ocorreu na Bahia de 1798, ao contrário das
outras situações de contestação política na América
portuguesa, é que o projeto que lhe era subjacente
não tocou somente na condição, ou no instrumento, da
integração subordinada das colônias no império luso.
Dessa feita, ao contrário do que se deu nas Minas Gerais
(1789), a sedição avançou sobre a sua decorrência.
A diferença entre as sedições abordadas no texto
encontrava-se na pretensão de</v>
      </c>
      <c r="M108" s="3" t="str">
        <f ca="1">IFERROR(__xludf.DUMMYFUNCTION("""COMPUTED_VALUE"""),"eliminar a hierarquia militar.")</f>
        <v>eliminar a hierarquia militar.</v>
      </c>
      <c r="N108" s="3" t="str">
        <f ca="1">IFERROR(__xludf.DUMMYFUNCTION("""COMPUTED_VALUE"""),"abolir a escravidão africana")</f>
        <v>abolir a escravidão africana</v>
      </c>
      <c r="O108" s="3" t="str">
        <f ca="1">IFERROR(__xludf.DUMMYFUNCTION("""COMPUTED_VALUE"""),"anular o domínio metropolitano")</f>
        <v>anular o domínio metropolitano</v>
      </c>
      <c r="P108" s="3" t="str">
        <f ca="1">IFERROR(__xludf.DUMMYFUNCTION("""COMPUTED_VALUE"""),"suprimir a propriedade fundiária.")</f>
        <v>suprimir a propriedade fundiária.</v>
      </c>
      <c r="Q108" s="3" t="str">
        <f ca="1">IFERROR(__xludf.DUMMYFUNCTION("""COMPUTED_VALUE"""),"extinguir o absolutismo monárquico.")</f>
        <v>extinguir o absolutismo monárquico.</v>
      </c>
      <c r="R108" s="3"/>
      <c r="S108" s="3"/>
      <c r="T108" s="3"/>
      <c r="U108" s="3"/>
      <c r="V108" s="3"/>
      <c r="W108" s="3"/>
      <c r="X108" s="3"/>
      <c r="Y108" s="3"/>
      <c r="Z108" s="3"/>
    </row>
    <row r="109" spans="1:26" x14ac:dyDescent="0.2">
      <c r="A109" s="2" t="str">
        <f ca="1">IFERROR(__xludf.DUMMYFUNCTION("""COMPUTED_VALUE"""),"https://drive.google.com/open?id=137fgTpOFGX32bK_DpeGGIC-ov595TO17")</f>
        <v>https://drive.google.com/open?id=137fgTpOFGX32bK_DpeGGIC-ov595TO17</v>
      </c>
      <c r="B109" s="3" t="str">
        <f ca="1">IFERROR(__xludf.DUMMYFUNCTION("""COMPUTED_VALUE"""),"Enem")</f>
        <v>Enem</v>
      </c>
      <c r="C109" s="3">
        <f ca="1">IFERROR(__xludf.DUMMYFUNCTION("""COMPUTED_VALUE"""),2016)</f>
        <v>2016</v>
      </c>
      <c r="D109" s="3" t="str">
        <f ca="1">IFERROR(__xludf.DUMMYFUNCTION("""COMPUTED_VALUE"""),"Ciências Humanas")</f>
        <v>Ciências Humanas</v>
      </c>
      <c r="E109" s="3" t="str">
        <f ca="1">IFERROR(__xludf.DUMMYFUNCTION("""COMPUTED_VALUE"""),"História")</f>
        <v>História</v>
      </c>
      <c r="F109" s="3" t="str">
        <f ca="1">IFERROR(__xludf.DUMMYFUNCTION("""COMPUTED_VALUE"""),"Atualidade")</f>
        <v>Atualidade</v>
      </c>
      <c r="G109" s="3"/>
      <c r="H109" s="3"/>
      <c r="I109" s="3" t="str">
        <f ca="1">IFERROR(__xludf.DUMMYFUNCTION("""COMPUTED_VALUE"""),"Azul")</f>
        <v>Azul</v>
      </c>
      <c r="J109" s="3">
        <f ca="1">IFERROR(__xludf.DUMMYFUNCTION("""COMPUTED_VALUE"""),11)</f>
        <v>11</v>
      </c>
      <c r="K109" s="3" t="str">
        <f ca="1">IFERROR(__xludf.DUMMYFUNCTION("""COMPUTED_VALUE"""),"E")</f>
        <v>E</v>
      </c>
      <c r="L109" s="3" t="str">
        <f ca="1">IFERROR(__xludf.DUMMYFUNCTION("""COMPUTED_VALUE"""),"A eleição dos novos bens, ou melhor, de novas
formas de se conceber a condição do patrimônio cultural
nacional, também permite que diferentes grupos sociais,
utilizando as leis do Estado e o apoio de especialistas,
revejam as imagens e alegorias do seu pa"&amp;"ssado, do que querem guardar e definir como próprio e identitário
O texto chama a atenção para a importância da proteção
de bens que, como aquele apresentado na imagem, se
identificam como:
")</f>
        <v xml:space="preserve">A eleição dos novos bens, ou melhor, de novas
formas de se conceber a condição do patrimônio cultural
nacional, também permite que diferentes grupos sociais,
utilizando as leis do Estado e o apoio de especialistas,
revejam as imagens e alegorias do seu passado, do que querem guardar e definir como próprio e identitário
O texto chama a atenção para a importância da proteção
de bens que, como aquele apresentado na imagem, se
identificam como:
</v>
      </c>
      <c r="M109" s="3" t="str">
        <f ca="1">IFERROR(__xludf.DUMMYFUNCTION("""COMPUTED_VALUE"""),"Artefatos sagrados")</f>
        <v>Artefatos sagrados</v>
      </c>
      <c r="N109" s="3" t="str">
        <f ca="1">IFERROR(__xludf.DUMMYFUNCTION("""COMPUTED_VALUE"""),"Heranças materiais")</f>
        <v>Heranças materiais</v>
      </c>
      <c r="O109" s="3" t="str">
        <f ca="1">IFERROR(__xludf.DUMMYFUNCTION("""COMPUTED_VALUE"""),"Objetos arqueológicos")</f>
        <v>Objetos arqueológicos</v>
      </c>
      <c r="P109" s="3" t="str">
        <f ca="1">IFERROR(__xludf.DUMMYFUNCTION("""COMPUTED_VALUE"""),"Peças comercializáveis")</f>
        <v>Peças comercializáveis</v>
      </c>
      <c r="Q109" s="3" t="str">
        <f ca="1">IFERROR(__xludf.DUMMYFUNCTION("""COMPUTED_VALUE"""),"Conhecimentos tradicionais")</f>
        <v>Conhecimentos tradicionais</v>
      </c>
      <c r="R109" s="3"/>
      <c r="S109" s="3"/>
      <c r="T109" s="3"/>
      <c r="U109" s="3"/>
      <c r="V109" s="3"/>
      <c r="W109" s="3"/>
      <c r="X109" s="3"/>
      <c r="Y109" s="3"/>
      <c r="Z109" s="3"/>
    </row>
    <row r="110" spans="1:26" x14ac:dyDescent="0.2">
      <c r="A110" s="2" t="str">
        <f ca="1">IFERROR(__xludf.DUMMYFUNCTION("""COMPUTED_VALUE"""),"https://drive.google.com/open?id=10zZxHII0ar3JqDtJD1b2ROfNwWFhvq13")</f>
        <v>https://drive.google.com/open?id=10zZxHII0ar3JqDtJD1b2ROfNwWFhvq13</v>
      </c>
      <c r="B110" s="3" t="str">
        <f ca="1">IFERROR(__xludf.DUMMYFUNCTION("""COMPUTED_VALUE"""),"Enem")</f>
        <v>Enem</v>
      </c>
      <c r="C110" s="3">
        <f ca="1">IFERROR(__xludf.DUMMYFUNCTION("""COMPUTED_VALUE"""),2016)</f>
        <v>2016</v>
      </c>
      <c r="D110" s="3" t="str">
        <f ca="1">IFERROR(__xludf.DUMMYFUNCTION("""COMPUTED_VALUE"""),"Ciências Humanas")</f>
        <v>Ciências Humanas</v>
      </c>
      <c r="E110" s="3" t="str">
        <f ca="1">IFERROR(__xludf.DUMMYFUNCTION("""COMPUTED_VALUE"""),"História")</f>
        <v>História</v>
      </c>
      <c r="F110" s="3" t="str">
        <f ca="1">IFERROR(__xludf.DUMMYFUNCTION("""COMPUTED_VALUE"""),"História do Brasil")</f>
        <v>História do Brasil</v>
      </c>
      <c r="G110" s="3"/>
      <c r="H110" s="3"/>
      <c r="I110" s="3" t="str">
        <f ca="1">IFERROR(__xludf.DUMMYFUNCTION("""COMPUTED_VALUE"""),"Azul")</f>
        <v>Azul</v>
      </c>
      <c r="J110" s="3">
        <f ca="1">IFERROR(__xludf.DUMMYFUNCTION("""COMPUTED_VALUE"""),13)</f>
        <v>13</v>
      </c>
      <c r="K110" s="3" t="str">
        <f ca="1">IFERROR(__xludf.DUMMYFUNCTION("""COMPUTED_VALUE"""),"D")</f>
        <v>D</v>
      </c>
      <c r="L110" s="3" t="str">
        <f ca="1">IFERROR(__xludf.DUMMYFUNCTION("""COMPUTED_VALUE"""),"A Operação Condor está diretamente vinculada
às experiências históricas das ditaduras civil-militares
que se disseminaram pelo Cone Sul entre as décadas
de 1960 e 1980. Depois do Brasil (e do Paraguai de
Stroessner), foi a vez da Argentina (1966), Bolívia"&amp;"
(1966 e 1971), Uruguai e Chile (1973) e Argentina
(novamente, em 1976). Em todos os casos se
instalaram ditaduras civil-militares (em menor ou
maior medida) com base na Doutrina de Segurança
Nacional e tendo como principais características um
anticomunis"&amp;"mo militante, a identificação do inimigo
interno, a imposição do papel político das Forças
Armadas e a definição de fronteiras ideológicas.
Levando-se em conta o contexto em que foi criada, a
referida operação tinha como objetivo coordenar a")</f>
        <v>A Operação Condor está diretamente vinculada
às experiências históricas das ditaduras civil-militares
que se disseminaram pelo Cone Sul entre as décadas
de 1960 e 1980. Depois do Brasil (e do Paraguai de
Stroessner), foi a vez da Argentina (1966), Bolívia
(1966 e 1971), Uruguai e Chile (1973) e Argentina
(novamente, em 1976). Em todos os casos se
instalaram ditaduras civil-militares (em menor ou
maior medida) com base na Doutrina de Segurança
Nacional e tendo como principais características um
anticomunismo militante, a identificação do inimigo
interno, a imposição do papel político das Forças
Armadas e a definição de fronteiras ideológicas.
Levando-se em conta o contexto em que foi criada, a
referida operação tinha como objetivo coordenar a</v>
      </c>
      <c r="M110" s="3" t="str">
        <f ca="1">IFERROR(__xludf.DUMMYFUNCTION("""COMPUTED_VALUE"""),"modificação de limites territoriais")</f>
        <v>modificação de limites territoriais</v>
      </c>
      <c r="N110" s="3" t="str">
        <f ca="1">IFERROR(__xludf.DUMMYFUNCTION("""COMPUTED_VALUE"""),"sobrevivência de oficiais exilados ")</f>
        <v xml:space="preserve">sobrevivência de oficiais exilados </v>
      </c>
      <c r="O110" s="3" t="str">
        <f ca="1">IFERROR(__xludf.DUMMYFUNCTION("""COMPUTED_VALUE"""),"interferência de potências mundiais")</f>
        <v>interferência de potências mundiais</v>
      </c>
      <c r="P110" s="3" t="str">
        <f ca="1">IFERROR(__xludf.DUMMYFUNCTION("""COMPUTED_VALUE"""),"repressão de ativistas oposicionistas ")</f>
        <v xml:space="preserve">repressão de ativistas oposicionistas </v>
      </c>
      <c r="Q110" s="3" t="str">
        <f ca="1">IFERROR(__xludf.DUMMYFUNCTION("""COMPUTED_VALUE"""),"implantação de governos nacionalistas")</f>
        <v>implantação de governos nacionalistas</v>
      </c>
      <c r="R110" s="3"/>
      <c r="S110" s="3"/>
      <c r="T110" s="3"/>
      <c r="U110" s="3"/>
      <c r="V110" s="3"/>
      <c r="W110" s="3"/>
      <c r="X110" s="3"/>
      <c r="Y110" s="3"/>
      <c r="Z110" s="3"/>
    </row>
    <row r="111" spans="1:26" x14ac:dyDescent="0.2">
      <c r="A111" s="2" t="str">
        <f ca="1">IFERROR(__xludf.DUMMYFUNCTION("""COMPUTED_VALUE"""),"https://drive.google.com/open?id=13YkTf8-O7GM6-87B19EMyB5QKd3yyOfj")</f>
        <v>https://drive.google.com/open?id=13YkTf8-O7GM6-87B19EMyB5QKd3yyOfj</v>
      </c>
      <c r="B111" s="3" t="str">
        <f ca="1">IFERROR(__xludf.DUMMYFUNCTION("""COMPUTED_VALUE"""),"Enem")</f>
        <v>Enem</v>
      </c>
      <c r="C111" s="3">
        <f ca="1">IFERROR(__xludf.DUMMYFUNCTION("""COMPUTED_VALUE"""),2016)</f>
        <v>2016</v>
      </c>
      <c r="D111" s="3" t="str">
        <f ca="1">IFERROR(__xludf.DUMMYFUNCTION("""COMPUTED_VALUE"""),"Ciências Humanas")</f>
        <v>Ciências Humanas</v>
      </c>
      <c r="E111" s="3" t="str">
        <f ca="1">IFERROR(__xludf.DUMMYFUNCTION("""COMPUTED_VALUE"""),"História")</f>
        <v>História</v>
      </c>
      <c r="F111" s="3" t="str">
        <f ca="1">IFERROR(__xludf.DUMMYFUNCTION("""COMPUTED_VALUE"""),"História do Brasil")</f>
        <v>História do Brasil</v>
      </c>
      <c r="G111" s="3"/>
      <c r="H111" s="3"/>
      <c r="I111" s="3" t="str">
        <f ca="1">IFERROR(__xludf.DUMMYFUNCTION("""COMPUTED_VALUE"""),"Azul")</f>
        <v>Azul</v>
      </c>
      <c r="J111" s="3">
        <f ca="1">IFERROR(__xludf.DUMMYFUNCTION("""COMPUTED_VALUE"""),14)</f>
        <v>14</v>
      </c>
      <c r="K111" s="3" t="str">
        <f ca="1">IFERROR(__xludf.DUMMYFUNCTION("""COMPUTED_VALUE"""),"B")</f>
        <v>B</v>
      </c>
      <c r="L111" s="3" t="str">
        <f ca="1">IFERROR(__xludf.DUMMYFUNCTION("""COMPUTED_VALUE"""),"A regulação das relações de trabalho compõe uma
estrutura complexa, em que cada elemento se ajusta aos
demais. A Justiça do Trabalho é apenas uma das peças
dessa vasta engrenagem. A presença de representantes
classistas na composição dos órgãos da Justiça"&amp;" do
Trabalho é também resultante da montagem dessa
regulação. O poder normativo também reflete essa característica. Instituída pela Constituição de 1934, a
Justiça do Trabalho só vicejou no ambiente político do
Estado Novo instaurado em 1937.
A criação da"&amp;" referida instituição estatal na conjuntura
histórica abordada teve por objetivo ")</f>
        <v xml:space="preserve">A regulação das relações de trabalho compõe uma
estrutura complexa, em que cada elemento se ajusta aos
demais. A Justiça do Trabalho é apenas uma das peças
dessa vasta engrenagem. A presença de representantes
classistas na composição dos órgãos da Justiça do
Trabalho é também resultante da montagem dessa
regulação. O poder normativo também reflete essa característica. Instituída pela Constituição de 1934, a
Justiça do Trabalho só vicejou no ambiente político do
Estado Novo instaurado em 1937.
A criação da referida instituição estatal na conjuntura
histórica abordada teve por objetivo </v>
      </c>
      <c r="M111" s="3" t="str">
        <f ca="1">IFERROR(__xludf.DUMMYFUNCTION("""COMPUTED_VALUE"""),"legitimar os protestos fabris. ")</f>
        <v xml:space="preserve">legitimar os protestos fabris. </v>
      </c>
      <c r="N111" s="3" t="str">
        <f ca="1">IFERROR(__xludf.DUMMYFUNCTION("""COMPUTED_VALUE"""),"ordenar os conflitos laborais")</f>
        <v>ordenar os conflitos laborais</v>
      </c>
      <c r="O111" s="3" t="str">
        <f ca="1">IFERROR(__xludf.DUMMYFUNCTION("""COMPUTED_VALUE"""),"oficializar os conflitos laborais")</f>
        <v>oficializar os conflitos laborais</v>
      </c>
      <c r="P111" s="3" t="str">
        <f ca="1">IFERROR(__xludf.DUMMYFUNCTION("""COMPUTED_VALUE"""),"assegurar os princípios liberais ")</f>
        <v xml:space="preserve">assegurar os princípios liberais </v>
      </c>
      <c r="Q111" s="3" t="str">
        <f ca="1">IFERROR(__xludf.DUMMYFUNCTION("""COMPUTED_VALUE"""),"unificar os salários profissionais ")</f>
        <v xml:space="preserve">unificar os salários profissionais </v>
      </c>
      <c r="R111" s="3"/>
      <c r="S111" s="3"/>
      <c r="T111" s="3"/>
      <c r="U111" s="3"/>
      <c r="V111" s="3"/>
      <c r="W111" s="3"/>
      <c r="X111" s="3"/>
      <c r="Y111" s="3"/>
      <c r="Z111" s="3"/>
    </row>
    <row r="112" spans="1:26" x14ac:dyDescent="0.2">
      <c r="A112" s="2" t="str">
        <f ca="1">IFERROR(__xludf.DUMMYFUNCTION("""COMPUTED_VALUE"""),"https://drive.google.com/open?id=1DrtoMc2OvmYH7SFQcEFe3LybUFsD2Ziy")</f>
        <v>https://drive.google.com/open?id=1DrtoMc2OvmYH7SFQcEFe3LybUFsD2Ziy</v>
      </c>
      <c r="B112" s="3" t="str">
        <f ca="1">IFERROR(__xludf.DUMMYFUNCTION("""COMPUTED_VALUE"""),"Enem")</f>
        <v>Enem</v>
      </c>
      <c r="C112" s="3">
        <f ca="1">IFERROR(__xludf.DUMMYFUNCTION("""COMPUTED_VALUE"""),2016)</f>
        <v>2016</v>
      </c>
      <c r="D112" s="3" t="str">
        <f ca="1">IFERROR(__xludf.DUMMYFUNCTION("""COMPUTED_VALUE"""),"Ciências Humanas")</f>
        <v>Ciências Humanas</v>
      </c>
      <c r="E112" s="3" t="str">
        <f ca="1">IFERROR(__xludf.DUMMYFUNCTION("""COMPUTED_VALUE"""),"História")</f>
        <v>História</v>
      </c>
      <c r="F112" s="3" t="str">
        <f ca="1">IFERROR(__xludf.DUMMYFUNCTION("""COMPUTED_VALUE"""),"História Geral")</f>
        <v>História Geral</v>
      </c>
      <c r="G112" s="3"/>
      <c r="H112" s="3"/>
      <c r="I112" s="3" t="str">
        <f ca="1">IFERROR(__xludf.DUMMYFUNCTION("""COMPUTED_VALUE"""),"Azul")</f>
        <v>Azul</v>
      </c>
      <c r="J112" s="3">
        <f ca="1">IFERROR(__xludf.DUMMYFUNCTION("""COMPUTED_VALUE"""),21)</f>
        <v>21</v>
      </c>
      <c r="K112" s="3" t="str">
        <f ca="1">IFERROR(__xludf.DUMMYFUNCTION("""COMPUTED_VALUE"""),"C")</f>
        <v>C</v>
      </c>
      <c r="L112" s="3" t="str">
        <f ca="1">IFERROR(__xludf.DUMMYFUNCTION("""COMPUTED_VALUE"""),"Pois quem seria tão inútil ou indolente a ponto
de não desejar saber como e sob que espécie de
constituição os romanos conseguiram em menos de
cinquenta e três anos submeter quase todo o mundo
habitado ao seu governo exclusivo — fato nunca antes
ocorrido?"&amp;" Ou, em outras palavras, quem seria tão
apaixonadamente devotado a outros espetáculos ou
estudos a ponto de considerar qualquer outro objetivo
mais importante que a aquisição desse conhecimento?
A experiência a que se refere o historiador Políbio, nesse
t"&amp;"exto escrito no século II a.C., é a")</f>
        <v>Pois quem seria tão inútil ou indolente a ponto
de não desejar saber como e sob que espécie de
constituição os romanos conseguiram em menos de
cinquenta e três anos submeter quase todo o mundo
habitado ao seu governo exclusivo — fato nunca antes
ocorrido? Ou, em outras palavras, quem seria tão
apaixonadamente devotado a outros espetáculos ou
estudos a ponto de considerar qualquer outro objetivo
mais importante que a aquisição desse conhecimento?
A experiência a que se refere o historiador Políbio, nesse
texto escrito no século II a.C., é a</v>
      </c>
      <c r="M112" s="3" t="str">
        <f ca="1">IFERROR(__xludf.DUMMYFUNCTION("""COMPUTED_VALUE"""),"ampliação do contingente de camponeses livres")</f>
        <v>ampliação do contingente de camponeses livres</v>
      </c>
      <c r="N112" s="3" t="str">
        <f ca="1">IFERROR(__xludf.DUMMYFUNCTION("""COMPUTED_VALUE"""),"consolidação do poder das falanges hoplitas.")</f>
        <v>consolidação do poder das falanges hoplitas.</v>
      </c>
      <c r="O112" s="3" t="str">
        <f ca="1">IFERROR(__xludf.DUMMYFUNCTION("""COMPUTED_VALUE"""),"concretização do desígnio imperialista.
")</f>
        <v xml:space="preserve">concretização do desígnio imperialista.
</v>
      </c>
      <c r="P112" s="3" t="str">
        <f ca="1">IFERROR(__xludf.DUMMYFUNCTION("""COMPUTED_VALUE"""),"adoção do monoteísmo cristão.
")</f>
        <v xml:space="preserve">adoção do monoteísmo cristão.
</v>
      </c>
      <c r="Q112" s="3" t="str">
        <f ca="1">IFERROR(__xludf.DUMMYFUNCTION("""COMPUTED_VALUE"""),"libertação do domínio etrusco.
")</f>
        <v xml:space="preserve">libertação do domínio etrusco.
</v>
      </c>
      <c r="R112" s="3"/>
      <c r="S112" s="3"/>
      <c r="T112" s="3"/>
      <c r="U112" s="3"/>
      <c r="V112" s="3"/>
      <c r="W112" s="3"/>
      <c r="X112" s="3"/>
      <c r="Y112" s="3"/>
      <c r="Z112" s="3"/>
    </row>
    <row r="113" spans="1:26" x14ac:dyDescent="0.2">
      <c r="A113" s="2" t="str">
        <f ca="1">IFERROR(__xludf.DUMMYFUNCTION("""COMPUTED_VALUE"""),"https://drive.google.com/open?id=1Pbm7zidEC3Z67dtP6cE62pwTkGv65cEp")</f>
        <v>https://drive.google.com/open?id=1Pbm7zidEC3Z67dtP6cE62pwTkGv65cEp</v>
      </c>
      <c r="B113" s="3" t="str">
        <f ca="1">IFERROR(__xludf.DUMMYFUNCTION("""COMPUTED_VALUE"""),"Enem")</f>
        <v>Enem</v>
      </c>
      <c r="C113" s="3">
        <f ca="1">IFERROR(__xludf.DUMMYFUNCTION("""COMPUTED_VALUE"""),2016)</f>
        <v>2016</v>
      </c>
      <c r="D113" s="3" t="str">
        <f ca="1">IFERROR(__xludf.DUMMYFUNCTION("""COMPUTED_VALUE"""),"Ciências Humanas")</f>
        <v>Ciências Humanas</v>
      </c>
      <c r="E113" s="3" t="str">
        <f ca="1">IFERROR(__xludf.DUMMYFUNCTION("""COMPUTED_VALUE"""),"História")</f>
        <v>História</v>
      </c>
      <c r="F113" s="3" t="str">
        <f ca="1">IFERROR(__xludf.DUMMYFUNCTION("""COMPUTED_VALUE"""),"História do Brasil")</f>
        <v>História do Brasil</v>
      </c>
      <c r="G113" s="3"/>
      <c r="H113" s="3"/>
      <c r="I113" s="3" t="str">
        <f ca="1">IFERROR(__xludf.DUMMYFUNCTION("""COMPUTED_VALUE"""),"Azul")</f>
        <v>Azul</v>
      </c>
      <c r="J113" s="3">
        <f ca="1">IFERROR(__xludf.DUMMYFUNCTION("""COMPUTED_VALUE"""),26)</f>
        <v>26</v>
      </c>
      <c r="K113" s="3" t="str">
        <f ca="1">IFERROR(__xludf.DUMMYFUNCTION("""COMPUTED_VALUE"""),"B")</f>
        <v>B</v>
      </c>
      <c r="L113" s="3" t="str">
        <f ca="1">IFERROR(__xludf.DUMMYFUNCTION("""COMPUTED_VALUE"""),"Os santos tornaram-se grandes aliados da Igreja para
atrair novos devotos, pois eram obedientes a Deus e ao
poder clerical. Contando e estimulando o conhecimento
sobre a vida dos santos, a igreja transmitia aos fiéis os
ensinamentos que julgava corretos e"&amp;" que deviam ser
imitados por escravos que, em geral, traziam outras
crenças de suas terras de origem, muito diferentes das
que preconizava a fé católica.
Posteriormente ressignificados no interior de certas
irmandades e no contato com outra matriz religio"&amp;"sa, o
ícone e a prática mencionada no texto estiveram desde
o século XVII relacionados a um esforço da Igreja
Católica para")</f>
        <v>Os santos tornaram-se grandes aliados da Igreja para
atrair novos devotos, pois eram obedientes a Deus e ao
poder clerical. Contando e estimulando o conhecimento
sobre a vida dos santos, a igreja transmitia aos fiéis os
ensinamentos que julgava corretos e que deviam ser
imitados por escravos que, em geral, traziam outras
crenças de suas terras de origem, muito diferentes das
que preconizava a fé católica.
Posteriormente ressignificados no interior de certas
irmandades e no contato com outra matriz religiosa, o
ícone e a prática mencionada no texto estiveram desde
o século XVII relacionados a um esforço da Igreja
Católica para</v>
      </c>
      <c r="M113" s="3" t="str">
        <f ca="1">IFERROR(__xludf.DUMMYFUNCTION("""COMPUTED_VALUE"""),"reduzir o poder das confrarias.")</f>
        <v>reduzir o poder das confrarias.</v>
      </c>
      <c r="N113" s="3" t="str">
        <f ca="1">IFERROR(__xludf.DUMMYFUNCTION("""COMPUTED_VALUE"""),"cristianizar a população afro-brasileira")</f>
        <v>cristianizar a população afro-brasileira</v>
      </c>
      <c r="O113" s="3" t="str">
        <f ca="1">IFERROR(__xludf.DUMMYFUNCTION("""COMPUTED_VALUE"""),"espoliar recursos materiais dos cativos.")</f>
        <v>espoliar recursos materiais dos cativos.</v>
      </c>
      <c r="P113" s="3" t="str">
        <f ca="1">IFERROR(__xludf.DUMMYFUNCTION("""COMPUTED_VALUE"""),"recrutar libertos para seu corpo eclesiástico.")</f>
        <v>recrutar libertos para seu corpo eclesiástico.</v>
      </c>
      <c r="Q113" s="3" t="str">
        <f ca="1">IFERROR(__xludf.DUMMYFUNCTION("""COMPUTED_VALUE"""),"atender a demanda popular por padroeiros locais")</f>
        <v>atender a demanda popular por padroeiros locais</v>
      </c>
      <c r="R113" s="3"/>
      <c r="S113" s="3"/>
      <c r="T113" s="3"/>
      <c r="U113" s="3"/>
      <c r="V113" s="3"/>
      <c r="W113" s="3"/>
      <c r="X113" s="3"/>
      <c r="Y113" s="3"/>
      <c r="Z113" s="3"/>
    </row>
    <row r="114" spans="1:26" x14ac:dyDescent="0.2">
      <c r="A114" s="2" t="str">
        <f ca="1">IFERROR(__xludf.DUMMYFUNCTION("""COMPUTED_VALUE"""),"https://drive.google.com/open?id=1RwyTu3NwuNJsBjQOqfr4IgESawaaaASD")</f>
        <v>https://drive.google.com/open?id=1RwyTu3NwuNJsBjQOqfr4IgESawaaaASD</v>
      </c>
      <c r="B114" s="3" t="str">
        <f ca="1">IFERROR(__xludf.DUMMYFUNCTION("""COMPUTED_VALUE"""),"Enem")</f>
        <v>Enem</v>
      </c>
      <c r="C114" s="3">
        <f ca="1">IFERROR(__xludf.DUMMYFUNCTION("""COMPUTED_VALUE"""),2016)</f>
        <v>2016</v>
      </c>
      <c r="D114" s="3" t="str">
        <f ca="1">IFERROR(__xludf.DUMMYFUNCTION("""COMPUTED_VALUE"""),"Ciências Humanas")</f>
        <v>Ciências Humanas</v>
      </c>
      <c r="E114" s="3" t="str">
        <f ca="1">IFERROR(__xludf.DUMMYFUNCTION("""COMPUTED_VALUE"""),"História")</f>
        <v>História</v>
      </c>
      <c r="F114" s="3" t="str">
        <f ca="1">IFERROR(__xludf.DUMMYFUNCTION("""COMPUTED_VALUE"""),"História do Brasil")</f>
        <v>História do Brasil</v>
      </c>
      <c r="G114" s="3"/>
      <c r="H114" s="3"/>
      <c r="I114" s="3" t="str">
        <f ca="1">IFERROR(__xludf.DUMMYFUNCTION("""COMPUTED_VALUE"""),"Azul")</f>
        <v>Azul</v>
      </c>
      <c r="J114" s="3">
        <f ca="1">IFERROR(__xludf.DUMMYFUNCTION("""COMPUTED_VALUE"""),27)</f>
        <v>27</v>
      </c>
      <c r="K114" s="3" t="str">
        <f ca="1">IFERROR(__xludf.DUMMYFUNCTION("""COMPUTED_VALUE"""),"E")</f>
        <v>E</v>
      </c>
      <c r="L114" s="3" t="str">
        <f ca="1">IFERROR(__xludf.DUMMYFUNCTION("""COMPUTED_VALUE"""),"Em 1935, o governo brasileiro começou a negar vistos
a judeus. Posteriormente, durante o Estado Novo, uma
circular secreta proibiu a concessão de vistos a “pessoas
de origem semita”, inclusive turistas e negociantes, o que
causou uma queda de 75% da imigr"&amp;"ação judaica ao longo
daquele ano. Entretanto, mesmo com as imposições da
lei, muitos judeus continuaram entrando ilegalmente no
país durante a guerra e as ameaças de deportação em
massa nunca foram concretizadas, apesar da extradição
de alguns indivíduos"&amp;" por sua militância política
Uma razão para a adoção da política de imigração
mencionada no texto foi o(a)")</f>
        <v>Em 1935, o governo brasileiro começou a negar vistos
a judeus. Posteriormente, durante o Estado Novo, uma
circular secreta proibiu a concessão de vistos a “pessoas
de origem semita”, inclusive turistas e negociantes, o que
causou uma queda de 75% da imigração judaica ao longo
daquele ano. Entretanto, mesmo com as imposições da
lei, muitos judeus continuaram entrando ilegalmente no
país durante a guerra e as ameaças de deportação em
massa nunca foram concretizadas, apesar da extradição
de alguns indivíduos por sua militância política
Uma razão para a adoção da política de imigração
mencionada no texto foi o(a)</v>
      </c>
      <c r="M114" s="3" t="str">
        <f ca="1">IFERROR(__xludf.DUMMYFUNCTION("""COMPUTED_VALUE"""),"receio do controle sionista sobre a economia nacional")</f>
        <v>receio do controle sionista sobre a economia nacional</v>
      </c>
      <c r="N114" s="3" t="str">
        <f ca="1">IFERROR(__xludf.DUMMYFUNCTION("""COMPUTED_VALUE"""),"reserva de postos de trabalho para a mão de obra
local.")</f>
        <v>reserva de postos de trabalho para a mão de obra
local.</v>
      </c>
      <c r="O114" s="3" t="str">
        <f ca="1">IFERROR(__xludf.DUMMYFUNCTION("""COMPUTED_VALUE"""),"oposição do clero católico à expansão de novas
religiões")</f>
        <v>oposição do clero católico à expansão de novas
religiões</v>
      </c>
      <c r="P114" s="3" t="str">
        <f ca="1">IFERROR(__xludf.DUMMYFUNCTION("""COMPUTED_VALUE"""),"apoio da diplomacia varguista às opiniões dos
líderes árabes")</f>
        <v>apoio da diplomacia varguista às opiniões dos
líderes árabes</v>
      </c>
      <c r="Q114" s="3" t="str">
        <f ca="1">IFERROR(__xludf.DUMMYFUNCTION("""COMPUTED_VALUE"""),"simpatia de membros da burocracia pelo projeto
totalitário alemão.")</f>
        <v>simpatia de membros da burocracia pelo projeto
totalitário alemão.</v>
      </c>
      <c r="R114" s="3"/>
      <c r="S114" s="3"/>
      <c r="T114" s="3"/>
      <c r="U114" s="3"/>
      <c r="V114" s="3"/>
      <c r="W114" s="3"/>
      <c r="X114" s="3"/>
      <c r="Y114" s="3"/>
      <c r="Z114" s="3"/>
    </row>
    <row r="115" spans="1:26" x14ac:dyDescent="0.2">
      <c r="A115" s="2" t="str">
        <f ca="1">IFERROR(__xludf.DUMMYFUNCTION("""COMPUTED_VALUE"""),"https://drive.google.com/open?id=1uDtiaJjuX7-K0145GTyhVD67vWPq9n-R")</f>
        <v>https://drive.google.com/open?id=1uDtiaJjuX7-K0145GTyhVD67vWPq9n-R</v>
      </c>
      <c r="B115" s="3" t="str">
        <f ca="1">IFERROR(__xludf.DUMMYFUNCTION("""COMPUTED_VALUE"""),"Enem")</f>
        <v>Enem</v>
      </c>
      <c r="C115" s="3">
        <f ca="1">IFERROR(__xludf.DUMMYFUNCTION("""COMPUTED_VALUE"""),2016)</f>
        <v>2016</v>
      </c>
      <c r="D115" s="3" t="str">
        <f ca="1">IFERROR(__xludf.DUMMYFUNCTION("""COMPUTED_VALUE"""),"Ciências Humanas")</f>
        <v>Ciências Humanas</v>
      </c>
      <c r="E115" s="3" t="str">
        <f ca="1">IFERROR(__xludf.DUMMYFUNCTION("""COMPUTED_VALUE"""),"História")</f>
        <v>História</v>
      </c>
      <c r="F115" s="3" t="str">
        <f ca="1">IFERROR(__xludf.DUMMYFUNCTION("""COMPUTED_VALUE"""),"História do Brasil")</f>
        <v>História do Brasil</v>
      </c>
      <c r="G115" s="3"/>
      <c r="H115" s="3"/>
      <c r="I115" s="3" t="str">
        <f ca="1">IFERROR(__xludf.DUMMYFUNCTION("""COMPUTED_VALUE"""),"Azul")</f>
        <v>Azul</v>
      </c>
      <c r="J115" s="3">
        <f ca="1">IFERROR(__xludf.DUMMYFUNCTION("""COMPUTED_VALUE"""),35)</f>
        <v>35</v>
      </c>
      <c r="K115" s="3" t="str">
        <f ca="1">IFERROR(__xludf.DUMMYFUNCTION("""COMPUTED_VALUE"""),"D")</f>
        <v>D</v>
      </c>
      <c r="L115" s="3" t="str">
        <f ca="1">IFERROR(__xludf.DUMMYFUNCTION("""COMPUTED_VALUE"""),"O coronelismo era fruto de alteração na relação de forças entre os proprietários rurais e o governo, e significava o fortalecimento do poder do Estado antes que o predomínio do coronel. Nessa concepção, o coronelismo é, então, um
sistema político nacional"&amp;", com base em barganhas entre o governo e os coronéis. O coronel tem o controle dos cargos
públicos, desde o delegado de polícia até a professora primária. O coronel hipoteca seu apoio ao governo, sobretudo
na forma de voto
No contexto da Primeira Repúbli"&amp;"ca no Brasil, as relações políticas descritas baseavam-se na")</f>
        <v>O coronelismo era fruto de alteração na relação de forças entre os proprietários rurais e o governo, e significava o fortalecimento do poder do Estado antes que o predomínio do coronel. Nessa concepção, o coronelismo é, então, um
sistema político nacional, com base em barganhas entre o governo e os coronéis. O coronel tem o controle dos cargos
públicos, desde o delegado de polícia até a professora primária. O coronel hipoteca seu apoio ao governo, sobretudo
na forma de voto
No contexto da Primeira República no Brasil, as relações políticas descritas baseavam-se na</v>
      </c>
      <c r="M115" s="3" t="str">
        <f ca="1">IFERROR(__xludf.DUMMYFUNCTION("""COMPUTED_VALUE"""),"coação das milícias locais.
")</f>
        <v xml:space="preserve">coação das milícias locais.
</v>
      </c>
      <c r="N115" s="3" t="str">
        <f ca="1">IFERROR(__xludf.DUMMYFUNCTION("""COMPUTED_VALUE"""),"estagnação da dinâmica urbana.
")</f>
        <v xml:space="preserve">estagnação da dinâmica urbana.
</v>
      </c>
      <c r="O115" s="3" t="str">
        <f ca="1">IFERROR(__xludf.DUMMYFUNCTION("""COMPUTED_VALUE"""),"valorização do proselitismo partidário")</f>
        <v>valorização do proselitismo partidário</v>
      </c>
      <c r="P115" s="3" t="str">
        <f ca="1">IFERROR(__xludf.DUMMYFUNCTION("""COMPUTED_VALUE"""),"disseminação de práticas clientelistas.")</f>
        <v>disseminação de práticas clientelistas.</v>
      </c>
      <c r="Q115" s="3" t="str">
        <f ca="1">IFERROR(__xludf.DUMMYFUNCTION("""COMPUTED_VALUE"""),"centralização de decisões administrativas.")</f>
        <v>centralização de decisões administrativas.</v>
      </c>
      <c r="R115" s="3"/>
      <c r="S115" s="3"/>
      <c r="T115" s="3"/>
      <c r="U115" s="3"/>
      <c r="V115" s="3"/>
      <c r="W115" s="3"/>
      <c r="X115" s="3"/>
      <c r="Y115" s="3"/>
      <c r="Z115" s="3"/>
    </row>
    <row r="116" spans="1:26" x14ac:dyDescent="0.2">
      <c r="A116" s="2" t="str">
        <f ca="1">IFERROR(__xludf.DUMMYFUNCTION("""COMPUTED_VALUE"""),"https://drive.google.com/open?id=1U3Ic2Fd2ZCvCl8nLZvuzsivwuINaPlLr")</f>
        <v>https://drive.google.com/open?id=1U3Ic2Fd2ZCvCl8nLZvuzsivwuINaPlLr</v>
      </c>
      <c r="B116" s="3" t="str">
        <f ca="1">IFERROR(__xludf.DUMMYFUNCTION("""COMPUTED_VALUE"""),"Enem")</f>
        <v>Enem</v>
      </c>
      <c r="C116" s="3">
        <f ca="1">IFERROR(__xludf.DUMMYFUNCTION("""COMPUTED_VALUE"""),2016)</f>
        <v>2016</v>
      </c>
      <c r="D116" s="3" t="str">
        <f ca="1">IFERROR(__xludf.DUMMYFUNCTION("""COMPUTED_VALUE"""),"Ciências Humanas")</f>
        <v>Ciências Humanas</v>
      </c>
      <c r="E116" s="3" t="str">
        <f ca="1">IFERROR(__xludf.DUMMYFUNCTION("""COMPUTED_VALUE"""),"História")</f>
        <v>História</v>
      </c>
      <c r="F116" s="3" t="str">
        <f ca="1">IFERROR(__xludf.DUMMYFUNCTION("""COMPUTED_VALUE"""),"História do Brasil")</f>
        <v>História do Brasil</v>
      </c>
      <c r="G116" s="3"/>
      <c r="H116" s="3"/>
      <c r="I116" s="3" t="str">
        <f ca="1">IFERROR(__xludf.DUMMYFUNCTION("""COMPUTED_VALUE"""),"Azul")</f>
        <v>Azul</v>
      </c>
      <c r="J116" s="3">
        <f ca="1">IFERROR(__xludf.DUMMYFUNCTION("""COMPUTED_VALUE"""),38)</f>
        <v>38</v>
      </c>
      <c r="K116" s="3" t="str">
        <f ca="1">IFERROR(__xludf.DUMMYFUNCTION("""COMPUTED_VALUE"""),"D")</f>
        <v>D</v>
      </c>
      <c r="L116" s="3" t="str">
        <f ca="1">IFERROR(__xludf.DUMMYFUNCTION("""COMPUTED_VALUE"""),"No anúncio, há referências a algumas das transformações
ocorridas no Brasil nos anos 1950 e 1960. No entanto,
tais referências omitem transformações que impactaram
segmentos da população, como a")</f>
        <v>No anúncio, há referências a algumas das transformações
ocorridas no Brasil nos anos 1950 e 1960. No entanto,
tais referências omitem transformações que impactaram
segmentos da população, como a</v>
      </c>
      <c r="M116" s="3" t="str">
        <f ca="1">IFERROR(__xludf.DUMMYFUNCTION("""COMPUTED_VALUE"""),"exaltação da tradição colonial.")</f>
        <v>exaltação da tradição colonial.</v>
      </c>
      <c r="N116" s="3" t="str">
        <f ca="1">IFERROR(__xludf.DUMMYFUNCTION("""COMPUTED_VALUE"""),"redução da influência estrangeira")</f>
        <v>redução da influência estrangeira</v>
      </c>
      <c r="O116" s="3" t="str">
        <f ca="1">IFERROR(__xludf.DUMMYFUNCTION("""COMPUTED_VALUE"""),"ampliação da imigração internacional.")</f>
        <v>ampliação da imigração internacional.</v>
      </c>
      <c r="P116" s="3" t="str">
        <f ca="1">IFERROR(__xludf.DUMMYFUNCTION("""COMPUTED_VALUE"""),"intensificação da desigualdade regional")</f>
        <v>intensificação da desigualdade regional</v>
      </c>
      <c r="Q116" s="3" t="str">
        <f ca="1">IFERROR(__xludf.DUMMYFUNCTION("""COMPUTED_VALUE"""),"desconcentração da produção industrial.")</f>
        <v>desconcentração da produção industrial.</v>
      </c>
      <c r="R116" s="3"/>
      <c r="S116" s="3"/>
      <c r="T116" s="3"/>
      <c r="U116" s="3"/>
      <c r="V116" s="3"/>
      <c r="W116" s="3"/>
      <c r="X116" s="3"/>
      <c r="Y116" s="3"/>
      <c r="Z116" s="3"/>
    </row>
    <row r="117" spans="1:26" x14ac:dyDescent="0.2">
      <c r="A117" s="2" t="str">
        <f ca="1">IFERROR(__xludf.DUMMYFUNCTION("""COMPUTED_VALUE"""),"https://drive.google.com/open?id=1I3w-FfMGm_9pguQGzA0zEC8Oqo3itWL1")</f>
        <v>https://drive.google.com/open?id=1I3w-FfMGm_9pguQGzA0zEC8Oqo3itWL1</v>
      </c>
      <c r="B117" s="3" t="str">
        <f ca="1">IFERROR(__xludf.DUMMYFUNCTION("""COMPUTED_VALUE"""),"Enem")</f>
        <v>Enem</v>
      </c>
      <c r="C117" s="3">
        <f ca="1">IFERROR(__xludf.DUMMYFUNCTION("""COMPUTED_VALUE"""),2016)</f>
        <v>2016</v>
      </c>
      <c r="D117" s="3" t="str">
        <f ca="1">IFERROR(__xludf.DUMMYFUNCTION("""COMPUTED_VALUE"""),"Ciências Humanas")</f>
        <v>Ciências Humanas</v>
      </c>
      <c r="E117" s="3" t="str">
        <f ca="1">IFERROR(__xludf.DUMMYFUNCTION("""COMPUTED_VALUE"""),"História")</f>
        <v>História</v>
      </c>
      <c r="F117" s="3" t="str">
        <f ca="1">IFERROR(__xludf.DUMMYFUNCTION("""COMPUTED_VALUE"""),"História do Brasil")</f>
        <v>História do Brasil</v>
      </c>
      <c r="G117" s="3"/>
      <c r="H117" s="3"/>
      <c r="I117" s="3" t="str">
        <f ca="1">IFERROR(__xludf.DUMMYFUNCTION("""COMPUTED_VALUE"""),"Azul")</f>
        <v>Azul</v>
      </c>
      <c r="J117" s="3">
        <f ca="1">IFERROR(__xludf.DUMMYFUNCTION("""COMPUTED_VALUE"""),38)</f>
        <v>38</v>
      </c>
      <c r="K117" s="3" t="str">
        <f ca="1">IFERROR(__xludf.DUMMYFUNCTION("""COMPUTED_VALUE"""),"D")</f>
        <v>D</v>
      </c>
      <c r="L117" s="3" t="str">
        <f ca="1">IFERROR(__xludf.DUMMYFUNCTION("""COMPUTED_VALUE"""),"No anúncio, há referências a algumas das transformações
ocorridas no Brasil nos anos 1950 e 1960. No entanto,
tais referências omitem transformações que impactaram
segmentos da população, como a")</f>
        <v>No anúncio, há referências a algumas das transformações
ocorridas no Brasil nos anos 1950 e 1960. No entanto,
tais referências omitem transformações que impactaram
segmentos da população, como a</v>
      </c>
      <c r="M117" s="3" t="str">
        <f ca="1">IFERROR(__xludf.DUMMYFUNCTION("""COMPUTED_VALUE"""),"exaltação da tradição colonial.")</f>
        <v>exaltação da tradição colonial.</v>
      </c>
      <c r="N117" s="3" t="str">
        <f ca="1">IFERROR(__xludf.DUMMYFUNCTION("""COMPUTED_VALUE"""),"redução da influência estrangeira")</f>
        <v>redução da influência estrangeira</v>
      </c>
      <c r="O117" s="3" t="str">
        <f ca="1">IFERROR(__xludf.DUMMYFUNCTION("""COMPUTED_VALUE"""),"ampliação da imigração internacional.")</f>
        <v>ampliação da imigração internacional.</v>
      </c>
      <c r="P117" s="3" t="str">
        <f ca="1">IFERROR(__xludf.DUMMYFUNCTION("""COMPUTED_VALUE"""),"intensificação da desigualdade regional")</f>
        <v>intensificação da desigualdade regional</v>
      </c>
      <c r="Q117" s="3" t="str">
        <f ca="1">IFERROR(__xludf.DUMMYFUNCTION("""COMPUTED_VALUE"""),"desconcentração da produção industrial")</f>
        <v>desconcentração da produção industrial</v>
      </c>
      <c r="R117" s="3"/>
      <c r="S117" s="3"/>
      <c r="T117" s="3"/>
      <c r="U117" s="3"/>
      <c r="V117" s="3"/>
      <c r="W117" s="3"/>
      <c r="X117" s="3"/>
      <c r="Y117" s="3"/>
      <c r="Z117" s="3"/>
    </row>
    <row r="118" spans="1:26" x14ac:dyDescent="0.2">
      <c r="A118" s="2" t="str">
        <f ca="1">IFERROR(__xludf.DUMMYFUNCTION("""COMPUTED_VALUE"""),"https://drive.google.com/open?id=1VWAsV3SYeDXhamjMVk3esak5QwR8CXsu")</f>
        <v>https://drive.google.com/open?id=1VWAsV3SYeDXhamjMVk3esak5QwR8CXsu</v>
      </c>
      <c r="B118" s="3" t="str">
        <f ca="1">IFERROR(__xludf.DUMMYFUNCTION("""COMPUTED_VALUE"""),"Enem")</f>
        <v>Enem</v>
      </c>
      <c r="C118" s="3">
        <f ca="1">IFERROR(__xludf.DUMMYFUNCTION("""COMPUTED_VALUE"""),2016)</f>
        <v>2016</v>
      </c>
      <c r="D118" s="3" t="str">
        <f ca="1">IFERROR(__xludf.DUMMYFUNCTION("""COMPUTED_VALUE"""),"Ciências Humanas")</f>
        <v>Ciências Humanas</v>
      </c>
      <c r="E118" s="3" t="str">
        <f ca="1">IFERROR(__xludf.DUMMYFUNCTION("""COMPUTED_VALUE"""),"História")</f>
        <v>História</v>
      </c>
      <c r="F118" s="3" t="str">
        <f ca="1">IFERROR(__xludf.DUMMYFUNCTION("""COMPUTED_VALUE"""),"História do Brasil")</f>
        <v>História do Brasil</v>
      </c>
      <c r="G118" s="3"/>
      <c r="H118" s="3"/>
      <c r="I118" s="3" t="str">
        <f ca="1">IFERROR(__xludf.DUMMYFUNCTION("""COMPUTED_VALUE"""),"Azul")</f>
        <v>Azul</v>
      </c>
      <c r="J118" s="3">
        <f ca="1">IFERROR(__xludf.DUMMYFUNCTION("""COMPUTED_VALUE"""),43)</f>
        <v>43</v>
      </c>
      <c r="K118" s="3" t="str">
        <f ca="1">IFERROR(__xludf.DUMMYFUNCTION("""COMPUTED_VALUE"""),"D")</f>
        <v>D</v>
      </c>
      <c r="L118" s="3" t="str">
        <f ca="1">IFERROR(__xludf.DUMMYFUNCTION("""COMPUTED_VALUE"""),"A página do periódico do início do século XX documenta
um importante elemento da cultura francesa, que é
revelador do papel do Brasil na economia mundial,
indicado no seguinte aspecto:")</f>
        <v>A página do periódico do início do século XX documenta
um importante elemento da cultura francesa, que é
revelador do papel do Brasil na economia mundial,
indicado no seguinte aspecto:</v>
      </c>
      <c r="M118" s="3" t="str">
        <f ca="1">IFERROR(__xludf.DUMMYFUNCTION("""COMPUTED_VALUE"""),"Prestador de serviços gerais.")</f>
        <v>Prestador de serviços gerais.</v>
      </c>
      <c r="N118" s="3" t="str">
        <f ca="1">IFERROR(__xludf.DUMMYFUNCTION("""COMPUTED_VALUE"""),"Exportador de bens industriais.")</f>
        <v>Exportador de bens industriais.</v>
      </c>
      <c r="O118" s="3" t="str">
        <f ca="1">IFERROR(__xludf.DUMMYFUNCTION("""COMPUTED_VALUE"""),"Importador de padrões estéticos")</f>
        <v>Importador de padrões estéticos</v>
      </c>
      <c r="P118" s="3" t="str">
        <f ca="1">IFERROR(__xludf.DUMMYFUNCTION("""COMPUTED_VALUE"""),"Fornecedor de produtos agrícolas.")</f>
        <v>Fornecedor de produtos agrícolas.</v>
      </c>
      <c r="Q118" s="3" t="str">
        <f ca="1">IFERROR(__xludf.DUMMYFUNCTION("""COMPUTED_VALUE"""),"Formador de padrões de consumo")</f>
        <v>Formador de padrões de consumo</v>
      </c>
      <c r="R118" s="3"/>
      <c r="S118" s="3"/>
      <c r="T118" s="3"/>
      <c r="U118" s="3"/>
      <c r="V118" s="3"/>
      <c r="W118" s="3"/>
      <c r="X118" s="3"/>
      <c r="Y118" s="3"/>
      <c r="Z118" s="3"/>
    </row>
    <row r="119" spans="1:26" x14ac:dyDescent="0.2">
      <c r="A119" s="2" t="str">
        <f ca="1">IFERROR(__xludf.DUMMYFUNCTION("""COMPUTED_VALUE"""),"https://drive.google.com/open?id=1EiT1zqAJyXn8YR8Q8bSKqEN5szbQjNpP")</f>
        <v>https://drive.google.com/open?id=1EiT1zqAJyXn8YR8Q8bSKqEN5szbQjNpP</v>
      </c>
      <c r="B119" s="3" t="str">
        <f ca="1">IFERROR(__xludf.DUMMYFUNCTION("""COMPUTED_VALUE"""),"Enem")</f>
        <v>Enem</v>
      </c>
      <c r="C119" s="3">
        <f ca="1">IFERROR(__xludf.DUMMYFUNCTION("""COMPUTED_VALUE"""),2017)</f>
        <v>2017</v>
      </c>
      <c r="D119" s="3" t="str">
        <f ca="1">IFERROR(__xludf.DUMMYFUNCTION("""COMPUTED_VALUE"""),"Ciências Humanas")</f>
        <v>Ciências Humanas</v>
      </c>
      <c r="E119" s="3" t="str">
        <f ca="1">IFERROR(__xludf.DUMMYFUNCTION("""COMPUTED_VALUE"""),"Sociologia")</f>
        <v>Sociologia</v>
      </c>
      <c r="F119" s="3" t="str">
        <f ca="1">IFERROR(__xludf.DUMMYFUNCTION("""COMPUTED_VALUE"""),"Sociologia")</f>
        <v>Sociologia</v>
      </c>
      <c r="G119" s="3" t="str">
        <f ca="1">IFERROR(__xludf.DUMMYFUNCTION("""COMPUTED_VALUE"""),"História Geral")</f>
        <v>História Geral</v>
      </c>
      <c r="H119" s="3"/>
      <c r="I119" s="3" t="str">
        <f ca="1">IFERROR(__xludf.DUMMYFUNCTION("""COMPUTED_VALUE"""),"Azul")</f>
        <v>Azul</v>
      </c>
      <c r="J119" s="3">
        <f ca="1">IFERROR(__xludf.DUMMYFUNCTION("""COMPUTED_VALUE"""),58)</f>
        <v>58</v>
      </c>
      <c r="K119" s="3" t="str">
        <f ca="1">IFERROR(__xludf.DUMMYFUNCTION("""COMPUTED_VALUE"""),"B")</f>
        <v>B</v>
      </c>
      <c r="L119" s="3" t="str">
        <f ca="1">IFERROR(__xludf.DUMMYFUNCTION("""COMPUTED_VALUE"""),"Muitos países se caracterizam por terem populações
multiétnicas. Com frequência, evoluíram desse modo
ao longo de séculos. Outras sociedades se tornaram
multiétnicas mais rapidamente, como resultado de
políticas incentivando a migração, ou por conta de le"&amp;"gados
coloniais e imperiais. 
Do ponto de vista do funcionamento das democracias
contemporâneas, o modelo de sociedade descrito
demanda, simultaneamente,")</f>
        <v>Muitos países se caracterizam por terem populações
multiétnicas. Com frequência, evoluíram desse modo
ao longo de séculos. Outras sociedades se tornaram
multiétnicas mais rapidamente, como resultado de
políticas incentivando a migração, ou por conta de legados
coloniais e imperiais. 
Do ponto de vista do funcionamento das democracias
contemporâneas, o modelo de sociedade descrito
demanda, simultaneamente,</v>
      </c>
      <c r="M119" s="3" t="str">
        <f ca="1">IFERROR(__xludf.DUMMYFUNCTION("""COMPUTED_VALUE"""),"defesa do patriotismo e rejeição ao hibridismo.")</f>
        <v>defesa do patriotismo e rejeição ao hibridismo.</v>
      </c>
      <c r="N119" s="3" t="str">
        <f ca="1">IFERROR(__xludf.DUMMYFUNCTION("""COMPUTED_VALUE"""),"universalização de direitos e respeito à diversidade.")</f>
        <v>universalização de direitos e respeito à diversidade.</v>
      </c>
      <c r="O119" s="3" t="str">
        <f ca="1">IFERROR(__xludf.DUMMYFUNCTION("""COMPUTED_VALUE"""),"segregação do território e estímulo ao autogoverno")</f>
        <v>segregação do território e estímulo ao autogoverno</v>
      </c>
      <c r="P119" s="3" t="str">
        <f ca="1">IFERROR(__xludf.DUMMYFUNCTION("""COMPUTED_VALUE"""),"políticas de compensação e homogeneização do idioma.")</f>
        <v>políticas de compensação e homogeneização do idioma.</v>
      </c>
      <c r="Q119" s="3" t="str">
        <f ca="1">IFERROR(__xludf.DUMMYFUNCTION("""COMPUTED_VALUE"""),"padronização da cultura e repressão aos
particularismos.
")</f>
        <v xml:space="preserve">padronização da cultura e repressão aos
particularismos.
</v>
      </c>
      <c r="R119" s="3"/>
      <c r="S119" s="3"/>
      <c r="T119" s="3"/>
      <c r="U119" s="3"/>
      <c r="V119" s="3"/>
      <c r="W119" s="3"/>
      <c r="X119" s="3"/>
      <c r="Y119" s="3"/>
      <c r="Z119" s="3"/>
    </row>
    <row r="120" spans="1:26" x14ac:dyDescent="0.2">
      <c r="A120" s="2" t="str">
        <f ca="1">IFERROR(__xludf.DUMMYFUNCTION("""COMPUTED_VALUE"""),"https://drive.google.com/open?id=18eqQvfA0sKYFUUoZ6fm0CgH1fGgpLsmQ")</f>
        <v>https://drive.google.com/open?id=18eqQvfA0sKYFUUoZ6fm0CgH1fGgpLsmQ</v>
      </c>
      <c r="B120" s="3" t="str">
        <f ca="1">IFERROR(__xludf.DUMMYFUNCTION("""COMPUTED_VALUE"""),"Enem")</f>
        <v>Enem</v>
      </c>
      <c r="C120" s="3">
        <f ca="1">IFERROR(__xludf.DUMMYFUNCTION("""COMPUTED_VALUE"""),2017)</f>
        <v>2017</v>
      </c>
      <c r="D120" s="3" t="str">
        <f ca="1">IFERROR(__xludf.DUMMYFUNCTION("""COMPUTED_VALUE"""),"Ciências Humanas")</f>
        <v>Ciências Humanas</v>
      </c>
      <c r="E120" s="3" t="str">
        <f ca="1">IFERROR(__xludf.DUMMYFUNCTION("""COMPUTED_VALUE"""),"Sociologia")</f>
        <v>Sociologia</v>
      </c>
      <c r="F120" s="3" t="str">
        <f ca="1">IFERROR(__xludf.DUMMYFUNCTION("""COMPUTED_VALUE"""),"Sociologia")</f>
        <v>Sociologia</v>
      </c>
      <c r="G120" s="3"/>
      <c r="H120" s="3"/>
      <c r="I120" s="3" t="str">
        <f ca="1">IFERROR(__xludf.DUMMYFUNCTION("""COMPUTED_VALUE"""),"Azul")</f>
        <v>Azul</v>
      </c>
      <c r="J120" s="3">
        <f ca="1">IFERROR(__xludf.DUMMYFUNCTION("""COMPUTED_VALUE"""),67)</f>
        <v>67</v>
      </c>
      <c r="K120" s="3" t="str">
        <f ca="1">IFERROR(__xludf.DUMMYFUNCTION("""COMPUTED_VALUE"""),"D")</f>
        <v>D</v>
      </c>
      <c r="L120" s="3" t="str">
        <f ca="1">IFERROR(__xludf.DUMMYFUNCTION("""COMPUTED_VALUE"""),"A grande maioria dos países ocidentais democráticos
adotou o Tribunal Constitucional como mecanismo de
controle dos demais poderes. A inclusão dos Tribunais
no cenário político implicou alterações no cálculo para
a implementação de políticas públicas. O g"&amp;"overno,
além de negociar seu plano político com o Parlamento,
teve que se preocupar em não infringir a Constituição.
Essa nova arquitetura institucional propiciou o
desenvolvimento de um ambiente político que viabilizou a
participação do Judiciário nos pr"&amp;"ocessos decisórios. 
O texto faz referência a uma importante mudança na
dinâmica de funcionamento dos Estados contemporâneos
que, no caso brasileiro, teve como consequência a")</f>
        <v>A grande maioria dos países ocidentais democráticos
adotou o Tribunal Constitucional como mecanismo de
controle dos demais poderes. A inclusão dos Tribunais
no cenário político implicou alterações no cálculo para
a implementação de políticas públicas. O governo,
além de negociar seu plano político com o Parlamento,
teve que se preocupar em não infringir a Constituição.
Essa nova arquitetura institucional propiciou o
desenvolvimento de um ambiente político que viabilizou a
participação do Judiciário nos processos decisórios. 
O texto faz referência a uma importante mudança na
dinâmica de funcionamento dos Estados contemporâneos
que, no caso brasileiro, teve como consequência a</v>
      </c>
      <c r="M120" s="3" t="str">
        <f ca="1">IFERROR(__xludf.DUMMYFUNCTION("""COMPUTED_VALUE"""),"adoção de eleições para a alta magistratura.")</f>
        <v>adoção de eleições para a alta magistratura.</v>
      </c>
      <c r="N120" s="3" t="str">
        <f ca="1">IFERROR(__xludf.DUMMYFUNCTION("""COMPUTED_VALUE"""),"diminuição das tensões entre os entes federativos.")</f>
        <v>diminuição das tensões entre os entes federativos.</v>
      </c>
      <c r="O120" s="3" t="str">
        <f ca="1">IFERROR(__xludf.DUMMYFUNCTION("""COMPUTED_VALUE"""),"suspensão do princípio geral dos freios e contrapesos.")</f>
        <v>suspensão do princípio geral dos freios e contrapesos.</v>
      </c>
      <c r="P120" s="3" t="str">
        <f ca="1">IFERROR(__xludf.DUMMYFUNCTION("""COMPUTED_VALUE"""),"judicialização de questões próprias da esfera legislativa.")</f>
        <v>judicialização de questões próprias da esfera legislativa.</v>
      </c>
      <c r="Q120" s="3" t="str">
        <f ca="1">IFERROR(__xludf.DUMMYFUNCTION("""COMPUTED_VALUE"""),"profissionalização do quadro de funcionários da Justiça. ")</f>
        <v xml:space="preserve">profissionalização do quadro de funcionários da Justiça. </v>
      </c>
      <c r="R120" s="3"/>
      <c r="S120" s="3"/>
      <c r="T120" s="3"/>
      <c r="U120" s="3"/>
      <c r="V120" s="3"/>
      <c r="W120" s="3"/>
      <c r="X120" s="3"/>
      <c r="Y120" s="3"/>
      <c r="Z120" s="3"/>
    </row>
    <row r="121" spans="1:26" x14ac:dyDescent="0.2">
      <c r="A121" s="2" t="str">
        <f ca="1">IFERROR(__xludf.DUMMYFUNCTION("""COMPUTED_VALUE"""),"https://drive.google.com/open?id=1ffkoKHEo8wYyUGQ10x4dNwjCXlDy4x8-")</f>
        <v>https://drive.google.com/open?id=1ffkoKHEo8wYyUGQ10x4dNwjCXlDy4x8-</v>
      </c>
      <c r="B121" s="3" t="str">
        <f ca="1">IFERROR(__xludf.DUMMYFUNCTION("""COMPUTED_VALUE"""),"Enem")</f>
        <v>Enem</v>
      </c>
      <c r="C121" s="3">
        <f ca="1">IFERROR(__xludf.DUMMYFUNCTION("""COMPUTED_VALUE"""),2017)</f>
        <v>2017</v>
      </c>
      <c r="D121" s="3" t="str">
        <f ca="1">IFERROR(__xludf.DUMMYFUNCTION("""COMPUTED_VALUE"""),"Ciências Humanas")</f>
        <v>Ciências Humanas</v>
      </c>
      <c r="E121" s="3" t="str">
        <f ca="1">IFERROR(__xludf.DUMMYFUNCTION("""COMPUTED_VALUE"""),"Sociologia")</f>
        <v>Sociologia</v>
      </c>
      <c r="F121" s="3" t="str">
        <f ca="1">IFERROR(__xludf.DUMMYFUNCTION("""COMPUTED_VALUE"""),"Sociologia")</f>
        <v>Sociologia</v>
      </c>
      <c r="G121" s="3"/>
      <c r="H121" s="3"/>
      <c r="I121" s="3" t="str">
        <f ca="1">IFERROR(__xludf.DUMMYFUNCTION("""COMPUTED_VALUE"""),"Azul")</f>
        <v>Azul</v>
      </c>
      <c r="J121" s="3">
        <f ca="1">IFERROR(__xludf.DUMMYFUNCTION("""COMPUTED_VALUE"""),84)</f>
        <v>84</v>
      </c>
      <c r="K121" s="3" t="str">
        <f ca="1">IFERROR(__xludf.DUMMYFUNCTION("""COMPUTED_VALUE"""),"B")</f>
        <v>B</v>
      </c>
      <c r="L121" s="3" t="str">
        <f ca="1">IFERROR(__xludf.DUMMYFUNCTION("""COMPUTED_VALUE"""),"O conceito de democracia, no pensamento de
Habermas, é construído a partir de uma dimensão
procedimental, calcada no discurso e na deliberação.
A legitimidade democrática exige que o processo de
tomada de decisões políticas ocorra a partir de uma
ampla di"&amp;"scussão pública, para somente então decidir.
Assim, o caráter deliberativo corresponde a um
processo coletivo de ponderação e análise, permeado
pelo discurso, que antecede a decisão.
O Conceito de democracia proposto por Jügen Habermas
pode favorecer proc"&amp;"essos de inclusão social. De acordo
com o texto, é uma condição para que isso aconteça o(a)")</f>
        <v>O conceito de democracia, no pensamento de
Habermas, é construído a partir de uma dimensão
procedimental, calcada no discurso e na deliberação.
A legitimidade democrática exige que o processo de
tomada de decisões políticas ocorra a partir de uma
ampla discussão pública, para somente então decidir.
Assim, o caráter deliberativo corresponde a um
processo coletivo de ponderação e análise, permeado
pelo discurso, que antecede a decisão.
O Conceito de democracia proposto por Jügen Habermas
pode favorecer processos de inclusão social. De acordo
com o texto, é uma condição para que isso aconteça o(a)</v>
      </c>
      <c r="M121" s="3" t="str">
        <f ca="1">IFERROR(__xludf.DUMMYFUNCTION("""COMPUTED_VALUE"""),"participação direta periódica do cidadão.")</f>
        <v>participação direta periódica do cidadão.</v>
      </c>
      <c r="N121" s="3" t="str">
        <f ca="1">IFERROR(__xludf.DUMMYFUNCTION("""COMPUTED_VALUE"""),"debate livre e racional entre cidadãos e Estado.")</f>
        <v>debate livre e racional entre cidadãos e Estado.</v>
      </c>
      <c r="O121" s="3" t="str">
        <f ca="1">IFERROR(__xludf.DUMMYFUNCTION("""COMPUTED_VALUE"""),"interlocução entre os poderes governamentais.")</f>
        <v>interlocução entre os poderes governamentais.</v>
      </c>
      <c r="P121" s="3" t="str">
        <f ca="1">IFERROR(__xludf.DUMMYFUNCTION("""COMPUTED_VALUE"""),"eleição de lideranças políticas com mandatos
temporários.")</f>
        <v>eleição de lideranças políticas com mandatos
temporários.</v>
      </c>
      <c r="Q121" s="3" t="str">
        <f ca="1">IFERROR(__xludf.DUMMYFUNCTION("""COMPUTED_VALUE"""),"controle do poder político por cidadãos mais
esclarecidos.")</f>
        <v>controle do poder político por cidadãos mais
esclarecidos.</v>
      </c>
      <c r="R121" s="3"/>
      <c r="S121" s="3"/>
      <c r="T121" s="3"/>
      <c r="U121" s="3"/>
      <c r="V121" s="3"/>
      <c r="W121" s="3"/>
      <c r="X121" s="3"/>
      <c r="Y121" s="3"/>
      <c r="Z121" s="3"/>
    </row>
    <row r="122" spans="1:26" x14ac:dyDescent="0.2">
      <c r="A122" s="2" t="str">
        <f ca="1">IFERROR(__xludf.DUMMYFUNCTION("""COMPUTED_VALUE"""),"https://drive.google.com/open?id=1JpeCOr9Q1qseJu2HGo7gwXpkMEJ5Sxps")</f>
        <v>https://drive.google.com/open?id=1JpeCOr9Q1qseJu2HGo7gwXpkMEJ5Sxps</v>
      </c>
      <c r="B122" s="3" t="str">
        <f ca="1">IFERROR(__xludf.DUMMYFUNCTION("""COMPUTED_VALUE"""),"Enem")</f>
        <v>Enem</v>
      </c>
      <c r="C122" s="3">
        <f ca="1">IFERROR(__xludf.DUMMYFUNCTION("""COMPUTED_VALUE"""),2017)</f>
        <v>2017</v>
      </c>
      <c r="D122" s="3" t="str">
        <f ca="1">IFERROR(__xludf.DUMMYFUNCTION("""COMPUTED_VALUE"""),"Ciências Humanas")</f>
        <v>Ciências Humanas</v>
      </c>
      <c r="E122" s="3" t="str">
        <f ca="1">IFERROR(__xludf.DUMMYFUNCTION("""COMPUTED_VALUE"""),"Sociologia")</f>
        <v>Sociologia</v>
      </c>
      <c r="F122" s="3" t="str">
        <f ca="1">IFERROR(__xludf.DUMMYFUNCTION("""COMPUTED_VALUE"""),"Sociologia")</f>
        <v>Sociologia</v>
      </c>
      <c r="G122" s="3" t="str">
        <f ca="1">IFERROR(__xludf.DUMMYFUNCTION("""COMPUTED_VALUE"""),"Geografia Geral")</f>
        <v>Geografia Geral</v>
      </c>
      <c r="H122" s="3"/>
      <c r="I122" s="3" t="str">
        <f ca="1">IFERROR(__xludf.DUMMYFUNCTION("""COMPUTED_VALUE"""),"Azul")</f>
        <v>Azul</v>
      </c>
      <c r="J122" s="3">
        <f ca="1">IFERROR(__xludf.DUMMYFUNCTION("""COMPUTED_VALUE"""),53)</f>
        <v>53</v>
      </c>
      <c r="K122" s="3" t="str">
        <f ca="1">IFERROR(__xludf.DUMMYFUNCTION("""COMPUTED_VALUE"""),"B")</f>
        <v>B</v>
      </c>
      <c r="L122" s="3" t="str">
        <f ca="1">IFERROR(__xludf.DUMMYFUNCTION("""COMPUTED_VALUE"""),"México, Colômbia, Peru e Chile decidiram seguir um
caminho mais curto para a integração regional. Os quatro
 países, em meados de 2012, criaram a Aliança do Pacífico e eliminaram, em 2013, as tarifas aduaneiras de 90% do total de produtos comercializados "&amp;"entre suas fronteiras.
O acordo descrito no texto teve como objetivo econômico
para os países-membros")</f>
        <v>México, Colômbia, Peru e Chile decidiram seguir um
caminho mais curto para a integração regional. Os quatro
 países, em meados de 2012, criaram a Aliança do Pacífico e eliminaram, em 2013, as tarifas aduaneiras de 90% do total de produtos comercializados entre suas fronteiras.
O acordo descrito no texto teve como objetivo econômico
para os países-membros</v>
      </c>
      <c r="M122" s="3" t="str">
        <f ca="1">IFERROR(__xludf.DUMMYFUNCTION("""COMPUTED_VALUE"""),"promover a livre circulação de trabalhadores.")</f>
        <v>promover a livre circulação de trabalhadores.</v>
      </c>
      <c r="N122" s="3" t="str">
        <f ca="1">IFERROR(__xludf.DUMMYFUNCTION("""COMPUTED_VALUE"""),"fomentar a competitividade no mercado externo.")</f>
        <v>fomentar a competitividade no mercado externo.</v>
      </c>
      <c r="O122" s="3" t="str">
        <f ca="1">IFERROR(__xludf.DUMMYFUNCTION("""COMPUTED_VALUE"""),"restringir investimentos de empresas multinacionais.")</f>
        <v>restringir investimentos de empresas multinacionais.</v>
      </c>
      <c r="P122" s="3" t="str">
        <f ca="1">IFERROR(__xludf.DUMMYFUNCTION("""COMPUTED_VALUE"""),"adotar medidas cambiais para subsidiar o setor agrícola.")</f>
        <v>adotar medidas cambiais para subsidiar o setor agrícola.</v>
      </c>
      <c r="Q122" s="3" t="str">
        <f ca="1">IFERROR(__xludf.DUMMYFUNCTION("""COMPUTED_VALUE"""),"reduzir a fiscalização alfandegária para incentivar o consumo.")</f>
        <v>reduzir a fiscalização alfandegária para incentivar o consumo.</v>
      </c>
      <c r="R122" s="3"/>
      <c r="S122" s="3"/>
      <c r="T122" s="3"/>
      <c r="U122" s="3"/>
      <c r="V122" s="3"/>
      <c r="W122" s="3"/>
      <c r="X122" s="3"/>
      <c r="Y122" s="3"/>
      <c r="Z122" s="3"/>
    </row>
    <row r="123" spans="1:26" x14ac:dyDescent="0.2">
      <c r="A123" s="2" t="str">
        <f ca="1">IFERROR(__xludf.DUMMYFUNCTION("""COMPUTED_VALUE"""),"https://drive.google.com/open?id=1TulMV1MLzHI0W_hn0WdlYhqeQrcdpdQZ")</f>
        <v>https://drive.google.com/open?id=1TulMV1MLzHI0W_hn0WdlYhqeQrcdpdQZ</v>
      </c>
      <c r="B123" s="3" t="str">
        <f ca="1">IFERROR(__xludf.DUMMYFUNCTION("""COMPUTED_VALUE"""),"Enem")</f>
        <v>Enem</v>
      </c>
      <c r="C123" s="3">
        <f ca="1">IFERROR(__xludf.DUMMYFUNCTION("""COMPUTED_VALUE"""),2017)</f>
        <v>2017</v>
      </c>
      <c r="D123" s="3" t="str">
        <f ca="1">IFERROR(__xludf.DUMMYFUNCTION("""COMPUTED_VALUE"""),"Ciências Humanas")</f>
        <v>Ciências Humanas</v>
      </c>
      <c r="E123" s="3" t="str">
        <f ca="1">IFERROR(__xludf.DUMMYFUNCTION("""COMPUTED_VALUE"""),"Sociologia")</f>
        <v>Sociologia</v>
      </c>
      <c r="F123" s="3" t="str">
        <f ca="1">IFERROR(__xludf.DUMMYFUNCTION("""COMPUTED_VALUE"""),"Sociologia")</f>
        <v>Sociologia</v>
      </c>
      <c r="G123" s="3" t="str">
        <f ca="1">IFERROR(__xludf.DUMMYFUNCTION("""COMPUTED_VALUE"""),"História Geral")</f>
        <v>História Geral</v>
      </c>
      <c r="H123" s="3"/>
      <c r="I123" s="3" t="str">
        <f ca="1">IFERROR(__xludf.DUMMYFUNCTION("""COMPUTED_VALUE"""),"Azul")</f>
        <v>Azul</v>
      </c>
      <c r="J123" s="3">
        <f ca="1">IFERROR(__xludf.DUMMYFUNCTION("""COMPUTED_VALUE"""),62)</f>
        <v>62</v>
      </c>
      <c r="K123" s="3" t="str">
        <f ca="1">IFERROR(__xludf.DUMMYFUNCTION("""COMPUTED_VALUE"""),"E")</f>
        <v>E</v>
      </c>
      <c r="L123" s="3" t="str">
        <f ca="1">IFERROR(__xludf.DUMMYFUNCTION("""COMPUTED_VALUE"""),"O New Deal visa restabelecer o equilíbrio entre o
custo de produção e o preço, entre a cidade e o campo,
entre os preços agrícolas e os preços industriais, reativar
o mercado interno — o único que é importante —, pelo
controle de preços e da produção, pel"&amp;"a revalorização
dos salários e do poder aquisitivo das massas, isto é,
dos lavradores e operários, e pela regulamentação das
condições de emprego.
Tendo como referência os condicionantes históricos do
entreguerras, as medidas governamentais descritas
obje"&amp;"tivavam")</f>
        <v>O New Deal visa restabelecer o equilíbrio entre o
custo de produção e o preço, entre a cidade e o campo,
entre os preços agrícolas e os preços industriais, reativar
o mercado interno — o único que é importante —, pelo
controle de preços e da produção, pela revalorização
dos salários e do poder aquisitivo das massas, isto é,
dos lavradores e operários, e pela regulamentação das
condições de emprego.
Tendo como referência os condicionantes históricos do
entreguerras, as medidas governamentais descritas
objetivavam</v>
      </c>
      <c r="M123" s="3" t="str">
        <f ca="1">IFERROR(__xludf.DUMMYFUNCTION("""COMPUTED_VALUE"""),"flexibilizar as regras do mercado financeiro 
")</f>
        <v xml:space="preserve">flexibilizar as regras do mercado financeiro 
</v>
      </c>
      <c r="N123" s="3" t="str">
        <f ca="1">IFERROR(__xludf.DUMMYFUNCTION("""COMPUTED_VALUE"""),"fortalecer o sistema de tributação regressiva.")</f>
        <v>fortalecer o sistema de tributação regressiva.</v>
      </c>
      <c r="O123" s="3" t="str">
        <f ca="1">IFERROR(__xludf.DUMMYFUNCTION("""COMPUTED_VALUE"""),"introduzir os dispositivos de contenção creditícia")</f>
        <v>introduzir os dispositivos de contenção creditícia</v>
      </c>
      <c r="P123" s="3" t="str">
        <f ca="1">IFERROR(__xludf.DUMMYFUNCTION("""COMPUTED_VALUE"""),"racionalizar os custos da automação industrial
mediante negociação sindical.")</f>
        <v>racionalizar os custos da automação industrial
mediante negociação sindical.</v>
      </c>
      <c r="Q123" s="3" t="str">
        <f ca="1">IFERROR(__xludf.DUMMYFUNCTION("""COMPUTED_VALUE"""),"recompor os mecanismos de acumulação econômica
por meio da intervenção estatal.")</f>
        <v>recompor os mecanismos de acumulação econômica
por meio da intervenção estatal.</v>
      </c>
      <c r="R123" s="3"/>
      <c r="S123" s="3"/>
      <c r="T123" s="3"/>
      <c r="U123" s="3"/>
      <c r="V123" s="3"/>
      <c r="W123" s="3"/>
      <c r="X123" s="3"/>
      <c r="Y123" s="3"/>
      <c r="Z123" s="3"/>
    </row>
    <row r="124" spans="1:26" x14ac:dyDescent="0.2">
      <c r="A124" s="2" t="str">
        <f ca="1">IFERROR(__xludf.DUMMYFUNCTION("""COMPUTED_VALUE"""),"https://drive.google.com/open?id=1cRfWbGO5HDLNvl7fHjSLhEgRluD92u1M")</f>
        <v>https://drive.google.com/open?id=1cRfWbGO5HDLNvl7fHjSLhEgRluD92u1M</v>
      </c>
      <c r="B124" s="3" t="str">
        <f ca="1">IFERROR(__xludf.DUMMYFUNCTION("""COMPUTED_VALUE"""),"Enem")</f>
        <v>Enem</v>
      </c>
      <c r="C124" s="3">
        <f ca="1">IFERROR(__xludf.DUMMYFUNCTION("""COMPUTED_VALUE"""),2017)</f>
        <v>2017</v>
      </c>
      <c r="D124" s="3" t="str">
        <f ca="1">IFERROR(__xludf.DUMMYFUNCTION("""COMPUTED_VALUE"""),"Ciências Humanas")</f>
        <v>Ciências Humanas</v>
      </c>
      <c r="E124" s="3" t="str">
        <f ca="1">IFERROR(__xludf.DUMMYFUNCTION("""COMPUTED_VALUE"""),"Sociologia")</f>
        <v>Sociologia</v>
      </c>
      <c r="F124" s="3" t="str">
        <f ca="1">IFERROR(__xludf.DUMMYFUNCTION("""COMPUTED_VALUE"""),"Sociologia")</f>
        <v>Sociologia</v>
      </c>
      <c r="G124" s="3" t="str">
        <f ca="1">IFERROR(__xludf.DUMMYFUNCTION("""COMPUTED_VALUE"""),"Geografia Geral")</f>
        <v>Geografia Geral</v>
      </c>
      <c r="H124" s="3"/>
      <c r="I124" s="3" t="str">
        <f ca="1">IFERROR(__xludf.DUMMYFUNCTION("""COMPUTED_VALUE"""),"Azul")</f>
        <v>Azul</v>
      </c>
      <c r="J124" s="3">
        <f ca="1">IFERROR(__xludf.DUMMYFUNCTION("""COMPUTED_VALUE"""),52)</f>
        <v>52</v>
      </c>
      <c r="K124" s="3" t="str">
        <f ca="1">IFERROR(__xludf.DUMMYFUNCTION("""COMPUTED_VALUE"""),"D")</f>
        <v>D</v>
      </c>
      <c r="L124" s="3" t="str">
        <f ca="1">IFERROR(__xludf.DUMMYFUNCTION("""COMPUTED_VALUE"""),"A configuração do espaço urbano e da região do 
Entorno do Distrito Federal assemelha-se às demais
aglomerações urbanas e regiões metropolitanas do país,
,onde é facilmente identificável a constituição de um 
centro dinâmico e desenvolvido, onde se concen"&amp;"tram
as oportunidades de trabalho e os principais serviços,
e a constituição de uma região periférica concentradora
de população de baixa renda, com acesso restrito às
principais atividades com capacidade de acumulação
e produtividade, e aos serviços soci"&amp;"ais e infraestrutura
básica.
A organização interna do aglomerado urbano descrito é
resultado da ocorrência do processo de")</f>
        <v>A configuração do espaço urbano e da região do 
Entorno do Distrito Federal assemelha-se às demais
aglomerações urbanas e regiões metropolitanas do país,
,onde é facilmente identificável a constituição de um 
centro dinâmico e desenvolvido, onde se concentram
as oportunidades de trabalho e os principais serviços,
e a constituição de uma região periférica concentradora
de população de baixa renda, com acesso restrito às
principais atividades com capacidade de acumulação
e produtividade, e aos serviços sociais e infraestrutura
básica.
A organização interna do aglomerado urbano descrito é
resultado da ocorrência do processo de</v>
      </c>
      <c r="M124" s="3" t="str">
        <f ca="1">IFERROR(__xludf.DUMMYFUNCTION("""COMPUTED_VALUE"""),"expansão vertical")</f>
        <v>expansão vertical</v>
      </c>
      <c r="N124" s="3" t="str">
        <f ca="1">IFERROR(__xludf.DUMMYFUNCTION("""COMPUTED_VALUE"""),"polarização nacional.
")</f>
        <v xml:space="preserve">polarização nacional.
</v>
      </c>
      <c r="O124" s="3" t="str">
        <f ca="1">IFERROR(__xludf.DUMMYFUNCTION("""COMPUTED_VALUE"""),"emancipação municipal")</f>
        <v>emancipação municipal</v>
      </c>
      <c r="P124" s="3" t="str">
        <f ca="1">IFERROR(__xludf.DUMMYFUNCTION("""COMPUTED_VALUE"""),"segregação socioespacial.")</f>
        <v>segregação socioespacial.</v>
      </c>
      <c r="Q124" s="3" t="str">
        <f ca="1">IFERROR(__xludf.DUMMYFUNCTION("""COMPUTED_VALUE"""),"desregulamentação comercial.
")</f>
        <v xml:space="preserve">desregulamentação comercial.
</v>
      </c>
      <c r="R124" s="3"/>
      <c r="S124" s="3"/>
      <c r="T124" s="3"/>
      <c r="U124" s="3"/>
      <c r="V124" s="3"/>
      <c r="W124" s="3"/>
      <c r="X124" s="3"/>
      <c r="Y124" s="3"/>
      <c r="Z124" s="3"/>
    </row>
    <row r="125" spans="1:26" x14ac:dyDescent="0.2">
      <c r="A125" s="2" t="str">
        <f ca="1">IFERROR(__xludf.DUMMYFUNCTION("""COMPUTED_VALUE"""),"https://drive.google.com/open?id=1oVU0Tp6NHGicSIv18P11SgGccIUqsh0N")</f>
        <v>https://drive.google.com/open?id=1oVU0Tp6NHGicSIv18P11SgGccIUqsh0N</v>
      </c>
      <c r="B125" s="3" t="str">
        <f ca="1">IFERROR(__xludf.DUMMYFUNCTION("""COMPUTED_VALUE"""),"Enem")</f>
        <v>Enem</v>
      </c>
      <c r="C125" s="3">
        <f ca="1">IFERROR(__xludf.DUMMYFUNCTION("""COMPUTED_VALUE"""),2017)</f>
        <v>2017</v>
      </c>
      <c r="D125" s="3" t="str">
        <f ca="1">IFERROR(__xludf.DUMMYFUNCTION("""COMPUTED_VALUE"""),"Ciências Humanas")</f>
        <v>Ciências Humanas</v>
      </c>
      <c r="E125" s="3" t="str">
        <f ca="1">IFERROR(__xludf.DUMMYFUNCTION("""COMPUTED_VALUE"""),"Sociologia")</f>
        <v>Sociologia</v>
      </c>
      <c r="F125" s="3" t="str">
        <f ca="1">IFERROR(__xludf.DUMMYFUNCTION("""COMPUTED_VALUE"""),"Sociologia")</f>
        <v>Sociologia</v>
      </c>
      <c r="G125" s="3" t="str">
        <f ca="1">IFERROR(__xludf.DUMMYFUNCTION("""COMPUTED_VALUE"""),"Geografia Geral")</f>
        <v>Geografia Geral</v>
      </c>
      <c r="H125" s="3"/>
      <c r="I125" s="3" t="str">
        <f ca="1">IFERROR(__xludf.DUMMYFUNCTION("""COMPUTED_VALUE"""),"Azul")</f>
        <v>Azul</v>
      </c>
      <c r="J125" s="3">
        <f ca="1">IFERROR(__xludf.DUMMYFUNCTION("""COMPUTED_VALUE"""),60)</f>
        <v>60</v>
      </c>
      <c r="K125" s="3" t="str">
        <f ca="1">IFERROR(__xludf.DUMMYFUNCTION("""COMPUTED_VALUE"""),"D")</f>
        <v>D</v>
      </c>
      <c r="L125" s="3" t="str">
        <f ca="1">IFERROR(__xludf.DUMMYFUNCTION("""COMPUTED_VALUE"""),"Procuramos demonstrar que o desenvolvimento
pode ser visto como um processo de expansão das
liberdades reais que as pessoas desfrutam. O enfoque
nas liberdades humanas contrasta com visões mais
restritas de desenvolvimento, como as que identificam o  
des"&amp;"envolvimento com crescimento do Produto Nacional
Bruto, ou industrialização. O crescimento do PNB pode
ser muito importante como um meio de expandir as
liberdades. Mas as liberdades dependem também de
outros determinantes, como os serviços de educação e
s"&amp;"aúde e os direitos civis.
A concepção de desenvolvimento proposta no texto
fundamenta-se no vínculo entre
")</f>
        <v xml:space="preserve">Procuramos demonstrar que o desenvolvimento
pode ser visto como um processo de expansão das
liberdades reais que as pessoas desfrutam. O enfoque
nas liberdades humanas contrasta com visões mais
restritas de desenvolvimento, como as que identificam o  
desenvolvimento com crescimento do Produto Nacional
Bruto, ou industrialização. O crescimento do PNB pode
ser muito importante como um meio de expandir as
liberdades. Mas as liberdades dependem também de
outros determinantes, como os serviços de educação e
saúde e os direitos civis.
A concepção de desenvolvimento proposta no texto
fundamenta-se no vínculo entre
</v>
      </c>
      <c r="M125" s="3" t="str">
        <f ca="1">IFERROR(__xludf.DUMMYFUNCTION("""COMPUTED_VALUE"""),"incremento da indústria e atuação no mercado financeiro")</f>
        <v>incremento da indústria e atuação no mercado financeiro</v>
      </c>
      <c r="N125" s="3" t="str">
        <f ca="1">IFERROR(__xludf.DUMMYFUNCTION("""COMPUTED_VALUE"""),"criação de programas assistencialistas e controle de
preços.")</f>
        <v>criação de programas assistencialistas e controle de
preços.</v>
      </c>
      <c r="O125" s="3" t="str">
        <f ca="1">IFERROR(__xludf.DUMMYFUNCTION("""COMPUTED_VALUE"""),"elevação da renda média e arrecadação de impostos.")</f>
        <v>elevação da renda média e arrecadação de impostos.</v>
      </c>
      <c r="P125" s="3" t="str">
        <f ca="1">IFERROR(__xludf.DUMMYFUNCTION("""COMPUTED_VALUE"""),"garantia da cidadania e ascensão econômica.")</f>
        <v>garantia da cidadania e ascensão econômica.</v>
      </c>
      <c r="Q125" s="3" t="str">
        <f ca="1">IFERROR(__xludf.DUMMYFUNCTION("""COMPUTED_VALUE"""),"ajuste de políticas econômicas e incentivos fiscais. 
")</f>
        <v xml:space="preserve">ajuste de políticas econômicas e incentivos fiscais. 
</v>
      </c>
      <c r="R125" s="3"/>
      <c r="S125" s="3"/>
      <c r="T125" s="3"/>
      <c r="U125" s="3"/>
      <c r="V125" s="3"/>
      <c r="W125" s="3"/>
      <c r="X125" s="3"/>
      <c r="Y125" s="3"/>
      <c r="Z125" s="3"/>
    </row>
    <row r="126" spans="1:26" x14ac:dyDescent="0.2">
      <c r="A126" s="2" t="str">
        <f ca="1">IFERROR(__xludf.DUMMYFUNCTION("""COMPUTED_VALUE"""),"https://drive.google.com/open?id=1HGck9r0yUGegbgHkBaxYvDxSlp2A8do_")</f>
        <v>https://drive.google.com/open?id=1HGck9r0yUGegbgHkBaxYvDxSlp2A8do_</v>
      </c>
      <c r="B126" s="3" t="str">
        <f ca="1">IFERROR(__xludf.DUMMYFUNCTION("""COMPUTED_VALUE"""),"Enem")</f>
        <v>Enem</v>
      </c>
      <c r="C126" s="3">
        <f ca="1">IFERROR(__xludf.DUMMYFUNCTION("""COMPUTED_VALUE"""),2017)</f>
        <v>2017</v>
      </c>
      <c r="D126" s="3" t="str">
        <f ca="1">IFERROR(__xludf.DUMMYFUNCTION("""COMPUTED_VALUE"""),"Ciências Humanas")</f>
        <v>Ciências Humanas</v>
      </c>
      <c r="E126" s="3" t="str">
        <f ca="1">IFERROR(__xludf.DUMMYFUNCTION("""COMPUTED_VALUE"""),"Sociologia")</f>
        <v>Sociologia</v>
      </c>
      <c r="F126" s="3" t="str">
        <f ca="1">IFERROR(__xludf.DUMMYFUNCTION("""COMPUTED_VALUE"""),"Sociologia")</f>
        <v>Sociologia</v>
      </c>
      <c r="G126" s="3"/>
      <c r="H126" s="3"/>
      <c r="I126" s="3" t="str">
        <f ca="1">IFERROR(__xludf.DUMMYFUNCTION("""COMPUTED_VALUE"""),"Azul")</f>
        <v>Azul</v>
      </c>
      <c r="J126" s="3">
        <f ca="1">IFERROR(__xludf.DUMMYFUNCTION("""COMPUTED_VALUE"""),74)</f>
        <v>74</v>
      </c>
      <c r="K126" s="3" t="str">
        <f ca="1">IFERROR(__xludf.DUMMYFUNCTION("""COMPUTED_VALUE"""),"B")</f>
        <v>B</v>
      </c>
      <c r="L126" s="3" t="str">
        <f ca="1">IFERROR(__xludf.DUMMYFUNCTION("""COMPUTED_VALUE"""),"A participação da mulher no processo de decisão
política ainda é extremamente limitada em praticamente
todos os países, independentemente do regime
econômico e social e da estrutura institucional vigente
em cada um deles. É fato público e notório, além de"&amp;"
empiricamente comprovado, que as mulheres estão em
geral sub-representadas nos órgãos do poder, pois a
proporção não corresponde jamais ao peso relativo dessa
parte da população.
No âmbito do Poder Legislativo brasileiro, a tentativa de
reverter esse qua"&amp;"dro de sub-representação tem envolvido
a implementação, pelo Estado, de")</f>
        <v>A participação da mulher no processo de decisão
política ainda é extremamente limitada em praticamente
todos os países, independentemente do regime
econômico e social e da estrutura institucional vigente
em cada um deles. É fato público e notório, além de
empiricamente comprovado, que as mulheres estão em
geral sub-representadas nos órgãos do poder, pois a
proporção não corresponde jamais ao peso relativo dessa
parte da população.
No âmbito do Poder Legislativo brasileiro, a tentativa de
reverter esse quadro de sub-representação tem envolvido
a implementação, pelo Estado, de</v>
      </c>
      <c r="M126" s="3" t="str">
        <f ca="1">IFERROR(__xludf.DUMMYFUNCTION("""COMPUTED_VALUE"""),"leis de combate à violência doméstica. ")</f>
        <v xml:space="preserve">leis de combate à violência doméstica. </v>
      </c>
      <c r="N126" s="3" t="str">
        <f ca="1">IFERROR(__xludf.DUMMYFUNCTION("""COMPUTED_VALUE"""),"cotas de gênero nas candidaturas partidárias")</f>
        <v>cotas de gênero nas candidaturas partidárias</v>
      </c>
      <c r="O126" s="3" t="str">
        <f ca="1">IFERROR(__xludf.DUMMYFUNCTION("""COMPUTED_VALUE"""),"programas de mobilização política nas escolas.")</f>
        <v>programas de mobilização política nas escolas.</v>
      </c>
      <c r="P126" s="3" t="str">
        <f ca="1">IFERROR(__xludf.DUMMYFUNCTION("""COMPUTED_VALUE"""),"propagandas de incentivo ao voto consciente.")</f>
        <v>propagandas de incentivo ao voto consciente.</v>
      </c>
      <c r="Q126" s="3" t="str">
        <f ca="1">IFERROR(__xludf.DUMMYFUNCTION("""COMPUTED_VALUE"""),"apoio financeiro às lideranças femininas
")</f>
        <v xml:space="preserve">apoio financeiro às lideranças femininas
</v>
      </c>
      <c r="R126" s="3"/>
      <c r="S126" s="3"/>
      <c r="T126" s="3"/>
      <c r="U126" s="3"/>
      <c r="V126" s="3"/>
      <c r="W126" s="3"/>
      <c r="X126" s="3"/>
      <c r="Y126" s="3"/>
      <c r="Z126" s="3"/>
    </row>
    <row r="127" spans="1:26" x14ac:dyDescent="0.2">
      <c r="A127" s="2" t="str">
        <f ca="1">IFERROR(__xludf.DUMMYFUNCTION("""COMPUTED_VALUE"""),"https://drive.google.com/open?id=1nk465PDBr0HOCaUk6sQdfhdUp0g0ist7")</f>
        <v>https://drive.google.com/open?id=1nk465PDBr0HOCaUk6sQdfhdUp0g0ist7</v>
      </c>
      <c r="B127" s="3" t="str">
        <f ca="1">IFERROR(__xludf.DUMMYFUNCTION("""COMPUTED_VALUE"""),"Enem")</f>
        <v>Enem</v>
      </c>
      <c r="C127" s="3">
        <f ca="1">IFERROR(__xludf.DUMMYFUNCTION("""COMPUTED_VALUE"""),2018)</f>
        <v>2018</v>
      </c>
      <c r="D127" s="3" t="str">
        <f ca="1">IFERROR(__xludf.DUMMYFUNCTION("""COMPUTED_VALUE"""),"Linguagens")</f>
        <v>Linguagens</v>
      </c>
      <c r="E127" s="3" t="str">
        <f ca="1">IFERROR(__xludf.DUMMYFUNCTION("""COMPUTED_VALUE"""),"Língua Estrangeira")</f>
        <v>Língua Estrangeira</v>
      </c>
      <c r="F127" s="3" t="str">
        <f ca="1">IFERROR(__xludf.DUMMYFUNCTION("""COMPUTED_VALUE"""),"Inglês")</f>
        <v>Inglês</v>
      </c>
      <c r="G127" s="3"/>
      <c r="H127" s="3"/>
      <c r="I127" s="3" t="str">
        <f ca="1">IFERROR(__xludf.DUMMYFUNCTION("""COMPUTED_VALUE"""),"Azul")</f>
        <v>Azul</v>
      </c>
      <c r="J127" s="3">
        <f ca="1">IFERROR(__xludf.DUMMYFUNCTION("""COMPUTED_VALUE"""),1)</f>
        <v>1</v>
      </c>
      <c r="K127" s="3" t="str">
        <f ca="1">IFERROR(__xludf.DUMMYFUNCTION("""COMPUTED_VALUE"""),"B")</f>
        <v>B</v>
      </c>
      <c r="L127" s="3" t="str">
        <f ca="1">IFERROR(__xludf.DUMMYFUNCTION("""COMPUTED_VALUE"""),"Lava Mae: Creating Showers on Wheels for the Homeless
San Francisco, according to recent city numbers,
has 4,300 people living on the streets. Among the many
problems the homeless face is little or no access to
showers. San Francisco only has about 16 to"&amp;" 20 shower 
stalls to accommodate them.
But Doniece Sandoval has made it her mission to
change that. The 51-year-old former marketing executive
started Lava Mae, a sort of showers on wheels, a new
project that aims to turn decommissioned city buses into
s"&amp;"hower stations for the homeless. Each bus will have two
shower stations and Sandoval expects that they'll be able
to provide 2,000 showers a week.
A relação dos vocábulos shower, bus e homeless, no texto, refere-se a")</f>
        <v>Lava Mae: Creating Showers on Wheels for the Homeless
San Francisco, according to recent city numbers,
has 4,300 people living on the streets. Among the many
problems the homeless face is little or no access to
showers. San Francisco only has about 16 to 20 shower 
stalls to accommodate them.
But Doniece Sandoval has made it her mission to
change that. The 51-year-old former marketing executive
started Lava Mae, a sort of showers on wheels, a new
project that aims to turn decommissioned city buses into
shower stations for the homeless. Each bus will have two
shower stations and Sandoval expects that they'll be able
to provide 2,000 showers a week.
A relação dos vocábulos shower, bus e homeless, no texto, refere-se a</v>
      </c>
      <c r="M127" s="3" t="str">
        <f ca="1">IFERROR(__xludf.DUMMYFUNCTION("""COMPUTED_VALUE"""),"empregar moradores de rua em lava a jatos para ônibus.")</f>
        <v>empregar moradores de rua em lava a jatos para ônibus.</v>
      </c>
      <c r="N127" s="3" t="str">
        <f ca="1">IFERROR(__xludf.DUMMYFUNCTION("""COMPUTED_VALUE"""),"criar acesso a banhos gratuitos para moradores de rua.")</f>
        <v>criar acesso a banhos gratuitos para moradores de rua.</v>
      </c>
      <c r="O127" s="3" t="str">
        <f ca="1">IFERROR(__xludf.DUMMYFUNCTION("""COMPUTED_VALUE"""),"comissionar sem-teto para dirigir os ônibus da cidade.")</f>
        <v>comissionar sem-teto para dirigir os ônibus da cidade.</v>
      </c>
      <c r="P127" s="3" t="str">
        <f ca="1">IFERROR(__xludf.DUMMYFUNCTION("""COMPUTED_VALUE"""),"exigir das autoridades que os ônibus municipais tenham banheiros.")</f>
        <v>exigir das autoridades que os ônibus municipais tenham banheiros.</v>
      </c>
      <c r="Q127" s="3" t="str">
        <f ca="1">IFERROR(__xludf.DUMMYFUNCTION("""COMPUTED_VALUE"""),"abrigar dois mil moradores de rua em ônibus que foram adaptados.")</f>
        <v>abrigar dois mil moradores de rua em ônibus que foram adaptados.</v>
      </c>
      <c r="R127" s="3"/>
      <c r="S127" s="3"/>
      <c r="T127" s="3"/>
      <c r="U127" s="3"/>
      <c r="V127" s="3"/>
      <c r="W127" s="3"/>
      <c r="X127" s="3"/>
      <c r="Y127" s="3"/>
      <c r="Z127" s="3"/>
    </row>
    <row r="128" spans="1:26" x14ac:dyDescent="0.2">
      <c r="A128" s="2" t="str">
        <f ca="1">IFERROR(__xludf.DUMMYFUNCTION("""COMPUTED_VALUE"""),"https://drive.google.com/open?id=1MJkETpROneOvWMBgSz8iJbgM1TKc20qe")</f>
        <v>https://drive.google.com/open?id=1MJkETpROneOvWMBgSz8iJbgM1TKc20qe</v>
      </c>
      <c r="B128" s="3" t="str">
        <f ca="1">IFERROR(__xludf.DUMMYFUNCTION("""COMPUTED_VALUE"""),"Enem")</f>
        <v>Enem</v>
      </c>
      <c r="C128" s="3">
        <f ca="1">IFERROR(__xludf.DUMMYFUNCTION("""COMPUTED_VALUE"""),2018)</f>
        <v>2018</v>
      </c>
      <c r="D128" s="3" t="str">
        <f ca="1">IFERROR(__xludf.DUMMYFUNCTION("""COMPUTED_VALUE"""),"Linguagens")</f>
        <v>Linguagens</v>
      </c>
      <c r="E128" s="3" t="str">
        <f ca="1">IFERROR(__xludf.DUMMYFUNCTION("""COMPUTED_VALUE"""),"Língua Estrangeira")</f>
        <v>Língua Estrangeira</v>
      </c>
      <c r="F128" s="3" t="str">
        <f ca="1">IFERROR(__xludf.DUMMYFUNCTION("""COMPUTED_VALUE"""),"Inglês")</f>
        <v>Inglês</v>
      </c>
      <c r="G128" s="3"/>
      <c r="H128" s="3"/>
      <c r="I128" s="3" t="str">
        <f ca="1">IFERROR(__xludf.DUMMYFUNCTION("""COMPUTED_VALUE"""),"Azul")</f>
        <v>Azul</v>
      </c>
      <c r="J128" s="3">
        <f ca="1">IFERROR(__xludf.DUMMYFUNCTION("""COMPUTED_VALUE"""),2)</f>
        <v>2</v>
      </c>
      <c r="K128" s="3" t="str">
        <f ca="1">IFERROR(__xludf.DUMMYFUNCTION("""COMPUTED_VALUE"""),"B")</f>
        <v>B</v>
      </c>
      <c r="L128" s="3" t="str">
        <f ca="1">IFERROR(__xludf.DUMMYFUNCTION("""COMPUTED_VALUE"""),"(texto da imagem)
No cartum, a crítica está no fato de a sociedade exigir do
adolescente que")</f>
        <v>(texto da imagem)
No cartum, a crítica está no fato de a sociedade exigir do
adolescente que</v>
      </c>
      <c r="M128" s="3" t="str">
        <f ca="1">IFERROR(__xludf.DUMMYFUNCTION("""COMPUTED_VALUE"""),"se aposente prematuramente.")</f>
        <v>se aposente prematuramente.</v>
      </c>
      <c r="N128" s="3" t="str">
        <f ca="1">IFERROR(__xludf.DUMMYFUNCTION("""COMPUTED_VALUE"""),"amadureça precocemente.")</f>
        <v>amadureça precocemente.</v>
      </c>
      <c r="O128" s="3" t="str">
        <f ca="1">IFERROR(__xludf.DUMMYFUNCTION("""COMPUTED_VALUE"""),"estude aplicadamente.")</f>
        <v>estude aplicadamente.</v>
      </c>
      <c r="P128" s="3" t="str">
        <f ca="1">IFERROR(__xludf.DUMMYFUNCTION("""COMPUTED_VALUE"""),"se forme rapidamente.")</f>
        <v>se forme rapidamente.</v>
      </c>
      <c r="Q128" s="3" t="str">
        <f ca="1">IFERROR(__xludf.DUMMYFUNCTION("""COMPUTED_VALUE"""),"ouça atentamente.")</f>
        <v>ouça atentamente.</v>
      </c>
      <c r="R128" s="3"/>
      <c r="S128" s="3"/>
      <c r="T128" s="3"/>
      <c r="U128" s="3"/>
      <c r="V128" s="3"/>
      <c r="W128" s="3"/>
      <c r="X128" s="3"/>
      <c r="Y128" s="3"/>
      <c r="Z128" s="3"/>
    </row>
    <row r="129" spans="1:26" x14ac:dyDescent="0.2">
      <c r="A129" s="2" t="str">
        <f ca="1">IFERROR(__xludf.DUMMYFUNCTION("""COMPUTED_VALUE"""),"https://drive.google.com/open?id=1qDtihalOEUQ07991VaH1Cc0aUzHy1GfS")</f>
        <v>https://drive.google.com/open?id=1qDtihalOEUQ07991VaH1Cc0aUzHy1GfS</v>
      </c>
      <c r="B129" s="3" t="str">
        <f ca="1">IFERROR(__xludf.DUMMYFUNCTION("""COMPUTED_VALUE"""),"Enem")</f>
        <v>Enem</v>
      </c>
      <c r="C129" s="3">
        <f ca="1">IFERROR(__xludf.DUMMYFUNCTION("""COMPUTED_VALUE"""),2018)</f>
        <v>2018</v>
      </c>
      <c r="D129" s="3" t="str">
        <f ca="1">IFERROR(__xludf.DUMMYFUNCTION("""COMPUTED_VALUE"""),"Linguagens")</f>
        <v>Linguagens</v>
      </c>
      <c r="E129" s="3" t="str">
        <f ca="1">IFERROR(__xludf.DUMMYFUNCTION("""COMPUTED_VALUE"""),"Língua Estrangeira")</f>
        <v>Língua Estrangeira</v>
      </c>
      <c r="F129" s="3" t="str">
        <f ca="1">IFERROR(__xludf.DUMMYFUNCTION("""COMPUTED_VALUE"""),"Inglês")</f>
        <v>Inglês</v>
      </c>
      <c r="G129" s="3"/>
      <c r="H129" s="3"/>
      <c r="I129" s="3" t="str">
        <f ca="1">IFERROR(__xludf.DUMMYFUNCTION("""COMPUTED_VALUE"""),"Azul")</f>
        <v>Azul</v>
      </c>
      <c r="J129" s="3">
        <f ca="1">IFERROR(__xludf.DUMMYFUNCTION("""COMPUTED_VALUE"""),3)</f>
        <v>3</v>
      </c>
      <c r="K129" s="3" t="str">
        <f ca="1">IFERROR(__xludf.DUMMYFUNCTION("""COMPUTED_VALUE"""),"D")</f>
        <v>D</v>
      </c>
      <c r="L129" s="3" t="str">
        <f ca="1">IFERROR(__xludf.DUMMYFUNCTION("""COMPUTED_VALUE"""),"Don't write in English, they said,
English is not your mother tongue...
... The language I speak
Becomes mine, its distortions, its queerness
All mine, mine alone, it is half English, half
Indian, funny perhaps, but it is honest,
It is as human as I am hu"&amp;"man...
...It voices my joys, my longings my
Hopes...
(Kamala Das, 1965:10)
A poetisa Kamala Das, como muitos escritores indianos,
escreve suas obras em inglês, apesar de essa não ser
sua primeira língua. Nesses versos, ela")</f>
        <v>Don't write in English, they said,
English is not your mother tongue...
... The language I speak
Becomes mine, its distortions, its queerness
All mine, mine alone, it is half English, half
Indian, funny perhaps, but it is honest,
It is as human as I am human...
...It voices my joys, my longings my
Hopes...
(Kamala Das, 1965:10)
A poetisa Kamala Das, como muitos escritores indianos,
escreve suas obras em inglês, apesar de essa não ser
sua primeira língua. Nesses versos, ela</v>
      </c>
      <c r="M129" s="3" t="str">
        <f ca="1">IFERROR(__xludf.DUMMYFUNCTION("""COMPUTED_VALUE"""),"usa a língua inglesa com efeito humorístico.")</f>
        <v>usa a língua inglesa com efeito humorístico.</v>
      </c>
      <c r="N129" s="3" t="str">
        <f ca="1">IFERROR(__xludf.DUMMYFUNCTION("""COMPUTED_VALUE"""),"recorre a vozes de vários escritores ingleses.")</f>
        <v>recorre a vozes de vários escritores ingleses.</v>
      </c>
      <c r="O129" s="3" t="str">
        <f ca="1">IFERROR(__xludf.DUMMYFUNCTION("""COMPUTED_VALUE"""),"adverte sobre o uso distorcido da língua inglesa.")</f>
        <v>adverte sobre o uso distorcido da língua inglesa.</v>
      </c>
      <c r="P129" s="3" t="str">
        <f ca="1">IFERROR(__xludf.DUMMYFUNCTION("""COMPUTED_VALUE"""),"demonstra consciência de sua identidade linguística.")</f>
        <v>demonstra consciência de sua identidade linguística.</v>
      </c>
      <c r="Q129" s="3" t="str">
        <f ca="1">IFERROR(__xludf.DUMMYFUNCTION("""COMPUTED_VALUE"""),"reconhece a incompreensão na sua maneira de falar inglês.")</f>
        <v>reconhece a incompreensão na sua maneira de falar inglês.</v>
      </c>
      <c r="R129" s="3"/>
      <c r="S129" s="3"/>
      <c r="T129" s="3"/>
      <c r="U129" s="3"/>
      <c r="V129" s="3"/>
      <c r="W129" s="3"/>
      <c r="X129" s="3"/>
      <c r="Y129" s="3"/>
      <c r="Z129" s="3"/>
    </row>
    <row r="130" spans="1:26" x14ac:dyDescent="0.2">
      <c r="A130" s="2" t="str">
        <f ca="1">IFERROR(__xludf.DUMMYFUNCTION("""COMPUTED_VALUE"""),"https://drive.google.com/open?id=1YnDWl0sxoCRvNIzWLzK5myGTsJ8uswhn")</f>
        <v>https://drive.google.com/open?id=1YnDWl0sxoCRvNIzWLzK5myGTsJ8uswhn</v>
      </c>
      <c r="B130" s="3" t="str">
        <f ca="1">IFERROR(__xludf.DUMMYFUNCTION("""COMPUTED_VALUE"""),"Enem")</f>
        <v>Enem</v>
      </c>
      <c r="C130" s="3">
        <f ca="1">IFERROR(__xludf.DUMMYFUNCTION("""COMPUTED_VALUE"""),2018)</f>
        <v>2018</v>
      </c>
      <c r="D130" s="3" t="str">
        <f ca="1">IFERROR(__xludf.DUMMYFUNCTION("""COMPUTED_VALUE"""),"Linguagens")</f>
        <v>Linguagens</v>
      </c>
      <c r="E130" s="3" t="str">
        <f ca="1">IFERROR(__xludf.DUMMYFUNCTION("""COMPUTED_VALUE"""),"Língua Estrangeira")</f>
        <v>Língua Estrangeira</v>
      </c>
      <c r="F130" s="3" t="str">
        <f ca="1">IFERROR(__xludf.DUMMYFUNCTION("""COMPUTED_VALUE"""),"Inglês")</f>
        <v>Inglês</v>
      </c>
      <c r="G130" s="3"/>
      <c r="H130" s="3"/>
      <c r="I130" s="3" t="str">
        <f ca="1">IFERROR(__xludf.DUMMYFUNCTION("""COMPUTED_VALUE"""),"Azul")</f>
        <v>Azul</v>
      </c>
      <c r="J130" s="3">
        <f ca="1">IFERROR(__xludf.DUMMYFUNCTION("""COMPUTED_VALUE"""),4)</f>
        <v>4</v>
      </c>
      <c r="K130" s="3" t="str">
        <f ca="1">IFERROR(__xludf.DUMMYFUNCTION("""COMPUTED_VALUE"""),"E")</f>
        <v>E</v>
      </c>
      <c r="L130" s="3" t="str">
        <f ca="1">IFERROR(__xludf.DUMMYFUNCTION("""COMPUTED_VALUE"""),"TEXTO I
A Free World-class Education for Anyone Anywhere
The Khan Academy is an organization on a mission. We're a not-for-profit with the goal of changing education for the better by providing a free world-class education to anyone anywhere. All of the "&amp;"site's resources are available to anyone. The Khan Academy's materials and resources are available to you completely free of charge.
TEXTO II
I didn't have a problem with Khan Academy site until very recently. For me, the problem is the way Khan Academy "&amp;"is being promoted. The way the media sees it as “revolutionizing education”. The way people with power and money view education as simply ""sit-and-get"". If your philosophy of education is ""sit-and-get"", i.e, teaching telling and learning is listening,"&amp;" then Khan Academy is way more efficient than classroom lecturing. Khan Academy  does it better. But TRUE progressive educators, TRUE education visionaries and revolutionaries don't want to do these things better. We want to DO BETTER THINGS.
Com o impac"&amp;"to das tecnologias e a ampliação das redes sociais, consumidores encontram na internet possibilidades de opinar sobre serviços oferecidos. Nesse sentido, o segundo texto, que é um comentário sobre o site divulgado no primeiro, apresenta a intenção do auto"&amp;"r de")</f>
        <v>TEXTO I
A Free World-class Education for Anyone Anywhere
The Khan Academy is an organization on a mission. We're a not-for-profit with the goal of changing education for the better by providing a free world-class education to anyone anywhere. All of the site's resources are available to anyone. The Khan Academy's materials and resources are available to you completely free of charge.
TEXTO II
I didn't have a problem with Khan Academy site until very recently. For me, the problem is the way Khan Academy is being promoted. The way the media sees it as “revolutionizing education”. The way people with power and money view education as simply "sit-and-get". If your philosophy of education is "sit-and-get", i.e, teaching telling and learning is listening, then Khan Academy is way more efficient than classroom lecturing. Khan Academy  does it better. But TRUE progressive educators, TRUE education visionaries and revolutionaries don't want to do these things better. We want to DO BETTER THINGS.
Com o impacto das tecnologias e a ampliação das redes sociais, consumidores encontram na internet possibilidades de opinar sobre serviços oferecidos. Nesse sentido, o segundo texto, que é um comentário sobre o site divulgado no primeiro, apresenta a intenção do autor de</v>
      </c>
      <c r="M130" s="3" t="str">
        <f ca="1">IFERROR(__xludf.DUMMYFUNCTION("""COMPUTED_VALUE"""),"elogiar o trabalho proposto para a educação nessa era tecnológica.")</f>
        <v>elogiar o trabalho proposto para a educação nessa era tecnológica.</v>
      </c>
      <c r="N130" s="3" t="str">
        <f ca="1">IFERROR(__xludf.DUMMYFUNCTION("""COMPUTED_VALUE"""),"reforçar como a mídia pode contribuir para revolucionar a educação.")</f>
        <v>reforçar como a mídia pode contribuir para revolucionar a educação.</v>
      </c>
      <c r="O130" s="3" t="str">
        <f ca="1">IFERROR(__xludf.DUMMYFUNCTION("""COMPUTED_VALUE"""),"chamar a atenção das pessoas influentes para o significado da educação. ")</f>
        <v xml:space="preserve">chamar a atenção das pessoas influentes para o significado da educação. </v>
      </c>
      <c r="P130" s="3" t="str">
        <f ca="1">IFERROR(__xludf.DUMMYFUNCTION("""COMPUTED_VALUE"""),"destacar que o site tem melhores resultados do que a educação tradicional.")</f>
        <v>destacar que o site tem melhores resultados do que a educação tradicional.</v>
      </c>
      <c r="Q130" s="3" t="str">
        <f ca="1">IFERROR(__xludf.DUMMYFUNCTION("""COMPUTED_VALUE"""),"criticar a concepção de educação em que se baseia a organização.")</f>
        <v>criticar a concepção de educação em que se baseia a organização.</v>
      </c>
      <c r="R130" s="3"/>
      <c r="S130" s="3"/>
      <c r="T130" s="3"/>
      <c r="U130" s="3"/>
      <c r="V130" s="3"/>
      <c r="W130" s="3"/>
      <c r="X130" s="3"/>
      <c r="Y130" s="3"/>
      <c r="Z130" s="3"/>
    </row>
    <row r="131" spans="1:26" x14ac:dyDescent="0.2">
      <c r="A131" s="2" t="str">
        <f ca="1">IFERROR(__xludf.DUMMYFUNCTION("""COMPUTED_VALUE"""),"https://drive.google.com/open?id=1abH39npmAMxfu5iA8IuamqlTXnRE8eX8")</f>
        <v>https://drive.google.com/open?id=1abH39npmAMxfu5iA8IuamqlTXnRE8eX8</v>
      </c>
      <c r="B131" s="3" t="str">
        <f ca="1">IFERROR(__xludf.DUMMYFUNCTION("""COMPUTED_VALUE"""),"Enem")</f>
        <v>Enem</v>
      </c>
      <c r="C131" s="3">
        <f ca="1">IFERROR(__xludf.DUMMYFUNCTION("""COMPUTED_VALUE"""),2018)</f>
        <v>2018</v>
      </c>
      <c r="D131" s="3" t="str">
        <f ca="1">IFERROR(__xludf.DUMMYFUNCTION("""COMPUTED_VALUE"""),"Linguagens")</f>
        <v>Linguagens</v>
      </c>
      <c r="E131" s="3" t="str">
        <f ca="1">IFERROR(__xludf.DUMMYFUNCTION("""COMPUTED_VALUE"""),"Língua Estrangeira")</f>
        <v>Língua Estrangeira</v>
      </c>
      <c r="F131" s="3" t="str">
        <f ca="1">IFERROR(__xludf.DUMMYFUNCTION("""COMPUTED_VALUE"""),"Inglês")</f>
        <v>Inglês</v>
      </c>
      <c r="G131" s="3"/>
      <c r="H131" s="3"/>
      <c r="I131" s="3" t="str">
        <f ca="1">IFERROR(__xludf.DUMMYFUNCTION("""COMPUTED_VALUE"""),"Azul")</f>
        <v>Azul</v>
      </c>
      <c r="J131" s="3">
        <f ca="1">IFERROR(__xludf.DUMMYFUNCTION("""COMPUTED_VALUE"""),5)</f>
        <v>5</v>
      </c>
      <c r="K131" s="3" t="str">
        <f ca="1">IFERROR(__xludf.DUMMYFUNCTION("""COMPUTED_VALUE"""),"C")</f>
        <v>C</v>
      </c>
      <c r="L131" s="3" t="str">
        <f ca="1">IFERROR(__xludf.DUMMYFUNCTION("""COMPUTED_VALUE"""),"1984 (excerpt)
‘Is it your opinion, Winston, that the past has real
existence?’ [...] O'Brien smiled faintly. ‘I will put it more
precisely. Does the past exist concretely, in space? Is
there somewhere or other a place, a world of solid objects,
where the"&amp;" past is still happening?’
 ‘No.’
 ‘Then where does the past exist, if at all?’
 ‘In records. It is written down.’
 ‘In records. And — —?’
 ‘In the mind. In human memories.’
 ‘In memory. Very well, then. We, the Party, control all
records, and we control "&amp;"all memories. Then we control the
past, do we not?’
O romance 1984 descreve os perigos de um Estado
totalitário. A ideia evidenciada nessa passagem é que o
controle do Estado se dá por meio do(a)")</f>
        <v>1984 (excerpt)
‘Is it your opinion, Winston, that the past has real
existence?’ [...] O'Brien smiled faintly. ‘I will put it more
precisely. Does the past exist concretely, in space? Is
there somewhere or other a place, a world of solid objects,
where the past is still happening?’
 ‘No.’
 ‘Then where does the past exist, if at all?’
 ‘In records. It is written down.’
 ‘In records. And — —?’
 ‘In the mind. In human memories.’
 ‘In memory. Very well, then. We, the Party, control all
records, and we control all memories. Then we control the
past, do we not?’
O romance 1984 descreve os perigos de um Estado
totalitário. A ideia evidenciada nessa passagem é que o
controle do Estado se dá por meio do(a)</v>
      </c>
      <c r="M131" s="3" t="str">
        <f ca="1">IFERROR(__xludf.DUMMYFUNCTION("""COMPUTED_VALUE"""),"boicote a ideais libertários.")</f>
        <v>boicote a ideais libertários.</v>
      </c>
      <c r="N131" s="3" t="str">
        <f ca="1">IFERROR(__xludf.DUMMYFUNCTION("""COMPUTED_VALUE"""),"veto ao culto das tradições.")</f>
        <v>veto ao culto das tradições.</v>
      </c>
      <c r="O131" s="3" t="str">
        <f ca="1">IFERROR(__xludf.DUMMYFUNCTION("""COMPUTED_VALUE"""),"poder sobre memórias e registros.")</f>
        <v>poder sobre memórias e registros.</v>
      </c>
      <c r="P131" s="3" t="str">
        <f ca="1">IFERROR(__xludf.DUMMYFUNCTION("""COMPUTED_VALUE"""),"censura a produções orais e escritas.")</f>
        <v>censura a produções orais e escritas.</v>
      </c>
      <c r="Q131" s="3" t="str">
        <f ca="1">IFERROR(__xludf.DUMMYFUNCTION("""COMPUTED_VALUE"""),"manipulação de pensamentos individuais.")</f>
        <v>manipulação de pensamentos individuais.</v>
      </c>
      <c r="R131" s="3"/>
      <c r="S131" s="3"/>
      <c r="T131" s="3"/>
      <c r="U131" s="3"/>
      <c r="V131" s="3"/>
      <c r="W131" s="3"/>
      <c r="X131" s="3"/>
      <c r="Y131" s="3"/>
      <c r="Z131" s="3"/>
    </row>
    <row r="132" spans="1:26" x14ac:dyDescent="0.2">
      <c r="A132" s="2" t="str">
        <f ca="1">IFERROR(__xludf.DUMMYFUNCTION("""COMPUTED_VALUE"""),"https://drive.google.com/open?id=1TVojd2X2BGJZeORsXuU0FSY4IBEiPunq")</f>
        <v>https://drive.google.com/open?id=1TVojd2X2BGJZeORsXuU0FSY4IBEiPunq</v>
      </c>
      <c r="B132" s="3" t="str">
        <f ca="1">IFERROR(__xludf.DUMMYFUNCTION("""COMPUTED_VALUE"""),"Enem")</f>
        <v>Enem</v>
      </c>
      <c r="C132" s="3">
        <f ca="1">IFERROR(__xludf.DUMMYFUNCTION("""COMPUTED_VALUE"""),2019)</f>
        <v>2019</v>
      </c>
      <c r="D132" s="3" t="str">
        <f ca="1">IFERROR(__xludf.DUMMYFUNCTION("""COMPUTED_VALUE"""),"Linguagens")</f>
        <v>Linguagens</v>
      </c>
      <c r="E132" s="3" t="str">
        <f ca="1">IFERROR(__xludf.DUMMYFUNCTION("""COMPUTED_VALUE"""),"Língua Estrangeira")</f>
        <v>Língua Estrangeira</v>
      </c>
      <c r="F132" s="3" t="str">
        <f ca="1">IFERROR(__xludf.DUMMYFUNCTION("""COMPUTED_VALUE"""),"Inglês")</f>
        <v>Inglês</v>
      </c>
      <c r="G132" s="3"/>
      <c r="H132" s="3"/>
      <c r="I132" s="3" t="str">
        <f ca="1">IFERROR(__xludf.DUMMYFUNCTION("""COMPUTED_VALUE"""),"Azul")</f>
        <v>Azul</v>
      </c>
      <c r="J132" s="3">
        <f ca="1">IFERROR(__xludf.DUMMYFUNCTION("""COMPUTED_VALUE"""),1)</f>
        <v>1</v>
      </c>
      <c r="K132" s="3" t="str">
        <f ca="1">IFERROR(__xludf.DUMMYFUNCTION("""COMPUTED_VALUE"""),"B")</f>
        <v>B</v>
      </c>
      <c r="L132" s="3" t="str">
        <f ca="1">IFERROR(__xludf.DUMMYFUNCTION("""COMPUTED_VALUE"""),"5 Ways Pets Can Improve Your Health
A pet is certainly a great friend. After a difficult day,
pet owners quite literally feel the love.
In fact, for nearly 25 years, research has shown that
living with pets provides certain health benefits. Pets help
low"&amp;"er blood pressure and lessen anxiety. They boost our
immunity. They can even help you get dates.
Allergy Fighters: A growing number of studies have
suggested that kids growing up in a home with “furred
animals” will have less risk of allergies and asthma."&amp;"
Date Magnets: Dogs are great for making love
connections. Forget Internet matchmaking — a dog is a
natural conversation starter.
Dogs for the Aged: Walking a dog or just caring for
a pet — for elderly people who are able — can provide
exercise and compan"&amp;"ionship.
Good for Mind and Soul: Like any enjoyable activity,
playing with a dog can elevate levels of serotonin and
dopamine — nerve transmitters that are known to have
pleasurable and calming properties.
Good for the Heart: Heart attack patients who hav"&amp;"e
pets survive longer than those without, according to
several studies.
Ao discutir sobre a influência de animais de estimação no
bem-estar do ser humano, a autora, a fim de fortalecer
seus argumentos, utiliza palavras e expressões como
research, a growi"&amp;"ng number of research e several
studies com o objetivo de")</f>
        <v>5 Ways Pets Can Improve Your Health
A pet is certainly a great friend. After a difficult day,
pet owners quite literally feel the love.
In fact, for nearly 25 years, research has shown that
living with pets provides certain health benefits. Pets help
lower blood pressure and lessen anxiety. They boost our
immunity. They can even help you get dates.
Allergy Fighters: A growing number of studies have
suggested that kids growing up in a home with “furred
animals” will have less risk of allergies and asthma.
Date Magnets: Dogs are great for making love
connections. Forget Internet matchmaking — a dog is a
natural conversation starter.
Dogs for the Aged: Walking a dog or just caring for
a pet — for elderly people who are able — can provide
exercise and companionship.
Good for Mind and Soul: Like any enjoyable activity,
playing with a dog can elevate levels of serotonin and
dopamine — nerve transmitters that are known to have
pleasurable and calming properties.
Good for the Heart: Heart attack patients who have
pets survive longer than those without, according to
several studies.
Ao discutir sobre a influência de animais de estimação no
bem-estar do ser humano, a autora, a fim de fortalecer
seus argumentos, utiliza palavras e expressões como
research, a growing number of research e several
studies com o objetivo de</v>
      </c>
      <c r="M132" s="3" t="str">
        <f ca="1">IFERROR(__xludf.DUMMYFUNCTION("""COMPUTED_VALUE"""),"mostrar que animais de estimação ajudam na cura
de doenças como alergias e asma.
")</f>
        <v xml:space="preserve">mostrar que animais de estimação ajudam na cura
de doenças como alergias e asma.
</v>
      </c>
      <c r="N132" s="3" t="str">
        <f ca="1">IFERROR(__xludf.DUMMYFUNCTION("""COMPUTED_VALUE"""),"convencer sobre os benefícios da adoção de animais de estimação para a saúde.")</f>
        <v>convencer sobre os benefícios da adoção de animais de estimação para a saúde.</v>
      </c>
      <c r="O132" s="3" t="str">
        <f ca="1">IFERROR(__xludf.DUMMYFUNCTION("""COMPUTED_VALUE"""),"fornecer dados sobre os impactos de animais de estimação nas relações amorosas.")</f>
        <v>fornecer dados sobre os impactos de animais de estimação nas relações amorosas.</v>
      </c>
      <c r="P132" s="3" t="str">
        <f ca="1">IFERROR(__xludf.DUMMYFUNCTION("""COMPUTED_VALUE"""),"explicar como o contato com animais de estimação pode prevenir ataques cardíacos.
")</f>
        <v xml:space="preserve">explicar como o contato com animais de estimação pode prevenir ataques cardíacos.
</v>
      </c>
      <c r="Q132" s="3" t="str">
        <f ca="1">IFERROR(__xludf.DUMMYFUNCTION("""COMPUTED_VALUE"""),"esclarecer sobre o modo como idosos devem se relacionar com animais de estimação.")</f>
        <v>esclarecer sobre o modo como idosos devem se relacionar com animais de estimação.</v>
      </c>
      <c r="R132" s="3"/>
      <c r="S132" s="3"/>
      <c r="T132" s="3"/>
      <c r="U132" s="3"/>
      <c r="V132" s="3"/>
      <c r="W132" s="3"/>
      <c r="X132" s="3"/>
      <c r="Y132" s="3"/>
      <c r="Z132" s="3"/>
    </row>
    <row r="133" spans="1:26" x14ac:dyDescent="0.2">
      <c r="A133" s="2" t="str">
        <f ca="1">IFERROR(__xludf.DUMMYFUNCTION("""COMPUTED_VALUE"""),"https://drive.google.com/open?id=1mRKBFVq0cODVyagwTS3lre3wTyYjUlDP")</f>
        <v>https://drive.google.com/open?id=1mRKBFVq0cODVyagwTS3lre3wTyYjUlDP</v>
      </c>
      <c r="B133" s="3" t="str">
        <f ca="1">IFERROR(__xludf.DUMMYFUNCTION("""COMPUTED_VALUE"""),"Enem")</f>
        <v>Enem</v>
      </c>
      <c r="C133" s="3">
        <f ca="1">IFERROR(__xludf.DUMMYFUNCTION("""COMPUTED_VALUE"""),2019)</f>
        <v>2019</v>
      </c>
      <c r="D133" s="3" t="str">
        <f ca="1">IFERROR(__xludf.DUMMYFUNCTION("""COMPUTED_VALUE"""),"Linguagens")</f>
        <v>Linguagens</v>
      </c>
      <c r="E133" s="3" t="str">
        <f ca="1">IFERROR(__xludf.DUMMYFUNCTION("""COMPUTED_VALUE"""),"Língua Estrangeira")</f>
        <v>Língua Estrangeira</v>
      </c>
      <c r="F133" s="3" t="str">
        <f ca="1">IFERROR(__xludf.DUMMYFUNCTION("""COMPUTED_VALUE"""),"Inglês")</f>
        <v>Inglês</v>
      </c>
      <c r="G133" s="3"/>
      <c r="H133" s="3"/>
      <c r="I133" s="3" t="str">
        <f ca="1">IFERROR(__xludf.DUMMYFUNCTION("""COMPUTED_VALUE"""),"Azul")</f>
        <v>Azul</v>
      </c>
      <c r="J133" s="3">
        <f ca="1">IFERROR(__xludf.DUMMYFUNCTION("""COMPUTED_VALUE"""),2)</f>
        <v>2</v>
      </c>
      <c r="K133" s="3" t="str">
        <f ca="1">IFERROR(__xludf.DUMMYFUNCTION("""COMPUTED_VALUE"""),"D")</f>
        <v>D</v>
      </c>
      <c r="L133" s="3" t="str">
        <f ca="1">IFERROR(__xludf.DUMMYFUNCTION("""COMPUTED_VALUE"""),"LETTER TO THE EDITOR: Sugar fear-mongering unhelpful
By The Washington Times Tuesday, June 25, 2013
In his recent piece “Is obesity a disease?”
(Web, June 19), Dr. Peter Lind refers to high-fructose
corn syrup and other “manufactured sugars” as “poison”
"&amp;"that will “guarantee storage of fat in the body.”
Current scientific research strongly indicates that obesity
results from excessive calorie intake combined with a
sedentary lifestyle. The fact is Americans are consuming
more total calories now than ever "&amp;"before. According to
the U.S. Department of Agriculture, our total per-capita
daily caloric intake increased by 22 percent from
2,076 calories per day in 1970 to 2,534 calories per day
in 2010 — an additional 458 calories, only 34 of which
come from incre"&amp;"ased added sugar intake. A vast majority
of these calories come from increased fats and flour/
cereals. Surprisingly, the amount of caloric sweeteners
(i.e. sugar, high-fructose, corn syrup, honey, etc.).
Americans consume has actually decreased over the
"&amp;"past decade. We need to continue to study the obesity
epidemic to see what more can be done, but demonizing
one specific ingredient accomplishes nothing and raises
unnecessary fears that get in the way of real solutions.
Ao abordar o assunto “obesidade”,"&amp;" em uma seção de
jornal, o autor
")</f>
        <v xml:space="preserve">LETTER TO THE EDITOR: Sugar fear-mongering unhelpful
By The Washington Times Tuesday, June 25, 2013
In his recent piece “Is obesity a disease?”
(Web, June 19), Dr. Peter Lind refers to high-fructose
corn syrup and other “manufactured sugars” as “poison”
that will “guarantee storage of fat in the body.”
Current scientific research strongly indicates that obesity
results from excessive calorie intake combined with a
sedentary lifestyle. The fact is Americans are consuming
more total calories now than ever before. According to
the U.S. Department of Agriculture, our total per-capita
daily caloric intake increased by 22 percent from
2,076 calories per day in 1970 to 2,534 calories per day
in 2010 — an additional 458 calories, only 34 of which
come from increased added sugar intake. A vast majority
of these calories come from increased fats and flour/
cereals. Surprisingly, the amount of caloric sweeteners
(i.e. sugar, high-fructose, corn syrup, honey, etc.).
Americans consume has actually decreased over the
past decade. We need to continue to study the obesity
epidemic to see what more can be done, but demonizing
one specific ingredient accomplishes nothing and raises
unnecessary fears that get in the way of real solutions.
Ao abordar o assunto “obesidade”, em uma seção de
jornal, o autor
</v>
      </c>
      <c r="M133" s="3" t="str">
        <f ca="1">IFERROR(__xludf.DUMMYFUNCTION("""COMPUTED_VALUE"""),"defende o consumo liberado de açúcar.")</f>
        <v>defende o consumo liberado de açúcar.</v>
      </c>
      <c r="N133" s="3" t="str">
        <f ca="1">IFERROR(__xludf.DUMMYFUNCTION("""COMPUTED_VALUE"""),"aponta a gordura como o grande vilão da saúde.")</f>
        <v>aponta a gordura como o grande vilão da saúde.</v>
      </c>
      <c r="O133" s="3" t="str">
        <f ca="1">IFERROR(__xludf.DUMMYFUNCTION("""COMPUTED_VALUE"""),"demonstra acreditar que a obesidade não é preocupante.")</f>
        <v>demonstra acreditar que a obesidade não é preocupante.</v>
      </c>
      <c r="P133" s="3" t="str">
        <f ca="1">IFERROR(__xludf.DUMMYFUNCTION("""COMPUTED_VALUE"""),"indica a necessidade de mais pesquisas sobre o assunto.")</f>
        <v>indica a necessidade de mais pesquisas sobre o assunto.</v>
      </c>
      <c r="Q133" s="3" t="str">
        <f ca="1">IFERROR(__xludf.DUMMYFUNCTION("""COMPUTED_VALUE"""),"enfatiza a redução de ingestão de calorias pelos americanos.
")</f>
        <v xml:space="preserve">enfatiza a redução de ingestão de calorias pelos americanos.
</v>
      </c>
      <c r="R133" s="3"/>
      <c r="S133" s="3"/>
      <c r="T133" s="3"/>
      <c r="U133" s="3"/>
      <c r="V133" s="3"/>
      <c r="W133" s="3"/>
      <c r="X133" s="3"/>
      <c r="Y133" s="3"/>
      <c r="Z133" s="3"/>
    </row>
    <row r="134" spans="1:26" x14ac:dyDescent="0.2">
      <c r="A134" s="2" t="str">
        <f ca="1">IFERROR(__xludf.DUMMYFUNCTION("""COMPUTED_VALUE"""),"https://drive.google.com/open?id=14twLiKWPk-Adh0eSkffy78XVoBqQmRwF")</f>
        <v>https://drive.google.com/open?id=14twLiKWPk-Adh0eSkffy78XVoBqQmRwF</v>
      </c>
      <c r="B134" s="3" t="str">
        <f ca="1">IFERROR(__xludf.DUMMYFUNCTION("""COMPUTED_VALUE"""),"Enem")</f>
        <v>Enem</v>
      </c>
      <c r="C134" s="3">
        <f ca="1">IFERROR(__xludf.DUMMYFUNCTION("""COMPUTED_VALUE"""),2019)</f>
        <v>2019</v>
      </c>
      <c r="D134" s="3" t="str">
        <f ca="1">IFERROR(__xludf.DUMMYFUNCTION("""COMPUTED_VALUE"""),"Linguagens")</f>
        <v>Linguagens</v>
      </c>
      <c r="E134" s="3" t="str">
        <f ca="1">IFERROR(__xludf.DUMMYFUNCTION("""COMPUTED_VALUE"""),"Língua Estrangeira")</f>
        <v>Língua Estrangeira</v>
      </c>
      <c r="F134" s="3" t="str">
        <f ca="1">IFERROR(__xludf.DUMMYFUNCTION("""COMPUTED_VALUE"""),"Inglês")</f>
        <v>Inglês</v>
      </c>
      <c r="G134" s="3"/>
      <c r="H134" s="3"/>
      <c r="I134" s="3" t="str">
        <f ca="1">IFERROR(__xludf.DUMMYFUNCTION("""COMPUTED_VALUE"""),"Azul")</f>
        <v>Azul</v>
      </c>
      <c r="J134" s="3">
        <f ca="1">IFERROR(__xludf.DUMMYFUNCTION("""COMPUTED_VALUE"""),3)</f>
        <v>3</v>
      </c>
      <c r="K134" s="3" t="str">
        <f ca="1">IFERROR(__xludf.DUMMYFUNCTION("""COMPUTED_VALUE"""),"A")</f>
        <v>A</v>
      </c>
      <c r="L134" s="3" t="str">
        <f ca="1">IFERROR(__xludf.DUMMYFUNCTION("""COMPUTED_VALUE"""),"In this life
Sitting on a park bench
Thinking about a friend of mine
He was only twenty-three
Gone before he had his time.
It came without a warning
Didnꞌt want his friends to see him cry
He knew the day was dawning
And I didnꞌt have a chance to say goodb"&amp;"ye.
MADONNA. Erotica. Estados Unidos: Maverick, 1992.
A canção, muitas vezes, é uma forma de manifestar
sentimentos e emoções da vida cotidiana. Por exemplo,
o sofrimento retratado nessa canção foi causado")</f>
        <v>In this life
Sitting on a park bench
Thinking about a friend of mine
He was only twenty-three
Gone before he had his time.
It came without a warning
Didnꞌt want his friends to see him cry
He knew the day was dawning
And I didnꞌt have a chance to say goodbye.
MADONNA. Erotica. Estados Unidos: Maverick, 1992.
A canção, muitas vezes, é uma forma de manifestar
sentimentos e emoções da vida cotidiana. Por exemplo,
o sofrimento retratado nessa canção foi causado</v>
      </c>
      <c r="M134" s="3" t="str">
        <f ca="1">IFERROR(__xludf.DUMMYFUNCTION("""COMPUTED_VALUE"""),"pela morte precoce de um amigo jovem.")</f>
        <v>pela morte precoce de um amigo jovem.</v>
      </c>
      <c r="N134" s="3" t="str">
        <f ca="1">IFERROR(__xludf.DUMMYFUNCTION("""COMPUTED_VALUE"""),"pelo término de um relacionamento amoroso.")</f>
        <v>pelo término de um relacionamento amoroso.</v>
      </c>
      <c r="O134" s="3" t="str">
        <f ca="1">IFERROR(__xludf.DUMMYFUNCTION("""COMPUTED_VALUE"""),"pela mudança de um amigo para outro país.")</f>
        <v>pela mudança de um amigo para outro país.</v>
      </c>
      <c r="P134" s="3" t="str">
        <f ca="1">IFERROR(__xludf.DUMMYFUNCTION("""COMPUTED_VALUE"""),"pelo fim de uma amizade de mais de vinte anos.")</f>
        <v>pelo fim de uma amizade de mais de vinte anos.</v>
      </c>
      <c r="Q134" s="3" t="str">
        <f ca="1">IFERROR(__xludf.DUMMYFUNCTION("""COMPUTED_VALUE"""),"pela traição por parte de pessoa próxima.")</f>
        <v>pela traição por parte de pessoa próxima.</v>
      </c>
      <c r="R134" s="3"/>
      <c r="S134" s="3"/>
      <c r="T134" s="3"/>
      <c r="U134" s="3"/>
      <c r="V134" s="3"/>
      <c r="W134" s="3"/>
      <c r="X134" s="3"/>
      <c r="Y134" s="3"/>
      <c r="Z134" s="3"/>
    </row>
    <row r="135" spans="1:26" x14ac:dyDescent="0.2">
      <c r="A135" s="2" t="str">
        <f ca="1">IFERROR(__xludf.DUMMYFUNCTION("""COMPUTED_VALUE"""),"https://drive.google.com/open?id=1_aCUYxQvIv1SDm6h9qUv2SkpjPmSy5fA")</f>
        <v>https://drive.google.com/open?id=1_aCUYxQvIv1SDm6h9qUv2SkpjPmSy5fA</v>
      </c>
      <c r="B135" s="3" t="str">
        <f ca="1">IFERROR(__xludf.DUMMYFUNCTION("""COMPUTED_VALUE"""),"Enem")</f>
        <v>Enem</v>
      </c>
      <c r="C135" s="3">
        <f ca="1">IFERROR(__xludf.DUMMYFUNCTION("""COMPUTED_VALUE"""),2019)</f>
        <v>2019</v>
      </c>
      <c r="D135" s="3" t="str">
        <f ca="1">IFERROR(__xludf.DUMMYFUNCTION("""COMPUTED_VALUE"""),"Linguagens")</f>
        <v>Linguagens</v>
      </c>
      <c r="E135" s="3" t="str">
        <f ca="1">IFERROR(__xludf.DUMMYFUNCTION("""COMPUTED_VALUE"""),"Língua Estrangeira")</f>
        <v>Língua Estrangeira</v>
      </c>
      <c r="F135" s="3" t="str">
        <f ca="1">IFERROR(__xludf.DUMMYFUNCTION("""COMPUTED_VALUE"""),"Inglês")</f>
        <v>Inglês</v>
      </c>
      <c r="G135" s="3"/>
      <c r="H135" s="3"/>
      <c r="I135" s="3" t="str">
        <f ca="1">IFERROR(__xludf.DUMMYFUNCTION("""COMPUTED_VALUE"""),"Azul")</f>
        <v>Azul</v>
      </c>
      <c r="J135" s="3">
        <f ca="1">IFERROR(__xludf.DUMMYFUNCTION("""COMPUTED_VALUE"""),4)</f>
        <v>4</v>
      </c>
      <c r="K135" s="3" t="str">
        <f ca="1">IFERROR(__xludf.DUMMYFUNCTION("""COMPUTED_VALUE"""),"B")</f>
        <v>B</v>
      </c>
      <c r="L135" s="3" t="str">
        <f ca="1">IFERROR(__xludf.DUMMYFUNCTION("""COMPUTED_VALUE"""),"If children live with criticism, they learn to condemn.
If children live with fear, they learn to be apprehensive.
If children live with pity, they learn to feel sorry for themselves.
If children live with ridicule, they learn to feel shy.
If children liv"&amp;"e with tolerance, they learn patience.
If children live with praise, they learn appreciation.
If children live with acceptance, they learn to love.
If children live with approval, they learn to like themselves.
If children live with recognition, they lear"&amp;"n it is good to
have a goal.
If children live with sharing, they learn generosity.
If children live with fairness, they learn justice.
If children live with kindness and consideration, they
learn respect.
If children live with friendliness, they learn the"&amp;" world is a
nice place in which to live.
NOLTE, D. L. Disponível em: www.americanfamilytraditions.com.
Acesso em: 30 jul. 2012.
Valores culturais de um povo revelam sua forma de ser,
agir e pensar. Na concepção da autora, as diferentes
formas de educar "&amp;"crianças nos Estados Unidos
confirmam que as crianças")</f>
        <v>If children live with criticism, they learn to condemn.
If children live with fear, they learn to be apprehensive.
If children live with pity, they learn to feel sorry for themselves.
If children live with ridicule, they learn to feel shy.
If children live with tolerance, they learn patience.
If children live with praise, they learn appreciation.
If children live with acceptance, they learn to love.
If children live with approval, they learn to like themselves.
If children live with recognition, they learn it is good to
have a goal.
If children live with sharing, they learn generosity.
If children live with fairness, they learn justice.
If children live with kindness and consideration, they
learn respect.
If children live with friendliness, they learn the world is a
nice place in which to live.
NOLTE, D. L. Disponível em: www.americanfamilytraditions.com.
Acesso em: 30 jul. 2012.
Valores culturais de um povo revelam sua forma de ser,
agir e pensar. Na concepção da autora, as diferentes
formas de educar crianças nos Estados Unidos
confirmam que as crianças</v>
      </c>
      <c r="M135" s="3" t="str">
        <f ca="1">IFERROR(__xludf.DUMMYFUNCTION("""COMPUTED_VALUE"""),"temem quem as amedronta.")</f>
        <v>temem quem as amedronta.</v>
      </c>
      <c r="N135" s="3" t="str">
        <f ca="1">IFERROR(__xludf.DUMMYFUNCTION("""COMPUTED_VALUE"""),"aprendem com o que vivem.
")</f>
        <v xml:space="preserve">aprendem com o que vivem.
</v>
      </c>
      <c r="O135" s="3" t="str">
        <f ca="1">IFERROR(__xludf.DUMMYFUNCTION("""COMPUTED_VALUE"""),"amam aqueles que as aceitam")</f>
        <v>amam aqueles que as aceitam</v>
      </c>
      <c r="P135" s="3" t="str">
        <f ca="1">IFERROR(__xludf.DUMMYFUNCTION("""COMPUTED_VALUE"""),"são gentis quando respeitadas.")</f>
        <v>são gentis quando respeitadas.</v>
      </c>
      <c r="Q135" s="3" t="str">
        <f ca="1">IFERROR(__xludf.DUMMYFUNCTION("""COMPUTED_VALUE"""),"ridicularizam quem as intimida.")</f>
        <v>ridicularizam quem as intimida.</v>
      </c>
      <c r="R135" s="3"/>
      <c r="S135" s="3"/>
      <c r="T135" s="3"/>
      <c r="U135" s="3"/>
      <c r="V135" s="3"/>
      <c r="W135" s="3"/>
      <c r="X135" s="3"/>
      <c r="Y135" s="3"/>
      <c r="Z135" s="3"/>
    </row>
    <row r="136" spans="1:26" x14ac:dyDescent="0.2">
      <c r="A136" s="2" t="str">
        <f ca="1">IFERROR(__xludf.DUMMYFUNCTION("""COMPUTED_VALUE"""),"https://drive.google.com/open?id=1jXsd9H4eCm0nSxVNcNRJcVxY4Gvrc126")</f>
        <v>https://drive.google.com/open?id=1jXsd9H4eCm0nSxVNcNRJcVxY4Gvrc126</v>
      </c>
      <c r="B136" s="3" t="str">
        <f ca="1">IFERROR(__xludf.DUMMYFUNCTION("""COMPUTED_VALUE"""),"Enem")</f>
        <v>Enem</v>
      </c>
      <c r="C136" s="3">
        <f ca="1">IFERROR(__xludf.DUMMYFUNCTION("""COMPUTED_VALUE"""),2019)</f>
        <v>2019</v>
      </c>
      <c r="D136" s="3" t="str">
        <f ca="1">IFERROR(__xludf.DUMMYFUNCTION("""COMPUTED_VALUE"""),"Linguagens")</f>
        <v>Linguagens</v>
      </c>
      <c r="E136" s="3" t="str">
        <f ca="1">IFERROR(__xludf.DUMMYFUNCTION("""COMPUTED_VALUE"""),"Língua Estrangeira")</f>
        <v>Língua Estrangeira</v>
      </c>
      <c r="F136" s="3" t="str">
        <f ca="1">IFERROR(__xludf.DUMMYFUNCTION("""COMPUTED_VALUE"""),"Inglês")</f>
        <v>Inglês</v>
      </c>
      <c r="G136" s="3"/>
      <c r="H136" s="3"/>
      <c r="I136" s="3" t="str">
        <f ca="1">IFERROR(__xludf.DUMMYFUNCTION("""COMPUTED_VALUE"""),"Azul")</f>
        <v>Azul</v>
      </c>
      <c r="J136" s="3">
        <f ca="1">IFERROR(__xludf.DUMMYFUNCTION("""COMPUTED_VALUE"""),5)</f>
        <v>5</v>
      </c>
      <c r="K136" s="3" t="str">
        <f ca="1">IFERROR(__xludf.DUMMYFUNCTION("""COMPUTED_VALUE"""),"E")</f>
        <v>E</v>
      </c>
      <c r="L136" s="3" t="str">
        <f ca="1">IFERROR(__xludf.DUMMYFUNCTION("""COMPUTED_VALUE"""),"[TEXTO NA IMAGEM] No cartum, o estudante faz uma pergunta usando turn
this thing on por")</f>
        <v>[TEXTO NA IMAGEM] No cartum, o estudante faz uma pergunta usando turn
this thing on por</v>
      </c>
      <c r="M136" s="3" t="str">
        <f ca="1">IFERROR(__xludf.DUMMYFUNCTION("""COMPUTED_VALUE"""),"suspeitar que o colega está com seu material por engano.")</f>
        <v>suspeitar que o colega está com seu material por engano.</v>
      </c>
      <c r="N136" s="3" t="str">
        <f ca="1">IFERROR(__xludf.DUMMYFUNCTION("""COMPUTED_VALUE"""),"duvidar que o colega possa se tornar um bom aluno.")</f>
        <v>duvidar que o colega possa se tornar um bom aluno.</v>
      </c>
      <c r="O136" s="3" t="str">
        <f ca="1">IFERROR(__xludf.DUMMYFUNCTION("""COMPUTED_VALUE"""),"desconfiar que o livro levado é de outra matéria.")</f>
        <v>desconfiar que o livro levado é de outra matéria.</v>
      </c>
      <c r="P136" s="3" t="str">
        <f ca="1">IFERROR(__xludf.DUMMYFUNCTION("""COMPUTED_VALUE"""),"entender como desligada a postura do colega.")</f>
        <v>entender como desligada a postura do colega.</v>
      </c>
      <c r="Q136" s="3" t="str">
        <f ca="1">IFERROR(__xludf.DUMMYFUNCTION("""COMPUTED_VALUE"""),"desconhecer como usar um livro impresso.")</f>
        <v>desconhecer como usar um livro impresso.</v>
      </c>
      <c r="R136" s="3"/>
      <c r="S136" s="3"/>
      <c r="T136" s="3"/>
      <c r="U136" s="3"/>
      <c r="V136" s="3"/>
      <c r="W136" s="3"/>
      <c r="X136" s="3"/>
      <c r="Y136" s="3"/>
      <c r="Z136" s="3"/>
    </row>
    <row r="137" spans="1:26" x14ac:dyDescent="0.2">
      <c r="A137" s="2" t="str">
        <f ca="1">IFERROR(__xludf.DUMMYFUNCTION("""COMPUTED_VALUE"""),"https://drive.google.com/open?id=1Doh8TojWc3FzRincyG9XxtUES6tu2DTD")</f>
        <v>https://drive.google.com/open?id=1Doh8TojWc3FzRincyG9XxtUES6tu2DTD</v>
      </c>
      <c r="B137" s="3" t="str">
        <f ca="1">IFERROR(__xludf.DUMMYFUNCTION("""COMPUTED_VALUE"""),"Enem")</f>
        <v>Enem</v>
      </c>
      <c r="C137" s="3">
        <f ca="1">IFERROR(__xludf.DUMMYFUNCTION("""COMPUTED_VALUE"""),2015)</f>
        <v>2015</v>
      </c>
      <c r="D137" s="3" t="str">
        <f ca="1">IFERROR(__xludf.DUMMYFUNCTION("""COMPUTED_VALUE"""),"Linguagens")</f>
        <v>Linguagens</v>
      </c>
      <c r="E137" s="3" t="str">
        <f ca="1">IFERROR(__xludf.DUMMYFUNCTION("""COMPUTED_VALUE"""),"Língua Estrangeira")</f>
        <v>Língua Estrangeira</v>
      </c>
      <c r="F137" s="3" t="str">
        <f ca="1">IFERROR(__xludf.DUMMYFUNCTION("""COMPUTED_VALUE"""),"Inglês")</f>
        <v>Inglês</v>
      </c>
      <c r="G137" s="3"/>
      <c r="H137" s="3"/>
      <c r="I137" s="3" t="str">
        <f ca="1">IFERROR(__xludf.DUMMYFUNCTION("""COMPUTED_VALUE"""),"Azul")</f>
        <v>Azul</v>
      </c>
      <c r="J137" s="3">
        <f ca="1">IFERROR(__xludf.DUMMYFUNCTION("""COMPUTED_VALUE"""),91)</f>
        <v>91</v>
      </c>
      <c r="K137" s="3" t="str">
        <f ca="1">IFERROR(__xludf.DUMMYFUNCTION("""COMPUTED_VALUE"""),"D")</f>
        <v>D</v>
      </c>
      <c r="L137" s="3" t="str">
        <f ca="1">IFERROR(__xludf.DUMMYFUNCTION("""COMPUTED_VALUE"""),"My brother the star, my mother the earth
my father the sun, my sister the moon,
to my life give beauty, to my
body give strength, to my corn give
goodness, to my house give peace, to
my spirit give truth, to my elders give
wisdom.
Disponível em: www.blac"&amp;"khawkproductions.com. Acesso em: 8 ago. 2012.
Produções artístico-culturais revelam visões de mundo
próprias de um grupo social. Esse poema demonstra a
estreita relação entre a tradição oral da cultura indígena
norte-americana e a")</f>
        <v>My brother the star, my mother the earth
my father the sun, my sister the moon,
to my life give beauty, to my
body give strength, to my corn give
goodness, to my house give peace, to
my spirit give truth, to my elders give
wisdom.
Disponível em: www.blackhawkproductions.com. Acesso em: 8 ago. 2012.
Produções artístico-culturais revelam visões de mundo
próprias de um grupo social. Esse poema demonstra a
estreita relação entre a tradição oral da cultura indígena
norte-americana e a</v>
      </c>
      <c r="M137" s="3" t="str">
        <f ca="1">IFERROR(__xludf.DUMMYFUNCTION("""COMPUTED_VALUE"""),"transmissão de hábitos alimentares entre gerações.")</f>
        <v>transmissão de hábitos alimentares entre gerações.</v>
      </c>
      <c r="N137" s="3" t="str">
        <f ca="1">IFERROR(__xludf.DUMMYFUNCTION("""COMPUTED_VALUE"""),"dependência da sabedoria de seus ancestrais. ")</f>
        <v xml:space="preserve">dependência da sabedoria de seus ancestrais. </v>
      </c>
      <c r="O137" s="3" t="str">
        <f ca="1">IFERROR(__xludf.DUMMYFUNCTION("""COMPUTED_VALUE"""),"representação do corpo em seus rituais.")</f>
        <v>representação do corpo em seus rituais.</v>
      </c>
      <c r="P137" s="3" t="str">
        <f ca="1">IFERROR(__xludf.DUMMYFUNCTION("""COMPUTED_VALUE"""),"importância dos elementos da natureza.")</f>
        <v>importância dos elementos da natureza.</v>
      </c>
      <c r="Q137" s="3" t="str">
        <f ca="1">IFERROR(__xludf.DUMMYFUNCTION("""COMPUTED_VALUE"""),"preservação da estrutura familiar.")</f>
        <v>preservação da estrutura familiar.</v>
      </c>
      <c r="R137" s="3"/>
      <c r="S137" s="3"/>
      <c r="T137" s="3"/>
      <c r="U137" s="3"/>
      <c r="V137" s="3"/>
      <c r="W137" s="3"/>
      <c r="X137" s="3"/>
      <c r="Y137" s="3"/>
      <c r="Z137" s="3"/>
    </row>
    <row r="138" spans="1:26" x14ac:dyDescent="0.2">
      <c r="A138" s="2" t="str">
        <f ca="1">IFERROR(__xludf.DUMMYFUNCTION("""COMPUTED_VALUE"""),"https://drive.google.com/open?id=13eEBLrhPFeylDmP5j-leUpObx3C-en-Y")</f>
        <v>https://drive.google.com/open?id=13eEBLrhPFeylDmP5j-leUpObx3C-en-Y</v>
      </c>
      <c r="B138" s="3" t="str">
        <f ca="1">IFERROR(__xludf.DUMMYFUNCTION("""COMPUTED_VALUE"""),"Enem")</f>
        <v>Enem</v>
      </c>
      <c r="C138" s="3">
        <f ca="1">IFERROR(__xludf.DUMMYFUNCTION("""COMPUTED_VALUE"""),2015)</f>
        <v>2015</v>
      </c>
      <c r="D138" s="3" t="str">
        <f ca="1">IFERROR(__xludf.DUMMYFUNCTION("""COMPUTED_VALUE"""),"Linguagens")</f>
        <v>Linguagens</v>
      </c>
      <c r="E138" s="3" t="str">
        <f ca="1">IFERROR(__xludf.DUMMYFUNCTION("""COMPUTED_VALUE"""),"Língua Estrangeira")</f>
        <v>Língua Estrangeira</v>
      </c>
      <c r="F138" s="3" t="str">
        <f ca="1">IFERROR(__xludf.DUMMYFUNCTION("""COMPUTED_VALUE"""),"Inglês")</f>
        <v>Inglês</v>
      </c>
      <c r="G138" s="3"/>
      <c r="H138" s="3"/>
      <c r="I138" s="3" t="str">
        <f ca="1">IFERROR(__xludf.DUMMYFUNCTION("""COMPUTED_VALUE"""),"Azul")</f>
        <v>Azul</v>
      </c>
      <c r="J138" s="3">
        <f ca="1">IFERROR(__xludf.DUMMYFUNCTION("""COMPUTED_VALUE"""),92)</f>
        <v>92</v>
      </c>
      <c r="K138" s="3" t="str">
        <f ca="1">IFERROR(__xludf.DUMMYFUNCTION("""COMPUTED_VALUE"""),"E")</f>
        <v>E</v>
      </c>
      <c r="L138" s="3" t="str">
        <f ca="1">IFERROR(__xludf.DUMMYFUNCTION("""COMPUTED_VALUE"""),"[TEXTO NA IMAGEM] Na tira da série For better or for worse, a comunicação entre as personagens fica comprometida em um determinado momento porque")</f>
        <v>[TEXTO NA IMAGEM] Na tira da série For better or for worse, a comunicação entre as personagens fica comprometida em um determinado momento porque</v>
      </c>
      <c r="M138" s="3" t="str">
        <f ca="1">IFERROR(__xludf.DUMMYFUNCTION("""COMPUTED_VALUE"""),"as duas amigas divergem de opinião sobre futebol.")</f>
        <v>as duas amigas divergem de opinião sobre futebol.</v>
      </c>
      <c r="N138" s="3" t="str">
        <f ca="1">IFERROR(__xludf.DUMMYFUNCTION("""COMPUTED_VALUE"""),"uma das amigas desconsidera as preferências da outra.")</f>
        <v>uma das amigas desconsidera as preferências da outra.</v>
      </c>
      <c r="O138" s="3" t="str">
        <f ca="1">IFERROR(__xludf.DUMMYFUNCTION("""COMPUTED_VALUE"""),"uma das amigas ignora que o outono é temporada de futebol.")</f>
        <v>uma das amigas ignora que o outono é temporada de futebol.</v>
      </c>
      <c r="P138" s="3" t="str">
        <f ca="1">IFERROR(__xludf.DUMMYFUNCTION("""COMPUTED_VALUE"""),"uma das amigas desconhece a razão pela qual a outra a maltrata.")</f>
        <v>uma das amigas desconhece a razão pela qual a outra a maltrata.</v>
      </c>
      <c r="Q138" s="3" t="str">
        <f ca="1">IFERROR(__xludf.DUMMYFUNCTION("""COMPUTED_VALUE"""),"as duas amigas atribuem sentidos diferentes à palavra season.")</f>
        <v>as duas amigas atribuem sentidos diferentes à palavra season.</v>
      </c>
      <c r="R138" s="3"/>
      <c r="S138" s="3"/>
      <c r="T138" s="3"/>
      <c r="U138" s="3"/>
      <c r="V138" s="3"/>
      <c r="W138" s="3"/>
      <c r="X138" s="3"/>
      <c r="Y138" s="3"/>
      <c r="Z138" s="3"/>
    </row>
    <row r="139" spans="1:26" x14ac:dyDescent="0.2">
      <c r="A139" s="2" t="str">
        <f ca="1">IFERROR(__xludf.DUMMYFUNCTION("""COMPUTED_VALUE"""),"https://drive.google.com/open?id=11uZHyQaBU74wlS08FDIB4g0rr6WLselm")</f>
        <v>https://drive.google.com/open?id=11uZHyQaBU74wlS08FDIB4g0rr6WLselm</v>
      </c>
      <c r="B139" s="3" t="str">
        <f ca="1">IFERROR(__xludf.DUMMYFUNCTION("""COMPUTED_VALUE"""),"Enem")</f>
        <v>Enem</v>
      </c>
      <c r="C139" s="3">
        <f ca="1">IFERROR(__xludf.DUMMYFUNCTION("""COMPUTED_VALUE"""),2015)</f>
        <v>2015</v>
      </c>
      <c r="D139" s="3" t="str">
        <f ca="1">IFERROR(__xludf.DUMMYFUNCTION("""COMPUTED_VALUE"""),"Linguagens")</f>
        <v>Linguagens</v>
      </c>
      <c r="E139" s="3" t="str">
        <f ca="1">IFERROR(__xludf.DUMMYFUNCTION("""COMPUTED_VALUE"""),"Língua Estrangeira")</f>
        <v>Língua Estrangeira</v>
      </c>
      <c r="F139" s="3" t="str">
        <f ca="1">IFERROR(__xludf.DUMMYFUNCTION("""COMPUTED_VALUE"""),"Inglês")</f>
        <v>Inglês</v>
      </c>
      <c r="G139" s="3"/>
      <c r="H139" s="3"/>
      <c r="I139" s="3" t="str">
        <f ca="1">IFERROR(__xludf.DUMMYFUNCTION("""COMPUTED_VALUE"""),"Azul")</f>
        <v>Azul</v>
      </c>
      <c r="J139" s="3">
        <f ca="1">IFERROR(__xludf.DUMMYFUNCTION("""COMPUTED_VALUE"""),93)</f>
        <v>93</v>
      </c>
      <c r="K139" s="3" t="str">
        <f ca="1">IFERROR(__xludf.DUMMYFUNCTION("""COMPUTED_VALUE"""),"A")</f>
        <v>A</v>
      </c>
      <c r="L139" s="3" t="str">
        <f ca="1">IFERROR(__xludf.DUMMYFUNCTION("""COMPUTED_VALUE"""),"Why am I compelled to write? Because the writing
saves me from this complacency I fear. Because I have
no choice. Because I must keep the spirit of my revolt
and myself alive. Because the world I create in the writing
compensates for what the real world d"&amp;"oes not give me.
By writing I put order in the world, give it a handle so I can
grasp it.
ANZALDÚA, G. E. Speaking in tongues: a letter to third world women writers.
In: HERNANDEZ, J. B. (Ed.). Women writing resistance: essays on
Latin America and the Ca"&amp;"ribbean. Boston: South End, 2003.
Gloria Evangelina Anzaldúa, falecida em 2004, foi uma
escritora americana de origem mexicana que escreveu
sobre questões culturais e raciais. Na citação, o intuito da
autora é evidenciar as")</f>
        <v>Why am I compelled to write? Because the writing
saves me from this complacency I fear. Because I have
no choice. Because I must keep the spirit of my revolt
and myself alive. Because the world I create in the writing
compensates for what the real world does not give me.
By writing I put order in the world, give it a handle so I can
grasp it.
ANZALDÚA, G. E. Speaking in tongues: a letter to third world women writers.
In: HERNANDEZ, J. B. (Ed.). Women writing resistance: essays on
Latin America and the Caribbean. Boston: South End, 2003.
Gloria Evangelina Anzaldúa, falecida em 2004, foi uma
escritora americana de origem mexicana que escreveu
sobre questões culturais e raciais. Na citação, o intuito da
autora é evidenciar as</v>
      </c>
      <c r="M139" s="3" t="str">
        <f ca="1">IFERROR(__xludf.DUMMYFUNCTION("""COMPUTED_VALUE"""),"razões pelas quais ela escreve.")</f>
        <v>razões pelas quais ela escreve.</v>
      </c>
      <c r="N139" s="3" t="str">
        <f ca="1">IFERROR(__xludf.DUMMYFUNCTION("""COMPUTED_VALUE"""),"compensações advindas da escrita.")</f>
        <v>compensações advindas da escrita.</v>
      </c>
      <c r="O139" s="3" t="str">
        <f ca="1">IFERROR(__xludf.DUMMYFUNCTION("""COMPUTED_VALUE"""),"possibilidades de mudar o mundo real.")</f>
        <v>possibilidades de mudar o mundo real.</v>
      </c>
      <c r="P139" s="3" t="str">
        <f ca="1">IFERROR(__xludf.DUMMYFUNCTION("""COMPUTED_VALUE"""),"maneiras de ela lidar com seus medos.")</f>
        <v>maneiras de ela lidar com seus medos.</v>
      </c>
      <c r="Q139" s="3" t="str">
        <f ca="1">IFERROR(__xludf.DUMMYFUNCTION("""COMPUTED_VALUE"""),"escolhas que ela faz para ordenar o mundo.")</f>
        <v>escolhas que ela faz para ordenar o mundo.</v>
      </c>
      <c r="R139" s="3"/>
      <c r="S139" s="3"/>
      <c r="T139" s="3"/>
      <c r="U139" s="3"/>
      <c r="V139" s="3"/>
      <c r="W139" s="3"/>
      <c r="X139" s="3"/>
      <c r="Y139" s="3"/>
      <c r="Z139" s="3"/>
    </row>
    <row r="140" spans="1:26" x14ac:dyDescent="0.2">
      <c r="A140" s="2" t="str">
        <f ca="1">IFERROR(__xludf.DUMMYFUNCTION("""COMPUTED_VALUE"""),"https://drive.google.com/open?id=1f1fT-coijxvXGyqcO2nOpK7T5RdPbbKX")</f>
        <v>https://drive.google.com/open?id=1f1fT-coijxvXGyqcO2nOpK7T5RdPbbKX</v>
      </c>
      <c r="B140" s="3" t="str">
        <f ca="1">IFERROR(__xludf.DUMMYFUNCTION("""COMPUTED_VALUE"""),"Enem")</f>
        <v>Enem</v>
      </c>
      <c r="C140" s="3">
        <f ca="1">IFERROR(__xludf.DUMMYFUNCTION("""COMPUTED_VALUE"""),2015)</f>
        <v>2015</v>
      </c>
      <c r="D140" s="3" t="str">
        <f ca="1">IFERROR(__xludf.DUMMYFUNCTION("""COMPUTED_VALUE"""),"Linguagens")</f>
        <v>Linguagens</v>
      </c>
      <c r="E140" s="3" t="str">
        <f ca="1">IFERROR(__xludf.DUMMYFUNCTION("""COMPUTED_VALUE"""),"Língua Estrangeira")</f>
        <v>Língua Estrangeira</v>
      </c>
      <c r="F140" s="3" t="str">
        <f ca="1">IFERROR(__xludf.DUMMYFUNCTION("""COMPUTED_VALUE"""),"Inglês")</f>
        <v>Inglês</v>
      </c>
      <c r="G140" s="3"/>
      <c r="H140" s="3"/>
      <c r="I140" s="3" t="str">
        <f ca="1">IFERROR(__xludf.DUMMYFUNCTION("""COMPUTED_VALUE"""),"Azul")</f>
        <v>Azul</v>
      </c>
      <c r="J140" s="3">
        <f ca="1">IFERROR(__xludf.DUMMYFUNCTION("""COMPUTED_VALUE"""),94)</f>
        <v>94</v>
      </c>
      <c r="K140" s="3" t="str">
        <f ca="1">IFERROR(__xludf.DUMMYFUNCTION("""COMPUTED_VALUE"""),"A")</f>
        <v>A</v>
      </c>
      <c r="L140" s="3" t="str">
        <f ca="1">IFERROR(__xludf.DUMMYFUNCTION("""COMPUTED_VALUE"""),"How fake images change our memory and behaviour
For decades, researchers have been exploring
just how unreliable our own memories are. Not only is 
memory fickle when we access it, but it's also quite easily 
subverted and rewritten. Combine this suscepti"&amp;"bility with
modern image-editing software at our fingertips like
Photoshop, and it's a recipe for disaster. In a world where
we can witness news and world events as they unfold,
fake images surround us, and our minds accept these
pictures as real, and rem"&amp;"ember them later. These fake
memories don't just disort how we see our past, they
affect our current and future behaviour too – from what we
eat, to how we protest and vote. The problem is there's 
virtually nothing we can do to stop it.
Old memories seem"&amp;" to be the easiest to manipulate.
In one study, subjects were showed images from their
childhood. Along with real images, researchers snuck
in manipulated photographs of the subject taking a hotair balloon ride with his or her family. After seeing those
i"&amp;"mages, 50% of subjects recalled some part of that hot-air
balloon ride – though the event was entirely made up.
EVELETH, R. Disponível em: www.bbc.com. Acesso em: 16 jan. 2013 (adaptado).
A reportagem apresenta consequências do uso de novas
tecnologias "&amp;"para a mente humana. Nesse contexto, a
 memória das pessoas é influenciada pelo(a)")</f>
        <v>How fake images change our memory and behaviour
For decades, researchers have been exploring
just how unreliable our own memories are. Not only is 
memory fickle when we access it, but it's also quite easily 
subverted and rewritten. Combine this susceptibility with
modern image-editing software at our fingertips like
Photoshop, and it's a recipe for disaster. In a world where
we can witness news and world events as they unfold,
fake images surround us, and our minds accept these
pictures as real, and remember them later. These fake
memories don't just disort how we see our past, they
affect our current and future behaviour too – from what we
eat, to how we protest and vote. The problem is there's 
virtually nothing we can do to stop it.
Old memories seem to be the easiest to manipulate.
In one study, subjects were showed images from their
childhood. Along with real images, researchers snuck
in manipulated photographs of the subject taking a hotair balloon ride with his or her family. After seeing those
images, 50% of subjects recalled some part of that hot-air
balloon ride – though the event was entirely made up.
EVELETH, R. Disponível em: www.bbc.com. Acesso em: 16 jan. 2013 (adaptado).
A reportagem apresenta consequências do uso de novas
tecnologias para a mente humana. Nesse contexto, a
 memória das pessoas é influenciada pelo(a)</v>
      </c>
      <c r="M140" s="3" t="str">
        <f ca="1">IFERROR(__xludf.DUMMYFUNCTION("""COMPUTED_VALUE"""),"alteração de imagens.")</f>
        <v>alteração de imagens.</v>
      </c>
      <c r="N140" s="3" t="str">
        <f ca="1">IFERROR(__xludf.DUMMYFUNCTION("""COMPUTED_VALUE"""),"exposição ao mundo virtual.")</f>
        <v>exposição ao mundo virtual.</v>
      </c>
      <c r="O140" s="3" t="str">
        <f ca="1">IFERROR(__xludf.DUMMYFUNCTION("""COMPUTED_VALUE"""),"acesso a novas informações.")</f>
        <v>acesso a novas informações.</v>
      </c>
      <c r="P140" s="3" t="str">
        <f ca="1">IFERROR(__xludf.DUMMYFUNCTION("""COMPUTED_VALUE"""),"fascínio por softwares inovadores.")</f>
        <v>fascínio por softwares inovadores.</v>
      </c>
      <c r="Q140" s="3" t="str">
        <f ca="1">IFERROR(__xludf.DUMMYFUNCTION("""COMPUTED_VALUE"""),"interferência dos meios de comunicação.")</f>
        <v>interferência dos meios de comunicação.</v>
      </c>
      <c r="R140" s="3"/>
      <c r="S140" s="3"/>
      <c r="T140" s="3"/>
      <c r="U140" s="3"/>
      <c r="V140" s="3"/>
      <c r="W140" s="3"/>
      <c r="X140" s="3"/>
      <c r="Y140" s="3"/>
      <c r="Z140" s="3"/>
    </row>
    <row r="141" spans="1:26" x14ac:dyDescent="0.2">
      <c r="A141" s="2" t="str">
        <f ca="1">IFERROR(__xludf.DUMMYFUNCTION("""COMPUTED_VALUE"""),"https://drive.google.com/open?id=1RyxCL9W6Oz3h6OzioQ9PVEJdIDuQLkki")</f>
        <v>https://drive.google.com/open?id=1RyxCL9W6Oz3h6OzioQ9PVEJdIDuQLkki</v>
      </c>
      <c r="B141" s="3" t="str">
        <f ca="1">IFERROR(__xludf.DUMMYFUNCTION("""COMPUTED_VALUE"""),"Enem")</f>
        <v>Enem</v>
      </c>
      <c r="C141" s="3">
        <f ca="1">IFERROR(__xludf.DUMMYFUNCTION("""COMPUTED_VALUE"""),2015)</f>
        <v>2015</v>
      </c>
      <c r="D141" s="3" t="str">
        <f ca="1">IFERROR(__xludf.DUMMYFUNCTION("""COMPUTED_VALUE"""),"Linguagens")</f>
        <v>Linguagens</v>
      </c>
      <c r="E141" s="3" t="str">
        <f ca="1">IFERROR(__xludf.DUMMYFUNCTION("""COMPUTED_VALUE"""),"Língua Estrangeira")</f>
        <v>Língua Estrangeira</v>
      </c>
      <c r="F141" s="3" t="str">
        <f ca="1">IFERROR(__xludf.DUMMYFUNCTION("""COMPUTED_VALUE"""),"Inglês")</f>
        <v>Inglês</v>
      </c>
      <c r="G141" s="3"/>
      <c r="H141" s="3"/>
      <c r="I141" s="3" t="str">
        <f ca="1">IFERROR(__xludf.DUMMYFUNCTION("""COMPUTED_VALUE"""),"Azul")</f>
        <v>Azul</v>
      </c>
      <c r="J141" s="3">
        <f ca="1">IFERROR(__xludf.DUMMYFUNCTION("""COMPUTED_VALUE"""),95)</f>
        <v>95</v>
      </c>
      <c r="K141" s="3" t="str">
        <f ca="1">IFERROR(__xludf.DUMMYFUNCTION("""COMPUTED_VALUE"""),"C")</f>
        <v>C</v>
      </c>
      <c r="L141" s="3" t="str">
        <f ca="1">IFERROR(__xludf.DUMMYFUNCTION("""COMPUTED_VALUE"""),"[TEXTO NA IMAGEM] 
As instituições públicas fazem uso de avisos como
instrumento de comunicação com o cidadão. Esse aviso,
voltado a passageiros, tem o objetivo de")</f>
        <v>[TEXTO NA IMAGEM] 
As instituições públicas fazem uso de avisos como
instrumento de comunicação com o cidadão. Esse aviso,
voltado a passageiros, tem o objetivo de</v>
      </c>
      <c r="M141" s="3" t="str">
        <f ca="1">IFERROR(__xludf.DUMMYFUNCTION("""COMPUTED_VALUE"""),"solicitar que as malas sejam apresentadas para inspeção.")</f>
        <v>solicitar que as malas sejam apresentadas para inspeção.</v>
      </c>
      <c r="N141" s="3" t="str">
        <f ca="1">IFERROR(__xludf.DUMMYFUNCTION("""COMPUTED_VALUE"""),"notificar o passageiro pelo transporte de produtos proibidos.")</f>
        <v>notificar o passageiro pelo transporte de produtos proibidos.</v>
      </c>
      <c r="O141" s="3" t="str">
        <f ca="1">IFERROR(__xludf.DUMMYFUNCTION("""COMPUTED_VALUE"""),"informar que a mala foi revistada pelos oficiais de segurança.")</f>
        <v>informar que a mala foi revistada pelos oficiais de segurança.</v>
      </c>
      <c r="P141" s="3" t="str">
        <f ca="1">IFERROR(__xludf.DUMMYFUNCTION("""COMPUTED_VALUE"""),"dar instruções de como arrumar malas de forma a evitar inspeções.")</f>
        <v>dar instruções de como arrumar malas de forma a evitar inspeções.</v>
      </c>
      <c r="Q141" s="3" t="str">
        <f ca="1">IFERROR(__xludf.DUMMYFUNCTION("""COMPUTED_VALUE"""),"apresentar desculpas pelo dano causado à mala durante a viagem.")</f>
        <v>apresentar desculpas pelo dano causado à mala durante a viagem.</v>
      </c>
      <c r="R141" s="3"/>
      <c r="S141" s="3"/>
      <c r="T141" s="3"/>
      <c r="U141" s="3"/>
      <c r="V141" s="3"/>
      <c r="W141" s="3"/>
      <c r="X141" s="3"/>
      <c r="Y141" s="3"/>
      <c r="Z141" s="3"/>
    </row>
    <row r="142" spans="1:26" x14ac:dyDescent="0.2">
      <c r="A142" s="2" t="str">
        <f ca="1">IFERROR(__xludf.DUMMYFUNCTION("""COMPUTED_VALUE"""),"https://drive.google.com/open?id=1I8dP6jKzgC11rQkhWXFHihShLWr0Yu45")</f>
        <v>https://drive.google.com/open?id=1I8dP6jKzgC11rQkhWXFHihShLWr0Yu45</v>
      </c>
      <c r="B142" s="3" t="str">
        <f ca="1">IFERROR(__xludf.DUMMYFUNCTION("""COMPUTED_VALUE"""),"Enem")</f>
        <v>Enem</v>
      </c>
      <c r="C142" s="3">
        <f ca="1">IFERROR(__xludf.DUMMYFUNCTION("""COMPUTED_VALUE"""),2019)</f>
        <v>2019</v>
      </c>
      <c r="D142" s="3" t="str">
        <f ca="1">IFERROR(__xludf.DUMMYFUNCTION("""COMPUTED_VALUE"""),"Ciências da Natureza")</f>
        <v>Ciências da Natureza</v>
      </c>
      <c r="E142" s="3" t="str">
        <f ca="1">IFERROR(__xludf.DUMMYFUNCTION("""COMPUTED_VALUE"""),"Física")</f>
        <v>Física</v>
      </c>
      <c r="F142" s="3" t="str">
        <f ca="1">IFERROR(__xludf.DUMMYFUNCTION("""COMPUTED_VALUE"""),"Óptica e Térmica")</f>
        <v>Óptica e Térmica</v>
      </c>
      <c r="G142" s="3"/>
      <c r="H142" s="3"/>
      <c r="I142" s="3" t="str">
        <f ca="1">IFERROR(__xludf.DUMMYFUNCTION("""COMPUTED_VALUE"""),"Amarelo")</f>
        <v>Amarelo</v>
      </c>
      <c r="J142" s="3">
        <f ca="1">IFERROR(__xludf.DUMMYFUNCTION("""COMPUTED_VALUE"""),132)</f>
        <v>132</v>
      </c>
      <c r="K142" s="3" t="str">
        <f ca="1">IFERROR(__xludf.DUMMYFUNCTION("""COMPUTED_VALUE"""),"A")</f>
        <v>A</v>
      </c>
      <c r="L142" s="3" t="str">
        <f ca="1">IFERROR(__xludf.DUMMYFUNCTION("""COMPUTED_VALUE"""),"Um professor percebeu que seu apontador a laser, de luz monocromática, estava com
o brilho pouco intenso. Ele trocou as baterias do apontador e notou que a intensidade
luminosa aumentou sem que a cor do laser se alterasse. Sabe-se que a luz é uma onda
ele"&amp;"tromagnética e apresenta propriedades como amplitude, comprimento de onda, fase,
frequência e velocidade.
Dentre as propriedades de ondas citadas, aquela associada ao aumento do brilho do laser
é o(a)
")</f>
        <v xml:space="preserve">Um professor percebeu que seu apontador a laser, de luz monocromática, estava com
o brilho pouco intenso. Ele trocou as baterias do apontador e notou que a intensidade
luminosa aumentou sem que a cor do laser se alterasse. Sabe-se que a luz é uma onda
eletromagnética e apresenta propriedades como amplitude, comprimento de onda, fase,
frequência e velocidade.
Dentre as propriedades de ondas citadas, aquela associada ao aumento do brilho do laser
é o(a)
</v>
      </c>
      <c r="M142" s="3" t="str">
        <f ca="1">IFERROR(__xludf.DUMMYFUNCTION("""COMPUTED_VALUE"""),"amplitude.")</f>
        <v>amplitude.</v>
      </c>
      <c r="N142" s="3" t="str">
        <f ca="1">IFERROR(__xludf.DUMMYFUNCTION("""COMPUTED_VALUE""")," frequência.")</f>
        <v xml:space="preserve"> frequência.</v>
      </c>
      <c r="O142" s="3" t="str">
        <f ca="1">IFERROR(__xludf.DUMMYFUNCTION("""COMPUTED_VALUE"""),"fase da onda.")</f>
        <v>fase da onda.</v>
      </c>
      <c r="P142" s="3" t="str">
        <f ca="1">IFERROR(__xludf.DUMMYFUNCTION("""COMPUTED_VALUE"""),"velocidade da onda.")</f>
        <v>velocidade da onda.</v>
      </c>
      <c r="Q142" s="3" t="str">
        <f ca="1">IFERROR(__xludf.DUMMYFUNCTION("""COMPUTED_VALUE"""),"comprimento de onda.")</f>
        <v>comprimento de onda.</v>
      </c>
      <c r="R142" s="3"/>
      <c r="S142" s="3"/>
      <c r="T142" s="3"/>
      <c r="U142" s="3"/>
      <c r="V142" s="3"/>
      <c r="W142" s="3"/>
      <c r="X142" s="3"/>
      <c r="Y142" s="3"/>
      <c r="Z142" s="3"/>
    </row>
    <row r="143" spans="1:26" x14ac:dyDescent="0.2">
      <c r="A143" s="2" t="str">
        <f ca="1">IFERROR(__xludf.DUMMYFUNCTION("""COMPUTED_VALUE"""),"https://drive.google.com/open?id=1sUPyaOPRMBxHTCXnpk6QxBgn3Rnu8Bhr")</f>
        <v>https://drive.google.com/open?id=1sUPyaOPRMBxHTCXnpk6QxBgn3Rnu8Bhr</v>
      </c>
      <c r="B143" s="3" t="str">
        <f ca="1">IFERROR(__xludf.DUMMYFUNCTION("""COMPUTED_VALUE"""),"Enem")</f>
        <v>Enem</v>
      </c>
      <c r="C143" s="3">
        <f ca="1">IFERROR(__xludf.DUMMYFUNCTION("""COMPUTED_VALUE"""),2017)</f>
        <v>2017</v>
      </c>
      <c r="D143" s="3" t="str">
        <f ca="1">IFERROR(__xludf.DUMMYFUNCTION("""COMPUTED_VALUE"""),"Ciências Humanas")</f>
        <v>Ciências Humanas</v>
      </c>
      <c r="E143" s="3" t="str">
        <f ca="1">IFERROR(__xludf.DUMMYFUNCTION("""COMPUTED_VALUE"""),"Atualidade")</f>
        <v>Atualidade</v>
      </c>
      <c r="F143" s="3" t="str">
        <f ca="1">IFERROR(__xludf.DUMMYFUNCTION("""COMPUTED_VALUE"""),"Atualidade")</f>
        <v>Atualidade</v>
      </c>
      <c r="G143" s="3" t="str">
        <f ca="1">IFERROR(__xludf.DUMMYFUNCTION("""COMPUTED_VALUE"""),"História do Brasil")</f>
        <v>História do Brasil</v>
      </c>
      <c r="H143" s="3" t="str">
        <f ca="1">IFERROR(__xludf.DUMMYFUNCTION("""COMPUTED_VALUE"""),"Sociologia")</f>
        <v>Sociologia</v>
      </c>
      <c r="I143" s="3" t="str">
        <f ca="1">IFERROR(__xludf.DUMMYFUNCTION("""COMPUTED_VALUE"""),"Azul")</f>
        <v>Azul</v>
      </c>
      <c r="J143" s="3">
        <f ca="1">IFERROR(__xludf.DUMMYFUNCTION("""COMPUTED_VALUE"""),50)</f>
        <v>50</v>
      </c>
      <c r="K143" s="3" t="str">
        <f ca="1">IFERROR(__xludf.DUMMYFUNCTION("""COMPUTED_VALUE"""),"C")</f>
        <v>C</v>
      </c>
      <c r="L143" s="3" t="str">
        <f ca="1">IFERROR(__xludf.DUMMYFUNCTION("""COMPUTED_VALUE"""),"Art. 231. São reconhecidos aos índios sua organização social, costumes, línguas, crenças e tradições, e os direitos originários sobre as terras que tradicionalmente ocupam, competindo à União demarcá-las, proteger e fazer respeitar todos os seus bens.
BR"&amp;"ASIL. Constituição da República Federativa do Brasil de 1988. Disponível em: www.planalto.gov.br. Acesso em: 27 abr. 2017.
A persistência das reivindicações relativas à aplicação desse preceito normativo tem em vista a vinculação histórica fundamental en"&amp;"tre
")</f>
        <v xml:space="preserve">Art. 231. São reconhecidos aos índios sua organização social, costumes, línguas, crenças e tradições, e os direitos originários sobre as terras que tradicionalmente ocupam, competindo à União demarcá-las, proteger e fazer respeitar todos os seus bens.
BRASIL. Constituição da República Federativa do Brasil de 1988. Disponível em: www.planalto.gov.br. Acesso em: 27 abr. 2017.
A persistência das reivindicações relativas à aplicação desse preceito normativo tem em vista a vinculação histórica fundamental entre
</v>
      </c>
      <c r="M143" s="3" t="str">
        <f ca="1">IFERROR(__xludf.DUMMYFUNCTION("""COMPUTED_VALUE"""),"etnia e miscigenação racial.")</f>
        <v>etnia e miscigenação racial.</v>
      </c>
      <c r="N143" s="3" t="str">
        <f ca="1">IFERROR(__xludf.DUMMYFUNCTION("""COMPUTED_VALUE"""),"sociedade e igualdade jurídica.")</f>
        <v>sociedade e igualdade jurídica.</v>
      </c>
      <c r="O143" s="3" t="str">
        <f ca="1">IFERROR(__xludf.DUMMYFUNCTION("""COMPUTED_VALUE"""),"espaço e sobrevivência cultural.")</f>
        <v>espaço e sobrevivência cultural.</v>
      </c>
      <c r="P143" s="3" t="str">
        <f ca="1">IFERROR(__xludf.DUMMYFUNCTION("""COMPUTED_VALUE"""),"progresso e educação ambiental.")</f>
        <v>progresso e educação ambiental.</v>
      </c>
      <c r="Q143" s="3" t="str">
        <f ca="1">IFERROR(__xludf.DUMMYFUNCTION("""COMPUTED_VALUE"""),"bem-estar e modernização econômica.")</f>
        <v>bem-estar e modernização econômica.</v>
      </c>
      <c r="R143" s="3"/>
      <c r="S143" s="3"/>
      <c r="T143" s="3"/>
      <c r="U143" s="3"/>
      <c r="V143" s="3"/>
      <c r="W143" s="3"/>
      <c r="X143" s="3"/>
      <c r="Y143" s="3"/>
      <c r="Z143" s="3"/>
    </row>
    <row r="144" spans="1:26" x14ac:dyDescent="0.2">
      <c r="A144" s="2" t="str">
        <f ca="1">IFERROR(__xludf.DUMMYFUNCTION("""COMPUTED_VALUE"""),"https://drive.google.com/open?id=1LLb5UVZ9qjFIadDmgnqt0kFehDZAvE_r")</f>
        <v>https://drive.google.com/open?id=1LLb5UVZ9qjFIadDmgnqt0kFehDZAvE_r</v>
      </c>
      <c r="B144" s="3" t="str">
        <f ca="1">IFERROR(__xludf.DUMMYFUNCTION("""COMPUTED_VALUE"""),"Enem")</f>
        <v>Enem</v>
      </c>
      <c r="C144" s="3">
        <f ca="1">IFERROR(__xludf.DUMMYFUNCTION("""COMPUTED_VALUE"""),2017)</f>
        <v>2017</v>
      </c>
      <c r="D144" s="3" t="str">
        <f ca="1">IFERROR(__xludf.DUMMYFUNCTION("""COMPUTED_VALUE"""),"Ciências Humanas")</f>
        <v>Ciências Humanas</v>
      </c>
      <c r="E144" s="3" t="str">
        <f ca="1">IFERROR(__xludf.DUMMYFUNCTION("""COMPUTED_VALUE"""),"Atualidade")</f>
        <v>Atualidade</v>
      </c>
      <c r="F144" s="3" t="str">
        <f ca="1">IFERROR(__xludf.DUMMYFUNCTION("""COMPUTED_VALUE"""),"Atualidade")</f>
        <v>Atualidade</v>
      </c>
      <c r="G144" s="3" t="str">
        <f ca="1">IFERROR(__xludf.DUMMYFUNCTION("""COMPUTED_VALUE"""),"Geografia Geral")</f>
        <v>Geografia Geral</v>
      </c>
      <c r="H144" s="3"/>
      <c r="I144" s="3" t="str">
        <f ca="1">IFERROR(__xludf.DUMMYFUNCTION("""COMPUTED_VALUE"""),"Azul")</f>
        <v>Azul</v>
      </c>
      <c r="J144" s="3">
        <f ca="1">IFERROR(__xludf.DUMMYFUNCTION("""COMPUTED_VALUE"""),53)</f>
        <v>53</v>
      </c>
      <c r="K144" s="3" t="str">
        <f ca="1">IFERROR(__xludf.DUMMYFUNCTION("""COMPUTED_VALUE"""),"B")</f>
        <v>B</v>
      </c>
      <c r="L144" s="3" t="str">
        <f ca="1">IFERROR(__xludf.DUMMYFUNCTION("""COMPUTED_VALUE"""),"México, Colômbia, Peru e Chile decidiram seguir um caminho mais curto para a integração regional. Os quatro países, em meados de 2012, criaram a Aliança do Pacífico e eliminaram, em 2013, as tarifas aduaneiras de 90% do total de produtos comercializados e"&amp;"ntre suas fronteiras.
OLIVEIRA, E. Aliança do Pacífico se fortalece e Mercosul fica à sua sombra. O Globo, 24 fev. 2013 (adaptado)
O acordo descrito no texto teve como objetivo econômico para os países-membros")</f>
        <v>México, Colômbia, Peru e Chile decidiram seguir um caminho mais curto para a integração regional. Os quatro países, em meados de 2012, criaram a Aliança do Pacífico e eliminaram, em 2013, as tarifas aduaneiras de 90% do total de produtos comercializados entre suas fronteiras.
OLIVEIRA, E. Aliança do Pacífico se fortalece e Mercosul fica à sua sombra. O Globo, 24 fev. 2013 (adaptado)
O acordo descrito no texto teve como objetivo econômico para os países-membros</v>
      </c>
      <c r="M144" s="3" t="str">
        <f ca="1">IFERROR(__xludf.DUMMYFUNCTION("""COMPUTED_VALUE"""),"promover a livre circulação de trabalhadores.")</f>
        <v>promover a livre circulação de trabalhadores.</v>
      </c>
      <c r="N144" s="3" t="str">
        <f ca="1">IFERROR(__xludf.DUMMYFUNCTION("""COMPUTED_VALUE"""),"fomentar a competitividade no mercado externo.")</f>
        <v>fomentar a competitividade no mercado externo.</v>
      </c>
      <c r="O144" s="3" t="str">
        <f ca="1">IFERROR(__xludf.DUMMYFUNCTION("""COMPUTED_VALUE"""),"restringir investimentos de empresas multinacionais.")</f>
        <v>restringir investimentos de empresas multinacionais.</v>
      </c>
      <c r="P144" s="3" t="str">
        <f ca="1">IFERROR(__xludf.DUMMYFUNCTION("""COMPUTED_VALUE"""),"adotar medidas cambiais para subsidiar o setor agrícola.")</f>
        <v>adotar medidas cambiais para subsidiar o setor agrícola.</v>
      </c>
      <c r="Q144" s="3" t="str">
        <f ca="1">IFERROR(__xludf.DUMMYFUNCTION("""COMPUTED_VALUE"""),"reduzir a fiscalização alfandegária para incentivar o consumo.")</f>
        <v>reduzir a fiscalização alfandegária para incentivar o consumo.</v>
      </c>
      <c r="R144" s="3"/>
      <c r="S144" s="3"/>
      <c r="T144" s="3"/>
      <c r="U144" s="3"/>
      <c r="V144" s="3"/>
      <c r="W144" s="3"/>
      <c r="X144" s="3"/>
      <c r="Y144" s="3"/>
      <c r="Z144" s="3"/>
    </row>
    <row r="145" spans="1:26" x14ac:dyDescent="0.2">
      <c r="A145" s="2" t="str">
        <f ca="1">IFERROR(__xludf.DUMMYFUNCTION("""COMPUTED_VALUE"""),"https://drive.google.com/open?id=12zUL6jw8xYiO6z9kNhc0iqkiHVAfFCRz")</f>
        <v>https://drive.google.com/open?id=12zUL6jw8xYiO6z9kNhc0iqkiHVAfFCRz</v>
      </c>
      <c r="B145" s="3" t="str">
        <f ca="1">IFERROR(__xludf.DUMMYFUNCTION("""COMPUTED_VALUE"""),"Enem")</f>
        <v>Enem</v>
      </c>
      <c r="C145" s="3">
        <f ca="1">IFERROR(__xludf.DUMMYFUNCTION("""COMPUTED_VALUE"""),2017)</f>
        <v>2017</v>
      </c>
      <c r="D145" s="3" t="str">
        <f ca="1">IFERROR(__xludf.DUMMYFUNCTION("""COMPUTED_VALUE"""),"Ciências Humanas")</f>
        <v>Ciências Humanas</v>
      </c>
      <c r="E145" s="3" t="str">
        <f ca="1">IFERROR(__xludf.DUMMYFUNCTION("""COMPUTED_VALUE"""),"Atualidade")</f>
        <v>Atualidade</v>
      </c>
      <c r="F145" s="3" t="str">
        <f ca="1">IFERROR(__xludf.DUMMYFUNCTION("""COMPUTED_VALUE"""),"História do Brasil")</f>
        <v>História do Brasil</v>
      </c>
      <c r="G145" s="3" t="str">
        <f ca="1">IFERROR(__xludf.DUMMYFUNCTION("""COMPUTED_VALUE"""),"Sociologia")</f>
        <v>Sociologia</v>
      </c>
      <c r="H145" s="3"/>
      <c r="I145" s="3" t="str">
        <f ca="1">IFERROR(__xludf.DUMMYFUNCTION("""COMPUTED_VALUE"""),"Azul")</f>
        <v>Azul</v>
      </c>
      <c r="J145" s="3">
        <f ca="1">IFERROR(__xludf.DUMMYFUNCTION("""COMPUTED_VALUE"""),67)</f>
        <v>67</v>
      </c>
      <c r="K145" s="3" t="str">
        <f ca="1">IFERROR(__xludf.DUMMYFUNCTION("""COMPUTED_VALUE"""),"D")</f>
        <v>D</v>
      </c>
      <c r="L145" s="3" t="str">
        <f ca="1">IFERROR(__xludf.DUMMYFUNCTION("""COMPUTED_VALUE"""),"A grande maioria dos países ocidentais democráticos adotou o Tribunal Constitucional como mecanismo de controle dos demais poderes. A inclusão dos Tribunais no cenário político implicou alterações no cálculo para a implementação de políticas públicas. O g"&amp;"overno, além de negociar seu plano político com o Parlamento, teve que se preocupar em não infringir a Constituição. Essa nova arquitetura institucional propiciou o desenvolvimento de um ambiente político que viabilizou a participação do Judiciário nos pr"&amp;"ocessos decisórios.
CARVALHO, E. R. Revista de Sociologia e Política, n. 23, nov. 2004 (adaptado).
O texto faz referência a uma importante mudança na dinâmica de funcionamento dos Estados contemporâneos que, no caso brasileiro, teve como consequência a")</f>
        <v>A grande maioria dos países ocidentais democráticos adotou o Tribunal Constitucional como mecanismo de controle dos demais poderes. A inclusão dos Tribunais no cenário político implicou alterações no cálculo para a implementação de políticas públicas. O governo, além de negociar seu plano político com o Parlamento, teve que se preocupar em não infringir a Constituição. Essa nova arquitetura institucional propiciou o desenvolvimento de um ambiente político que viabilizou a participação do Judiciário nos processos decisórios.
CARVALHO, E. R. Revista de Sociologia e Política, n. 23, nov. 2004 (adaptado).
O texto faz referência a uma importante mudança na dinâmica de funcionamento dos Estados contemporâneos que, no caso brasileiro, teve como consequência a</v>
      </c>
      <c r="M145" s="3" t="str">
        <f ca="1">IFERROR(__xludf.DUMMYFUNCTION("""COMPUTED_VALUE"""),"adoção de eleições para a alta magistratura.")</f>
        <v>adoção de eleições para a alta magistratura.</v>
      </c>
      <c r="N145" s="3" t="str">
        <f ca="1">IFERROR(__xludf.DUMMYFUNCTION("""COMPUTED_VALUE"""),"diminuição das tensões entre os entes federativos.")</f>
        <v>diminuição das tensões entre os entes federativos.</v>
      </c>
      <c r="O145" s="3" t="str">
        <f ca="1">IFERROR(__xludf.DUMMYFUNCTION("""COMPUTED_VALUE"""),"suspensão do princípio geral dos freios e contrapesos.")</f>
        <v>suspensão do princípio geral dos freios e contrapesos.</v>
      </c>
      <c r="P145" s="3" t="str">
        <f ca="1">IFERROR(__xludf.DUMMYFUNCTION("""COMPUTED_VALUE"""),"judicialização de questões próprias da esfera legislativa.")</f>
        <v>judicialização de questões próprias da esfera legislativa.</v>
      </c>
      <c r="Q145" s="3" t="str">
        <f ca="1">IFERROR(__xludf.DUMMYFUNCTION("""COMPUTED_VALUE"""),"profissionalização do quadro de funcionários da Justiça.")</f>
        <v>profissionalização do quadro de funcionários da Justiça.</v>
      </c>
      <c r="R145" s="3"/>
      <c r="S145" s="3"/>
      <c r="T145" s="3"/>
      <c r="U145" s="3"/>
      <c r="V145" s="3"/>
      <c r="W145" s="3"/>
      <c r="X145" s="3"/>
      <c r="Y145" s="3"/>
      <c r="Z145" s="3"/>
    </row>
    <row r="146" spans="1:26" x14ac:dyDescent="0.2">
      <c r="A146" s="2" t="str">
        <f ca="1">IFERROR(__xludf.DUMMYFUNCTION("""COMPUTED_VALUE"""),"https://drive.google.com/open?id=1pUwzCOiwCVkrjNEt2FuMotBuYoNaTitn")</f>
        <v>https://drive.google.com/open?id=1pUwzCOiwCVkrjNEt2FuMotBuYoNaTitn</v>
      </c>
      <c r="B146" s="3" t="str">
        <f ca="1">IFERROR(__xludf.DUMMYFUNCTION("""COMPUTED_VALUE"""),"Enem")</f>
        <v>Enem</v>
      </c>
      <c r="C146" s="3">
        <f ca="1">IFERROR(__xludf.DUMMYFUNCTION("""COMPUTED_VALUE"""),2017)</f>
        <v>2017</v>
      </c>
      <c r="D146" s="3" t="str">
        <f ca="1">IFERROR(__xludf.DUMMYFUNCTION("""COMPUTED_VALUE"""),"Ciências Humanas")</f>
        <v>Ciências Humanas</v>
      </c>
      <c r="E146" s="3" t="str">
        <f ca="1">IFERROR(__xludf.DUMMYFUNCTION("""COMPUTED_VALUE"""),"Atualidade")</f>
        <v>Atualidade</v>
      </c>
      <c r="F146" s="3" t="str">
        <f ca="1">IFERROR(__xludf.DUMMYFUNCTION("""COMPUTED_VALUE"""),"Atualidade")</f>
        <v>Atualidade</v>
      </c>
      <c r="G146" s="3" t="str">
        <f ca="1">IFERROR(__xludf.DUMMYFUNCTION("""COMPUTED_VALUE"""),"Sociologia")</f>
        <v>Sociologia</v>
      </c>
      <c r="H146" s="3"/>
      <c r="I146" s="3" t="str">
        <f ca="1">IFERROR(__xludf.DUMMYFUNCTION("""COMPUTED_VALUE"""),"Azul")</f>
        <v>Azul</v>
      </c>
      <c r="J146" s="3">
        <f ca="1">IFERROR(__xludf.DUMMYFUNCTION("""COMPUTED_VALUE"""),74)</f>
        <v>74</v>
      </c>
      <c r="K146" s="3" t="str">
        <f ca="1">IFERROR(__xludf.DUMMYFUNCTION("""COMPUTED_VALUE"""),"B")</f>
        <v>B</v>
      </c>
      <c r="L146" s="3" t="str">
        <f ca="1">IFERROR(__xludf.DUMMYFUNCTION("""COMPUTED_VALUE"""),"A participação da mulher no processo de decisão política ainda é extremamente limitada em praticamente todos os países, independentemente do regime econômico e social e da estrutura institucional vigente em casa um deles. É fato público e notório, além de"&amp;" empiricamente comprovado, que as mulheres estão em geral sub-representadas nos órgãos do poder, pois a proporção não corresponde jamais ao peso relativo dessa parte da população.
TABAK, G, Mulheres públicas: participação política e poder. Rio de Janeiro"&amp;": Letra Capital, 2002.
No âmbito do Poder Legislativo brasileiro, a tentativa de reverter esse quadro de sub-representação tem envolvido a implementação, pelo Estado, de")</f>
        <v>A participação da mulher no processo de decisão política ainda é extremamente limitada em praticamente todos os países, independentemente do regime econômico e social e da estrutura institucional vigente em casa um deles. É fato público e notório, além de empiricamente comprovado, que as mulheres estão em geral sub-representadas nos órgãos do poder, pois a proporção não corresponde jamais ao peso relativo dessa parte da população.
TABAK, G, Mulheres públicas: participação política e poder. Rio de Janeiro: Letra Capital, 2002.
No âmbito do Poder Legislativo brasileiro, a tentativa de reverter esse quadro de sub-representação tem envolvido a implementação, pelo Estado, de</v>
      </c>
      <c r="M146" s="3" t="str">
        <f ca="1">IFERROR(__xludf.DUMMYFUNCTION("""COMPUTED_VALUE"""),"leis que combatem à violência doméstica.")</f>
        <v>leis que combatem à violência doméstica.</v>
      </c>
      <c r="N146" s="3" t="str">
        <f ca="1">IFERROR(__xludf.DUMMYFUNCTION("""COMPUTED_VALUE"""),"cotas de gêneros nas candidaturas partidárias.")</f>
        <v>cotas de gêneros nas candidaturas partidárias.</v>
      </c>
      <c r="O146" s="3" t="str">
        <f ca="1">IFERROR(__xludf.DUMMYFUNCTION("""COMPUTED_VALUE"""),"programas de mobilização política nas escolas.")</f>
        <v>programas de mobilização política nas escolas.</v>
      </c>
      <c r="P146" s="3" t="str">
        <f ca="1">IFERROR(__xludf.DUMMYFUNCTION("""COMPUTED_VALUE"""),"propaganda de incentivo ao voto consciente.")</f>
        <v>propaganda de incentivo ao voto consciente.</v>
      </c>
      <c r="Q146" s="3" t="str">
        <f ca="1">IFERROR(__xludf.DUMMYFUNCTION("""COMPUTED_VALUE"""),"apoio financeiro às lideranças femininas.")</f>
        <v>apoio financeiro às lideranças femininas.</v>
      </c>
      <c r="R146" s="3"/>
      <c r="S146" s="3"/>
      <c r="T146" s="3"/>
      <c r="U146" s="3"/>
      <c r="V146" s="3"/>
      <c r="W146" s="3"/>
      <c r="X146" s="3"/>
      <c r="Y146" s="3"/>
      <c r="Z146" s="3"/>
    </row>
    <row r="147" spans="1:26" x14ac:dyDescent="0.2">
      <c r="A147" s="2" t="str">
        <f ca="1">IFERROR(__xludf.DUMMYFUNCTION("""COMPUTED_VALUE"""),"https://drive.google.com/open?id=1stbxBH-HX0LcL1uraWe0p33d27xbHMU6")</f>
        <v>https://drive.google.com/open?id=1stbxBH-HX0LcL1uraWe0p33d27xbHMU6</v>
      </c>
      <c r="B147" s="3" t="str">
        <f ca="1">IFERROR(__xludf.DUMMYFUNCTION("""COMPUTED_VALUE"""),"Enem")</f>
        <v>Enem</v>
      </c>
      <c r="C147" s="3">
        <f ca="1">IFERROR(__xludf.DUMMYFUNCTION("""COMPUTED_VALUE"""),2017)</f>
        <v>2017</v>
      </c>
      <c r="D147" s="3" t="str">
        <f ca="1">IFERROR(__xludf.DUMMYFUNCTION("""COMPUTED_VALUE"""),"Ciências Humanas")</f>
        <v>Ciências Humanas</v>
      </c>
      <c r="E147" s="3" t="str">
        <f ca="1">IFERROR(__xludf.DUMMYFUNCTION("""COMPUTED_VALUE"""),"Atualidade")</f>
        <v>Atualidade</v>
      </c>
      <c r="F147" s="3" t="str">
        <f ca="1">IFERROR(__xludf.DUMMYFUNCTION("""COMPUTED_VALUE"""),"Atualidade")</f>
        <v>Atualidade</v>
      </c>
      <c r="G147" s="3" t="str">
        <f ca="1">IFERROR(__xludf.DUMMYFUNCTION("""COMPUTED_VALUE"""),"Geografia do Brasil")</f>
        <v>Geografia do Brasil</v>
      </c>
      <c r="H147" s="3"/>
      <c r="I147" s="3" t="str">
        <f ca="1">IFERROR(__xludf.DUMMYFUNCTION("""COMPUTED_VALUE"""),"Azul")</f>
        <v>Azul</v>
      </c>
      <c r="J147" s="3">
        <f ca="1">IFERROR(__xludf.DUMMYFUNCTION("""COMPUTED_VALUE"""),75)</f>
        <v>75</v>
      </c>
      <c r="K147" s="3" t="str">
        <f ca="1">IFERROR(__xludf.DUMMYFUNCTION("""COMPUTED_VALUE"""),"D")</f>
        <v>D</v>
      </c>
      <c r="L147" s="3" t="str">
        <f ca="1">IFERROR(__xludf.DUMMYFUNCTION("""COMPUTED_VALUE"""),"Palestinos se agruparam em frente a aparelhos de televisão e telas montadas ao ar livre em Ramalah, na Cisjordânia, para acompanhar o voto da resolução que pedia o reconhecimento da chamada Palestina como um Estado observador não membro da Organização das"&amp;" Nações Unidas (ONU). O objetivo era esperar pelo nascimento, ao menos formal, de um Estado palestino. Depois da aprovação da resolução, centenas de pessoas foram à praça da cidade com bandeiras palestinas, soltaram fogos de artifício, fizeram buzinaços e"&amp;" dançaram pelas ruas. Aprovada com 138 votos dos 193 da Assembleia-Geral, a resolução eleva o status do Estado palestino perante a organização.
Palestinos comemoram elevação de status na ONU com bandeiras e fogos. Disponível em: http://folha.com. Acesso "&amp;"em: 4 dez. 2012 (adaptado).
A mencionada resolução da ONU referendou o(a)")</f>
        <v>Palestinos se agruparam em frente a aparelhos de televisão e telas montadas ao ar livre em Ramalah, na Cisjordânia, para acompanhar o voto da resolução que pedia o reconhecimento da chamada Palestina como um Estado observador não membro da Organização das Nações Unidas (ONU). O objetivo era esperar pelo nascimento, ao menos formal, de um Estado palestino. Depois da aprovação da resolução, centenas de pessoas foram à praça da cidade com bandeiras palestinas, soltaram fogos de artifício, fizeram buzinaços e dançaram pelas ruas. Aprovada com 138 votos dos 193 da Assembleia-Geral, a resolução eleva o status do Estado palestino perante a organização.
Palestinos comemoram elevação de status na ONU com bandeiras e fogos. Disponível em: http://folha.com. Acesso em: 4 dez. 2012 (adaptado).
A mencionada resolução da ONU referendou o(a)</v>
      </c>
      <c r="M147" s="3" t="str">
        <f ca="1">IFERROR(__xludf.DUMMYFUNCTION("""COMPUTED_VALUE"""),"delimitação institucional das fronteiras territoriais.")</f>
        <v>delimitação institucional das fronteiras territoriais.</v>
      </c>
      <c r="N147" s="3" t="str">
        <f ca="1">IFERROR(__xludf.DUMMYFUNCTION("""COMPUTED_VALUE"""),"aumento da qualidade de vida da população local.")</f>
        <v>aumento da qualidade de vida da população local.</v>
      </c>
      <c r="O147" s="3" t="str">
        <f ca="1">IFERROR(__xludf.DUMMYFUNCTION("""COMPUTED_VALUE"""),"implementação do tratado de paz com os israelenses.")</f>
        <v>implementação do tratado de paz com os israelenses.</v>
      </c>
      <c r="P147" s="3" t="str">
        <f ca="1">IFERROR(__xludf.DUMMYFUNCTION("""COMPUTED_VALUE"""),"apoio da comunidade internacional à demanda nacional.")</f>
        <v>apoio da comunidade internacional à demanda nacional.</v>
      </c>
      <c r="Q147" s="3" t="str">
        <f ca="1">IFERROR(__xludf.DUMMYFUNCTION("""COMPUTED_VALUE"""),"equiparação da condição política com a dos demais países.")</f>
        <v>equiparação da condição política com a dos demais países.</v>
      </c>
      <c r="R147" s="3"/>
      <c r="S147" s="3"/>
      <c r="T147" s="3"/>
      <c r="U147" s="3"/>
      <c r="V147" s="3"/>
      <c r="W147" s="3"/>
      <c r="X147" s="3"/>
      <c r="Y147" s="3"/>
      <c r="Z147" s="3"/>
    </row>
    <row r="148" spans="1:26" x14ac:dyDescent="0.2">
      <c r="A148" s="2" t="str">
        <f ca="1">IFERROR(__xludf.DUMMYFUNCTION("""COMPUTED_VALUE"""),"https://drive.google.com/open?id=1vCTpIVIyMupMZzZhhXjixc1HVAk0_zI_")</f>
        <v>https://drive.google.com/open?id=1vCTpIVIyMupMZzZhhXjixc1HVAk0_zI_</v>
      </c>
      <c r="B148" s="3" t="str">
        <f ca="1">IFERROR(__xludf.DUMMYFUNCTION("""COMPUTED_VALUE"""),"Enem")</f>
        <v>Enem</v>
      </c>
      <c r="C148" s="3">
        <f ca="1">IFERROR(__xludf.DUMMYFUNCTION("""COMPUTED_VALUE"""),2018)</f>
        <v>2018</v>
      </c>
      <c r="D148" s="3" t="str">
        <f ca="1">IFERROR(__xludf.DUMMYFUNCTION("""COMPUTED_VALUE"""),"Ciências Humanas")</f>
        <v>Ciências Humanas</v>
      </c>
      <c r="E148" s="3" t="str">
        <f ca="1">IFERROR(__xludf.DUMMYFUNCTION("""COMPUTED_VALUE"""),"Atualidade")</f>
        <v>Atualidade</v>
      </c>
      <c r="F148" s="3" t="str">
        <f ca="1">IFERROR(__xludf.DUMMYFUNCTION("""COMPUTED_VALUE"""),"Atualidade")</f>
        <v>Atualidade</v>
      </c>
      <c r="G148" s="3" t="str">
        <f ca="1">IFERROR(__xludf.DUMMYFUNCTION("""COMPUTED_VALUE"""),"História do Brasil")</f>
        <v>História do Brasil</v>
      </c>
      <c r="H148" s="3"/>
      <c r="I148" s="3" t="str">
        <f ca="1">IFERROR(__xludf.DUMMYFUNCTION("""COMPUTED_VALUE"""),"Azul")</f>
        <v>Azul</v>
      </c>
      <c r="J148" s="3">
        <f ca="1">IFERROR(__xludf.DUMMYFUNCTION("""COMPUTED_VALUE"""),60)</f>
        <v>60</v>
      </c>
      <c r="K148" s="3" t="str">
        <f ca="1">IFERROR(__xludf.DUMMYFUNCTION("""COMPUTED_VALUE"""),"E")</f>
        <v>E</v>
      </c>
      <c r="L148" s="3" t="str">
        <f ca="1">IFERROR(__xludf.DUMMYFUNCTION("""COMPUTED_VALUE"""),"Em Beirute, no Líbano, quando perguntado sobre onde se encontram os refugiados sírios, a resposta do homem é imediata: “em todos os lugares e em lugar nenhum”. Andando ao acaso, não é raro ver, sob um prédio ou num canto de calçada, ao abrigo do vento, um"&amp;"a família refugiada em volta de uma refeição frugal posta sobre jornais como se fossem guardanapos. Também se vê de vez em quando uma tenda com a sigla ACNUR (Alto Comissariado das Nações Unidas para Refugiados), erguida em um dos raros terrenos vagos da "&amp;"capital.
JABER, H. Quem realmente acolhe os refugiados? Le Monde Diplomatique Brasil, out. 2015 (adaptado)
O cenário descrito aponta para uma crise humanitária que é explicada pelo processo de")</f>
        <v>Em Beirute, no Líbano, quando perguntado sobre onde se encontram os refugiados sírios, a resposta do homem é imediata: “em todos os lugares e em lugar nenhum”. Andando ao acaso, não é raro ver, sob um prédio ou num canto de calçada, ao abrigo do vento, uma família refugiada em volta de uma refeição frugal posta sobre jornais como se fossem guardanapos. Também se vê de vez em quando uma tenda com a sigla ACNUR (Alto Comissariado das Nações Unidas para Refugiados), erguida em um dos raros terrenos vagos da capital.
JABER, H. Quem realmente acolhe os refugiados? Le Monde Diplomatique Brasil, out. 2015 (adaptado)
O cenário descrito aponta para uma crise humanitária que é explicada pelo processo de</v>
      </c>
      <c r="M148" s="3" t="str">
        <f ca="1">IFERROR(__xludf.DUMMYFUNCTION("""COMPUTED_VALUE"""),"migração massiva de pessoas atingidas por catástrofe natural.")</f>
        <v>migração massiva de pessoas atingidas por catástrofe natural.</v>
      </c>
      <c r="N148" s="3" t="str">
        <f ca="1">IFERROR(__xludf.DUMMYFUNCTION("""COMPUTED_VALUE"""),"hibridização cultural de grupos caracterizados por homogeneidade social.")</f>
        <v>hibridização cultural de grupos caracterizados por homogeneidade social.</v>
      </c>
      <c r="O148" s="3" t="str">
        <f ca="1">IFERROR(__xludf.DUMMYFUNCTION("""COMPUTED_VALUE"""),"desmobilização voluntária de militantes cooptados por seitas extremistas.")</f>
        <v>desmobilização voluntária de militantes cooptados por seitas extremistas.</v>
      </c>
      <c r="P148" s="3" t="str">
        <f ca="1">IFERROR(__xludf.DUMMYFUNCTION("""COMPUTED_VALUE"""),"peregrinação religiosa de fiéis orientados por lideranças fundamentalistas.")</f>
        <v>peregrinação religiosa de fiéis orientados por lideranças fundamentalistas.</v>
      </c>
      <c r="Q148" s="3" t="str">
        <f ca="1">IFERROR(__xludf.DUMMYFUNCTION("""COMPUTED_VALUE"""),"desterritorialização forçada de populações afetadas por conflitos armados.")</f>
        <v>desterritorialização forçada de populações afetadas por conflitos armados.</v>
      </c>
      <c r="R148" s="3"/>
      <c r="S148" s="3"/>
      <c r="T148" s="3"/>
      <c r="U148" s="3"/>
      <c r="V148" s="3"/>
      <c r="W148" s="3"/>
      <c r="X148" s="3"/>
      <c r="Y148" s="3"/>
      <c r="Z148" s="3"/>
    </row>
    <row r="149" spans="1:26" x14ac:dyDescent="0.2">
      <c r="A149" s="2" t="str">
        <f ca="1">IFERROR(__xludf.DUMMYFUNCTION("""COMPUTED_VALUE"""),"https://drive.google.com/open?id=1oAzbKUPROwZn3gEcmGypAOH8IXHJX5hy")</f>
        <v>https://drive.google.com/open?id=1oAzbKUPROwZn3gEcmGypAOH8IXHJX5hy</v>
      </c>
      <c r="B149" s="3" t="str">
        <f ca="1">IFERROR(__xludf.DUMMYFUNCTION("""COMPUTED_VALUE"""),"Enem")</f>
        <v>Enem</v>
      </c>
      <c r="C149" s="3">
        <f ca="1">IFERROR(__xludf.DUMMYFUNCTION("""COMPUTED_VALUE"""),2018)</f>
        <v>2018</v>
      </c>
      <c r="D149" s="3" t="str">
        <f ca="1">IFERROR(__xludf.DUMMYFUNCTION("""COMPUTED_VALUE"""),"Ciências Humanas")</f>
        <v>Ciências Humanas</v>
      </c>
      <c r="E149" s="3" t="str">
        <f ca="1">IFERROR(__xludf.DUMMYFUNCTION("""COMPUTED_VALUE"""),"Atualidade")</f>
        <v>Atualidade</v>
      </c>
      <c r="F149" s="3" t="str">
        <f ca="1">IFERROR(__xludf.DUMMYFUNCTION("""COMPUTED_VALUE"""),"Sociologia")</f>
        <v>Sociologia</v>
      </c>
      <c r="G149" s="3" t="str">
        <f ca="1">IFERROR(__xludf.DUMMYFUNCTION("""COMPUTED_VALUE"""),"Atualidade")</f>
        <v>Atualidade</v>
      </c>
      <c r="H149" s="3"/>
      <c r="I149" s="3" t="str">
        <f ca="1">IFERROR(__xludf.DUMMYFUNCTION("""COMPUTED_VALUE"""),"Azul")</f>
        <v>Azul</v>
      </c>
      <c r="J149" s="3">
        <f ca="1">IFERROR(__xludf.DUMMYFUNCTION("""COMPUTED_VALUE"""),70)</f>
        <v>70</v>
      </c>
      <c r="K149" s="3" t="str">
        <f ca="1">IFERROR(__xludf.DUMMYFUNCTION("""COMPUTED_VALUE"""),"B")</f>
        <v>B</v>
      </c>
      <c r="L149" s="3" t="str">
        <f ca="1">IFERROR(__xludf.DUMMYFUNCTION("""COMPUTED_VALUE"""),"A primeira fase da dominação da economia sobre a vida social acarretou, no modo de definir toda realização humana, uma evidente degradação do ser para o ter. A fase atual, em que a vida social está totalmente tomada pelos resultados da economia, leva a um"&amp;" deslizamento generalizado do ter para o parecer, do qual todo ter efetivo deve extrair seu prestígio imediato e sua função última. Ao mesmo tempo, toda realidade individual tornou-se social, diretamente dependente da força social, moldada por ela.
DEBOR"&amp;"D, G. A sociedade do espetáculo. Rio de Janeiro: Contraponto, 2015.
Uma manifestação contemporânea do fenômeno descrito no texto é o(a)")</f>
        <v>A primeira fase da dominação da economia sobre a vida social acarretou, no modo de definir toda realização humana, uma evidente degradação do ser para o ter. A fase atual, em que a vida social está totalmente tomada pelos resultados da economia, leva a um deslizamento generalizado do ter para o parecer, do qual todo ter efetivo deve extrair seu prestígio imediato e sua função última. Ao mesmo tempo, toda realidade individual tornou-se social, diretamente dependente da força social, moldada por ela.
DEBORD, G. A sociedade do espetáculo. Rio de Janeiro: Contraponto, 2015.
Uma manifestação contemporânea do fenômeno descrito no texto é o(a)</v>
      </c>
      <c r="M149" s="3" t="str">
        <f ca="1">IFERROR(__xludf.DUMMYFUNCTION("""COMPUTED_VALUE"""),"valorização dos conhecimentos acumulados.")</f>
        <v>valorização dos conhecimentos acumulados.</v>
      </c>
      <c r="N149" s="3" t="str">
        <f ca="1">IFERROR(__xludf.DUMMYFUNCTION("""COMPUTED_VALUE"""),"exposição nos meios de comunicação.")</f>
        <v>exposição nos meios de comunicação.</v>
      </c>
      <c r="O149" s="3" t="str">
        <f ca="1">IFERROR(__xludf.DUMMYFUNCTION("""COMPUTED_VALUE"""),"aprofundamento da vivência espiritual.")</f>
        <v>aprofundamento da vivência espiritual.</v>
      </c>
      <c r="P149" s="3" t="str">
        <f ca="1">IFERROR(__xludf.DUMMYFUNCTION("""COMPUTED_VALUE"""),"fortalecimento das relações interpessoais.")</f>
        <v>fortalecimento das relações interpessoais.</v>
      </c>
      <c r="Q149" s="3" t="str">
        <f ca="1">IFERROR(__xludf.DUMMYFUNCTION("""COMPUTED_VALUE"""),"reconhecimento na esfera artística.")</f>
        <v>reconhecimento na esfera artística.</v>
      </c>
      <c r="R149" s="3"/>
      <c r="S149" s="3"/>
      <c r="T149" s="3"/>
      <c r="U149" s="3"/>
      <c r="V149" s="3"/>
      <c r="W149" s="3"/>
      <c r="X149" s="3"/>
      <c r="Y149" s="3"/>
      <c r="Z149" s="3"/>
    </row>
    <row r="150" spans="1:26" x14ac:dyDescent="0.2">
      <c r="A150" s="2" t="str">
        <f ca="1">IFERROR(__xludf.DUMMYFUNCTION("""COMPUTED_VALUE"""),"https://drive.google.com/open?id=1iBMsXpWH7DgNbiRPDDRlf3tR5c00kVNp")</f>
        <v>https://drive.google.com/open?id=1iBMsXpWH7DgNbiRPDDRlf3tR5c00kVNp</v>
      </c>
      <c r="B150" s="3" t="str">
        <f ca="1">IFERROR(__xludf.DUMMYFUNCTION("""COMPUTED_VALUE"""),"Enem")</f>
        <v>Enem</v>
      </c>
      <c r="C150" s="3">
        <f ca="1">IFERROR(__xludf.DUMMYFUNCTION("""COMPUTED_VALUE"""),2019)</f>
        <v>2019</v>
      </c>
      <c r="D150" s="3" t="str">
        <f ca="1">IFERROR(__xludf.DUMMYFUNCTION("""COMPUTED_VALUE"""),"Ciências Humanas")</f>
        <v>Ciências Humanas</v>
      </c>
      <c r="E150" s="3" t="str">
        <f ca="1">IFERROR(__xludf.DUMMYFUNCTION("""COMPUTED_VALUE"""),"Atualidade")</f>
        <v>Atualidade</v>
      </c>
      <c r="F150" s="3" t="str">
        <f ca="1">IFERROR(__xludf.DUMMYFUNCTION("""COMPUTED_VALUE"""),"Sociologia")</f>
        <v>Sociologia</v>
      </c>
      <c r="G150" s="3" t="str">
        <f ca="1">IFERROR(__xludf.DUMMYFUNCTION("""COMPUTED_VALUE"""),"Atualidade")</f>
        <v>Atualidade</v>
      </c>
      <c r="H150" s="3"/>
      <c r="I150" s="3" t="str">
        <f ca="1">IFERROR(__xludf.DUMMYFUNCTION("""COMPUTED_VALUE"""),"Amarelo")</f>
        <v>Amarelo</v>
      </c>
      <c r="J150" s="3">
        <f ca="1">IFERROR(__xludf.DUMMYFUNCTION("""COMPUTED_VALUE"""),46)</f>
        <v>46</v>
      </c>
      <c r="K150" s="3" t="str">
        <f ca="1">IFERROR(__xludf.DUMMYFUNCTION("""COMPUTED_VALUE"""),"C")</f>
        <v>C</v>
      </c>
      <c r="L150" s="3" t="str">
        <f ca="1">IFERROR(__xludf.DUMMYFUNCTION("""COMPUTED_VALUE"""),"A hospitalidade pura consiste em acolher aquele que chega antes de lhe impor condições, antes de saber e indagar o que quer que seja, ainda que seja um nome ou um “documento” de identidade. Mas ela também supõe que se dirija a ele, de maneira singular, ch"&amp;"amando-o portanto e reconhecendo-lhe um nome próprio: “Como você se chama?” A hospitalidade consiste em fazer tudo para se dirigir ao outro, em lhe conceder, até mesmo perguntar seu nome, evitando que essa pergunta se torne uma “condição”, um inquérito po"&amp;"licial, um fichamento ou um simples controle das fronteiras. Uma arte e uma poética, mas também toda uma política dependem disso, toda uma ética se decide aí.
DERRIDA, J. Papel-máquina. São Paulo: Estação Liberdade, 2004 (adaptado).
Associado ao cont"&amp;"exto migratório contemporâneo, o conceito de hospitalidade proposto pelo autor impõe a necessidade de")</f>
        <v>A hospitalidade pura consiste em acolher aquele que chega antes de lhe impor condições, antes de saber e indagar o que quer que seja, ainda que seja um nome ou um “documento” de identidade. Mas ela também supõe que se dirija a ele, de maneira singular, chamando-o portanto e reconhecendo-lhe um nome próprio: “Como você se chama?” A hospitalidade consiste em fazer tudo para se dirigir ao outro, em lhe conceder, até mesmo perguntar seu nome, evitando que essa pergunta se torne uma “condição”, um inquérito policial, um fichamento ou um simples controle das fronteiras. Uma arte e uma poética, mas também toda uma política dependem disso, toda uma ética se decide aí.
DERRIDA, J. Papel-máquina. São Paulo: Estação Liberdade, 2004 (adaptado).
Associado ao contexto migratório contemporâneo, o conceito de hospitalidade proposto pelo autor impõe a necessidade de</v>
      </c>
      <c r="M150" s="3" t="str">
        <f ca="1">IFERROR(__xludf.DUMMYFUNCTION("""COMPUTED_VALUE"""),"anulação da diferença.")</f>
        <v>anulação da diferença.</v>
      </c>
      <c r="N150" s="3" t="str">
        <f ca="1">IFERROR(__xludf.DUMMYFUNCTION("""COMPUTED_VALUE"""),"cristalização da biografia.")</f>
        <v>cristalização da biografia.</v>
      </c>
      <c r="O150" s="3" t="str">
        <f ca="1">IFERROR(__xludf.DUMMYFUNCTION("""COMPUTED_VALUE"""),"incorporação da alteridade.")</f>
        <v>incorporação da alteridade.</v>
      </c>
      <c r="P150" s="3" t="str">
        <f ca="1">IFERROR(__xludf.DUMMYFUNCTION("""COMPUTED_VALUE"""),"supressão da comunicação.")</f>
        <v>supressão da comunicação.</v>
      </c>
      <c r="Q150" s="3" t="str">
        <f ca="1">IFERROR(__xludf.DUMMYFUNCTION("""COMPUTED_VALUE"""),"verificação da proveniência.")</f>
        <v>verificação da proveniência.</v>
      </c>
      <c r="R150" s="3"/>
      <c r="S150" s="3"/>
      <c r="T150" s="3"/>
      <c r="U150" s="3"/>
      <c r="V150" s="3"/>
      <c r="W150" s="3"/>
      <c r="X150" s="3"/>
      <c r="Y150" s="3"/>
      <c r="Z150" s="3"/>
    </row>
    <row r="151" spans="1:26" x14ac:dyDescent="0.2">
      <c r="A151" s="2" t="str">
        <f ca="1">IFERROR(__xludf.DUMMYFUNCTION("""COMPUTED_VALUE"""),"https://drive.google.com/open?id=16ufMy_vgel02YE_LwrSnsm6G5f-HFMiS")</f>
        <v>https://drive.google.com/open?id=16ufMy_vgel02YE_LwrSnsm6G5f-HFMiS</v>
      </c>
      <c r="B151" s="3" t="str">
        <f ca="1">IFERROR(__xludf.DUMMYFUNCTION("""COMPUTED_VALUE"""),"Enem")</f>
        <v>Enem</v>
      </c>
      <c r="C151" s="3">
        <f ca="1">IFERROR(__xludf.DUMMYFUNCTION("""COMPUTED_VALUE"""),2019)</f>
        <v>2019</v>
      </c>
      <c r="D151" s="3" t="str">
        <f ca="1">IFERROR(__xludf.DUMMYFUNCTION("""COMPUTED_VALUE"""),"Ciências Humanas")</f>
        <v>Ciências Humanas</v>
      </c>
      <c r="E151" s="3" t="str">
        <f ca="1">IFERROR(__xludf.DUMMYFUNCTION("""COMPUTED_VALUE"""),"Atualidade")</f>
        <v>Atualidade</v>
      </c>
      <c r="F151" s="3" t="str">
        <f ca="1">IFERROR(__xludf.DUMMYFUNCTION("""COMPUTED_VALUE"""),"Atualidade")</f>
        <v>Atualidade</v>
      </c>
      <c r="G151" s="3" t="str">
        <f ca="1">IFERROR(__xludf.DUMMYFUNCTION("""COMPUTED_VALUE"""),"Geografia do Brasil")</f>
        <v>Geografia do Brasil</v>
      </c>
      <c r="H151" s="3"/>
      <c r="I151" s="3" t="str">
        <f ca="1">IFERROR(__xludf.DUMMYFUNCTION("""COMPUTED_VALUE"""),"Amarelo")</f>
        <v>Amarelo</v>
      </c>
      <c r="J151" s="3">
        <f ca="1">IFERROR(__xludf.DUMMYFUNCTION("""COMPUTED_VALUE"""),49)</f>
        <v>49</v>
      </c>
      <c r="K151" s="3" t="str">
        <f ca="1">IFERROR(__xludf.DUMMYFUNCTION("""COMPUTED_VALUE"""),"B")</f>
        <v>B</v>
      </c>
      <c r="L151" s="3" t="str">
        <f ca="1">IFERROR(__xludf.DUMMYFUNCTION("""COMPUTED_VALUE"""),"Brasil, Alemanha, Japão e Índia pedem reforma do Conselho de Segurança
     Os representantes do G4 (Brasil, Alemanha, Índia e Japão) reiteraram, em setembro de 2018, a defesa pela ampliação do Conselho de Segurança da Organização das Nações Unidas (ONU)"&amp;" durante reunião em Nova York (Estados Unidos). Em declaração conjunta, de dez itens, os chanceleres destacaram que o órgão, no formato em que está, com apenas cinco membros permanentes e dez rotativos, não reflete o século 21. “A reforma do Conselho de S"&amp;"egurança é essencial para enfrentar os desafios complexos de hoje. Como aspirantes a novos membros permanentes de um conselho reformado, os ministros reiteraram seu compromisso de trabalhar para fortalecer o funcionamento da ONU e da ordem multilateral gl"&amp;"obal, bem como seu apoio às respectivas candidaturas”, afirma a declaração conjunta.
Disponível em: http://agenciabrasil.ebc.com.br. Acesso em: 7 dez. 2018 (adaptado).
Os países mencionados no texto justificam sua pretensão com base na seguinte carac"&amp;"terística comum:")</f>
        <v>Brasil, Alemanha, Japão e Índia pedem reforma do Conselho de Segurança
     Os representantes do G4 (Brasil, Alemanha, Índia e Japão) reiteraram, em setembro de 2018, a defesa pela ampliação do Conselho de Segurança da Organização das Nações Unidas (ONU) durante reunião em Nova York (Estados Unidos). Em declaração conjunta, de dez itens, os chanceleres destacaram que o órgão, no formato em que está, com apenas cinco membros permanentes e dez rotativos, não reflete o século 21. “A reforma do Conselho de Segurança é essencial para enfrentar os desafios complexos de hoje. Como aspirantes a novos membros permanentes de um conselho reformado, os ministros reiteraram seu compromisso de trabalhar para fortalecer o funcionamento da ONU e da ordem multilateral global, bem como seu apoio às respectivas candidaturas”, afirma a declaração conjunta.
Disponível em: http://agenciabrasil.ebc.com.br. Acesso em: 7 dez. 2018 (adaptado).
Os países mencionados no texto justificam sua pretensão com base na seguinte característica comum:</v>
      </c>
      <c r="M151" s="3" t="str">
        <f ca="1">IFERROR(__xludf.DUMMYFUNCTION("""COMPUTED_VALUE"""),"Extensividade de área territorial.")</f>
        <v>Extensividade de área territorial.</v>
      </c>
      <c r="N151" s="3" t="str">
        <f ca="1">IFERROR(__xludf.DUMMYFUNCTION("""COMPUTED_VALUE"""),"Protagonismo em escala regional.")</f>
        <v>Protagonismo em escala regional.</v>
      </c>
      <c r="O151" s="3" t="str">
        <f ca="1">IFERROR(__xludf.DUMMYFUNCTION("""COMPUTED_VALUE"""),"Investimento em tecnologia militar.")</f>
        <v>Investimento em tecnologia militar.</v>
      </c>
      <c r="P151" s="3" t="str">
        <f ca="1">IFERROR(__xludf.DUMMYFUNCTION("""COMPUTED_VALUE"""),"Desenvolvimento de energia nuclear.")</f>
        <v>Desenvolvimento de energia nuclear.</v>
      </c>
      <c r="Q151" s="3" t="str">
        <f ca="1">IFERROR(__xludf.DUMMYFUNCTION("""COMPUTED_VALUE"""),"Disponibilidade de recursos minerais.")</f>
        <v>Disponibilidade de recursos minerais.</v>
      </c>
      <c r="R151" s="3"/>
      <c r="S151" s="3"/>
      <c r="T151" s="3"/>
      <c r="U151" s="3"/>
      <c r="V151" s="3"/>
      <c r="W151" s="3"/>
      <c r="X151" s="3"/>
      <c r="Y151" s="3"/>
      <c r="Z151" s="3"/>
    </row>
    <row r="152" spans="1:26" x14ac:dyDescent="0.2">
      <c r="A152" s="2" t="str">
        <f ca="1">IFERROR(__xludf.DUMMYFUNCTION("""COMPUTED_VALUE"""),"https://drive.google.com/open?id=1mQp1rs4JgNtFhpVj4mfqcWKAb8EUOQ-C")</f>
        <v>https://drive.google.com/open?id=1mQp1rs4JgNtFhpVj4mfqcWKAb8EUOQ-C</v>
      </c>
      <c r="B152" s="3" t="str">
        <f ca="1">IFERROR(__xludf.DUMMYFUNCTION("""COMPUTED_VALUE"""),"Enem")</f>
        <v>Enem</v>
      </c>
      <c r="C152" s="3">
        <f ca="1">IFERROR(__xludf.DUMMYFUNCTION("""COMPUTED_VALUE"""),2019)</f>
        <v>2019</v>
      </c>
      <c r="D152" s="3" t="str">
        <f ca="1">IFERROR(__xludf.DUMMYFUNCTION("""COMPUTED_VALUE"""),"Ciências Humanas")</f>
        <v>Ciências Humanas</v>
      </c>
      <c r="E152" s="3" t="str">
        <f ca="1">IFERROR(__xludf.DUMMYFUNCTION("""COMPUTED_VALUE"""),"Atualidade")</f>
        <v>Atualidade</v>
      </c>
      <c r="F152" s="3" t="str">
        <f ca="1">IFERROR(__xludf.DUMMYFUNCTION("""COMPUTED_VALUE"""),"Atualidade")</f>
        <v>Atualidade</v>
      </c>
      <c r="G152" s="3" t="str">
        <f ca="1">IFERROR(__xludf.DUMMYFUNCTION("""COMPUTED_VALUE"""),"Sociologia")</f>
        <v>Sociologia</v>
      </c>
      <c r="H152" s="3"/>
      <c r="I152" s="3" t="str">
        <f ca="1">IFERROR(__xludf.DUMMYFUNCTION("""COMPUTED_VALUE"""),"Amarelo")</f>
        <v>Amarelo</v>
      </c>
      <c r="J152" s="3">
        <f ca="1">IFERROR(__xludf.DUMMYFUNCTION("""COMPUTED_VALUE"""),69)</f>
        <v>69</v>
      </c>
      <c r="K152" s="3" t="str">
        <f ca="1">IFERROR(__xludf.DUMMYFUNCTION("""COMPUTED_VALUE"""),"B")</f>
        <v>B</v>
      </c>
      <c r="L152" s="3" t="str">
        <f ca="1">IFERROR(__xludf.DUMMYFUNCTION("""COMPUTED_VALUE"""),"Fala-se aqui de uma arte criada nas ruas e para as ruas, marcadas antes de tudo pela vida cotidiana, seus conflitos e suas possibilidades, que poderiam envolver técnicas, agentes e temas que não fossem encontrados nas instituições mais tradicionais e form"&amp;"ais.
VALVERDE, R. R. H. F. Os limites da inversão: a heterotopia do Beco do Batman. Boletim Goiano de Geografia (Online). Goiânia, v. 37, n. 2, maio/ago. 2017 (adaptado).
A manifestação artística expressa na imagem e apresentada no texto integra um mov"&amp;"imento contemporâneo de:")</f>
        <v>Fala-se aqui de uma arte criada nas ruas e para as ruas, marcadas antes de tudo pela vida cotidiana, seus conflitos e suas possibilidades, que poderiam envolver técnicas, agentes e temas que não fossem encontrados nas instituições mais tradicionais e formais.
VALVERDE, R. R. H. F. Os limites da inversão: a heterotopia do Beco do Batman. Boletim Goiano de Geografia (Online). Goiânia, v. 37, n. 2, maio/ago. 2017 (adaptado).
A manifestação artística expressa na imagem e apresentada no texto integra um movimento contemporâneo de:</v>
      </c>
      <c r="M152" s="3" t="str">
        <f ca="1">IFERROR(__xludf.DUMMYFUNCTION("""COMPUTED_VALUE"""),"regulação das relações sociais.")</f>
        <v>regulação das relações sociais.</v>
      </c>
      <c r="N152" s="3" t="str">
        <f ca="1">IFERROR(__xludf.DUMMYFUNCTION("""COMPUTED_VALUE"""),"apropriação dos espaços públicos.")</f>
        <v>apropriação dos espaços públicos.</v>
      </c>
      <c r="O152" s="3" t="str">
        <f ca="1">IFERROR(__xludf.DUMMYFUNCTION("""COMPUTED_VALUE"""),"padronização das culturas urbanas.")</f>
        <v>padronização das culturas urbanas.</v>
      </c>
      <c r="P152" s="3" t="str">
        <f ca="1">IFERROR(__xludf.DUMMYFUNCTION("""COMPUTED_VALUE"""),"valorização dos formalismos estéticos.")</f>
        <v>valorização dos formalismos estéticos.</v>
      </c>
      <c r="Q152" s="3" t="str">
        <f ca="1">IFERROR(__xludf.DUMMYFUNCTION("""COMPUTED_VALUE"""),"revitalização dos patrimônios históricos.")</f>
        <v>revitalização dos patrimônios históricos.</v>
      </c>
      <c r="R152" s="3"/>
      <c r="S152" s="3"/>
      <c r="T152" s="3"/>
      <c r="U152" s="3"/>
      <c r="V152" s="3"/>
      <c r="W152" s="3"/>
      <c r="X152" s="3"/>
      <c r="Y152" s="3"/>
      <c r="Z152" s="3"/>
    </row>
    <row r="153" spans="1:26" x14ac:dyDescent="0.2">
      <c r="A153" s="2" t="str">
        <f ca="1">IFERROR(__xludf.DUMMYFUNCTION("""COMPUTED_VALUE"""),"https://drive.google.com/open?id=1UJ3iFF_7L33FJUfNesMnbdIDqfJTb5_u")</f>
        <v>https://drive.google.com/open?id=1UJ3iFF_7L33FJUfNesMnbdIDqfJTb5_u</v>
      </c>
      <c r="B153" s="3" t="str">
        <f ca="1">IFERROR(__xludf.DUMMYFUNCTION("""COMPUTED_VALUE"""),"Enem")</f>
        <v>Enem</v>
      </c>
      <c r="C153" s="3">
        <f ca="1">IFERROR(__xludf.DUMMYFUNCTION("""COMPUTED_VALUE"""),2019)</f>
        <v>2019</v>
      </c>
      <c r="D153" s="3" t="str">
        <f ca="1">IFERROR(__xludf.DUMMYFUNCTION("""COMPUTED_VALUE"""),"Matemática")</f>
        <v>Matemática</v>
      </c>
      <c r="E153" s="3" t="str">
        <f ca="1">IFERROR(__xludf.DUMMYFUNCTION("""COMPUTED_VALUE"""),"Matemática")</f>
        <v>Matemática</v>
      </c>
      <c r="F153" s="3" t="str">
        <f ca="1">IFERROR(__xludf.DUMMYFUNCTION("""COMPUTED_VALUE"""),"Aritmética e Algebra")</f>
        <v>Aritmética e Algebra</v>
      </c>
      <c r="G153" s="3"/>
      <c r="H153" s="3"/>
      <c r="I153" s="3" t="str">
        <f ca="1">IFERROR(__xludf.DUMMYFUNCTION("""COMPUTED_VALUE"""),"Amarelo")</f>
        <v>Amarelo</v>
      </c>
      <c r="J153" s="3">
        <f ca="1">IFERROR(__xludf.DUMMYFUNCTION("""COMPUTED_VALUE"""),136)</f>
        <v>136</v>
      </c>
      <c r="K153" s="3" t="str">
        <f ca="1">IFERROR(__xludf.DUMMYFUNCTION("""COMPUTED_VALUE"""),"E")</f>
        <v>E</v>
      </c>
      <c r="L153" s="3" t="str">
        <f ca="1">IFERROR(__xludf.DUMMYFUNCTION("""COMPUTED_VALUE"""),"O boliche é um esporte cujo objetivo é derrubar, com uma bola, uma série de pinos
alinhados em uma pista. A professora de matemática organizou um jogo de boliche em que
os pinos são garrafas que possuem rótulos com números, conforme mostra o esquema.
[Fig"&amp;"ura contida no arquivo]
O aluno marca pontos de acordo com a soma das quantidades expressas nos
rótulos das garrafas que são derrubadas. Se dois ou mais rótulos representam a
mesma quantidade, apenas um deles entra na contagem dos pontos. Um aluno marcou
"&amp;"7,55 pontos em uma jogada. Uma das garrafas que ele derrubou tinha o rótulo 6,8.
A quantidade máxima de garrafas que ele derrubou para obter essa pontuação é igual a:")</f>
        <v>O boliche é um esporte cujo objetivo é derrubar, com uma bola, uma série de pinos
alinhados em uma pista. A professora de matemática organizou um jogo de boliche em que
os pinos são garrafas que possuem rótulos com números, conforme mostra o esquema.
[Figura contida no arquivo]
O aluno marca pontos de acordo com a soma das quantidades expressas nos
rótulos das garrafas que são derrubadas. Se dois ou mais rótulos representam a
mesma quantidade, apenas um deles entra na contagem dos pontos. Um aluno marcou
7,55 pontos em uma jogada. Uma das garrafas que ele derrubou tinha o rótulo 6,8.
A quantidade máxima de garrafas que ele derrubou para obter essa pontuação é igual a:</v>
      </c>
      <c r="M153" s="3" t="str">
        <f ca="1">IFERROR(__xludf.DUMMYFUNCTION("""COMPUTED_VALUE"""),"2")</f>
        <v>2</v>
      </c>
      <c r="N153" s="3" t="str">
        <f ca="1">IFERROR(__xludf.DUMMYFUNCTION("""COMPUTED_VALUE"""),"3")</f>
        <v>3</v>
      </c>
      <c r="O153" s="3" t="str">
        <f ca="1">IFERROR(__xludf.DUMMYFUNCTION("""COMPUTED_VALUE"""),"4")</f>
        <v>4</v>
      </c>
      <c r="P153" s="3" t="str">
        <f ca="1">IFERROR(__xludf.DUMMYFUNCTION("""COMPUTED_VALUE"""),"5")</f>
        <v>5</v>
      </c>
      <c r="Q153" s="3" t="str">
        <f ca="1">IFERROR(__xludf.DUMMYFUNCTION("""COMPUTED_VALUE"""),"6")</f>
        <v>6</v>
      </c>
      <c r="R153" s="3"/>
      <c r="S153" s="3"/>
      <c r="T153" s="3"/>
      <c r="U153" s="3"/>
      <c r="V153" s="3"/>
      <c r="W153" s="3"/>
      <c r="X153" s="3"/>
      <c r="Y153" s="3"/>
      <c r="Z153" s="3"/>
    </row>
    <row r="154" spans="1:26" x14ac:dyDescent="0.2">
      <c r="A154" s="2" t="str">
        <f ca="1">IFERROR(__xludf.DUMMYFUNCTION("""COMPUTED_VALUE"""),"https://drive.google.com/open?id=1bONn3hw8ScikEiYZ7dXoPVWfKu8MOc8C")</f>
        <v>https://drive.google.com/open?id=1bONn3hw8ScikEiYZ7dXoPVWfKu8MOc8C</v>
      </c>
      <c r="B154" s="3" t="str">
        <f ca="1">IFERROR(__xludf.DUMMYFUNCTION("""COMPUTED_VALUE"""),"Enem")</f>
        <v>Enem</v>
      </c>
      <c r="C154" s="3">
        <f ca="1">IFERROR(__xludf.DUMMYFUNCTION("""COMPUTED_VALUE"""),2019)</f>
        <v>2019</v>
      </c>
      <c r="D154" s="3" t="str">
        <f ca="1">IFERROR(__xludf.DUMMYFUNCTION("""COMPUTED_VALUE"""),"Matemática")</f>
        <v>Matemática</v>
      </c>
      <c r="E154" s="3" t="str">
        <f ca="1">IFERROR(__xludf.DUMMYFUNCTION("""COMPUTED_VALUE"""),"Matemática")</f>
        <v>Matemática</v>
      </c>
      <c r="F154" s="3" t="str">
        <f ca="1">IFERROR(__xludf.DUMMYFUNCTION("""COMPUTED_VALUE"""),"Geometria")</f>
        <v>Geometria</v>
      </c>
      <c r="G154" s="3"/>
      <c r="H154" s="3"/>
      <c r="I154" s="3" t="str">
        <f ca="1">IFERROR(__xludf.DUMMYFUNCTION("""COMPUTED_VALUE"""),"Amarelo")</f>
        <v>Amarelo</v>
      </c>
      <c r="J154" s="3">
        <f ca="1">IFERROR(__xludf.DUMMYFUNCTION("""COMPUTED_VALUE"""),137)</f>
        <v>137</v>
      </c>
      <c r="K154" s="3" t="str">
        <f ca="1">IFERROR(__xludf.DUMMYFUNCTION("""COMPUTED_VALUE"""),"B")</f>
        <v>B</v>
      </c>
      <c r="L154" s="3" t="str">
        <f ca="1">IFERROR(__xludf.DUMMYFUNCTION("""COMPUTED_VALUE"""),"As coordenadas usualmente utilizadas na localização de um ponto sobre a superfície
terrestre são a latitude e a longitude. Para tal, considera-se que a Terra tem a forma de
uma esfera.
Um meridiano é uma circunferência sobre a superfície da Terra que pass"&amp;"a pelos polos
Norte e Sul, representados na figura por PN e PS. O comprimento da semicircunferência
que une os pontos PN e PS tem comprimento igual a 20 016 km. A linha do Equador
também é uma circunferência sobre a superfície da Terra, com raio igual ao "&amp;"da Terra,
sendo que o plano que a contém é perpendicular ao que contém qualquer meridiano.
Seja P um ponto na superfície da Terra, C o centro da Terra e o segmento PC um
raio, conforme mostra a figura. Seja ϕ o ângulo que o segmento PC faz com o plano que"&amp;"
contém a linha do Equador. A medida em graus de ϕ é a medida da latitude de P.
[Imagem contida no arquivo]
Suponha que a partir da linha do Equador um navio viaja subindo em direção ao
Polo Norte, percorrendo um meridiano, até um ponto P com 30 graus de "&amp;"latitude.
Quantos quilômetros são percorridos pelo navio?")</f>
        <v>As coordenadas usualmente utilizadas na localização de um ponto sobre a superfície
terrestre são a latitude e a longitude. Para tal, considera-se que a Terra tem a forma de
uma esfera.
Um meridiano é uma circunferência sobre a superfície da Terra que passa pelos polos
Norte e Sul, representados na figura por PN e PS. O comprimento da semicircunferência
que une os pontos PN e PS tem comprimento igual a 20 016 km. A linha do Equador
também é uma circunferência sobre a superfície da Terra, com raio igual ao da Terra,
sendo que o plano que a contém é perpendicular ao que contém qualquer meridiano.
Seja P um ponto na superfície da Terra, C o centro da Terra e o segmento PC um
raio, conforme mostra a figura. Seja ϕ o ângulo que o segmento PC faz com o plano que
contém a linha do Equador. A medida em graus de ϕ é a medida da latitude de P.
[Imagem contida no arquivo]
Suponha que a partir da linha do Equador um navio viaja subindo em direção ao
Polo Norte, percorrendo um meridiano, até um ponto P com 30 graus de latitude.
Quantos quilômetros são percorridos pelo navio?</v>
      </c>
      <c r="M154" s="3" t="str">
        <f ca="1">IFERROR(__xludf.DUMMYFUNCTION("""COMPUTED_VALUE"""),"1668")</f>
        <v>1668</v>
      </c>
      <c r="N154" s="3" t="str">
        <f ca="1">IFERROR(__xludf.DUMMYFUNCTION("""COMPUTED_VALUE"""),"3336")</f>
        <v>3336</v>
      </c>
      <c r="O154" s="3" t="str">
        <f ca="1">IFERROR(__xludf.DUMMYFUNCTION("""COMPUTED_VALUE"""),"5004")</f>
        <v>5004</v>
      </c>
      <c r="P154" s="3" t="str">
        <f ca="1">IFERROR(__xludf.DUMMYFUNCTION("""COMPUTED_VALUE"""),"6672")</f>
        <v>6672</v>
      </c>
      <c r="Q154" s="3" t="str">
        <f ca="1">IFERROR(__xludf.DUMMYFUNCTION("""COMPUTED_VALUE"""),"10008")</f>
        <v>10008</v>
      </c>
      <c r="R154" s="3"/>
      <c r="S154" s="3"/>
      <c r="T154" s="3"/>
      <c r="U154" s="3"/>
      <c r="V154" s="3"/>
      <c r="W154" s="3"/>
      <c r="X154" s="3"/>
      <c r="Y154" s="3"/>
      <c r="Z154" s="3"/>
    </row>
    <row r="155" spans="1:26" x14ac:dyDescent="0.2">
      <c r="A155" s="2" t="str">
        <f ca="1">IFERROR(__xludf.DUMMYFUNCTION("""COMPUTED_VALUE"""),"https://drive.google.com/open?id=1AQLL-zzuGtkE9IGct9Py-2ApP-td_Our")</f>
        <v>https://drive.google.com/open?id=1AQLL-zzuGtkE9IGct9Py-2ApP-td_Our</v>
      </c>
      <c r="B155" s="3" t="str">
        <f ca="1">IFERROR(__xludf.DUMMYFUNCTION("""COMPUTED_VALUE"""),"Enem")</f>
        <v>Enem</v>
      </c>
      <c r="C155" s="3">
        <f ca="1">IFERROR(__xludf.DUMMYFUNCTION("""COMPUTED_VALUE"""),2019)</f>
        <v>2019</v>
      </c>
      <c r="D155" s="3" t="str">
        <f ca="1">IFERROR(__xludf.DUMMYFUNCTION("""COMPUTED_VALUE"""),"Matemática")</f>
        <v>Matemática</v>
      </c>
      <c r="E155" s="3" t="str">
        <f ca="1">IFERROR(__xludf.DUMMYFUNCTION("""COMPUTED_VALUE"""),"Matemática")</f>
        <v>Matemática</v>
      </c>
      <c r="F155" s="3" t="str">
        <f ca="1">IFERROR(__xludf.DUMMYFUNCTION("""COMPUTED_VALUE"""),"Aritmética e Algebra")</f>
        <v>Aritmética e Algebra</v>
      </c>
      <c r="G155" s="3"/>
      <c r="H155" s="3"/>
      <c r="I155" s="3" t="str">
        <f ca="1">IFERROR(__xludf.DUMMYFUNCTION("""COMPUTED_VALUE"""),"Amarelo")</f>
        <v>Amarelo</v>
      </c>
      <c r="J155" s="3">
        <f ca="1">IFERROR(__xludf.DUMMYFUNCTION("""COMPUTED_VALUE"""),138)</f>
        <v>138</v>
      </c>
      <c r="K155" s="3" t="str">
        <f ca="1">IFERROR(__xludf.DUMMYFUNCTION("""COMPUTED_VALUE"""),"D")</f>
        <v>D</v>
      </c>
      <c r="L155" s="3" t="str">
        <f ca="1">IFERROR(__xludf.DUMMYFUNCTION("""COMPUTED_VALUE"""),"Um asteroide batizado de 2013-TV135 passou a aproximadamente 6,7 × 106
quilômetros da Terra. A presença do objeto espacial nas proximidades da Terra foi
detectada por astrônomos ucranianos, que alertaram para uma possível volta do
asteroide em 2032.
O val"&amp;"or posicional do algarismo 7, presente na notação científica da distância,
em quilômetro, entre o asteroide e a Terra, corresponde a:")</f>
        <v>Um asteroide batizado de 2013-TV135 passou a aproximadamente 6,7 × 106
quilômetros da Terra. A presença do objeto espacial nas proximidades da Terra foi
detectada por astrônomos ucranianos, que alertaram para uma possível volta do
asteroide em 2032.
O valor posicional do algarismo 7, presente na notação científica da distância,
em quilômetro, entre o asteroide e a Terra, corresponde a:</v>
      </c>
      <c r="M155" s="3" t="str">
        <f ca="1">IFERROR(__xludf.DUMMYFUNCTION("""COMPUTED_VALUE""")," 7 décimos de quilômetro.")</f>
        <v xml:space="preserve"> 7 décimos de quilômetro.</v>
      </c>
      <c r="N155" s="3" t="str">
        <f ca="1">IFERROR(__xludf.DUMMYFUNCTION("""COMPUTED_VALUE"""),"7 centenas de quilômetros.")</f>
        <v>7 centenas de quilômetros.</v>
      </c>
      <c r="O155" s="3" t="str">
        <f ca="1">IFERROR(__xludf.DUMMYFUNCTION("""COMPUTED_VALUE"""),"7 dezenas de milhar de quilômetros.")</f>
        <v>7 dezenas de milhar de quilômetros.</v>
      </c>
      <c r="P155" s="3" t="str">
        <f ca="1">IFERROR(__xludf.DUMMYFUNCTION("""COMPUTED_VALUE"""),"7 centenas de milhar de quilômetros.")</f>
        <v>7 centenas de milhar de quilômetros.</v>
      </c>
      <c r="Q155" s="3" t="str">
        <f ca="1">IFERROR(__xludf.DUMMYFUNCTION("""COMPUTED_VALUE"""),"7 unidades de milhão de quilômetros.")</f>
        <v>7 unidades de milhão de quilômetros.</v>
      </c>
      <c r="R155" s="3"/>
      <c r="S155" s="3"/>
      <c r="T155" s="3"/>
      <c r="U155" s="3"/>
      <c r="V155" s="3"/>
      <c r="W155" s="3"/>
      <c r="X155" s="3"/>
      <c r="Y155" s="3"/>
      <c r="Z155" s="3"/>
    </row>
    <row r="156" spans="1:26" x14ac:dyDescent="0.2">
      <c r="A156" s="2" t="str">
        <f ca="1">IFERROR(__xludf.DUMMYFUNCTION("""COMPUTED_VALUE"""),"https://drive.google.com/open?id=1yDlChVeed_586p7Q1KCCcNL6WI5HzyEe")</f>
        <v>https://drive.google.com/open?id=1yDlChVeed_586p7Q1KCCcNL6WI5HzyEe</v>
      </c>
      <c r="B156" s="3" t="str">
        <f ca="1">IFERROR(__xludf.DUMMYFUNCTION("""COMPUTED_VALUE"""),"Enem")</f>
        <v>Enem</v>
      </c>
      <c r="C156" s="3">
        <f ca="1">IFERROR(__xludf.DUMMYFUNCTION("""COMPUTED_VALUE"""),2019)</f>
        <v>2019</v>
      </c>
      <c r="D156" s="3" t="str">
        <f ca="1">IFERROR(__xludf.DUMMYFUNCTION("""COMPUTED_VALUE"""),"Matemática")</f>
        <v>Matemática</v>
      </c>
      <c r="E156" s="3" t="str">
        <f ca="1">IFERROR(__xludf.DUMMYFUNCTION("""COMPUTED_VALUE"""),"Matemática")</f>
        <v>Matemática</v>
      </c>
      <c r="F156" s="3" t="str">
        <f ca="1">IFERROR(__xludf.DUMMYFUNCTION("""COMPUTED_VALUE"""),"Aritmética e Algebra")</f>
        <v>Aritmética e Algebra</v>
      </c>
      <c r="G156" s="3"/>
      <c r="H156" s="3"/>
      <c r="I156" s="3" t="str">
        <f ca="1">IFERROR(__xludf.DUMMYFUNCTION("""COMPUTED_VALUE"""),"Amarelo")</f>
        <v>Amarelo</v>
      </c>
      <c r="J156" s="3">
        <f ca="1">IFERROR(__xludf.DUMMYFUNCTION("""COMPUTED_VALUE"""),139)</f>
        <v>139</v>
      </c>
      <c r="K156" s="3" t="str">
        <f ca="1">IFERROR(__xludf.DUMMYFUNCTION("""COMPUTED_VALUE"""),"A")</f>
        <v>A</v>
      </c>
      <c r="L156" s="3" t="str">
        <f ca="1">IFERROR(__xludf.DUMMYFUNCTION("""COMPUTED_VALUE"""),"A ingestão de sódio no Brasil, que já é normalmente alta, tende a atingir os mais
elevados índices no inverno, quando cresce o consumo de alimentos calóricos e
condimentados. Mas, o sal não é um vilão, ele pode e deve ser consumido diariamente,
salvo algu"&amp;"mas restrições. Para uma pessoa saudável, o consumo máximo de sal
de cozinha (cloreto de sódio) não deve ultrapassar 6 g diárias ou 2,4 g de sódio,
considerando que o sal de cozinha é composto por 40% de sódio e 60% de cloro.
Considere uma pessoa saudável"&amp;" que, no decorrer de 30 dias, consuma 450 g de sal
de cozinha. O seu consumo médio diário excede ao consumo máximo recomendado
diariamente em:")</f>
        <v>A ingestão de sódio no Brasil, que já é normalmente alta, tende a atingir os mais
elevados índices no inverno, quando cresce o consumo de alimentos calóricos e
condimentados. Mas, o sal não é um vilão, ele pode e deve ser consumido diariamente,
salvo algumas restrições. Para uma pessoa saudável, o consumo máximo de sal
de cozinha (cloreto de sódio) não deve ultrapassar 6 g diárias ou 2,4 g de sódio,
considerando que o sal de cozinha é composto por 40% de sódio e 60% de cloro.
Considere uma pessoa saudável que, no decorrer de 30 dias, consuma 450 g de sal
de cozinha. O seu consumo médio diário excede ao consumo máximo recomendado
diariamente em:</v>
      </c>
      <c r="M156" s="3" t="str">
        <f ca="1">IFERROR(__xludf.DUMMYFUNCTION("""COMPUTED_VALUE"""),"150%")</f>
        <v>150%</v>
      </c>
      <c r="N156" s="3" t="str">
        <f ca="1">IFERROR(__xludf.DUMMYFUNCTION("""COMPUTED_VALUE"""),"250%")</f>
        <v>250%</v>
      </c>
      <c r="O156" s="3" t="str">
        <f ca="1">IFERROR(__xludf.DUMMYFUNCTION("""COMPUTED_VALUE"""),"275%")</f>
        <v>275%</v>
      </c>
      <c r="P156" s="3" t="str">
        <f ca="1">IFERROR(__xludf.DUMMYFUNCTION("""COMPUTED_VALUE"""),"525%")</f>
        <v>525%</v>
      </c>
      <c r="Q156" s="3" t="str">
        <f ca="1">IFERROR(__xludf.DUMMYFUNCTION("""COMPUTED_VALUE"""),"625%")</f>
        <v>625%</v>
      </c>
      <c r="R156" s="3"/>
      <c r="S156" s="3"/>
      <c r="T156" s="3"/>
      <c r="U156" s="3"/>
      <c r="V156" s="3"/>
      <c r="W156" s="3"/>
      <c r="X156" s="3"/>
      <c r="Y156" s="3"/>
      <c r="Z156" s="3"/>
    </row>
    <row r="157" spans="1:26" x14ac:dyDescent="0.2">
      <c r="A157" s="2" t="str">
        <f ca="1">IFERROR(__xludf.DUMMYFUNCTION("""COMPUTED_VALUE"""),"https://drive.google.com/open?id=1zVWOfvIA5TWMRCbuWcxoOvVdkO0DlOLH")</f>
        <v>https://drive.google.com/open?id=1zVWOfvIA5TWMRCbuWcxoOvVdkO0DlOLH</v>
      </c>
      <c r="B157" s="3" t="str">
        <f ca="1">IFERROR(__xludf.DUMMYFUNCTION("""COMPUTED_VALUE"""),"Enem")</f>
        <v>Enem</v>
      </c>
      <c r="C157" s="3">
        <f ca="1">IFERROR(__xludf.DUMMYFUNCTION("""COMPUTED_VALUE"""),2019)</f>
        <v>2019</v>
      </c>
      <c r="D157" s="3" t="str">
        <f ca="1">IFERROR(__xludf.DUMMYFUNCTION("""COMPUTED_VALUE"""),"Matemática")</f>
        <v>Matemática</v>
      </c>
      <c r="E157" s="3" t="str">
        <f ca="1">IFERROR(__xludf.DUMMYFUNCTION("""COMPUTED_VALUE"""),"Matemática")</f>
        <v>Matemática</v>
      </c>
      <c r="F157" s="3" t="str">
        <f ca="1">IFERROR(__xludf.DUMMYFUNCTION("""COMPUTED_VALUE"""),"Aritmética e Algebra")</f>
        <v>Aritmética e Algebra</v>
      </c>
      <c r="G157" s="3"/>
      <c r="H157" s="3"/>
      <c r="I157" s="3" t="str">
        <f ca="1">IFERROR(__xludf.DUMMYFUNCTION("""COMPUTED_VALUE"""),"Amarelo")</f>
        <v>Amarelo</v>
      </c>
      <c r="J157" s="3">
        <f ca="1">IFERROR(__xludf.DUMMYFUNCTION("""COMPUTED_VALUE"""),140)</f>
        <v>140</v>
      </c>
      <c r="K157" s="3" t="str">
        <f ca="1">IFERROR(__xludf.DUMMYFUNCTION("""COMPUTED_VALUE"""),"D")</f>
        <v>D</v>
      </c>
      <c r="L157" s="3" t="str">
        <f ca="1">IFERROR(__xludf.DUMMYFUNCTION("""COMPUTED_VALUE"""),"Uma pessoa comprou um aparelho sem fio para transmitir músicas a partir do seu
computador para o rádio de seu quarto. Esse aparelho possui quatro chaves seletoras
e cada uma pode estar na posição 0 ou 1. Cada escolha das posições dessas chaves
corresponde"&amp;" a uma frequência diferente de transmissão.
A quantidade de frequências diferentes que esse aparelho pode transmitir é determinada por:")</f>
        <v>Uma pessoa comprou um aparelho sem fio para transmitir músicas a partir do seu
computador para o rádio de seu quarto. Esse aparelho possui quatro chaves seletoras
e cada uma pode estar na posição 0 ou 1. Cada escolha das posições dessas chaves
corresponde a uma frequência diferente de transmissão.
A quantidade de frequências diferentes que esse aparelho pode transmitir é determinada por:</v>
      </c>
      <c r="M157" s="3" t="str">
        <f ca="1">IFERROR(__xludf.DUMMYFUNCTION("""COMPUTED_VALUE"""),"6")</f>
        <v>6</v>
      </c>
      <c r="N157" s="3" t="str">
        <f ca="1">IFERROR(__xludf.DUMMYFUNCTION("""COMPUTED_VALUE"""),"8")</f>
        <v>8</v>
      </c>
      <c r="O157" s="3" t="str">
        <f ca="1">IFERROR(__xludf.DUMMYFUNCTION("""COMPUTED_VALUE"""),"12")</f>
        <v>12</v>
      </c>
      <c r="P157" s="3" t="str">
        <f ca="1">IFERROR(__xludf.DUMMYFUNCTION("""COMPUTED_VALUE"""),"16")</f>
        <v>16</v>
      </c>
      <c r="Q157" s="3" t="str">
        <f ca="1">IFERROR(__xludf.DUMMYFUNCTION("""COMPUTED_VALUE"""),"24")</f>
        <v>24</v>
      </c>
      <c r="R157" s="3"/>
      <c r="S157" s="3"/>
      <c r="T157" s="3"/>
      <c r="U157" s="3"/>
      <c r="V157" s="3"/>
      <c r="W157" s="3"/>
      <c r="X157" s="3"/>
      <c r="Y157" s="3"/>
      <c r="Z157" s="3"/>
    </row>
    <row r="158" spans="1:26" x14ac:dyDescent="0.2">
      <c r="A158" s="2" t="str">
        <f ca="1">IFERROR(__xludf.DUMMYFUNCTION("""COMPUTED_VALUE"""),"https://drive.google.com/open?id=15Czp3uw0VRNcYgCrBq68D98bVit7O-4z")</f>
        <v>https://drive.google.com/open?id=15Czp3uw0VRNcYgCrBq68D98bVit7O-4z</v>
      </c>
      <c r="B158" s="3" t="str">
        <f ca="1">IFERROR(__xludf.DUMMYFUNCTION("""COMPUTED_VALUE"""),"Enem")</f>
        <v>Enem</v>
      </c>
      <c r="C158" s="3">
        <f ca="1">IFERROR(__xludf.DUMMYFUNCTION("""COMPUTED_VALUE"""),2019)</f>
        <v>2019</v>
      </c>
      <c r="D158" s="3" t="str">
        <f ca="1">IFERROR(__xludf.DUMMYFUNCTION("""COMPUTED_VALUE"""),"Matemática")</f>
        <v>Matemática</v>
      </c>
      <c r="E158" s="3" t="str">
        <f ca="1">IFERROR(__xludf.DUMMYFUNCTION("""COMPUTED_VALUE"""),"Matemática")</f>
        <v>Matemática</v>
      </c>
      <c r="F158" s="3" t="str">
        <f ca="1">IFERROR(__xludf.DUMMYFUNCTION("""COMPUTED_VALUE"""),"Aritmética e Algebra")</f>
        <v>Aritmética e Algebra</v>
      </c>
      <c r="G158" s="3"/>
      <c r="H158" s="3"/>
      <c r="I158" s="3" t="str">
        <f ca="1">IFERROR(__xludf.DUMMYFUNCTION("""COMPUTED_VALUE"""),"Amarelo")</f>
        <v>Amarelo</v>
      </c>
      <c r="J158" s="3">
        <f ca="1">IFERROR(__xludf.DUMMYFUNCTION("""COMPUTED_VALUE"""),141)</f>
        <v>141</v>
      </c>
      <c r="K158" s="3" t="str">
        <f ca="1">IFERROR(__xludf.DUMMYFUNCTION("""COMPUTED_VALUE"""),"C")</f>
        <v>C</v>
      </c>
      <c r="L158" s="3" t="str">
        <f ca="1">IFERROR(__xludf.DUMMYFUNCTION("""COMPUTED_VALUE"""),"Um gerente decidiu fazer um estudo financeiro da empresa onde trabalha analisando
as receitas anuais dos três últimos anos. Tais receitas são apresentadas no quadro.
[Imagem contida no arquivo]
Estes dados serão utilizados para projetar a receita mínima e"&amp;"sperada para o ano atual
(ano IV), pois a receita esperada para o ano IV é obtida em função das variações das
receitas anuais anteriores, utilizando a seguinte regra: a variação do ano IV para o ano III
será igual à variação do ano III para o II adicionad"&amp;"a à média aritmética entre essa variação
e a variação do ano II para o I.
O valor da receita mínima esperada, em bilhão de reais, será de:")</f>
        <v>Um gerente decidiu fazer um estudo financeiro da empresa onde trabalha analisando
as receitas anuais dos três últimos anos. Tais receitas são apresentadas no quadro.
[Imagem contida no arquivo]
Estes dados serão utilizados para projetar a receita mínima esperada para o ano atual
(ano IV), pois a receita esperada para o ano IV é obtida em função das variações das
receitas anuais anteriores, utilizando a seguinte regra: a variação do ano IV para o ano III
será igual à variação do ano III para o II adicionada à média aritmética entre essa variação
e a variação do ano II para o I.
O valor da receita mínima esperada, em bilhão de reais, será de:</v>
      </c>
      <c r="M158" s="3" t="str">
        <f ca="1">IFERROR(__xludf.DUMMYFUNCTION("""COMPUTED_VALUE"""),"10")</f>
        <v>10</v>
      </c>
      <c r="N158" s="3" t="str">
        <f ca="1">IFERROR(__xludf.DUMMYFUNCTION("""COMPUTED_VALUE"""),"12")</f>
        <v>12</v>
      </c>
      <c r="O158" s="3" t="str">
        <f ca="1">IFERROR(__xludf.DUMMYFUNCTION("""COMPUTED_VALUE"""),"13,2")</f>
        <v>13,2</v>
      </c>
      <c r="P158" s="3" t="str">
        <f ca="1">IFERROR(__xludf.DUMMYFUNCTION("""COMPUTED_VALUE"""),"16,8")</f>
        <v>16,8</v>
      </c>
      <c r="Q158" s="3" t="str">
        <f ca="1">IFERROR(__xludf.DUMMYFUNCTION("""COMPUTED_VALUE"""),"20,6")</f>
        <v>20,6</v>
      </c>
      <c r="R158" s="3"/>
      <c r="S158" s="3"/>
      <c r="T158" s="3"/>
      <c r="U158" s="3"/>
      <c r="V158" s="3"/>
      <c r="W158" s="3"/>
      <c r="X158" s="3"/>
      <c r="Y158" s="3"/>
      <c r="Z158" s="3"/>
    </row>
    <row r="159" spans="1:26" x14ac:dyDescent="0.2">
      <c r="A159" s="2" t="str">
        <f ca="1">IFERROR(__xludf.DUMMYFUNCTION("""COMPUTED_VALUE"""),"https://drive.google.com/open?id=1IZYyBDTCFBl-IIi92gwM3i5ZmhPRazUK")</f>
        <v>https://drive.google.com/open?id=1IZYyBDTCFBl-IIi92gwM3i5ZmhPRazUK</v>
      </c>
      <c r="B159" s="3" t="str">
        <f ca="1">IFERROR(__xludf.DUMMYFUNCTION("""COMPUTED_VALUE"""),"Enem")</f>
        <v>Enem</v>
      </c>
      <c r="C159" s="3">
        <f ca="1">IFERROR(__xludf.DUMMYFUNCTION("""COMPUTED_VALUE"""),2019)</f>
        <v>2019</v>
      </c>
      <c r="D159" s="3" t="str">
        <f ca="1">IFERROR(__xludf.DUMMYFUNCTION("""COMPUTED_VALUE"""),"Matemática")</f>
        <v>Matemática</v>
      </c>
      <c r="E159" s="3" t="str">
        <f ca="1">IFERROR(__xludf.DUMMYFUNCTION("""COMPUTED_VALUE"""),"Matemática")</f>
        <v>Matemática</v>
      </c>
      <c r="F159" s="3" t="str">
        <f ca="1">IFERROR(__xludf.DUMMYFUNCTION("""COMPUTED_VALUE"""),"Aritmética e Algebra")</f>
        <v>Aritmética e Algebra</v>
      </c>
      <c r="G159" s="3"/>
      <c r="H159" s="3"/>
      <c r="I159" s="3" t="str">
        <f ca="1">IFERROR(__xludf.DUMMYFUNCTION("""COMPUTED_VALUE"""),"Amarelo")</f>
        <v>Amarelo</v>
      </c>
      <c r="J159" s="3">
        <f ca="1">IFERROR(__xludf.DUMMYFUNCTION("""COMPUTED_VALUE"""),142)</f>
        <v>142</v>
      </c>
      <c r="K159" s="3" t="str">
        <f ca="1">IFERROR(__xludf.DUMMYFUNCTION("""COMPUTED_VALUE"""),"C")</f>
        <v>C</v>
      </c>
      <c r="L159" s="3" t="str">
        <f ca="1">IFERROR(__xludf.DUMMYFUNCTION("""COMPUTED_VALUE"""),"Em uma corrida de regularidade, cada corredor recebe um mapa com o trajeto
a ser seguido e uma tabela indicando intervalos de tempo e distâncias entre postos
de averiguação. O objetivo dos competidores é passar por cada um dos postos de
averiguação o mais"&amp;" próximo possível do tempo estabelecido na tabela. Suponha que o
tempo previsto para percorrer a distância entre dois postos de verificação consecutivos
seja sempre de 5 min 15 s, e que um corredor obteve os seguintes tempos nos quatro
primeiros postos.
["&amp;"Imagem contida no arquivo]
Caso esse corredor consiga manter o mesmo ritmo, seu tempo total de corrida será:")</f>
        <v>Em uma corrida de regularidade, cada corredor recebe um mapa com o trajeto
a ser seguido e uma tabela indicando intervalos de tempo e distâncias entre postos
de averiguação. O objetivo dos competidores é passar por cada um dos postos de
averiguação o mais próximo possível do tempo estabelecido na tabela. Suponha que o
tempo previsto para percorrer a distância entre dois postos de verificação consecutivos
seja sempre de 5 min 15 s, e que um corredor obteve os seguintes tempos nos quatro
primeiros postos.
[Imagem contida no arquivo]
Caso esse corredor consiga manter o mesmo ritmo, seu tempo total de corrida será:</v>
      </c>
      <c r="M159" s="3" t="str">
        <f ca="1">IFERROR(__xludf.DUMMYFUNCTION("""COMPUTED_VALUE"""),"1 h 55 min 42 s")</f>
        <v>1 h 55 min 42 s</v>
      </c>
      <c r="N159" s="3" t="str">
        <f ca="1">IFERROR(__xludf.DUMMYFUNCTION("""COMPUTED_VALUE"""),"1 h 56 min 30 s.")</f>
        <v>1 h 56 min 30 s.</v>
      </c>
      <c r="O159" s="3" t="str">
        <f ca="1">IFERROR(__xludf.DUMMYFUNCTION("""COMPUTED_VALUE"""),"1 h 59 min 54 s")</f>
        <v>1 h 59 min 54 s</v>
      </c>
      <c r="P159" s="3" t="str">
        <f ca="1">IFERROR(__xludf.DUMMYFUNCTION("""COMPUTED_VALUE"""),"2 h 05 min 09 s.")</f>
        <v>2 h 05 min 09 s.</v>
      </c>
      <c r="Q159" s="3" t="str">
        <f ca="1">IFERROR(__xludf.DUMMYFUNCTION("""COMPUTED_VALUE"""),"2 h 05 min 21 s.")</f>
        <v>2 h 05 min 21 s.</v>
      </c>
      <c r="R159" s="3"/>
      <c r="S159" s="3"/>
      <c r="T159" s="3"/>
      <c r="U159" s="3"/>
      <c r="V159" s="3"/>
      <c r="W159" s="3"/>
      <c r="X159" s="3"/>
      <c r="Y159" s="3"/>
      <c r="Z159" s="3"/>
    </row>
    <row r="160" spans="1:26" x14ac:dyDescent="0.2">
      <c r="A160" s="2" t="str">
        <f ca="1">IFERROR(__xludf.DUMMYFUNCTION("""COMPUTED_VALUE"""),"https://drive.google.com/open?id=1yHMV3O4MtWJOsKOgusJSbxvrlPN3gmuV")</f>
        <v>https://drive.google.com/open?id=1yHMV3O4MtWJOsKOgusJSbxvrlPN3gmuV</v>
      </c>
      <c r="B160" s="3" t="str">
        <f ca="1">IFERROR(__xludf.DUMMYFUNCTION("""COMPUTED_VALUE"""),"Enem")</f>
        <v>Enem</v>
      </c>
      <c r="C160" s="3">
        <f ca="1">IFERROR(__xludf.DUMMYFUNCTION("""COMPUTED_VALUE"""),2019)</f>
        <v>2019</v>
      </c>
      <c r="D160" s="3" t="str">
        <f ca="1">IFERROR(__xludf.DUMMYFUNCTION("""COMPUTED_VALUE"""),"Matemática")</f>
        <v>Matemática</v>
      </c>
      <c r="E160" s="3" t="str">
        <f ca="1">IFERROR(__xludf.DUMMYFUNCTION("""COMPUTED_VALUE"""),"Matemática")</f>
        <v>Matemática</v>
      </c>
      <c r="F160" s="3" t="str">
        <f ca="1">IFERROR(__xludf.DUMMYFUNCTION("""COMPUTED_VALUE"""),"Aritmética e Algebra")</f>
        <v>Aritmética e Algebra</v>
      </c>
      <c r="G160" s="3"/>
      <c r="H160" s="3"/>
      <c r="I160" s="3" t="str">
        <f ca="1">IFERROR(__xludf.DUMMYFUNCTION("""COMPUTED_VALUE"""),"Amarelo")</f>
        <v>Amarelo</v>
      </c>
      <c r="J160" s="3">
        <f ca="1">IFERROR(__xludf.DUMMYFUNCTION("""COMPUTED_VALUE"""),143)</f>
        <v>143</v>
      </c>
      <c r="K160" s="3" t="str">
        <f ca="1">IFERROR(__xludf.DUMMYFUNCTION("""COMPUTED_VALUE"""),"B")</f>
        <v>B</v>
      </c>
      <c r="L160" s="3" t="str">
        <f ca="1">IFERROR(__xludf.DUMMYFUNCTION("""COMPUTED_VALUE"""),"Um pintor cobra R$ 240,00 por dia de trabalho, que equivale a 8 horas de trabalho
num dia. Quando é chamado para um serviço, esse pintor trabalha 8 horas por dia com
exceção, talvez, do seu último dia nesse serviço. Nesse último dia, caso trabalhe até
4 h"&amp;"oras, ele cobra metade do valor de um dia de trabalho. Caso trabalhe mais de
4 horas, cobra o valor correspondente a um dia de trabalho. Esse pintor gasta 8 horas
para pintar uma vez uma área de 40 m2. Um cliente deseja pintar as paredes de sua
casa, com "&amp;"uma área total de 260 m2. Ele quer que essa área seja pintada o maior
número possível de vezes para que a qualidade da pintura seja a melhor possível.
O orçamento desse cliente para a pintura é de R$ 4 600,00.
Quantas vezes, no máximo, as paredes da casa "&amp;"poderão ser pintadas com o orçamento
do cliente?")</f>
        <v>Um pintor cobra R$ 240,00 por dia de trabalho, que equivale a 8 horas de trabalho
num dia. Quando é chamado para um serviço, esse pintor trabalha 8 horas por dia com
exceção, talvez, do seu último dia nesse serviço. Nesse último dia, caso trabalhe até
4 horas, ele cobra metade do valor de um dia de trabalho. Caso trabalhe mais de
4 horas, cobra o valor correspondente a um dia de trabalho. Esse pintor gasta 8 horas
para pintar uma vez uma área de 40 m2. Um cliente deseja pintar as paredes de sua
casa, com uma área total de 260 m2. Ele quer que essa área seja pintada o maior
número possível de vezes para que a qualidade da pintura seja a melhor possível.
O orçamento desse cliente para a pintura é de R$ 4 600,00.
Quantas vezes, no máximo, as paredes da casa poderão ser pintadas com o orçamento
do cliente?</v>
      </c>
      <c r="M160" s="3" t="str">
        <f ca="1">IFERROR(__xludf.DUMMYFUNCTION("""COMPUTED_VALUE"""),"1")</f>
        <v>1</v>
      </c>
      <c r="N160" s="3" t="str">
        <f ca="1">IFERROR(__xludf.DUMMYFUNCTION("""COMPUTED_VALUE"""),"2")</f>
        <v>2</v>
      </c>
      <c r="O160" s="3" t="str">
        <f ca="1">IFERROR(__xludf.DUMMYFUNCTION("""COMPUTED_VALUE"""),"3")</f>
        <v>3</v>
      </c>
      <c r="P160" s="3" t="str">
        <f ca="1">IFERROR(__xludf.DUMMYFUNCTION("""COMPUTED_VALUE"""),"5")</f>
        <v>5</v>
      </c>
      <c r="Q160" s="3" t="str">
        <f ca="1">IFERROR(__xludf.DUMMYFUNCTION("""COMPUTED_VALUE"""),"6")</f>
        <v>6</v>
      </c>
      <c r="R160" s="3"/>
      <c r="S160" s="3"/>
      <c r="T160" s="3"/>
      <c r="U160" s="3"/>
      <c r="V160" s="3"/>
      <c r="W160" s="3"/>
      <c r="X160" s="3"/>
      <c r="Y160" s="3"/>
      <c r="Z160" s="3"/>
    </row>
    <row r="161" spans="1:26" x14ac:dyDescent="0.2">
      <c r="A161" s="2" t="str">
        <f ca="1">IFERROR(__xludf.DUMMYFUNCTION("""COMPUTED_VALUE"""),"https://drive.google.com/open?id=16MFDCTcUo3sybB3gDqAoOXJx-tD_L08w")</f>
        <v>https://drive.google.com/open?id=16MFDCTcUo3sybB3gDqAoOXJx-tD_L08w</v>
      </c>
      <c r="B161" s="3" t="str">
        <f ca="1">IFERROR(__xludf.DUMMYFUNCTION("""COMPUTED_VALUE"""),"Enem")</f>
        <v>Enem</v>
      </c>
      <c r="C161" s="3">
        <f ca="1">IFERROR(__xludf.DUMMYFUNCTION("""COMPUTED_VALUE"""),2019)</f>
        <v>2019</v>
      </c>
      <c r="D161" s="3" t="str">
        <f ca="1">IFERROR(__xludf.DUMMYFUNCTION("""COMPUTED_VALUE"""),"Matemática")</f>
        <v>Matemática</v>
      </c>
      <c r="E161" s="3" t="str">
        <f ca="1">IFERROR(__xludf.DUMMYFUNCTION("""COMPUTED_VALUE"""),"Matemática")</f>
        <v>Matemática</v>
      </c>
      <c r="F161" s="3" t="str">
        <f ca="1">IFERROR(__xludf.DUMMYFUNCTION("""COMPUTED_VALUE"""),"Aritmética e Algebra")</f>
        <v>Aritmética e Algebra</v>
      </c>
      <c r="G161" s="3"/>
      <c r="H161" s="3"/>
      <c r="I161" s="3" t="str">
        <f ca="1">IFERROR(__xludf.DUMMYFUNCTION("""COMPUTED_VALUE"""),"Amarelo")</f>
        <v>Amarelo</v>
      </c>
      <c r="J161" s="3">
        <f ca="1">IFERROR(__xludf.DUMMYFUNCTION("""COMPUTED_VALUE"""),144)</f>
        <v>144</v>
      </c>
      <c r="K161" s="3" t="str">
        <f ca="1">IFERROR(__xludf.DUMMYFUNCTION("""COMPUTED_VALUE"""),"C")</f>
        <v>C</v>
      </c>
      <c r="L161" s="3" t="str">
        <f ca="1">IFERROR(__xludf.DUMMYFUNCTION("""COMPUTED_VALUE"""),"Alguns modelos de rádios automotivos estão protegidos por um código de segurança.
Para ativar o sistema de áudio, deve-se digitar o código secreto composto por quatro
algarismos. No primeiro caso de erro na digitação, a pessoa deve esperar 60 segundos
par"&amp;"a digitar o código novamente. O tempo de espera duplica, em relação ao tempo de
espera anterior, a cada digitação errada. Uma pessoa conseguiu ativar o rádio somente na
quarta tentativa, sendo de 30 segundos o tempo gasto para digitação do código secreto "&amp;"a
cada tentativa. Nos casos da digitação incorreta, ela iniciou a nova tentativa imediatamente
após a liberação do sistema de espera.
O tempo total, em segundo, gasto por essa pessoa para ativar o rádio foi igual a")</f>
        <v>Alguns modelos de rádios automotivos estão protegidos por um código de segurança.
Para ativar o sistema de áudio, deve-se digitar o código secreto composto por quatro
algarismos. No primeiro caso de erro na digitação, a pessoa deve esperar 60 segundos
para digitar o código novamente. O tempo de espera duplica, em relação ao tempo de
espera anterior, a cada digitação errada. Uma pessoa conseguiu ativar o rádio somente na
quarta tentativa, sendo de 30 segundos o tempo gasto para digitação do código secreto a
cada tentativa. Nos casos da digitação incorreta, ela iniciou a nova tentativa imediatamente
após a liberação do sistema de espera.
O tempo total, em segundo, gasto por essa pessoa para ativar o rádio foi igual a</v>
      </c>
      <c r="M161" s="3" t="str">
        <f ca="1">IFERROR(__xludf.DUMMYFUNCTION("""COMPUTED_VALUE"""),"300.")</f>
        <v>300.</v>
      </c>
      <c r="N161" s="3" t="str">
        <f ca="1">IFERROR(__xludf.DUMMYFUNCTION("""COMPUTED_VALUE"""),"420.")</f>
        <v>420.</v>
      </c>
      <c r="O161" s="3" t="str">
        <f ca="1">IFERROR(__xludf.DUMMYFUNCTION("""COMPUTED_VALUE"""),"540.")</f>
        <v>540.</v>
      </c>
      <c r="P161" s="3" t="str">
        <f ca="1">IFERROR(__xludf.DUMMYFUNCTION("""COMPUTED_VALUE"""),"660.")</f>
        <v>660.</v>
      </c>
      <c r="Q161" s="3" t="str">
        <f ca="1">IFERROR(__xludf.DUMMYFUNCTION("""COMPUTED_VALUE"""),"1020.")</f>
        <v>1020.</v>
      </c>
      <c r="R161" s="3"/>
      <c r="S161" s="3"/>
      <c r="T161" s="3"/>
      <c r="U161" s="3"/>
      <c r="V161" s="3"/>
      <c r="W161" s="3"/>
      <c r="X161" s="3"/>
      <c r="Y161" s="3"/>
      <c r="Z161" s="3"/>
    </row>
    <row r="162" spans="1:26" x14ac:dyDescent="0.2">
      <c r="A162" s="2" t="str">
        <f ca="1">IFERROR(__xludf.DUMMYFUNCTION("""COMPUTED_VALUE"""),"https://drive.google.com/open?id=12_IaxRvoIVsvtkC29BvvXZmasWOmqx93")</f>
        <v>https://drive.google.com/open?id=12_IaxRvoIVsvtkC29BvvXZmasWOmqx93</v>
      </c>
      <c r="B162" s="3" t="str">
        <f ca="1">IFERROR(__xludf.DUMMYFUNCTION("""COMPUTED_VALUE"""),"Enem")</f>
        <v>Enem</v>
      </c>
      <c r="C162" s="3">
        <f ca="1">IFERROR(__xludf.DUMMYFUNCTION("""COMPUTED_VALUE"""),2019)</f>
        <v>2019</v>
      </c>
      <c r="D162" s="3" t="str">
        <f ca="1">IFERROR(__xludf.DUMMYFUNCTION("""COMPUTED_VALUE"""),"Matemática")</f>
        <v>Matemática</v>
      </c>
      <c r="E162" s="3" t="str">
        <f ca="1">IFERROR(__xludf.DUMMYFUNCTION("""COMPUTED_VALUE"""),"Matemática")</f>
        <v>Matemática</v>
      </c>
      <c r="F162" s="3" t="str">
        <f ca="1">IFERROR(__xludf.DUMMYFUNCTION("""COMPUTED_VALUE"""),"Aritmética e Algebra")</f>
        <v>Aritmética e Algebra</v>
      </c>
      <c r="G162" s="3" t="str">
        <f ca="1">IFERROR(__xludf.DUMMYFUNCTION("""COMPUTED_VALUE"""),"Óptica e Térmica")</f>
        <v>Óptica e Térmica</v>
      </c>
      <c r="H162" s="3"/>
      <c r="I162" s="3" t="str">
        <f ca="1">IFERROR(__xludf.DUMMYFUNCTION("""COMPUTED_VALUE"""),"Amarelo")</f>
        <v>Amarelo</v>
      </c>
      <c r="J162" s="3">
        <f ca="1">IFERROR(__xludf.DUMMYFUNCTION("""COMPUTED_VALUE"""),145)</f>
        <v>145</v>
      </c>
      <c r="K162" s="3" t="str">
        <f ca="1">IFERROR(__xludf.DUMMYFUNCTION("""COMPUTED_VALUE"""),"A")</f>
        <v>A</v>
      </c>
      <c r="L162" s="3" t="str">
        <f ca="1">IFERROR(__xludf.DUMMYFUNCTION("""COMPUTED_VALUE"""),"Os movimentos ondulatórios (periódicos) são representados por equações do tipo
  Asen  wt  , que apresentam parâmetros com significados físicos importantes, tais
como a frequência w
T  2
, em que T é o período; A é a amplitude ou deslocamento
máximo; θ é "&amp;"o ângulo de fase 0 2
w
, que mede o deslocamento no eixo horizontal
em relação à origem no instante inicial do movimento.
O gráfico representa um movimento periódico, P = P(t), em centímetro, em que
P é a posição da cabeça do pistão do motor de um car"&amp;"ro em um instante t, conforme
ilustra a figura.
[Figura contida no arquivo]
A expressão algébrica que representa a posição P(t), da cabeça do pistão, em função do
tempo t é:")</f>
        <v>Os movimentos ondulatórios (periódicos) são representados por equações do tipo
  Asen  wt  , que apresentam parâmetros com significados físicos importantes, tais
como a frequência w
T  2
, em que T é o período; A é a amplitude ou deslocamento
máximo; θ é o ângulo de fase 0 2
w
, que mede o deslocamento no eixo horizontal
em relação à origem no instante inicial do movimento.
O gráfico representa um movimento periódico, P = P(t), em centímetro, em que
P é a posição da cabeça do pistão do motor de um carro em um instante t, conforme
ilustra a figura.
[Figura contida no arquivo]
A expressão algébrica que representa a posição P(t), da cabeça do pistão, em função do
tempo t é:</v>
      </c>
      <c r="M162" s="3" t="str">
        <f ca="1">IFERROR(__xludf.DUMMYFUNCTION("""COMPUTED_VALUE"""),"P (t)= 4 sen (2t ) ")</f>
        <v xml:space="preserve">P (t)= 4 sen (2t ) </v>
      </c>
      <c r="N162" s="3" t="str">
        <f ca="1">IFERROR(__xludf.DUMMYFUNCTION("""COMPUTED_VALUE"""),"P (t)= - 4 sen (2t ) ")</f>
        <v xml:space="preserve">P (t)= - 4 sen (2t ) </v>
      </c>
      <c r="O162" s="3" t="str">
        <f ca="1">IFERROR(__xludf.DUMMYFUNCTION("""COMPUTED_VALUE"""),"P (t)= - 4 sen (4t )")</f>
        <v>P (t)= - 4 sen (4t )</v>
      </c>
      <c r="P162" s="3" t="str">
        <f ca="1">IFERROR(__xludf.DUMMYFUNCTION("""COMPUTED_VALUE"""),"P (t)= 4 sen (2t + π/4) 
")</f>
        <v xml:space="preserve">P (t)= 4 sen (2t + π/4) 
</v>
      </c>
      <c r="Q162" s="3" t="str">
        <f ca="1">IFERROR(__xludf.DUMMYFUNCTION("""COMPUTED_VALUE"""),"P (t)= 4 sen (4t + π/4) ")</f>
        <v xml:space="preserve">P (t)= 4 sen (4t + π/4) </v>
      </c>
      <c r="R162" s="3"/>
      <c r="S162" s="3"/>
      <c r="T162" s="3"/>
      <c r="U162" s="3"/>
      <c r="V162" s="3"/>
      <c r="W162" s="3"/>
      <c r="X162" s="3"/>
      <c r="Y162" s="3"/>
      <c r="Z162" s="3"/>
    </row>
    <row r="163" spans="1:26" x14ac:dyDescent="0.2">
      <c r="A163" s="2" t="str">
        <f ca="1">IFERROR(__xludf.DUMMYFUNCTION("""COMPUTED_VALUE"""),"https://drive.google.com/open?id=1p2DGJBGfisg5kTM9sxfSdG0fB9H4l44N")</f>
        <v>https://drive.google.com/open?id=1p2DGJBGfisg5kTM9sxfSdG0fB9H4l44N</v>
      </c>
      <c r="B163" s="3" t="str">
        <f ca="1">IFERROR(__xludf.DUMMYFUNCTION("""COMPUTED_VALUE"""),"Enem")</f>
        <v>Enem</v>
      </c>
      <c r="C163" s="3">
        <f ca="1">IFERROR(__xludf.DUMMYFUNCTION("""COMPUTED_VALUE"""),2019)</f>
        <v>2019</v>
      </c>
      <c r="D163" s="3" t="str">
        <f ca="1">IFERROR(__xludf.DUMMYFUNCTION("""COMPUTED_VALUE"""),"Matemática")</f>
        <v>Matemática</v>
      </c>
      <c r="E163" s="3" t="str">
        <f ca="1">IFERROR(__xludf.DUMMYFUNCTION("""COMPUTED_VALUE"""),"Matemática")</f>
        <v>Matemática</v>
      </c>
      <c r="F163" s="3" t="str">
        <f ca="1">IFERROR(__xludf.DUMMYFUNCTION("""COMPUTED_VALUE"""),"Aritmética e Algebra")</f>
        <v>Aritmética e Algebra</v>
      </c>
      <c r="G163" s="3"/>
      <c r="H163" s="3"/>
      <c r="I163" s="3" t="str">
        <f ca="1">IFERROR(__xludf.DUMMYFUNCTION("""COMPUTED_VALUE"""),"Amarelo")</f>
        <v>Amarelo</v>
      </c>
      <c r="J163" s="3">
        <f ca="1">IFERROR(__xludf.DUMMYFUNCTION("""COMPUTED_VALUE"""),146)</f>
        <v>146</v>
      </c>
      <c r="K163" s="3" t="str">
        <f ca="1">IFERROR(__xludf.DUMMYFUNCTION("""COMPUTED_VALUE"""),"E")</f>
        <v>E</v>
      </c>
      <c r="L163" s="3" t="str">
        <f ca="1">IFERROR(__xludf.DUMMYFUNCTION("""COMPUTED_VALUE"""),"A conta de telefone de uma loja foi, nesse mês, de R$ 200,00. O valor da assinatura
mensal, já incluso na conta, é de R$ 40,00, o qual dá direito a realizar uma quantidade
ilimitada de ligações locais para telefones fixos. As ligações para celulares são t"&amp;"arifadas
separadamente. Nessa loja, são feitas somente ligações locais, tanto para telefones fixos
quanto para celulares. Para reduzir os custos, o gerente planeja, para o próximo mês, uma
conta de telefone com valor de R$ 80,00.
Para que esse planejament"&amp;"o se cumpra, a redução percentual com gastos em ligações
para celulares nessa loja deverá ser de:")</f>
        <v>A conta de telefone de uma loja foi, nesse mês, de R$ 200,00. O valor da assinatura
mensal, já incluso na conta, é de R$ 40,00, o qual dá direito a realizar uma quantidade
ilimitada de ligações locais para telefones fixos. As ligações para celulares são tarifadas
separadamente. Nessa loja, são feitas somente ligações locais, tanto para telefones fixos
quanto para celulares. Para reduzir os custos, o gerente planeja, para o próximo mês, uma
conta de telefone com valor de R$ 80,00.
Para que esse planejamento se cumpra, a redução percentual com gastos em ligações
para celulares nessa loja deverá ser de:</v>
      </c>
      <c r="M163" s="3" t="str">
        <f ca="1">IFERROR(__xludf.DUMMYFUNCTION("""COMPUTED_VALUE"""),"25%")</f>
        <v>25%</v>
      </c>
      <c r="N163" s="3" t="str">
        <f ca="1">IFERROR(__xludf.DUMMYFUNCTION("""COMPUTED_VALUE"""),"40%")</f>
        <v>40%</v>
      </c>
      <c r="O163" s="3" t="str">
        <f ca="1">IFERROR(__xludf.DUMMYFUNCTION("""COMPUTED_VALUE"""),"50%")</f>
        <v>50%</v>
      </c>
      <c r="P163" s="3" t="str">
        <f ca="1">IFERROR(__xludf.DUMMYFUNCTION("""COMPUTED_VALUE"""),"60%")</f>
        <v>60%</v>
      </c>
      <c r="Q163" s="3" t="str">
        <f ca="1">IFERROR(__xludf.DUMMYFUNCTION("""COMPUTED_VALUE"""),"75%")</f>
        <v>75%</v>
      </c>
      <c r="R163" s="3"/>
      <c r="S163" s="3"/>
      <c r="T163" s="3"/>
      <c r="U163" s="3"/>
      <c r="V163" s="3"/>
      <c r="W163" s="3"/>
      <c r="X163" s="3"/>
      <c r="Y163" s="3"/>
      <c r="Z163" s="3"/>
    </row>
    <row r="164" spans="1:26" x14ac:dyDescent="0.2">
      <c r="A164" s="2" t="str">
        <f ca="1">IFERROR(__xludf.DUMMYFUNCTION("""COMPUTED_VALUE"""),"https://drive.google.com/open?id=1I8UYaXpgmXnTiCT4oeGwV0eIFQx9aViD")</f>
        <v>https://drive.google.com/open?id=1I8UYaXpgmXnTiCT4oeGwV0eIFQx9aViD</v>
      </c>
      <c r="B164" s="3" t="str">
        <f ca="1">IFERROR(__xludf.DUMMYFUNCTION("""COMPUTED_VALUE"""),"Enem")</f>
        <v>Enem</v>
      </c>
      <c r="C164" s="3">
        <f ca="1">IFERROR(__xludf.DUMMYFUNCTION("""COMPUTED_VALUE"""),2019)</f>
        <v>2019</v>
      </c>
      <c r="D164" s="3" t="str">
        <f ca="1">IFERROR(__xludf.DUMMYFUNCTION("""COMPUTED_VALUE"""),"Matemática")</f>
        <v>Matemática</v>
      </c>
      <c r="E164" s="3" t="str">
        <f ca="1">IFERROR(__xludf.DUMMYFUNCTION("""COMPUTED_VALUE"""),"Matemática")</f>
        <v>Matemática</v>
      </c>
      <c r="F164" s="3" t="str">
        <f ca="1">IFERROR(__xludf.DUMMYFUNCTION("""COMPUTED_VALUE"""),"Aritmética e Algebra")</f>
        <v>Aritmética e Algebra</v>
      </c>
      <c r="G164" s="3"/>
      <c r="H164" s="3"/>
      <c r="I164" s="3" t="str">
        <f ca="1">IFERROR(__xludf.DUMMYFUNCTION("""COMPUTED_VALUE"""),"Amarelo")</f>
        <v>Amarelo</v>
      </c>
      <c r="J164" s="3">
        <f ca="1">IFERROR(__xludf.DUMMYFUNCTION("""COMPUTED_VALUE"""),147)</f>
        <v>147</v>
      </c>
      <c r="K164" s="3" t="str">
        <f ca="1">IFERROR(__xludf.DUMMYFUNCTION("""COMPUTED_VALUE"""),"B")</f>
        <v>B</v>
      </c>
      <c r="L164" s="3" t="str">
        <f ca="1">IFERROR(__xludf.DUMMYFUNCTION("""COMPUTED_VALUE"""),"Uma equipe de cientistas decidiu iniciar uma cultura com exemplares de uma bactéria,
em uma lâmina, a fim de determinar o comportamento dessa população. Após alguns dias,
os cientistas verificaram os seguintes fatos:
• a cultura cresceu e ocupou uma área "&amp;"com o formato de um círculo;
• o raio do círculo formado pela cultura de bactérias aumentou 10% a cada dia;
• a concentração na cultura era de 1 000 bactérias por milímetro quadrado e não mudou
significativamente com o tempo.
Considere que r representa o "&amp;"raio do círculo no primeiro dia, Q a quantidade de
bactérias nessa cultura no decorrer do tempo e d o número de dias transcorridos.
Qual é a expressão que representa Q em função de r e d ?")</f>
        <v>Uma equipe de cientistas decidiu iniciar uma cultura com exemplares de uma bactéria,
em uma lâmina, a fim de determinar o comportamento dessa população. Após alguns dias,
os cientistas verificaram os seguintes fatos:
• a cultura cresceu e ocupou uma área com o formato de um círculo;
• o raio do círculo formado pela cultura de bactérias aumentou 10% a cada dia;
• a concentração na cultura era de 1 000 bactérias por milímetro quadrado e não mudou
significativamente com o tempo.
Considere que r representa o raio do círculo no primeiro dia, Q a quantidade de
bactérias nessa cultura no decorrer do tempo e d o número de dias transcorridos.
Qual é a expressão que representa Q em função de r e d ?</v>
      </c>
      <c r="M164" s="3" t="str">
        <f ca="1">IFERROR(__xludf.DUMMYFUNCTION("""COMPUTED_VALUE"""),"Q= {10³ (1,1)^d-1 r]²  π")</f>
        <v>Q= {10³ (1,1)^d-1 r]²  π</v>
      </c>
      <c r="N164" s="3" t="str">
        <f ca="1">IFERROR(__xludf.DUMMYFUNCTION("""COMPUTED_VALUE"""),"Q= 10³ {(1,1)^d-1 r]²  π")</f>
        <v>Q= 10³ {(1,1)^d-1 r]²  π</v>
      </c>
      <c r="O164" s="3" t="str">
        <f ca="1">IFERROR(__xludf.DUMMYFUNCTION("""COMPUTED_VALUE"""),"Q= 10³ (1,1(d-1) r]²  π")</f>
        <v>Q= 10³ (1,1(d-1) r]²  π</v>
      </c>
      <c r="P164" s="3" t="str">
        <f ca="1">IFERROR(__xludf.DUMMYFUNCTION("""COMPUTED_VALUE"""),"Q= 2x10³ (1,1) ˆ(d-1) r  π")</f>
        <v>Q= 2x10³ (1,1) ˆ(d-1) r  π</v>
      </c>
      <c r="Q164" s="3" t="str">
        <f ca="1">IFERROR(__xludf.DUMMYFUNCTION("""COMPUTED_VALUE"""),"Q= 2x10³ (1,1(d 1) r ) π")</f>
        <v>Q= 2x10³ (1,1(d 1) r ) π</v>
      </c>
      <c r="R164" s="3"/>
      <c r="S164" s="3"/>
      <c r="T164" s="3"/>
      <c r="U164" s="3"/>
      <c r="V164" s="3"/>
      <c r="W164" s="3"/>
      <c r="X164" s="3"/>
      <c r="Y164" s="3"/>
      <c r="Z164" s="3"/>
    </row>
    <row r="165" spans="1:26" x14ac:dyDescent="0.2">
      <c r="A165" s="2" t="str">
        <f ca="1">IFERROR(__xludf.DUMMYFUNCTION("""COMPUTED_VALUE"""),"https://drive.google.com/open?id=1eP831VaOQMjFuUB9SPx3JrEOKysTiRT9")</f>
        <v>https://drive.google.com/open?id=1eP831VaOQMjFuUB9SPx3JrEOKysTiRT9</v>
      </c>
      <c r="B165" s="3" t="str">
        <f ca="1">IFERROR(__xludf.DUMMYFUNCTION("""COMPUTED_VALUE"""),"Enem")</f>
        <v>Enem</v>
      </c>
      <c r="C165" s="3">
        <f ca="1">IFERROR(__xludf.DUMMYFUNCTION("""COMPUTED_VALUE"""),2019)</f>
        <v>2019</v>
      </c>
      <c r="D165" s="3" t="str">
        <f ca="1">IFERROR(__xludf.DUMMYFUNCTION("""COMPUTED_VALUE"""),"Matemática")</f>
        <v>Matemática</v>
      </c>
      <c r="E165" s="3" t="str">
        <f ca="1">IFERROR(__xludf.DUMMYFUNCTION("""COMPUTED_VALUE"""),"Matemática")</f>
        <v>Matemática</v>
      </c>
      <c r="F165" s="3" t="str">
        <f ca="1">IFERROR(__xludf.DUMMYFUNCTION("""COMPUTED_VALUE"""),"Financeira e Trigonometria")</f>
        <v>Financeira e Trigonometria</v>
      </c>
      <c r="G165" s="3"/>
      <c r="H165" s="3"/>
      <c r="I165" s="3" t="str">
        <f ca="1">IFERROR(__xludf.DUMMYFUNCTION("""COMPUTED_VALUE"""),"Amarelo")</f>
        <v>Amarelo</v>
      </c>
      <c r="J165" s="3">
        <f ca="1">IFERROR(__xludf.DUMMYFUNCTION("""COMPUTED_VALUE"""),148)</f>
        <v>148</v>
      </c>
      <c r="K165" s="3" t="str">
        <f ca="1">IFERROR(__xludf.DUMMYFUNCTION("""COMPUTED_VALUE"""),"A")</f>
        <v>A</v>
      </c>
      <c r="L165" s="3" t="str">
        <f ca="1">IFERROR(__xludf.DUMMYFUNCTION("""COMPUTED_VALUE"""),"Deseja-se comprar determinado produto e, após uma pesquisa de preços, o produto foi
encontrado em 5 lojas diferentes, a preços variados.
• Loja 1: 20% de desconto, que equivale a R$ 720,00, mais R$ 70,00 de frete;
• Loja 2: 20% de desconto, que equivale a"&amp;" R$ 740,00, mais R$ 50,00 de frete;
• Loja 3: 20% de desconto, que equivale a R$ 760,00, mais R$ 80,00 de frete;
• Loja 4: 15% de desconto, que equivale a R$ 710,00, mais R$ 10,00 de frete;
• Loja 5: 15% de desconto, que equivale a R$ 690,00, sem custo de"&amp;" frete.
O produto foi comprado na loja que apresentou o menor preço total.
O produto foi adquirido na loja:")</f>
        <v>Deseja-se comprar determinado produto e, após uma pesquisa de preços, o produto foi
encontrado em 5 lojas diferentes, a preços variados.
• Loja 1: 20% de desconto, que equivale a R$ 720,00, mais R$ 70,00 de frete;
• Loja 2: 20% de desconto, que equivale a R$ 740,00, mais R$ 50,00 de frete;
• Loja 3: 20% de desconto, que equivale a R$ 760,00, mais R$ 80,00 de frete;
• Loja 4: 15% de desconto, que equivale a R$ 710,00, mais R$ 10,00 de frete;
• Loja 5: 15% de desconto, que equivale a R$ 690,00, sem custo de frete.
O produto foi comprado na loja que apresentou o menor preço total.
O produto foi adquirido na loja:</v>
      </c>
      <c r="M165" s="3" t="str">
        <f ca="1">IFERROR(__xludf.DUMMYFUNCTION("""COMPUTED_VALUE"""),"1.")</f>
        <v>1.</v>
      </c>
      <c r="N165" s="3" t="str">
        <f ca="1">IFERROR(__xludf.DUMMYFUNCTION("""COMPUTED_VALUE"""),"2.")</f>
        <v>2.</v>
      </c>
      <c r="O165" s="3" t="str">
        <f ca="1">IFERROR(__xludf.DUMMYFUNCTION("""COMPUTED_VALUE"""),"3.")</f>
        <v>3.</v>
      </c>
      <c r="P165" s="3" t="str">
        <f ca="1">IFERROR(__xludf.DUMMYFUNCTION("""COMPUTED_VALUE"""),"4.")</f>
        <v>4.</v>
      </c>
      <c r="Q165" s="3" t="str">
        <f ca="1">IFERROR(__xludf.DUMMYFUNCTION("""COMPUTED_VALUE"""),"5.")</f>
        <v>5.</v>
      </c>
      <c r="R165" s="3"/>
      <c r="S165" s="3"/>
      <c r="T165" s="3"/>
      <c r="U165" s="3"/>
      <c r="V165" s="3"/>
      <c r="W165" s="3"/>
      <c r="X165" s="3"/>
      <c r="Y165" s="3"/>
      <c r="Z165" s="3"/>
    </row>
    <row r="166" spans="1:26" x14ac:dyDescent="0.2">
      <c r="A166" s="2" t="str">
        <f ca="1">IFERROR(__xludf.DUMMYFUNCTION("""COMPUTED_VALUE"""),"https://drive.google.com/open?id=1JLTuc_d2q3se3TrAGn32pJdN7v82kqPG")</f>
        <v>https://drive.google.com/open?id=1JLTuc_d2q3se3TrAGn32pJdN7v82kqPG</v>
      </c>
      <c r="B166" s="3" t="str">
        <f ca="1">IFERROR(__xludf.DUMMYFUNCTION("""COMPUTED_VALUE"""),"Enem")</f>
        <v>Enem</v>
      </c>
      <c r="C166" s="3">
        <f ca="1">IFERROR(__xludf.DUMMYFUNCTION("""COMPUTED_VALUE"""),2019)</f>
        <v>2019</v>
      </c>
      <c r="D166" s="3" t="str">
        <f ca="1">IFERROR(__xludf.DUMMYFUNCTION("""COMPUTED_VALUE"""),"Matemática")</f>
        <v>Matemática</v>
      </c>
      <c r="E166" s="3" t="str">
        <f ca="1">IFERROR(__xludf.DUMMYFUNCTION("""COMPUTED_VALUE"""),"Matemática")</f>
        <v>Matemática</v>
      </c>
      <c r="F166" s="3" t="str">
        <f ca="1">IFERROR(__xludf.DUMMYFUNCTION("""COMPUTED_VALUE"""),"Aritmética e Algebra")</f>
        <v>Aritmética e Algebra</v>
      </c>
      <c r="G166" s="3"/>
      <c r="H166" s="3"/>
      <c r="I166" s="3" t="str">
        <f ca="1">IFERROR(__xludf.DUMMYFUNCTION("""COMPUTED_VALUE"""),"Amarelo")</f>
        <v>Amarelo</v>
      </c>
      <c r="J166" s="3">
        <f ca="1">IFERROR(__xludf.DUMMYFUNCTION("""COMPUTED_VALUE"""),149)</f>
        <v>149</v>
      </c>
      <c r="K166" s="3" t="str">
        <f ca="1">IFERROR(__xludf.DUMMYFUNCTION("""COMPUTED_VALUE"""),"C")</f>
        <v>C</v>
      </c>
      <c r="L166" s="3" t="str">
        <f ca="1">IFERROR(__xludf.DUMMYFUNCTION("""COMPUTED_VALUE"""),"Para a compra de um repelente eletrônico, uma pessoa fez uma pesquisa nos mercados
de seu bairro. Cada tipo de repelente pesquisado traz escrito no rótulo da embalagem as
informações quanto à duração, em dia, associada à quantidade de horas de utilização "&amp;"por
dia. Essas informações e o preço por unidade foram representados no quadro.
[Imagem contida no arquivo]
A pessoa comprará aquele que apresentar o menor custo diário, quando ligado durante
8 horas por dia.
Nessas condições, o repelente eletrônico que e"&amp;"ssa pessoa comprará é do tipo:")</f>
        <v>Para a compra de um repelente eletrônico, uma pessoa fez uma pesquisa nos mercados
de seu bairro. Cada tipo de repelente pesquisado traz escrito no rótulo da embalagem as
informações quanto à duração, em dia, associada à quantidade de horas de utilização por
dia. Essas informações e o preço por unidade foram representados no quadro.
[Imagem contida no arquivo]
A pessoa comprará aquele que apresentar o menor custo diário, quando ligado durante
8 horas por dia.
Nessas condições, o repelente eletrônico que essa pessoa comprará é do tipo:</v>
      </c>
      <c r="M166" s="3" t="str">
        <f ca="1">IFERROR(__xludf.DUMMYFUNCTION("""COMPUTED_VALUE"""),"I.")</f>
        <v>I.</v>
      </c>
      <c r="N166" s="3" t="str">
        <f ca="1">IFERROR(__xludf.DUMMYFUNCTION("""COMPUTED_VALUE"""),"II.")</f>
        <v>II.</v>
      </c>
      <c r="O166" s="3" t="str">
        <f ca="1">IFERROR(__xludf.DUMMYFUNCTION("""COMPUTED_VALUE"""),"III.")</f>
        <v>III.</v>
      </c>
      <c r="P166" s="3" t="str">
        <f ca="1">IFERROR(__xludf.DUMMYFUNCTION("""COMPUTED_VALUE"""),"IV.")</f>
        <v>IV.</v>
      </c>
      <c r="Q166" s="3" t="str">
        <f ca="1">IFERROR(__xludf.DUMMYFUNCTION("""COMPUTED_VALUE"""),"V.")</f>
        <v>V.</v>
      </c>
      <c r="R166" s="3"/>
      <c r="S166" s="3"/>
      <c r="T166" s="3"/>
      <c r="U166" s="3"/>
      <c r="V166" s="3"/>
      <c r="W166" s="3"/>
      <c r="X166" s="3"/>
      <c r="Y166" s="3"/>
      <c r="Z166" s="3"/>
    </row>
    <row r="167" spans="1:26" x14ac:dyDescent="0.2">
      <c r="A167" s="2" t="str">
        <f ca="1">IFERROR(__xludf.DUMMYFUNCTION("""COMPUTED_VALUE"""),"https://drive.google.com/open?id=1BbeBtFdSvpDfZLZS3JIbNIhqoCKZkaJN")</f>
        <v>https://drive.google.com/open?id=1BbeBtFdSvpDfZLZS3JIbNIhqoCKZkaJN</v>
      </c>
      <c r="B167" s="3" t="str">
        <f ca="1">IFERROR(__xludf.DUMMYFUNCTION("""COMPUTED_VALUE"""),"Enem")</f>
        <v>Enem</v>
      </c>
      <c r="C167" s="3">
        <f ca="1">IFERROR(__xludf.DUMMYFUNCTION("""COMPUTED_VALUE"""),2019)</f>
        <v>2019</v>
      </c>
      <c r="D167" s="3" t="str">
        <f ca="1">IFERROR(__xludf.DUMMYFUNCTION("""COMPUTED_VALUE"""),"Matemática")</f>
        <v>Matemática</v>
      </c>
      <c r="E167" s="3" t="str">
        <f ca="1">IFERROR(__xludf.DUMMYFUNCTION("""COMPUTED_VALUE"""),"Matemática")</f>
        <v>Matemática</v>
      </c>
      <c r="F167" s="3" t="str">
        <f ca="1">IFERROR(__xludf.DUMMYFUNCTION("""COMPUTED_VALUE"""),"Aritmética e Algebra")</f>
        <v>Aritmética e Algebra</v>
      </c>
      <c r="G167" s="3"/>
      <c r="H167" s="3"/>
      <c r="I167" s="3" t="str">
        <f ca="1">IFERROR(__xludf.DUMMYFUNCTION("""COMPUTED_VALUE"""),"Amarelo")</f>
        <v>Amarelo</v>
      </c>
      <c r="J167" s="3">
        <f ca="1">IFERROR(__xludf.DUMMYFUNCTION("""COMPUTED_VALUE"""),150)</f>
        <v>150</v>
      </c>
      <c r="K167" s="3" t="str">
        <f ca="1">IFERROR(__xludf.DUMMYFUNCTION("""COMPUTED_VALUE"""),"E")</f>
        <v>E</v>
      </c>
      <c r="L167" s="3" t="str">
        <f ca="1">IFERROR(__xludf.DUMMYFUNCTION("""COMPUTED_VALUE"""),"O modelo predador-presa consiste em descrever a interação entre duas espécies,
sendo que uma delas (presa) serve de alimento para a outra (predador). A resposta
funcional é a relação entre a taxa de consumo de um predador e a densidade populacional
de sua"&amp;" presa. A figura mostra três respostas funcionais (f, g, h), em que a variável
independente representa a densidade populacional da presa.
{Imagem contida no arquivo}
Qual o maior intervalo em que a resposta funcional f(x) é menor que as respostas funciona"&amp;"is
g(x) e h(x), simultaneamente?")</f>
        <v>O modelo predador-presa consiste em descrever a interação entre duas espécies,
sendo que uma delas (presa) serve de alimento para a outra (predador). A resposta
funcional é a relação entre a taxa de consumo de um predador e a densidade populacional
de sua presa. A figura mostra três respostas funcionais (f, g, h), em que a variável
independente representa a densidade populacional da presa.
{Imagem contida no arquivo}
Qual o maior intervalo em que a resposta funcional f(x) é menor que as respostas funcionais
g(x) e h(x), simultaneamente?</v>
      </c>
      <c r="M167" s="3" t="str">
        <f ca="1">IFERROR(__xludf.DUMMYFUNCTION("""COMPUTED_VALUE"""),"(0 ; B)")</f>
        <v>(0 ; B)</v>
      </c>
      <c r="N167" s="3" t="str">
        <f ca="1">IFERROR(__xludf.DUMMYFUNCTION("""COMPUTED_VALUE""")," (B ; C)")</f>
        <v xml:space="preserve"> (B ; C)</v>
      </c>
      <c r="O167" s="3" t="str">
        <f ca="1">IFERROR(__xludf.DUMMYFUNCTION("""COMPUTED_VALUE""")," (B ; E)")</f>
        <v xml:space="preserve"> (B ; E)</v>
      </c>
      <c r="P167" s="3" t="str">
        <f ca="1">IFERROR(__xludf.DUMMYFUNCTION("""COMPUTED_VALUE"""),"(C ; D)")</f>
        <v>(C ; D)</v>
      </c>
      <c r="Q167" s="3" t="str">
        <f ca="1">IFERROR(__xludf.DUMMYFUNCTION("""COMPUTED_VALUE"""),"(C ; E)")</f>
        <v>(C ; E)</v>
      </c>
      <c r="R167" s="3"/>
      <c r="S167" s="3"/>
      <c r="T167" s="3"/>
      <c r="U167" s="3"/>
      <c r="V167" s="3"/>
      <c r="W167" s="3"/>
      <c r="X167" s="3"/>
      <c r="Y167" s="3"/>
      <c r="Z167" s="3"/>
    </row>
    <row r="168" spans="1:26" x14ac:dyDescent="0.2">
      <c r="A168" s="2" t="str">
        <f ca="1">IFERROR(__xludf.DUMMYFUNCTION("""COMPUTED_VALUE"""),"https://drive.google.com/open?id=1TVPkr8fw4WcMeYzkODY4eg0kb7UKywCQ")</f>
        <v>https://drive.google.com/open?id=1TVPkr8fw4WcMeYzkODY4eg0kb7UKywCQ</v>
      </c>
      <c r="B168" s="3" t="str">
        <f ca="1">IFERROR(__xludf.DUMMYFUNCTION("""COMPUTED_VALUE"""),"Enem")</f>
        <v>Enem</v>
      </c>
      <c r="C168" s="3">
        <f ca="1">IFERROR(__xludf.DUMMYFUNCTION("""COMPUTED_VALUE"""),2019)</f>
        <v>2019</v>
      </c>
      <c r="D168" s="3" t="str">
        <f ca="1">IFERROR(__xludf.DUMMYFUNCTION("""COMPUTED_VALUE"""),"Matemática")</f>
        <v>Matemática</v>
      </c>
      <c r="E168" s="3" t="str">
        <f ca="1">IFERROR(__xludf.DUMMYFUNCTION("""COMPUTED_VALUE"""),"Matemática")</f>
        <v>Matemática</v>
      </c>
      <c r="F168" s="3" t="str">
        <f ca="1">IFERROR(__xludf.DUMMYFUNCTION("""COMPUTED_VALUE"""),"Aritmética e Algebra")</f>
        <v>Aritmética e Algebra</v>
      </c>
      <c r="G168" s="3" t="str">
        <f ca="1">IFERROR(__xludf.DUMMYFUNCTION("""COMPUTED_VALUE"""),"Mecânica")</f>
        <v>Mecânica</v>
      </c>
      <c r="H168" s="3"/>
      <c r="I168" s="3" t="str">
        <f ca="1">IFERROR(__xludf.DUMMYFUNCTION("""COMPUTED_VALUE"""),"Amarelo")</f>
        <v>Amarelo</v>
      </c>
      <c r="J168" s="3">
        <f ca="1">IFERROR(__xludf.DUMMYFUNCTION("""COMPUTED_VALUE"""),151)</f>
        <v>151</v>
      </c>
      <c r="K168" s="3" t="str">
        <f ca="1">IFERROR(__xludf.DUMMYFUNCTION("""COMPUTED_VALUE"""),"D")</f>
        <v>D</v>
      </c>
      <c r="L168" s="3" t="str">
        <f ca="1">IFERROR(__xludf.DUMMYFUNCTION("""COMPUTED_VALUE"""),"Na anestesia peridural, como a usada nos partos, o médico anestesista precisa
introduzir uma agulha nas costas do paciente, que atravessará várias camadas de tecido
até chegar a uma região estreita, chamada espaço epidural, que envolve a medula
espinhal. "&amp;"A agulha é usada para injetar um líquido anestésico, e a força que deve ser
aplicada à agulha para fazê-la avançar através dos tecidos é variável.
A figura é um gráfico do módulo F da força (em newton) em função do deslocamento x
da ponta da agulha (em mi"&amp;"límetro) durante uma anestesia peridural típica.
Considere que a velocidade de penetração da agulha deva ser a mesma durante a
aplicação da anestesia e que a força aplicada à agulha pelo médico anestesista em cada
ponto deve ser proporcional à resistência"&amp;" naquele ponto.
[Imagem contida no arquivo]
Com base nas informações apresentadas, a maior resistência à força aplicada observa-se
ao longo do segmento:")</f>
        <v>Na anestesia peridural, como a usada nos partos, o médico anestesista precisa
introduzir uma agulha nas costas do paciente, que atravessará várias camadas de tecido
até chegar a uma região estreita, chamada espaço epidural, que envolve a medula
espinhal. A agulha é usada para injetar um líquido anestésico, e a força que deve ser
aplicada à agulha para fazê-la avançar através dos tecidos é variável.
A figura é um gráfico do módulo F da força (em newton) em função do deslocamento x
da ponta da agulha (em milímetro) durante uma anestesia peridural típica.
Considere que a velocidade de penetração da agulha deva ser a mesma durante a
aplicação da anestesia e que a força aplicada à agulha pelo médico anestesista em cada
ponto deve ser proporcional à resistência naquele ponto.
[Imagem contida no arquivo]
Com base nas informações apresentadas, a maior resistência à força aplicada observa-se
ao longo do segmento:</v>
      </c>
      <c r="M168" s="3" t="str">
        <f ca="1">IFERROR(__xludf.DUMMYFUNCTION("""COMPUTED_VALUE"""),"AB.")</f>
        <v>AB.</v>
      </c>
      <c r="N168" s="3" t="str">
        <f ca="1">IFERROR(__xludf.DUMMYFUNCTION("""COMPUTED_VALUE"""),"FG.")</f>
        <v>FG.</v>
      </c>
      <c r="O168" s="3" t="str">
        <f ca="1">IFERROR(__xludf.DUMMYFUNCTION("""COMPUTED_VALUE"""),"EF.")</f>
        <v>EF.</v>
      </c>
      <c r="P168" s="3" t="str">
        <f ca="1">IFERROR(__xludf.DUMMYFUNCTION("""COMPUTED_VALUE"""),"GH.")</f>
        <v>GH.</v>
      </c>
      <c r="Q168" s="3" t="str">
        <f ca="1">IFERROR(__xludf.DUMMYFUNCTION("""COMPUTED_VALUE"""),"HI.")</f>
        <v>HI.</v>
      </c>
      <c r="R168" s="3"/>
      <c r="S168" s="3"/>
      <c r="T168" s="3"/>
      <c r="U168" s="3"/>
      <c r="V168" s="3"/>
      <c r="W168" s="3"/>
      <c r="X168" s="3"/>
      <c r="Y168" s="3"/>
      <c r="Z168" s="3"/>
    </row>
    <row r="169" spans="1:26" x14ac:dyDescent="0.2">
      <c r="A169" s="2" t="str">
        <f ca="1">IFERROR(__xludf.DUMMYFUNCTION("""COMPUTED_VALUE"""),"https://drive.google.com/open?id=1Ir94gybubyFGyRZNhorRgABhsXVQowHs")</f>
        <v>https://drive.google.com/open?id=1Ir94gybubyFGyRZNhorRgABhsXVQowHs</v>
      </c>
      <c r="B169" s="3" t="str">
        <f ca="1">IFERROR(__xludf.DUMMYFUNCTION("""COMPUTED_VALUE"""),"Enem")</f>
        <v>Enem</v>
      </c>
      <c r="C169" s="3">
        <f ca="1">IFERROR(__xludf.DUMMYFUNCTION("""COMPUTED_VALUE"""),2019)</f>
        <v>2019</v>
      </c>
      <c r="D169" s="3" t="str">
        <f ca="1">IFERROR(__xludf.DUMMYFUNCTION("""COMPUTED_VALUE"""),"Matemática")</f>
        <v>Matemática</v>
      </c>
      <c r="E169" s="3" t="str">
        <f ca="1">IFERROR(__xludf.DUMMYFUNCTION("""COMPUTED_VALUE"""),"Matemática")</f>
        <v>Matemática</v>
      </c>
      <c r="F169" s="3" t="str">
        <f ca="1">IFERROR(__xludf.DUMMYFUNCTION("""COMPUTED_VALUE"""),"Aritmética e Algebra")</f>
        <v>Aritmética e Algebra</v>
      </c>
      <c r="G169" s="3"/>
      <c r="H169" s="3"/>
      <c r="I169" s="3" t="str">
        <f ca="1">IFERROR(__xludf.DUMMYFUNCTION("""COMPUTED_VALUE"""),"Amarelo")</f>
        <v>Amarelo</v>
      </c>
      <c r="J169" s="3">
        <f ca="1">IFERROR(__xludf.DUMMYFUNCTION("""COMPUTED_VALUE"""),152)</f>
        <v>152</v>
      </c>
      <c r="K169" s="3" t="str">
        <f ca="1">IFERROR(__xludf.DUMMYFUNCTION("""COMPUTED_VALUE"""),"B")</f>
        <v>B</v>
      </c>
      <c r="L169" s="3" t="str">
        <f ca="1">IFERROR(__xludf.DUMMYFUNCTION("""COMPUTED_VALUE"""),"No desenvolvimento de um novo remédio, pesquisadores monitoram a quantidade
Q de uma substância circulando na corrente sanguínea de um paciente, ao longo do
tempo t. Esses pesquisadores controlam o processo, observando que Q é uma função
quadrática de t. "&amp;"Os dados coletados nas duas primeiras horas foram:
[Imagem contida no arquivo]
Para decidir se devem interromper o processo, evitando riscos ao paciente, os
pesquisadores querem saber, antecipadamente, a quantidade da substância que estará
circulando na c"&amp;"orrente sanguínea desse paciente após uma hora do último dado coletado.
Nas condições expostas, essa quantidade (em miligrama) será igual a:")</f>
        <v>No desenvolvimento de um novo remédio, pesquisadores monitoram a quantidade
Q de uma substância circulando na corrente sanguínea de um paciente, ao longo do
tempo t. Esses pesquisadores controlam o processo, observando que Q é uma função
quadrática de t. Os dados coletados nas duas primeiras horas foram:
[Imagem contida no arquivo]
Para decidir se devem interromper o processo, evitando riscos ao paciente, os
pesquisadores querem saber, antecipadamente, a quantidade da substância que estará
circulando na corrente sanguínea desse paciente após uma hora do último dado coletado.
Nas condições expostas, essa quantidade (em miligrama) será igual a:</v>
      </c>
      <c r="M169" s="3" t="str">
        <f ca="1">IFERROR(__xludf.DUMMYFUNCTION("""COMPUTED_VALUE"""),"4.")</f>
        <v>4.</v>
      </c>
      <c r="N169" s="3" t="str">
        <f ca="1">IFERROR(__xludf.DUMMYFUNCTION("""COMPUTED_VALUE"""),"7.")</f>
        <v>7.</v>
      </c>
      <c r="O169" s="3" t="str">
        <f ca="1">IFERROR(__xludf.DUMMYFUNCTION("""COMPUTED_VALUE"""),"8.")</f>
        <v>8.</v>
      </c>
      <c r="P169" s="3" t="str">
        <f ca="1">IFERROR(__xludf.DUMMYFUNCTION("""COMPUTED_VALUE"""),"9.")</f>
        <v>9.</v>
      </c>
      <c r="Q169" s="3" t="str">
        <f ca="1">IFERROR(__xludf.DUMMYFUNCTION("""COMPUTED_VALUE"""),"10.")</f>
        <v>10.</v>
      </c>
      <c r="R169" s="3"/>
      <c r="S169" s="3"/>
      <c r="T169" s="3"/>
      <c r="U169" s="3"/>
      <c r="V169" s="3"/>
      <c r="W169" s="3"/>
      <c r="X169" s="3"/>
      <c r="Y169" s="3"/>
      <c r="Z169" s="3"/>
    </row>
    <row r="170" spans="1:26" x14ac:dyDescent="0.2">
      <c r="A170" s="2" t="str">
        <f ca="1">IFERROR(__xludf.DUMMYFUNCTION("""COMPUTED_VALUE"""),"https://drive.google.com/open?id=1BXHYsu0-dFRNjf-zw7XPmYh0Cs9eWZ59")</f>
        <v>https://drive.google.com/open?id=1BXHYsu0-dFRNjf-zw7XPmYh0Cs9eWZ59</v>
      </c>
      <c r="B170" s="3" t="str">
        <f ca="1">IFERROR(__xludf.DUMMYFUNCTION("""COMPUTED_VALUE"""),"Enem")</f>
        <v>Enem</v>
      </c>
      <c r="C170" s="3">
        <f ca="1">IFERROR(__xludf.DUMMYFUNCTION("""COMPUTED_VALUE"""),2019)</f>
        <v>2019</v>
      </c>
      <c r="D170" s="3" t="str">
        <f ca="1">IFERROR(__xludf.DUMMYFUNCTION("""COMPUTED_VALUE"""),"Matemática")</f>
        <v>Matemática</v>
      </c>
      <c r="E170" s="3" t="str">
        <f ca="1">IFERROR(__xludf.DUMMYFUNCTION("""COMPUTED_VALUE"""),"Matemática")</f>
        <v>Matemática</v>
      </c>
      <c r="F170" s="3" t="str">
        <f ca="1">IFERROR(__xludf.DUMMYFUNCTION("""COMPUTED_VALUE"""),"Aritmética e Algebra")</f>
        <v>Aritmética e Algebra</v>
      </c>
      <c r="G170" s="3"/>
      <c r="H170" s="3"/>
      <c r="I170" s="3" t="str">
        <f ca="1">IFERROR(__xludf.DUMMYFUNCTION("""COMPUTED_VALUE"""),"Amarelo")</f>
        <v>Amarelo</v>
      </c>
      <c r="J170" s="3">
        <f ca="1">IFERROR(__xludf.DUMMYFUNCTION("""COMPUTED_VALUE"""),153)</f>
        <v>153</v>
      </c>
      <c r="K170" s="3" t="str">
        <f ca="1">IFERROR(__xludf.DUMMYFUNCTION("""COMPUTED_VALUE"""),"D")</f>
        <v>D</v>
      </c>
      <c r="L170" s="3" t="str">
        <f ca="1">IFERROR(__xludf.DUMMYFUNCTION("""COMPUTED_VALUE"""),"Um jardineiro cultiva plantas ornamentais e as coloca à venda quando estas atingem
30 centímetros de altura. Esse jardineiro estudou o crescimento de suas plantas, em
função do tempo, e deduziu uma fórmula que calcula a altura em função do tempo, a partir"&amp;"
do momento em que a planta brota do solo até o momento em que ela atinge sua altura
máxima de 40 centímetros. A fórmula é h = 5·log2 (t + 1), em que t é o tempo contado em
dia e h, a altura da planta em centímetro.
A partir do momento em que uma dessas p"&amp;"lantas é colocada à venda, em quanto tempo,
em dia, ela alcançará sua altura máxima?")</f>
        <v>Um jardineiro cultiva plantas ornamentais e as coloca à venda quando estas atingem
30 centímetros de altura. Esse jardineiro estudou o crescimento de suas plantas, em
função do tempo, e deduziu uma fórmula que calcula a altura em função do tempo, a partir
do momento em que a planta brota do solo até o momento em que ela atinge sua altura
máxima de 40 centímetros. A fórmula é h = 5·log2 (t + 1), em que t é o tempo contado em
dia e h, a altura da planta em centímetro.
A partir do momento em que uma dessas plantas é colocada à venda, em quanto tempo,
em dia, ela alcançará sua altura máxima?</v>
      </c>
      <c r="M170" s="3" t="str">
        <f ca="1">IFERROR(__xludf.DUMMYFUNCTION("""COMPUTED_VALUE"""),"63")</f>
        <v>63</v>
      </c>
      <c r="N170" s="3" t="str">
        <f ca="1">IFERROR(__xludf.DUMMYFUNCTION("""COMPUTED_VALUE"""),"96")</f>
        <v>96</v>
      </c>
      <c r="O170" s="3" t="str">
        <f ca="1">IFERROR(__xludf.DUMMYFUNCTION("""COMPUTED_VALUE"""),"128")</f>
        <v>128</v>
      </c>
      <c r="P170" s="3" t="str">
        <f ca="1">IFERROR(__xludf.DUMMYFUNCTION("""COMPUTED_VALUE"""),"192")</f>
        <v>192</v>
      </c>
      <c r="Q170" s="3" t="str">
        <f ca="1">IFERROR(__xludf.DUMMYFUNCTION("""COMPUTED_VALUE"""),"255")</f>
        <v>255</v>
      </c>
      <c r="R170" s="3"/>
      <c r="S170" s="3"/>
      <c r="T170" s="3"/>
      <c r="U170" s="3"/>
      <c r="V170" s="3"/>
      <c r="W170" s="3"/>
      <c r="X170" s="3"/>
      <c r="Y170" s="3"/>
      <c r="Z170" s="3"/>
    </row>
    <row r="171" spans="1:26" x14ac:dyDescent="0.2">
      <c r="A171" s="2" t="str">
        <f ca="1">IFERROR(__xludf.DUMMYFUNCTION("""COMPUTED_VALUE"""),"https://drive.google.com/open?id=14jdPtEVsSoX1M292hxgsLOBSbXb9DY0I")</f>
        <v>https://drive.google.com/open?id=14jdPtEVsSoX1M292hxgsLOBSbXb9DY0I</v>
      </c>
      <c r="B171" s="3" t="str">
        <f ca="1">IFERROR(__xludf.DUMMYFUNCTION("""COMPUTED_VALUE"""),"Enem")</f>
        <v>Enem</v>
      </c>
      <c r="C171" s="3">
        <f ca="1">IFERROR(__xludf.DUMMYFUNCTION("""COMPUTED_VALUE"""),2019)</f>
        <v>2019</v>
      </c>
      <c r="D171" s="3" t="str">
        <f ca="1">IFERROR(__xludf.DUMMYFUNCTION("""COMPUTED_VALUE"""),"Matemática")</f>
        <v>Matemática</v>
      </c>
      <c r="E171" s="3" t="str">
        <f ca="1">IFERROR(__xludf.DUMMYFUNCTION("""COMPUTED_VALUE"""),"Matemática")</f>
        <v>Matemática</v>
      </c>
      <c r="F171" s="3" t="str">
        <f ca="1">IFERROR(__xludf.DUMMYFUNCTION("""COMPUTED_VALUE"""),"Geometria")</f>
        <v>Geometria</v>
      </c>
      <c r="G171" s="3"/>
      <c r="H171" s="3"/>
      <c r="I171" s="3" t="str">
        <f ca="1">IFERROR(__xludf.DUMMYFUNCTION("""COMPUTED_VALUE"""),"Amarelo")</f>
        <v>Amarelo</v>
      </c>
      <c r="J171" s="3">
        <f ca="1">IFERROR(__xludf.DUMMYFUNCTION("""COMPUTED_VALUE"""),154)</f>
        <v>154</v>
      </c>
      <c r="K171" s="3" t="str">
        <f ca="1">IFERROR(__xludf.DUMMYFUNCTION("""COMPUTED_VALUE"""),"A")</f>
        <v>A</v>
      </c>
      <c r="L171" s="3" t="str">
        <f ca="1">IFERROR(__xludf.DUMMYFUNCTION("""COMPUTED_VALUE"""),"Uma formiga encontra-se no ponto X, no lado externo de um copo que tem a forma
de um cilindro reto. No lado interno, no ponto V, existe um grão de açúcar preso na
parede do copo. A formiga segue o caminho XYZWV (sempre sobre a superfície lateral do
copo),"&amp;" de tal forma que os trechos ZW e WV são realizados na superfície interna do copo.
O caminho XYZWV é mostrado na figura.
[IMAGEM CONTIDA NO ARQUIVO]
Sabe-se que: os pontos X, V, W se encontram à mesma distância da borda; o trajeto
WV é o mais curto possív"&amp;"el; os trajetos XY e ZW são perpendiculares à borda do copo; e os
pontos X e V se encontram diametralmente opostos.
Supondo que o copo é de material recortável, realiza-se um corte pelo segmento
unindo P a Q, perpendicular à borda do copo, e recorta-se ta"&amp;"mbém sua base, obtendo
então uma figura plana. Desconsidere a espessura do copo.
Considerando apenas a planificação da superfície lateral do copo, a trajetória da formiga é:")</f>
        <v>Uma formiga encontra-se no ponto X, no lado externo de um copo que tem a forma
de um cilindro reto. No lado interno, no ponto V, existe um grão de açúcar preso na
parede do copo. A formiga segue o caminho XYZWV (sempre sobre a superfície lateral do
copo), de tal forma que os trechos ZW e WV são realizados na superfície interna do copo.
O caminho XYZWV é mostrado na figura.
[IMAGEM CONTIDA NO ARQUIVO]
Sabe-se que: os pontos X, V, W se encontram à mesma distância da borda; o trajeto
WV é o mais curto possível; os trajetos XY e ZW são perpendiculares à borda do copo; e os
pontos X e V se encontram diametralmente opostos.
Supondo que o copo é de material recortável, realiza-se um corte pelo segmento
unindo P a Q, perpendicular à borda do copo, e recorta-se também sua base, obtendo
então uma figura plana. Desconsidere a espessura do copo.
Considerando apenas a planificação da superfície lateral do copo, a trajetória da formiga é:</v>
      </c>
      <c r="M171" s="3" t="str">
        <f ca="1">IFERROR(__xludf.DUMMYFUNCTION("""COMPUTED_VALUE"""),"[IMAGEM CONTIDA NO ARQUIVO]")</f>
        <v>[IMAGEM CONTIDA NO ARQUIVO]</v>
      </c>
      <c r="N171" s="3" t="str">
        <f ca="1">IFERROR(__xludf.DUMMYFUNCTION("""COMPUTED_VALUE"""),"[IMAGEM CONTIDA NO ARQUIVO]")</f>
        <v>[IMAGEM CONTIDA NO ARQUIVO]</v>
      </c>
      <c r="O171" s="3" t="str">
        <f ca="1">IFERROR(__xludf.DUMMYFUNCTION("""COMPUTED_VALUE"""),"[IMAGEM CONTIDA NO ARQUIVO]")</f>
        <v>[IMAGEM CONTIDA NO ARQUIVO]</v>
      </c>
      <c r="P171" s="3" t="str">
        <f ca="1">IFERROR(__xludf.DUMMYFUNCTION("""COMPUTED_VALUE"""),"[IMAGEM CONTIDA NO ARQUIVO]")</f>
        <v>[IMAGEM CONTIDA NO ARQUIVO]</v>
      </c>
      <c r="Q171" s="3" t="str">
        <f ca="1">IFERROR(__xludf.DUMMYFUNCTION("""COMPUTED_VALUE"""),"[IMAGEM CONTIDA NO ARQUIVO]")</f>
        <v>[IMAGEM CONTIDA NO ARQUIVO]</v>
      </c>
      <c r="R171" s="3"/>
      <c r="S171" s="3"/>
      <c r="T171" s="3"/>
      <c r="U171" s="3"/>
      <c r="V171" s="3"/>
      <c r="W171" s="3"/>
      <c r="X171" s="3"/>
      <c r="Y171" s="3"/>
      <c r="Z171" s="3"/>
    </row>
    <row r="172" spans="1:26" x14ac:dyDescent="0.2">
      <c r="A172" s="2" t="str">
        <f ca="1">IFERROR(__xludf.DUMMYFUNCTION("""COMPUTED_VALUE"""),"https://drive.google.com/open?id=1luy7J08rMLPOmweJomJPOevO_Wx_-rgZ")</f>
        <v>https://drive.google.com/open?id=1luy7J08rMLPOmweJomJPOevO_Wx_-rgZ</v>
      </c>
      <c r="B172" s="3" t="str">
        <f ca="1">IFERROR(__xludf.DUMMYFUNCTION("""COMPUTED_VALUE"""),"Enem")</f>
        <v>Enem</v>
      </c>
      <c r="C172" s="3">
        <f ca="1">IFERROR(__xludf.DUMMYFUNCTION("""COMPUTED_VALUE"""),2019)</f>
        <v>2019</v>
      </c>
      <c r="D172" s="3" t="str">
        <f ca="1">IFERROR(__xludf.DUMMYFUNCTION("""COMPUTED_VALUE"""),"Matemática")</f>
        <v>Matemática</v>
      </c>
      <c r="E172" s="3" t="str">
        <f ca="1">IFERROR(__xludf.DUMMYFUNCTION("""COMPUTED_VALUE"""),"Matemática")</f>
        <v>Matemática</v>
      </c>
      <c r="F172" s="3" t="str">
        <f ca="1">IFERROR(__xludf.DUMMYFUNCTION("""COMPUTED_VALUE"""),"Aritmética e Algebra")</f>
        <v>Aritmética e Algebra</v>
      </c>
      <c r="G172" s="3"/>
      <c r="H172" s="3"/>
      <c r="I172" s="3" t="str">
        <f ca="1">IFERROR(__xludf.DUMMYFUNCTION("""COMPUTED_VALUE"""),"Amarelo")</f>
        <v>Amarelo</v>
      </c>
      <c r="J172" s="3">
        <f ca="1">IFERROR(__xludf.DUMMYFUNCTION("""COMPUTED_VALUE"""),155)</f>
        <v>155</v>
      </c>
      <c r="K172" s="3" t="str">
        <f ca="1">IFERROR(__xludf.DUMMYFUNCTION("""COMPUTED_VALUE"""),"C")</f>
        <v>C</v>
      </c>
      <c r="L172" s="3" t="str">
        <f ca="1">IFERROR(__xludf.DUMMYFUNCTION("""COMPUTED_VALUE"""),"Em um laboratório, cientistas observaram o crescimento de uma população de
bactérias submetida a uma dieta magra em fósforo, com generosas porções de arsênico.
Descobriu-se que o número de bactérias dessa população, após t horas de observação,
poderia ser"&amp;" modelado pela função exponencial N(t) = Noe^kt, em que No é o número de
bactérias no instante do início da observação (t = 0) e representa uma constante real maior
que 1, e k é uma constante real positiva.
Sabe-se que, após uma hora de observação, o núme"&amp;"ro de bactérias foi triplicado.
Cinco horas após o início da observação, o número de bactérias, em relação ao número
inicial dessa cultura, foi:")</f>
        <v>Em um laboratório, cientistas observaram o crescimento de uma população de
bactérias submetida a uma dieta magra em fósforo, com generosas porções de arsênico.
Descobriu-se que o número de bactérias dessa população, após t horas de observação,
poderia ser modelado pela função exponencial N(t) = Noe^kt, em que No é o número de
bactérias no instante do início da observação (t = 0) e representa uma constante real maior
que 1, e k é uma constante real positiva.
Sabe-se que, após uma hora de observação, o número de bactérias foi triplicado.
Cinco horas após o início da observação, o número de bactérias, em relação ao número
inicial dessa cultura, foi:</v>
      </c>
      <c r="M172" s="3" t="str">
        <f ca="1">IFERROR(__xludf.DUMMYFUNCTION("""COMPUTED_VALUE"""),"3No")</f>
        <v>3No</v>
      </c>
      <c r="N172" s="3" t="str">
        <f ca="1">IFERROR(__xludf.DUMMYFUNCTION("""COMPUTED_VALUE"""),"15No")</f>
        <v>15No</v>
      </c>
      <c r="O172" s="3" t="str">
        <f ca="1">IFERROR(__xludf.DUMMYFUNCTION("""COMPUTED_VALUE"""),"243No")</f>
        <v>243No</v>
      </c>
      <c r="P172" s="3" t="str">
        <f ca="1">IFERROR(__xludf.DUMMYFUNCTION("""COMPUTED_VALUE"""),"360No")</f>
        <v>360No</v>
      </c>
      <c r="Q172" s="3" t="str">
        <f ca="1">IFERROR(__xludf.DUMMYFUNCTION("""COMPUTED_VALUE"""),"729No")</f>
        <v>729No</v>
      </c>
      <c r="R172" s="3"/>
      <c r="S172" s="3"/>
      <c r="T172" s="3"/>
      <c r="U172" s="3"/>
      <c r="V172" s="3"/>
      <c r="W172" s="3"/>
      <c r="X172" s="3"/>
      <c r="Y172" s="3"/>
      <c r="Z172" s="3"/>
    </row>
    <row r="173" spans="1:26" x14ac:dyDescent="0.2">
      <c r="A173" s="2" t="str">
        <f ca="1">IFERROR(__xludf.DUMMYFUNCTION("""COMPUTED_VALUE"""),"https://drive.google.com/open?id=1Hktw0Ndm3FSLoXnZHVkF0wwEDV0PkDR5")</f>
        <v>https://drive.google.com/open?id=1Hktw0Ndm3FSLoXnZHVkF0wwEDV0PkDR5</v>
      </c>
      <c r="B173" s="3" t="str">
        <f ca="1">IFERROR(__xludf.DUMMYFUNCTION("""COMPUTED_VALUE"""),"Enem")</f>
        <v>Enem</v>
      </c>
      <c r="C173" s="3">
        <f ca="1">IFERROR(__xludf.DUMMYFUNCTION("""COMPUTED_VALUE"""),2019)</f>
        <v>2019</v>
      </c>
      <c r="D173" s="3" t="str">
        <f ca="1">IFERROR(__xludf.DUMMYFUNCTION("""COMPUTED_VALUE"""),"Matemática")</f>
        <v>Matemática</v>
      </c>
      <c r="E173" s="3" t="str">
        <f ca="1">IFERROR(__xludf.DUMMYFUNCTION("""COMPUTED_VALUE"""),"Matemática")</f>
        <v>Matemática</v>
      </c>
      <c r="F173" s="3" t="str">
        <f ca="1">IFERROR(__xludf.DUMMYFUNCTION("""COMPUTED_VALUE"""),"Geometria")</f>
        <v>Geometria</v>
      </c>
      <c r="G173" s="3" t="str">
        <f ca="1">IFERROR(__xludf.DUMMYFUNCTION("""COMPUTED_VALUE"""),"Aritmética e Algebra")</f>
        <v>Aritmética e Algebra</v>
      </c>
      <c r="H173" s="3"/>
      <c r="I173" s="3" t="str">
        <f ca="1">IFERROR(__xludf.DUMMYFUNCTION("""COMPUTED_VALUE"""),"Amarelo")</f>
        <v>Amarelo</v>
      </c>
      <c r="J173" s="3">
        <f ca="1">IFERROR(__xludf.DUMMYFUNCTION("""COMPUTED_VALUE"""),156)</f>
        <v>156</v>
      </c>
      <c r="K173" s="3" t="str">
        <f ca="1">IFERROR(__xludf.DUMMYFUNCTION("""COMPUTED_VALUE"""),"E")</f>
        <v>E</v>
      </c>
      <c r="L173" s="3" t="str">
        <f ca="1">IFERROR(__xludf.DUMMYFUNCTION("""COMPUTED_VALUE"""),"No ano de 1751, o matemático Euler conseguiu demonstrar a famosa relação para
poliedros convexos que relaciona o número de suas faces (F), arestas (A) e vértices (V):
V + F = A + 2. No entanto, na busca dessa demonstração, essa relação foi sendo testada
e"&amp;"m poliedros convexos e não convexos. Observou-se que alguns poliedros não convexos
satisfaziam a relação e outros não. Um exemplo de poliedro não convexo é dado na figura.
Todas as faces que não podem ser vistas diretamente são retangulares.
[IMAGEM CONTI"&amp;"DA NO ARQUIVO]
Qual a relação entre os vértices, as faces e as arestas do poliedro apresentado na figura?")</f>
        <v>No ano de 1751, o matemático Euler conseguiu demonstrar a famosa relação para
poliedros convexos que relaciona o número de suas faces (F), arestas (A) e vértices (V):
V + F = A + 2. No entanto, na busca dessa demonstração, essa relação foi sendo testada
em poliedros convexos e não convexos. Observou-se que alguns poliedros não convexos
satisfaziam a relação e outros não. Um exemplo de poliedro não convexo é dado na figura.
Todas as faces que não podem ser vistas diretamente são retangulares.
[IMAGEM CONTIDA NO ARQUIVO]
Qual a relação entre os vértices, as faces e as arestas do poliedro apresentado na figura?</v>
      </c>
      <c r="M173" s="3" t="str">
        <f ca="1">IFERROR(__xludf.DUMMYFUNCTION("""COMPUTED_VALUE""")," V + F = A")</f>
        <v xml:space="preserve"> V + F = A</v>
      </c>
      <c r="N173" s="3" t="str">
        <f ca="1">IFERROR(__xludf.DUMMYFUNCTION("""COMPUTED_VALUE""")," V + F = A - 1")</f>
        <v xml:space="preserve"> V + F = A - 1</v>
      </c>
      <c r="O173" s="3" t="str">
        <f ca="1">IFERROR(__xludf.DUMMYFUNCTION("""COMPUTED_VALUE""")," V + F = A + 1")</f>
        <v xml:space="preserve"> V + F = A + 1</v>
      </c>
      <c r="P173" s="3" t="str">
        <f ca="1">IFERROR(__xludf.DUMMYFUNCTION("""COMPUTED_VALUE""")," V + F = A + 2")</f>
        <v xml:space="preserve"> V + F = A + 2</v>
      </c>
      <c r="Q173" s="3" t="str">
        <f ca="1">IFERROR(__xludf.DUMMYFUNCTION("""COMPUTED_VALUE"""),"V + F = A + 3")</f>
        <v>V + F = A + 3</v>
      </c>
      <c r="R173" s="3"/>
      <c r="S173" s="3"/>
      <c r="T173" s="3"/>
      <c r="U173" s="3"/>
      <c r="V173" s="3"/>
      <c r="W173" s="3"/>
      <c r="X173" s="3"/>
      <c r="Y173" s="3"/>
      <c r="Z173" s="3"/>
    </row>
    <row r="174" spans="1:26" x14ac:dyDescent="0.2">
      <c r="A174" s="2" t="str">
        <f ca="1">IFERROR(__xludf.DUMMYFUNCTION("""COMPUTED_VALUE"""),"https://drive.google.com/open?id=1Y-yApkDf1rRELI2KDwxVmaqT41gmGLW7")</f>
        <v>https://drive.google.com/open?id=1Y-yApkDf1rRELI2KDwxVmaqT41gmGLW7</v>
      </c>
      <c r="B174" s="3" t="str">
        <f ca="1">IFERROR(__xludf.DUMMYFUNCTION("""COMPUTED_VALUE"""),"Enem")</f>
        <v>Enem</v>
      </c>
      <c r="C174" s="3">
        <f ca="1">IFERROR(__xludf.DUMMYFUNCTION("""COMPUTED_VALUE"""),2018)</f>
        <v>2018</v>
      </c>
      <c r="D174" s="3" t="str">
        <f ca="1">IFERROR(__xludf.DUMMYFUNCTION("""COMPUTED_VALUE"""),"Matemática")</f>
        <v>Matemática</v>
      </c>
      <c r="E174" s="3" t="str">
        <f ca="1">IFERROR(__xludf.DUMMYFUNCTION("""COMPUTED_VALUE"""),"Matemática")</f>
        <v>Matemática</v>
      </c>
      <c r="F174" s="3" t="str">
        <f ca="1">IFERROR(__xludf.DUMMYFUNCTION("""COMPUTED_VALUE"""),"Aritmética e Algebra")</f>
        <v>Aritmética e Algebra</v>
      </c>
      <c r="G174" s="3"/>
      <c r="H174" s="3"/>
      <c r="I174" s="3" t="str">
        <f ca="1">IFERROR(__xludf.DUMMYFUNCTION("""COMPUTED_VALUE"""),"Amarelo")</f>
        <v>Amarelo</v>
      </c>
      <c r="J174" s="3">
        <f ca="1">IFERROR(__xludf.DUMMYFUNCTION("""COMPUTED_VALUE"""),136)</f>
        <v>136</v>
      </c>
      <c r="K174" s="3" t="str">
        <f ca="1">IFERROR(__xludf.DUMMYFUNCTION("""COMPUTED_VALUE"""),"A")</f>
        <v>A</v>
      </c>
      <c r="L174" s="3" t="str">
        <f ca="1">IFERROR(__xludf.DUMMYFUNCTION("""COMPUTED_VALUE"""),"Numa atividade de treinamento realizada no Exército de um determinado país, três
equipes – Alpha, Beta e Gama – foram designadas a percorrer diferentes caminhos,
todos com os mesmos pontos de partida e de chegada.
. A equipe Alpha realizou seu percurso em"&amp;" 90 minutos com uma velocidade média
de 6,0 km/h.
. A equipe Beta também percorreu sua trajetória em 90 minutos, mas sua
velocidade média foi de 5,0 km/h.
 . Com uma velocidade média de 6,5 km/h, a equipe Gama concluiu seu caminho
em 60 minutos.
Com base "&amp;"nesses dados, foram comparadas as distâncias dBeta; dAlpha e dGama
percorridas pelas três equipes.
A ordem das distâncias percorridas pelas equipes Alpha, Beta e Gama é:")</f>
        <v>Numa atividade de treinamento realizada no Exército de um determinado país, três
equipes – Alpha, Beta e Gama – foram designadas a percorrer diferentes caminhos,
todos com os mesmos pontos de partida e de chegada.
. A equipe Alpha realizou seu percurso em 90 minutos com uma velocidade média
de 6,0 km/h.
. A equipe Beta também percorreu sua trajetória em 90 minutos, mas sua
velocidade média foi de 5,0 km/h.
 . Com uma velocidade média de 6,5 km/h, a equipe Gama concluiu seu caminho
em 60 minutos.
Com base nesses dados, foram comparadas as distâncias dBeta; dAlpha e dGama
percorridas pelas três equipes.
A ordem das distâncias percorridas pelas equipes Alpha, Beta e Gama é:</v>
      </c>
      <c r="M174" s="3" t="str">
        <f ca="1">IFERROR(__xludf.DUMMYFUNCTION("""COMPUTED_VALUE"""),"dGama &lt; dBeta &lt; dAlpha")</f>
        <v>dGama &lt; dBeta &lt; dAlpha</v>
      </c>
      <c r="N174" s="3" t="str">
        <f ca="1">IFERROR(__xludf.DUMMYFUNCTION("""COMPUTED_VALUE"""),"dAlpha = dBeta &lt; dGama")</f>
        <v>dAlpha = dBeta &lt; dGama</v>
      </c>
      <c r="O174" s="3" t="str">
        <f ca="1">IFERROR(__xludf.DUMMYFUNCTION("""COMPUTED_VALUE"""),"dGama &lt; dBeta = dAlpha")</f>
        <v>dGama &lt; dBeta = dAlpha</v>
      </c>
      <c r="P174" s="3" t="str">
        <f ca="1">IFERROR(__xludf.DUMMYFUNCTION("""COMPUTED_VALUE"""),"dBeta &lt; dAlpha &lt; dGama")</f>
        <v>dBeta &lt; dAlpha &lt; dGama</v>
      </c>
      <c r="Q174" s="3" t="str">
        <f ca="1">IFERROR(__xludf.DUMMYFUNCTION("""COMPUTED_VALUE"""),"dGama &lt; dAlpha &lt; dBeta")</f>
        <v>dGama &lt; dAlpha &lt; dBeta</v>
      </c>
      <c r="R174" s="3"/>
      <c r="S174" s="3"/>
      <c r="T174" s="3"/>
      <c r="U174" s="3"/>
      <c r="V174" s="3"/>
      <c r="W174" s="3"/>
      <c r="X174" s="3"/>
      <c r="Y174" s="3"/>
      <c r="Z174" s="3"/>
    </row>
    <row r="175" spans="1:26" x14ac:dyDescent="0.2">
      <c r="A175" s="2" t="str">
        <f ca="1">IFERROR(__xludf.DUMMYFUNCTION("""COMPUTED_VALUE"""),"https://drive.google.com/open?id=1fl1c8hDgI-hDDI3d0zadvqi2puV7wsBW")</f>
        <v>https://drive.google.com/open?id=1fl1c8hDgI-hDDI3d0zadvqi2puV7wsBW</v>
      </c>
      <c r="B175" s="3" t="str">
        <f ca="1">IFERROR(__xludf.DUMMYFUNCTION("""COMPUTED_VALUE"""),"Enem")</f>
        <v>Enem</v>
      </c>
      <c r="C175" s="3">
        <f ca="1">IFERROR(__xludf.DUMMYFUNCTION("""COMPUTED_VALUE"""),2018)</f>
        <v>2018</v>
      </c>
      <c r="D175" s="3" t="str">
        <f ca="1">IFERROR(__xludf.DUMMYFUNCTION("""COMPUTED_VALUE"""),"Matemática")</f>
        <v>Matemática</v>
      </c>
      <c r="E175" s="3" t="str">
        <f ca="1">IFERROR(__xludf.DUMMYFUNCTION("""COMPUTED_VALUE"""),"Matemática")</f>
        <v>Matemática</v>
      </c>
      <c r="F175" s="3" t="str">
        <f ca="1">IFERROR(__xludf.DUMMYFUNCTION("""COMPUTED_VALUE"""),"Aritmética e Algebra")</f>
        <v>Aritmética e Algebra</v>
      </c>
      <c r="G175" s="3"/>
      <c r="H175" s="3"/>
      <c r="I175" s="3" t="str">
        <f ca="1">IFERROR(__xludf.DUMMYFUNCTION("""COMPUTED_VALUE"""),"Amarelo")</f>
        <v>Amarelo</v>
      </c>
      <c r="J175" s="3">
        <f ca="1">IFERROR(__xludf.DUMMYFUNCTION("""COMPUTED_VALUE"""),137)</f>
        <v>137</v>
      </c>
      <c r="K175" s="3" t="str">
        <f ca="1">IFERROR(__xludf.DUMMYFUNCTION("""COMPUTED_VALUE"""),"D")</f>
        <v>D</v>
      </c>
      <c r="L175" s="3" t="str">
        <f ca="1">IFERROR(__xludf.DUMMYFUNCTION("""COMPUTED_VALUE"""),"O colesterol total de uma pessoa é obtido pela soma da taxa do seu “colesterol bom”
com a taxa do seu “colesterol ruim”. Os exames periódicos, realizados em um paciente
adulto, apresentaram taxa normal de “colesterol bom”, porém, taxa do “colesterol ruim”"&amp;"
(também chamado LDL) de 280 mg/dL.
O quadro apresenta uma classificação de acordo com as taxas de LDL em adultos.
[IMAGEM CONTIDA NO ARQUIVO]
O paciente, seguindo as recomendações médicas sobre estilo de vida e alimentação,
realizou o exame logo após o p"&amp;"rimeiro mês, e a taxa de LDL reduziu 25%. No mês
seguinte, realizou novo exame e constatou uma redução de mais 20% na taxa de LDL.
De acordo com o resultado do segundo exame, a classificação da taxa de LDL do paciente é:")</f>
        <v>O colesterol total de uma pessoa é obtido pela soma da taxa do seu “colesterol bom”
com a taxa do seu “colesterol ruim”. Os exames periódicos, realizados em um paciente
adulto, apresentaram taxa normal de “colesterol bom”, porém, taxa do “colesterol ruim”
(também chamado LDL) de 280 mg/dL.
O quadro apresenta uma classificação de acordo com as taxas de LDL em adultos.
[IMAGEM CONTIDA NO ARQUIVO]
O paciente, seguindo as recomendações médicas sobre estilo de vida e alimentação,
realizou o exame logo após o primeiro mês, e a taxa de LDL reduziu 25%. No mês
seguinte, realizou novo exame e constatou uma redução de mais 20% na taxa de LDL.
De acordo com o resultado do segundo exame, a classificação da taxa de LDL do paciente é:</v>
      </c>
      <c r="M175" s="3" t="str">
        <f ca="1">IFERROR(__xludf.DUMMYFUNCTION("""COMPUTED_VALUE"""),"ótima.")</f>
        <v>ótima.</v>
      </c>
      <c r="N175" s="3" t="str">
        <f ca="1">IFERROR(__xludf.DUMMYFUNCTION("""COMPUTED_VALUE"""),"próxima de ótima.")</f>
        <v>próxima de ótima.</v>
      </c>
      <c r="O175" s="3" t="str">
        <f ca="1">IFERROR(__xludf.DUMMYFUNCTION("""COMPUTED_VALUE"""),"limite.")</f>
        <v>limite.</v>
      </c>
      <c r="P175" s="3" t="str">
        <f ca="1">IFERROR(__xludf.DUMMYFUNCTION("""COMPUTED_VALUE"""),"alta.")</f>
        <v>alta.</v>
      </c>
      <c r="Q175" s="3" t="str">
        <f ca="1">IFERROR(__xludf.DUMMYFUNCTION("""COMPUTED_VALUE"""),"muito alta.")</f>
        <v>muito alta.</v>
      </c>
      <c r="R175" s="3"/>
      <c r="S175" s="3"/>
      <c r="T175" s="3"/>
      <c r="U175" s="3"/>
      <c r="V175" s="3"/>
      <c r="W175" s="3"/>
      <c r="X175" s="3"/>
      <c r="Y175" s="3"/>
      <c r="Z175" s="3"/>
    </row>
    <row r="176" spans="1:26" x14ac:dyDescent="0.2">
      <c r="A176" s="2" t="str">
        <f ca="1">IFERROR(__xludf.DUMMYFUNCTION("""COMPUTED_VALUE"""),"https://drive.google.com/open?id=1lMXFbCnOfmkG1kfcp7pOJoKsPfKU6a08")</f>
        <v>https://drive.google.com/open?id=1lMXFbCnOfmkG1kfcp7pOJoKsPfKU6a08</v>
      </c>
      <c r="B176" s="3" t="str">
        <f ca="1">IFERROR(__xludf.DUMMYFUNCTION("""COMPUTED_VALUE"""),"Enem")</f>
        <v>Enem</v>
      </c>
      <c r="C176" s="3">
        <f ca="1">IFERROR(__xludf.DUMMYFUNCTION("""COMPUTED_VALUE"""),2018)</f>
        <v>2018</v>
      </c>
      <c r="D176" s="3" t="str">
        <f ca="1">IFERROR(__xludf.DUMMYFUNCTION("""COMPUTED_VALUE"""),"Matemática")</f>
        <v>Matemática</v>
      </c>
      <c r="E176" s="3" t="str">
        <f ca="1">IFERROR(__xludf.DUMMYFUNCTION("""COMPUTED_VALUE"""),"Matemática")</f>
        <v>Matemática</v>
      </c>
      <c r="F176" s="3" t="str">
        <f ca="1">IFERROR(__xludf.DUMMYFUNCTION("""COMPUTED_VALUE"""),"Aritmética e Algebra")</f>
        <v>Aritmética e Algebra</v>
      </c>
      <c r="G176" s="3"/>
      <c r="H176" s="3"/>
      <c r="I176" s="3" t="str">
        <f ca="1">IFERROR(__xludf.DUMMYFUNCTION("""COMPUTED_VALUE"""),"Amarelo")</f>
        <v>Amarelo</v>
      </c>
      <c r="J176" s="3">
        <f ca="1">IFERROR(__xludf.DUMMYFUNCTION("""COMPUTED_VALUE"""),138)</f>
        <v>138</v>
      </c>
      <c r="K176" s="3" t="str">
        <f ca="1">IFERROR(__xludf.DUMMYFUNCTION("""COMPUTED_VALUE"""),"A")</f>
        <v>A</v>
      </c>
      <c r="L176" s="3" t="str">
        <f ca="1">IFERROR(__xludf.DUMMYFUNCTION("""COMPUTED_VALUE"""),"Uma empresa deseja iniciar uma campanha publicitária divulgando uma promoção
para seus possíveis consumidores. Para esse tipo de campanha, os meios mais viáveis
são a distribuição de panfletos na rua e anúncios na rádio local. Considera-se que a população"&amp;" alcançada pela distribuição de panfletos seja igual à quantidade de panfletos distribuídos, enquanto que a alcançada por um anúncio na rádio seja igual à quantidade
de ouvintes desse anúncio. O custo de cada anúncio na rádio é de R$ 120,00, e a
estimativ"&amp;"a é de que seja ouvido por 1500 pessoas. Já a produção e a distribuição dos panfletos custam R$ 180,00 cada 1000 unidades. Considerando que cada pessoa será alcançada por um único desses meios de divulgação, a empresa pretende investir em
ambas as mídias."&amp;"
Considere X e Y os valores (em real) gastos em anúncios e com panfletos, respectivamente.
O número de pessoas alcançadas pela campanha será dado pela expressão:")</f>
        <v>Uma empresa deseja iniciar uma campanha publicitária divulgando uma promoção
para seus possíveis consumidores. Para esse tipo de campanha, os meios mais viáveis
são a distribuição de panfletos na rua e anúncios na rádio local. Considera-se que a população alcançada pela distribuição de panfletos seja igual à quantidade de panfletos distribuídos, enquanto que a alcançada por um anúncio na rádio seja igual à quantidade
de ouvintes desse anúncio. O custo de cada anúncio na rádio é de R$ 120,00, e a
estimativa é de que seja ouvido por 1500 pessoas. Já a produção e a distribuição dos panfletos custam R$ 180,00 cada 1000 unidades. Considerando que cada pessoa será alcançada por um único desses meios de divulgação, a empresa pretende investir em
ambas as mídias.
Considere X e Y os valores (em real) gastos em anúncios e com panfletos, respectivamente.
O número de pessoas alcançadas pela campanha será dado pela expressão:</v>
      </c>
      <c r="M176" s="3" t="str">
        <f ca="1">IFERROR(__xludf.DUMMYFUNCTION("""COMPUTED_VALUE"""),"50X/4 + 50Y/9")</f>
        <v>50X/4 + 50Y/9</v>
      </c>
      <c r="N176" s="3" t="str">
        <f ca="1">IFERROR(__xludf.DUMMYFUNCTION("""COMPUTED_VALUE"""),"50X/9 + 50Y/4")</f>
        <v>50X/9 + 50Y/4</v>
      </c>
      <c r="O176" s="3" t="str">
        <f ca="1">IFERROR(__xludf.DUMMYFUNCTION("""COMPUTED_VALUE"""),"4X/50 + 4Y/50")</f>
        <v>4X/50 + 4Y/50</v>
      </c>
      <c r="P176" s="3" t="str">
        <f ca="1">IFERROR(__xludf.DUMMYFUNCTION("""COMPUTED_VALUE"""),"50/4X + 50/9Y")</f>
        <v>50/4X + 50/9Y</v>
      </c>
      <c r="Q176" s="3" t="str">
        <f ca="1">IFERROR(__xludf.DUMMYFUNCTION("""COMPUTED_VALUE"""),"50/9X + 50Y/4Y")</f>
        <v>50/9X + 50Y/4Y</v>
      </c>
      <c r="R176" s="3"/>
      <c r="S176" s="3"/>
      <c r="T176" s="3"/>
      <c r="U176" s="3"/>
      <c r="V176" s="3"/>
      <c r="W176" s="3"/>
      <c r="X176" s="3"/>
      <c r="Y176" s="3"/>
      <c r="Z176" s="3"/>
    </row>
    <row r="177" spans="1:26" x14ac:dyDescent="0.2">
      <c r="A177" s="2" t="str">
        <f ca="1">IFERROR(__xludf.DUMMYFUNCTION("""COMPUTED_VALUE"""),"https://drive.google.com/open?id=1lss1Ly3sY6wX8sPqJnjEnTbetjOmulnx")</f>
        <v>https://drive.google.com/open?id=1lss1Ly3sY6wX8sPqJnjEnTbetjOmulnx</v>
      </c>
      <c r="B177" s="3" t="str">
        <f ca="1">IFERROR(__xludf.DUMMYFUNCTION("""COMPUTED_VALUE"""),"Enem")</f>
        <v>Enem</v>
      </c>
      <c r="C177" s="3">
        <f ca="1">IFERROR(__xludf.DUMMYFUNCTION("""COMPUTED_VALUE"""),2018)</f>
        <v>2018</v>
      </c>
      <c r="D177" s="3" t="str">
        <f ca="1">IFERROR(__xludf.DUMMYFUNCTION("""COMPUTED_VALUE"""),"Matemática")</f>
        <v>Matemática</v>
      </c>
      <c r="E177" s="3" t="str">
        <f ca="1">IFERROR(__xludf.DUMMYFUNCTION("""COMPUTED_VALUE"""),"Matemática")</f>
        <v>Matemática</v>
      </c>
      <c r="F177" s="3" t="str">
        <f ca="1">IFERROR(__xludf.DUMMYFUNCTION("""COMPUTED_VALUE"""),"Geometria")</f>
        <v>Geometria</v>
      </c>
      <c r="G177" s="3"/>
      <c r="H177" s="3"/>
      <c r="I177" s="3" t="str">
        <f ca="1">IFERROR(__xludf.DUMMYFUNCTION("""COMPUTED_VALUE"""),"Amarelo")</f>
        <v>Amarelo</v>
      </c>
      <c r="J177" s="3">
        <f ca="1">IFERROR(__xludf.DUMMYFUNCTION("""COMPUTED_VALUE"""),139)</f>
        <v>139</v>
      </c>
      <c r="K177" s="3" t="str">
        <f ca="1">IFERROR(__xludf.DUMMYFUNCTION("""COMPUTED_VALUE"""),"E")</f>
        <v>E</v>
      </c>
      <c r="L177" s="3" t="str">
        <f ca="1">IFERROR(__xludf.DUMMYFUNCTION("""COMPUTED_VALUE"""),"O remo de assento deslizante é um esporte que faz uso de um barco e dois remos do
mesmo tamanho.
A figura mostra uma das posições de uma técnica chamada afastamento.
[IMAGEM CONTIDA NO ARQUIVO]
Nessa posição, os dois remos se encontram no ponto A e suas o"&amp;"utras extremidades
estão indicadas pelos pontos B e C. Esses três pontos formam um triângulo ABC cujo
ângulo BÂC tem medida de 170°.
O tipo de triângulo com vértices nos pontos A, B e C, no momento em que o remador
está nessa posição, é:")</f>
        <v>O remo de assento deslizante é um esporte que faz uso de um barco e dois remos do
mesmo tamanho.
A figura mostra uma das posições de uma técnica chamada afastamento.
[IMAGEM CONTIDA NO ARQUIVO]
Nessa posição, os dois remos se encontram no ponto A e suas outras extremidades
estão indicadas pelos pontos B e C. Esses três pontos formam um triângulo ABC cujo
ângulo BÂC tem medida de 170°.
O tipo de triângulo com vértices nos pontos A, B e C, no momento em que o remador
está nessa posição, é:</v>
      </c>
      <c r="M177" s="3" t="str">
        <f ca="1">IFERROR(__xludf.DUMMYFUNCTION("""COMPUTED_VALUE"""),"retângulo escaleno.")</f>
        <v>retângulo escaleno.</v>
      </c>
      <c r="N177" s="3" t="str">
        <f ca="1">IFERROR(__xludf.DUMMYFUNCTION("""COMPUTED_VALUE"""),"acutângulo escaleno.")</f>
        <v>acutângulo escaleno.</v>
      </c>
      <c r="O177" s="3" t="str">
        <f ca="1">IFERROR(__xludf.DUMMYFUNCTION("""COMPUTED_VALUE"""),"acutângulo isósceles.")</f>
        <v>acutângulo isósceles.</v>
      </c>
      <c r="P177" s="3" t="str">
        <f ca="1">IFERROR(__xludf.DUMMYFUNCTION("""COMPUTED_VALUE"""),"obtusângulo escaleno.")</f>
        <v>obtusângulo escaleno.</v>
      </c>
      <c r="Q177" s="3" t="str">
        <f ca="1">IFERROR(__xludf.DUMMYFUNCTION("""COMPUTED_VALUE"""),"obtusângulo isósceles.")</f>
        <v>obtusângulo isósceles.</v>
      </c>
      <c r="R177" s="3"/>
      <c r="S177" s="3"/>
      <c r="T177" s="3"/>
      <c r="U177" s="3"/>
      <c r="V177" s="3"/>
      <c r="W177" s="3"/>
      <c r="X177" s="3"/>
      <c r="Y177" s="3"/>
      <c r="Z177" s="3"/>
    </row>
    <row r="178" spans="1:26" x14ac:dyDescent="0.2">
      <c r="A178" s="2" t="str">
        <f ca="1">IFERROR(__xludf.DUMMYFUNCTION("""COMPUTED_VALUE"""),"https://drive.google.com/open?id=1YQaqSQjp8VHg5l1hD-1TEWrne-4YlEE3")</f>
        <v>https://drive.google.com/open?id=1YQaqSQjp8VHg5l1hD-1TEWrne-4YlEE3</v>
      </c>
      <c r="B178" s="3" t="str">
        <f ca="1">IFERROR(__xludf.DUMMYFUNCTION("""COMPUTED_VALUE"""),"Enem")</f>
        <v>Enem</v>
      </c>
      <c r="C178" s="3">
        <f ca="1">IFERROR(__xludf.DUMMYFUNCTION("""COMPUTED_VALUE"""),2018)</f>
        <v>2018</v>
      </c>
      <c r="D178" s="3" t="str">
        <f ca="1">IFERROR(__xludf.DUMMYFUNCTION("""COMPUTED_VALUE"""),"Matemática")</f>
        <v>Matemática</v>
      </c>
      <c r="E178" s="3" t="str">
        <f ca="1">IFERROR(__xludf.DUMMYFUNCTION("""COMPUTED_VALUE"""),"Matemática")</f>
        <v>Matemática</v>
      </c>
      <c r="F178" s="3" t="str">
        <f ca="1">IFERROR(__xludf.DUMMYFUNCTION("""COMPUTED_VALUE"""),"Aritmética e Algebra")</f>
        <v>Aritmética e Algebra</v>
      </c>
      <c r="G178" s="3" t="str">
        <f ca="1">IFERROR(__xludf.DUMMYFUNCTION("""COMPUTED_VALUE"""),"Geometria")</f>
        <v>Geometria</v>
      </c>
      <c r="H178" s="3"/>
      <c r="I178" s="3" t="str">
        <f ca="1">IFERROR(__xludf.DUMMYFUNCTION("""COMPUTED_VALUE"""),"Amarelo")</f>
        <v>Amarelo</v>
      </c>
      <c r="J178" s="3">
        <f ca="1">IFERROR(__xludf.DUMMYFUNCTION("""COMPUTED_VALUE"""),140)</f>
        <v>140</v>
      </c>
      <c r="K178" s="3" t="str">
        <f ca="1">IFERROR(__xludf.DUMMYFUNCTION("""COMPUTED_VALUE"""),"D")</f>
        <v>D</v>
      </c>
      <c r="L178" s="3" t="str">
        <f ca="1">IFERROR(__xludf.DUMMYFUNCTION("""COMPUTED_VALUE"""),"Um rapaz estuda em uma escola que fica longe de sua casa, e por isso precisa
utilizar o transporte público. Como é muito observador, todos os dias ele anota a
hora exata (sem considerar os segundos) em que o ônibus passa pelo ponto de
espera. Também notou"&amp;" que nunca consegue chegar ao ponto de ônibus antes de
6 h 15 min da manhã. Analisando os dados coletados durante o mês de fevereiro,
o qual teve 21 dias letivos, ele concluiu que 6 h 21 min foi o que mais se repetiu, e que a mediana do conjunto de dados "&amp;"é 6 h 22 min.
A probabilidade de que, em algum dos dias letivos de fevereiro, esse rapaz tenha
apanhado o ônibus antes de 6 h 21 min da manhã é, no máximo,")</f>
        <v>Um rapaz estuda em uma escola que fica longe de sua casa, e por isso precisa
utilizar o transporte público. Como é muito observador, todos os dias ele anota a
hora exata (sem considerar os segundos) em que o ônibus passa pelo ponto de
espera. Também notou que nunca consegue chegar ao ponto de ônibus antes de
6 h 15 min da manhã. Analisando os dados coletados durante o mês de fevereiro,
o qual teve 21 dias letivos, ele concluiu que 6 h 21 min foi o que mais se repetiu, e que a mediana do conjunto de dados é 6 h 22 min.
A probabilidade de que, em algum dos dias letivos de fevereiro, esse rapaz tenha
apanhado o ônibus antes de 6 h 21 min da manhã é, no máximo,</v>
      </c>
      <c r="M178" s="3" t="str">
        <f ca="1">IFERROR(__xludf.DUMMYFUNCTION("""COMPUTED_VALUE"""),"4/21")</f>
        <v>4/21</v>
      </c>
      <c r="N178" s="3" t="str">
        <f ca="1">IFERROR(__xludf.DUMMYFUNCTION("""COMPUTED_VALUE"""),"5/21")</f>
        <v>5/21</v>
      </c>
      <c r="O178" s="3" t="str">
        <f ca="1">IFERROR(__xludf.DUMMYFUNCTION("""COMPUTED_VALUE"""),"6/21")</f>
        <v>6/21</v>
      </c>
      <c r="P178" s="3" t="str">
        <f ca="1">IFERROR(__xludf.DUMMYFUNCTION("""COMPUTED_VALUE"""),"7/21")</f>
        <v>7/21</v>
      </c>
      <c r="Q178" s="3" t="str">
        <f ca="1">IFERROR(__xludf.DUMMYFUNCTION("""COMPUTED_VALUE"""),"8/21")</f>
        <v>8/21</v>
      </c>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hyperlinks>
    <hyperlink ref="A3" r:id="rId1" display="https://drive.google.com/open?id=1NL94g-7XybFSKTZgLX8eoEOTR7FKCSXQ" xr:uid="{00000000-0004-0000-0100-000000000000}"/>
    <hyperlink ref="A4" r:id="rId2" display="https://drive.google.com/open?id=1W94bxs_7Z2-9dY7FBHCUS86gYt4Ot4GN" xr:uid="{00000000-0004-0000-0100-000001000000}"/>
    <hyperlink ref="A5" r:id="rId3" display="https://drive.google.com/open?id=1yC594PHRYdASnExHXFvIV00MkjuuQbOk" xr:uid="{00000000-0004-0000-0100-000002000000}"/>
    <hyperlink ref="A6" r:id="rId4" display="https://drive.google.com/open?id=1_OChKYB3zALFaKVcWoIrvrI-vTqRqpXn" xr:uid="{00000000-0004-0000-0100-000003000000}"/>
    <hyperlink ref="A7" r:id="rId5" display="https://drive.google.com/open?id=1uzDafALIDiDvi4mGpEydY-hD1lvCAHFf" xr:uid="{00000000-0004-0000-0100-000004000000}"/>
    <hyperlink ref="A8" r:id="rId6" display="https://drive.google.com/open?id=1-C8HtaadAShQcjP0QHweCuz155BZBsqa" xr:uid="{00000000-0004-0000-0100-000005000000}"/>
    <hyperlink ref="A9" r:id="rId7" display="https://drive.google.com/open?id=1r_Hxkz7t81ZvNmGdYvsf6zas4nGYeUjx" xr:uid="{00000000-0004-0000-0100-000006000000}"/>
    <hyperlink ref="A10" r:id="rId8" display="https://drive.google.com/open?id=1p96KNTNepar8SQY1dWS4CXXjqtorkjYp" xr:uid="{00000000-0004-0000-0100-000007000000}"/>
    <hyperlink ref="A11" r:id="rId9" display="https://drive.google.com/open?id=1ByFEUzfnLHfdyA1zdFXnRhG4FeRr-Oua" xr:uid="{00000000-0004-0000-0100-000008000000}"/>
    <hyperlink ref="A12" r:id="rId10" display="https://drive.google.com/open?id=135ICu-nTszGnTy5HeGacY_0w-z3ugk95" xr:uid="{00000000-0004-0000-0100-000009000000}"/>
    <hyperlink ref="A13" r:id="rId11" display="https://drive.google.com/open?id=1RuSFsGGjpDV7Z_RMwdeJr60dwaiELRMM" xr:uid="{00000000-0004-0000-0100-00000A000000}"/>
    <hyperlink ref="A14" r:id="rId12" display="https://drive.google.com/open?id=1KdFQmBYdp-9DOTGHsh0fZZMzjN74oZnz" xr:uid="{00000000-0004-0000-0100-00000B000000}"/>
    <hyperlink ref="A15" r:id="rId13" display="https://drive.google.com/open?id=1MTTpFHPyYTMzeEVcIGHGV2i76jJxSe3_" xr:uid="{00000000-0004-0000-0100-00000C000000}"/>
    <hyperlink ref="A16" r:id="rId14" display="https://drive.google.com/open?id=1Rk_iB589r0ZtTgPU99o2w2gKgbME94Mm" xr:uid="{00000000-0004-0000-0100-00000D000000}"/>
    <hyperlink ref="A17" r:id="rId15" display="https://drive.google.com/open?id=1EF9DaX4W3zpjiErNVOmoqCe0GDKAL4y6" xr:uid="{00000000-0004-0000-0100-00000E000000}"/>
    <hyperlink ref="A18" r:id="rId16" display="https://drive.google.com/open?id=1KCmXWUiMBX2aNJdE3eHhnZ-KKIwgiGsB" xr:uid="{00000000-0004-0000-0100-00000F000000}"/>
    <hyperlink ref="A19" r:id="rId17" display="https://drive.google.com/open?id=1PYl-Hdoh7Vke95qA2n8IltEdDadvlY5D" xr:uid="{00000000-0004-0000-0100-000010000000}"/>
    <hyperlink ref="A20" r:id="rId18" display="https://drive.google.com/open?id=1ORRrwk4uMkG-Mx6XU5jgpo55m9qYqTXq" xr:uid="{00000000-0004-0000-0100-000011000000}"/>
    <hyperlink ref="A21" r:id="rId19" display="https://drive.google.com/open?id=132IEnJiZ5dtzWAjQWBcgAsGfPMGHjHtv" xr:uid="{00000000-0004-0000-0100-000012000000}"/>
    <hyperlink ref="A22" r:id="rId20" display="https://drive.google.com/open?id=1M229EJy5i7Nz08phWw2Wjk1cipPitI14" xr:uid="{00000000-0004-0000-0100-000013000000}"/>
    <hyperlink ref="A23" r:id="rId21" display="https://drive.google.com/open?id=1dUMTCyjRypsydrj08-k6OsWvQPzmIIlC" xr:uid="{00000000-0004-0000-0100-000014000000}"/>
    <hyperlink ref="A24" r:id="rId22" display="https://drive.google.com/open?id=1Z9gGaJHiSFvTXMwznSNrPArtaHuqJufp" xr:uid="{00000000-0004-0000-0100-000015000000}"/>
    <hyperlink ref="A25" r:id="rId23" display="https://drive.google.com/open?id=1ewME9Qe9bUU5H1FnEbFWqXsPLhU6RpjA" xr:uid="{00000000-0004-0000-0100-000016000000}"/>
    <hyperlink ref="A26" r:id="rId24" display="https://drive.google.com/open?id=1Lr6_P8bw9gVAhImAgDCpZ12iJfmwP7M7" xr:uid="{00000000-0004-0000-0100-000017000000}"/>
    <hyperlink ref="A27" r:id="rId25" display="https://drive.google.com/open?id=13E-f3R8EniH08UWsUvE7i1j7cCPkq7hc" xr:uid="{00000000-0004-0000-0100-000018000000}"/>
    <hyperlink ref="A28" r:id="rId26" display="https://drive.google.com/open?id=1pazox9q6mRBAYc2UPy6FMsBJEHaXnQsJ" xr:uid="{00000000-0004-0000-0100-000019000000}"/>
    <hyperlink ref="A29" r:id="rId27" display="https://drive.google.com/open?id=1rI2XVZdHqHtn2FGNZU1SuGF54qO-pRDZ" xr:uid="{00000000-0004-0000-0100-00001A000000}"/>
    <hyperlink ref="A30" r:id="rId28" display="https://drive.google.com/open?id=1Fajx3W91ZYUeazTy9teqMEqfotqihoLn" xr:uid="{00000000-0004-0000-0100-00001B000000}"/>
    <hyperlink ref="A31" r:id="rId29" display="https://drive.google.com/open?id=1vvIZ2hSqjXoxlAwxqTe50O9M3qPWTKi7" xr:uid="{00000000-0004-0000-0100-00001C000000}"/>
    <hyperlink ref="A32" r:id="rId30" display="https://drive.google.com/open?id=1kywtTt-ZdCFMbk7B8Z1Qomf_57KoJADR" xr:uid="{00000000-0004-0000-0100-00001D000000}"/>
    <hyperlink ref="A33" r:id="rId31" display="https://drive.google.com/open?id=1lEhdQ36teqoR2-cE1TviDr_MKiYRMRBO" xr:uid="{00000000-0004-0000-0100-00001E000000}"/>
    <hyperlink ref="A34" r:id="rId32" display="https://drive.google.com/open?id=1tlRMbSV292t1f4WpaDRLMdqqY7JRmkAp" xr:uid="{00000000-0004-0000-0100-00001F000000}"/>
    <hyperlink ref="A35" r:id="rId33" display="https://drive.google.com/open?id=1uu785Ijmm5i5hF1K63duqKTKxGcynaNl" xr:uid="{00000000-0004-0000-0100-000020000000}"/>
    <hyperlink ref="A36" r:id="rId34" display="https://drive.google.com/open?id=1yRDd5R0-wP2OWRxoEcHykhLFLcFyaVgk" xr:uid="{00000000-0004-0000-0100-000021000000}"/>
    <hyperlink ref="A37" r:id="rId35" display="https://drive.google.com/open?id=15E22_LrVcx56GbhEOBU46KAi6mfeBWTy" xr:uid="{00000000-0004-0000-0100-000022000000}"/>
    <hyperlink ref="A38" r:id="rId36" display="https://drive.google.com/open?id=1UuFIWlbjDb-HalIeajSh0TStzEH7Khtr" xr:uid="{00000000-0004-0000-0100-000023000000}"/>
    <hyperlink ref="A39" r:id="rId37" display="https://drive.google.com/open?id=1ZR1rhznUwxAQclUYF6tqXvdKhGuWq9Ta" xr:uid="{00000000-0004-0000-0100-000024000000}"/>
    <hyperlink ref="A40" r:id="rId38" display="https://drive.google.com/open?id=1L9d9arx-xDaz0JIx57HqiAt-I1okdIiI" xr:uid="{00000000-0004-0000-0100-000025000000}"/>
    <hyperlink ref="A41" r:id="rId39" display="https://drive.google.com/open?id=1hQ40B9afsrCQZFsdn4vY4zgGKPW6EOmY" xr:uid="{00000000-0004-0000-0100-000026000000}"/>
    <hyperlink ref="A42" r:id="rId40" display="https://drive.google.com/open?id=1FPM1V_XlBmHdPHFmJzjszrXiag7j86eh" xr:uid="{00000000-0004-0000-0100-000027000000}"/>
    <hyperlink ref="A43" r:id="rId41" display="https://drive.google.com/open?id=1fD0GYjVJCKiLY2xqKdkiGaB0qE7zMerg" xr:uid="{00000000-0004-0000-0100-000028000000}"/>
    <hyperlink ref="A44" r:id="rId42" display="https://drive.google.com/open?id=1adcOIeS8WPunZcUsqvchJpcqj1qtOmqw" xr:uid="{00000000-0004-0000-0100-000029000000}"/>
    <hyperlink ref="A45" r:id="rId43" display="https://drive.google.com/open?id=1rUU8lBoVaTW6M1lo72OMt943he_AKbcy" xr:uid="{00000000-0004-0000-0100-00002A000000}"/>
    <hyperlink ref="A46" r:id="rId44" display="https://drive.google.com/open?id=1Uxn6aDc8498h7BYqFrKq8Z-y2p3BadmZ" xr:uid="{00000000-0004-0000-0100-00002B000000}"/>
    <hyperlink ref="A47" r:id="rId45" display="https://drive.google.com/open?id=1GQTHkPIFEZZlimFiohJ9JAtja7-XPbiS" xr:uid="{00000000-0004-0000-0100-00002C000000}"/>
    <hyperlink ref="A48" r:id="rId46" display="https://drive.google.com/open?id=1S9fgBnGZZQgbWX3inKlrorqQ1B9QM4iT" xr:uid="{00000000-0004-0000-0100-00002D000000}"/>
    <hyperlink ref="A49" r:id="rId47" display="https://drive.google.com/open?id=1NfG_j96BGZdXV8oBQHgHgDbEsXNId1bQ" xr:uid="{00000000-0004-0000-0100-00002E000000}"/>
    <hyperlink ref="A50" r:id="rId48" display="https://drive.google.com/open?id=1nQXghGbqYcgUMmrLLxWIShh988mf-i-S" xr:uid="{00000000-0004-0000-0100-00002F000000}"/>
    <hyperlink ref="A51" r:id="rId49" display="https://drive.google.com/open?id=1Fb_gSJOrlw0FUnDuPaByNMLu3Y0EpObV" xr:uid="{00000000-0004-0000-0100-000030000000}"/>
    <hyperlink ref="A52" r:id="rId50" display="https://drive.google.com/open?id=1iyxAiDKlRRbyVtODY80-ncAdZ38AGrC8" xr:uid="{00000000-0004-0000-0100-000031000000}"/>
    <hyperlink ref="A53" r:id="rId51" display="https://drive.google.com/open?id=1RX4O-IQN33YEVfTrFwekF9m_xFtCZXkh" xr:uid="{00000000-0004-0000-0100-000032000000}"/>
    <hyperlink ref="A54" r:id="rId52" display="https://drive.google.com/open?id=1EgthPuR8Zhc6vekWTuZZvTdSyFZYRm-A" xr:uid="{00000000-0004-0000-0100-000033000000}"/>
    <hyperlink ref="A55" r:id="rId53" display="https://drive.google.com/open?id=1mqtMmPSA7WP8_zCbXIk3wJqzuhujQZoP" xr:uid="{00000000-0004-0000-0100-000034000000}"/>
    <hyperlink ref="A56" r:id="rId54" display="https://drive.google.com/open?id=1n9Qa1HwKCOhVWXGwtBahrkHDEt-zh6i9" xr:uid="{00000000-0004-0000-0100-000035000000}"/>
    <hyperlink ref="A57" r:id="rId55" display="https://drive.google.com/open?id=1wRY2eSa5SY5MSOlaJK6TrCe_3TtmC2T3" xr:uid="{00000000-0004-0000-0100-000036000000}"/>
    <hyperlink ref="A58" r:id="rId56" display="https://drive.google.com/open?id=1TKcBDI1dkVnlY65t2vCSt_yAwMkS5-Oz" xr:uid="{00000000-0004-0000-0100-000037000000}"/>
    <hyperlink ref="A59" r:id="rId57" display="https://drive.google.com/open?id=1GDqefiWkPRpPRC_TDB5xrUtkLShKTWC2" xr:uid="{00000000-0004-0000-0100-000038000000}"/>
    <hyperlink ref="A60" r:id="rId58" display="https://drive.google.com/open?id=1YE73np9jxPZ3rLrri_bO2gjwVjCAfvBN" xr:uid="{00000000-0004-0000-0100-000039000000}"/>
    <hyperlink ref="A61" r:id="rId59" display="https://drive.google.com/open?id=1S-_4n-V8Tf_iuxqJYjR3Nv2Gj8oy6OhE" xr:uid="{00000000-0004-0000-0100-00003A000000}"/>
    <hyperlink ref="A62" r:id="rId60" display="https://drive.google.com/open?id=1LnGTO01S93F21u5q432zK3kIeHLiRikD" xr:uid="{00000000-0004-0000-0100-00003B000000}"/>
    <hyperlink ref="A63" r:id="rId61" display="https://drive.google.com/open?id=1IQkfULACka2A1hijfhRsi7iArS-IXl6B" xr:uid="{00000000-0004-0000-0100-00003C000000}"/>
    <hyperlink ref="A64" r:id="rId62" display="https://drive.google.com/open?id=15vGyAFLjwLpOzIzwcu4lyeYSdgJKo6Ne" xr:uid="{00000000-0004-0000-0100-00003D000000}"/>
    <hyperlink ref="A65" r:id="rId63" display="https://drive.google.com/open?id=1z-IqDCMAmZg9J8MDK9mcDeLOmJv_9sci" xr:uid="{00000000-0004-0000-0100-00003E000000}"/>
    <hyperlink ref="A66" r:id="rId64" display="https://drive.google.com/open?id=1h_SckoDRWeGkt-D783iNptVuA3DpL4tW" xr:uid="{00000000-0004-0000-0100-00003F000000}"/>
    <hyperlink ref="A67" r:id="rId65" display="https://drive.google.com/open?id=1HFCYZ_vH8xISsT3hNA16ow2h2KqXgjpE" xr:uid="{00000000-0004-0000-0100-000040000000}"/>
    <hyperlink ref="A68" r:id="rId66" display="https://drive.google.com/open?id=1B-G-3yozFa-djBSBT4wu6WT4Qcrwae-n" xr:uid="{00000000-0004-0000-0100-000041000000}"/>
    <hyperlink ref="A69" r:id="rId67" display="https://drive.google.com/open?id=1nPIZ3ZQ8ARMv_0LEd7x5FI1xTIcrfYql" xr:uid="{00000000-0004-0000-0100-000042000000}"/>
    <hyperlink ref="A70" r:id="rId68" display="https://drive.google.com/open?id=1WaLJIWXqQk6YHdyRTD9KnGIgh703astR" xr:uid="{00000000-0004-0000-0100-000043000000}"/>
    <hyperlink ref="A71" r:id="rId69" display="https://drive.google.com/open?id=1OM08pH11kirVVZWGz267olVn1NJyuVD9" xr:uid="{00000000-0004-0000-0100-000044000000}"/>
    <hyperlink ref="A72" r:id="rId70" display="https://drive.google.com/open?id=19IA3ziA80GpL4OeOnRnDE-GppPRaBjyj" xr:uid="{00000000-0004-0000-0100-000045000000}"/>
    <hyperlink ref="A73" r:id="rId71" display="https://drive.google.com/open?id=1vHSubPRDJZMn4uMwb-R3KljA3IyYq4al" xr:uid="{00000000-0004-0000-0100-000046000000}"/>
    <hyperlink ref="A74" r:id="rId72" display="https://drive.google.com/open?id=1-rigo8wXxrWQ2WDfjt2o3oyATbfMdbvJ" xr:uid="{00000000-0004-0000-0100-000047000000}"/>
    <hyperlink ref="A75" r:id="rId73" display="https://drive.google.com/open?id=1YrAFNwYXPKKdbSLDuHgSYrwjHQhJURPn" xr:uid="{00000000-0004-0000-0100-000048000000}"/>
    <hyperlink ref="A76" r:id="rId74" display="https://drive.google.com/open?id=1vdrArF8NH9JkVSaA6tkFCwkcOIQVjvGu" xr:uid="{00000000-0004-0000-0100-000049000000}"/>
    <hyperlink ref="A77" r:id="rId75" display="https://drive.google.com/open?id=1MvUrXdH_ql0F_QudnOMKVva5ivwpk2Hr" xr:uid="{00000000-0004-0000-0100-00004A000000}"/>
    <hyperlink ref="A78" r:id="rId76" display="https://drive.google.com/open?id=1vLP0xbx2AuARSTb8JSFa_n3sPyvSGAtn" xr:uid="{00000000-0004-0000-0100-00004B000000}"/>
    <hyperlink ref="A79" r:id="rId77" display="https://drive.google.com/open?id=1vb6SpnFpO7QpjL2NKKt3zcZffgjslj3K" xr:uid="{00000000-0004-0000-0100-00004C000000}"/>
    <hyperlink ref="A80" r:id="rId78" display="https://drive.google.com/open?id=15xdJnqzGszobad7URuO_lUfVxHcgivwk" xr:uid="{00000000-0004-0000-0100-00004D000000}"/>
    <hyperlink ref="A81" r:id="rId79" display="https://drive.google.com/open?id=14Bv8y_3du3aUApVTkh9lMshEAH7dN1ug" xr:uid="{00000000-0004-0000-0100-00004E000000}"/>
    <hyperlink ref="A82" r:id="rId80" display="https://drive.google.com/open?id=1cvRewWdWPWUOPDpFm5glm9STq65-PRzQ" xr:uid="{00000000-0004-0000-0100-00004F000000}"/>
    <hyperlink ref="A83" r:id="rId81" display="https://drive.google.com/open?id=1Fb1xXFTBQQpc6DBpSD_w0maptRy-fk8e" xr:uid="{00000000-0004-0000-0100-000050000000}"/>
    <hyperlink ref="A84" r:id="rId82" display="https://drive.google.com/open?id=1uAheop3lSl_XZi3VWAoSDnPlZrOtZgzf" xr:uid="{00000000-0004-0000-0100-000051000000}"/>
    <hyperlink ref="A85" r:id="rId83" display="https://drive.google.com/open?id=16orVnjjB-g9Qq6UcwSa26Jbw7QSb-eVN" xr:uid="{00000000-0004-0000-0100-000052000000}"/>
    <hyperlink ref="A86" r:id="rId84" display="https://drive.google.com/open?id=1ykvpp3K38nSriDoNDB58c9P-7pjLCmzc" xr:uid="{00000000-0004-0000-0100-000053000000}"/>
    <hyperlink ref="A87" r:id="rId85" display="https://drive.google.com/open?id=19AQ5kfEefB6y84-_g3ozlKyxmT5m1yZi" xr:uid="{00000000-0004-0000-0100-000054000000}"/>
    <hyperlink ref="A88" r:id="rId86" display="https://drive.google.com/open?id=1UpZW17UMtU_Yn4Zbh8UwC_a6VF7FR1De" xr:uid="{00000000-0004-0000-0100-000055000000}"/>
    <hyperlink ref="A89" r:id="rId87" display="https://drive.google.com/open?id=1CYL-JEu1m_NmjeNgx6ZFJcYaWjuotkHz" xr:uid="{00000000-0004-0000-0100-000056000000}"/>
    <hyperlink ref="A90" r:id="rId88" display="https://drive.google.com/open?id=1HId2s5OCE9AGyUxf9PbjLJJtWDH_OEoJ" xr:uid="{00000000-0004-0000-0100-000057000000}"/>
    <hyperlink ref="A91" r:id="rId89" display="https://drive.google.com/open?id=1Ind4ZLaOr5EW4Vjo56f_G9QQ4dmq8_xa" xr:uid="{00000000-0004-0000-0100-000058000000}"/>
    <hyperlink ref="A92" r:id="rId90" display="https://drive.google.com/open?id=1DbhU2WJAYm1gpf6aS-ePuZ09bn5JcdAs" xr:uid="{00000000-0004-0000-0100-000059000000}"/>
    <hyperlink ref="A93" r:id="rId91" display="https://drive.google.com/open?id=1ONus_lRoFRa7HGeVFP6NJcxTFEHF6Hny" xr:uid="{00000000-0004-0000-0100-00005A000000}"/>
    <hyperlink ref="A94" r:id="rId92" display="https://drive.google.com/open?id=16jeb4iL4gKmZ0f3fwubaaTbDsPkHjZeX" xr:uid="{00000000-0004-0000-0100-00005B000000}"/>
    <hyperlink ref="A95" r:id="rId93" display="https://drive.google.com/open?id=1DMaorImdwq1KsxuynZYpwBuxX9ha4T3W" xr:uid="{00000000-0004-0000-0100-00005C000000}"/>
    <hyperlink ref="A96" r:id="rId94" display="https://drive.google.com/open?id=12wJ06s4N1NmGQuDjk7kfBEVsCXf834rJ" xr:uid="{00000000-0004-0000-0100-00005D000000}"/>
    <hyperlink ref="A97" r:id="rId95" display="https://drive.google.com/open?id=1Sv-CtUVQLNPBLBph1dkJkJwzM7lLvwFg" xr:uid="{00000000-0004-0000-0100-00005E000000}"/>
    <hyperlink ref="A98" r:id="rId96" display="https://drive.google.com/open?id=1QC8LVv1-6-DdU9RebfNPorXi1xOyrbR8" xr:uid="{00000000-0004-0000-0100-00005F000000}"/>
    <hyperlink ref="A99" r:id="rId97" display="https://drive.google.com/open?id=1BwcruElr9-djNKE0aOT7wWHLAUjwyBDG" xr:uid="{00000000-0004-0000-0100-000060000000}"/>
    <hyperlink ref="A100" r:id="rId98" display="https://drive.google.com/open?id=1MowGKBs4nVoP3rvaM3sCJPezFwd8DV5i" xr:uid="{00000000-0004-0000-0100-000061000000}"/>
    <hyperlink ref="A101" r:id="rId99" display="https://drive.google.com/open?id=1JnMZZ1F1Ig4jFsudxFxhnPwVwRJhgCxd" xr:uid="{00000000-0004-0000-0100-000062000000}"/>
    <hyperlink ref="A102" r:id="rId100" display="https://drive.google.com/open?id=11QZw9AwR3iac6mXk0ygtj_p2ZzGKGnxe" xr:uid="{00000000-0004-0000-0100-000063000000}"/>
    <hyperlink ref="A103" r:id="rId101" display="https://drive.google.com/open?id=1p13_hcjfbEhgGwgCS2UufCs9nEYsyeyy" xr:uid="{00000000-0004-0000-0100-000064000000}"/>
    <hyperlink ref="A104" r:id="rId102" display="https://drive.google.com/open?id=1Y-0kNtJM9zL6o3vYwuBAev7jLQWuJ9pU" xr:uid="{00000000-0004-0000-0100-000065000000}"/>
    <hyperlink ref="A105" r:id="rId103" display="https://drive.google.com/open?id=1GZ6mZzL0cbpOEbvnmBa9hQ2qupBULvwI" xr:uid="{00000000-0004-0000-0100-000066000000}"/>
    <hyperlink ref="A106" r:id="rId104" display="https://drive.google.com/open?id=1BHVWnXWsSVxHdyjuHS2IVNlrSYfPT9cZ" xr:uid="{00000000-0004-0000-0100-000067000000}"/>
    <hyperlink ref="A107" r:id="rId105" display="https://drive.google.com/open?id=1jcogJRrj8WE2o8CODTYkZ5i4SFH7wzkx" xr:uid="{00000000-0004-0000-0100-000068000000}"/>
    <hyperlink ref="A108" r:id="rId106" display="https://drive.google.com/open?id=1BO3b--hkAHXvopUSKRGe90BVssQ9uwb6" xr:uid="{00000000-0004-0000-0100-000069000000}"/>
    <hyperlink ref="A109" r:id="rId107" display="https://drive.google.com/open?id=137fgTpOFGX32bK_DpeGGIC-ov595TO17" xr:uid="{00000000-0004-0000-0100-00006A000000}"/>
    <hyperlink ref="A110" r:id="rId108" display="https://drive.google.com/open?id=10zZxHII0ar3JqDtJD1b2ROfNwWFhvq13" xr:uid="{00000000-0004-0000-0100-00006B000000}"/>
    <hyperlink ref="A111" r:id="rId109" display="https://drive.google.com/open?id=13YkTf8-O7GM6-87B19EMyB5QKd3yyOfj" xr:uid="{00000000-0004-0000-0100-00006C000000}"/>
    <hyperlink ref="A112" r:id="rId110" display="https://drive.google.com/open?id=1DrtoMc2OvmYH7SFQcEFe3LybUFsD2Ziy" xr:uid="{00000000-0004-0000-0100-00006D000000}"/>
    <hyperlink ref="A113" r:id="rId111" display="https://drive.google.com/open?id=1Pbm7zidEC3Z67dtP6cE62pwTkGv65cEp" xr:uid="{00000000-0004-0000-0100-00006E000000}"/>
    <hyperlink ref="A114" r:id="rId112" display="https://drive.google.com/open?id=1RwyTu3NwuNJsBjQOqfr4IgESawaaaASD" xr:uid="{00000000-0004-0000-0100-00006F000000}"/>
    <hyperlink ref="A115" r:id="rId113" display="https://drive.google.com/open?id=1uDtiaJjuX7-K0145GTyhVD67vWPq9n-R" xr:uid="{00000000-0004-0000-0100-000070000000}"/>
    <hyperlink ref="A116" r:id="rId114" display="https://drive.google.com/open?id=1U3Ic2Fd2ZCvCl8nLZvuzsivwuINaPlLr" xr:uid="{00000000-0004-0000-0100-000071000000}"/>
    <hyperlink ref="A117" r:id="rId115" display="https://drive.google.com/open?id=1I3w-FfMGm_9pguQGzA0zEC8Oqo3itWL1" xr:uid="{00000000-0004-0000-0100-000072000000}"/>
    <hyperlink ref="A118" r:id="rId116" display="https://drive.google.com/open?id=1VWAsV3SYeDXhamjMVk3esak5QwR8CXsu" xr:uid="{00000000-0004-0000-0100-000073000000}"/>
    <hyperlink ref="A119" r:id="rId117" display="https://drive.google.com/open?id=1EiT1zqAJyXn8YR8Q8bSKqEN5szbQjNpP" xr:uid="{00000000-0004-0000-0100-000074000000}"/>
    <hyperlink ref="A120" r:id="rId118" display="https://drive.google.com/open?id=18eqQvfA0sKYFUUoZ6fm0CgH1fGgpLsmQ" xr:uid="{00000000-0004-0000-0100-000075000000}"/>
    <hyperlink ref="A121" r:id="rId119" display="https://drive.google.com/open?id=1ffkoKHEo8wYyUGQ10x4dNwjCXlDy4x8-" xr:uid="{00000000-0004-0000-0100-000076000000}"/>
    <hyperlink ref="A122" r:id="rId120" display="https://drive.google.com/open?id=1JpeCOr9Q1qseJu2HGo7gwXpkMEJ5Sxps" xr:uid="{00000000-0004-0000-0100-000077000000}"/>
    <hyperlink ref="A123" r:id="rId121" display="https://drive.google.com/open?id=1TulMV1MLzHI0W_hn0WdlYhqeQrcdpdQZ" xr:uid="{00000000-0004-0000-0100-000078000000}"/>
    <hyperlink ref="A124" r:id="rId122" display="https://drive.google.com/open?id=1cRfWbGO5HDLNvl7fHjSLhEgRluD92u1M" xr:uid="{00000000-0004-0000-0100-000079000000}"/>
    <hyperlink ref="A125" r:id="rId123" display="https://drive.google.com/open?id=1oVU0Tp6NHGicSIv18P11SgGccIUqsh0N" xr:uid="{00000000-0004-0000-0100-00007A000000}"/>
    <hyperlink ref="A126" r:id="rId124" display="https://drive.google.com/open?id=1HGck9r0yUGegbgHkBaxYvDxSlp2A8do_" xr:uid="{00000000-0004-0000-0100-00007B000000}"/>
    <hyperlink ref="A127" r:id="rId125" display="https://drive.google.com/open?id=1nk465PDBr0HOCaUk6sQdfhdUp0g0ist7" xr:uid="{00000000-0004-0000-0100-00007C000000}"/>
    <hyperlink ref="A128" r:id="rId126" display="https://drive.google.com/open?id=1MJkETpROneOvWMBgSz8iJbgM1TKc20qe" xr:uid="{00000000-0004-0000-0100-00007D000000}"/>
    <hyperlink ref="A129" r:id="rId127" display="https://drive.google.com/open?id=1qDtihalOEUQ07991VaH1Cc0aUzHy1GfS" xr:uid="{00000000-0004-0000-0100-00007E000000}"/>
    <hyperlink ref="A130" r:id="rId128" display="https://drive.google.com/open?id=1YnDWl0sxoCRvNIzWLzK5myGTsJ8uswhn" xr:uid="{00000000-0004-0000-0100-00007F000000}"/>
    <hyperlink ref="A131" r:id="rId129" display="https://drive.google.com/open?id=1abH39npmAMxfu5iA8IuamqlTXnRE8eX8" xr:uid="{00000000-0004-0000-0100-000080000000}"/>
    <hyperlink ref="A132" r:id="rId130" display="https://drive.google.com/open?id=1TVojd2X2BGJZeORsXuU0FSY4IBEiPunq" xr:uid="{00000000-0004-0000-0100-000081000000}"/>
    <hyperlink ref="A133" r:id="rId131" display="https://drive.google.com/open?id=1mRKBFVq0cODVyagwTS3lre3wTyYjUlDP" xr:uid="{00000000-0004-0000-0100-000082000000}"/>
    <hyperlink ref="A134" r:id="rId132" display="https://drive.google.com/open?id=14twLiKWPk-Adh0eSkffy78XVoBqQmRwF" xr:uid="{00000000-0004-0000-0100-000083000000}"/>
    <hyperlink ref="A135" r:id="rId133" display="https://drive.google.com/open?id=1_aCUYxQvIv1SDm6h9qUv2SkpjPmSy5fA" xr:uid="{00000000-0004-0000-0100-000084000000}"/>
    <hyperlink ref="A136" r:id="rId134" display="https://drive.google.com/open?id=1jXsd9H4eCm0nSxVNcNRJcVxY4Gvrc126" xr:uid="{00000000-0004-0000-0100-000085000000}"/>
    <hyperlink ref="A137" r:id="rId135" display="https://drive.google.com/open?id=1Doh8TojWc3FzRincyG9XxtUES6tu2DTD" xr:uid="{00000000-0004-0000-0100-000086000000}"/>
    <hyperlink ref="A138" r:id="rId136" display="https://drive.google.com/open?id=13eEBLrhPFeylDmP5j-leUpObx3C-en-Y" xr:uid="{00000000-0004-0000-0100-000087000000}"/>
    <hyperlink ref="A139" r:id="rId137" display="https://drive.google.com/open?id=11uZHyQaBU74wlS08FDIB4g0rr6WLselm" xr:uid="{00000000-0004-0000-0100-000088000000}"/>
    <hyperlink ref="A140" r:id="rId138" display="https://drive.google.com/open?id=1f1fT-coijxvXGyqcO2nOpK7T5RdPbbKX" xr:uid="{00000000-0004-0000-0100-000089000000}"/>
    <hyperlink ref="A141" r:id="rId139" display="https://drive.google.com/open?id=1RyxCL9W6Oz3h6OzioQ9PVEJdIDuQLkki" xr:uid="{00000000-0004-0000-0100-00008A000000}"/>
    <hyperlink ref="A142" r:id="rId140" display="https://drive.google.com/open?id=1I8dP6jKzgC11rQkhWXFHihShLWr0Yu45" xr:uid="{00000000-0004-0000-0100-00008B000000}"/>
    <hyperlink ref="A143" r:id="rId141" display="https://drive.google.com/open?id=1sUPyaOPRMBxHTCXnpk6QxBgn3Rnu8Bhr" xr:uid="{00000000-0004-0000-0100-00008C000000}"/>
    <hyperlink ref="A144" r:id="rId142" display="https://drive.google.com/open?id=1LLb5UVZ9qjFIadDmgnqt0kFehDZAvE_r" xr:uid="{00000000-0004-0000-0100-00008D000000}"/>
    <hyperlink ref="A145" r:id="rId143" display="https://drive.google.com/open?id=12zUL6jw8xYiO6z9kNhc0iqkiHVAfFCRz" xr:uid="{00000000-0004-0000-0100-00008E000000}"/>
    <hyperlink ref="A146" r:id="rId144" display="https://drive.google.com/open?id=1pUwzCOiwCVkrjNEt2FuMotBuYoNaTitn" xr:uid="{00000000-0004-0000-0100-00008F000000}"/>
    <hyperlink ref="A147" r:id="rId145" display="https://drive.google.com/open?id=1stbxBH-HX0LcL1uraWe0p33d27xbHMU6" xr:uid="{00000000-0004-0000-0100-000090000000}"/>
    <hyperlink ref="A148" r:id="rId146" display="https://drive.google.com/open?id=1vCTpIVIyMupMZzZhhXjixc1HVAk0_zI_" xr:uid="{00000000-0004-0000-0100-000091000000}"/>
    <hyperlink ref="A149" r:id="rId147" display="https://drive.google.com/open?id=1oAzbKUPROwZn3gEcmGypAOH8IXHJX5hy" xr:uid="{00000000-0004-0000-0100-000092000000}"/>
    <hyperlink ref="A150" r:id="rId148" display="https://drive.google.com/open?id=1iBMsXpWH7DgNbiRPDDRlf3tR5c00kVNp" xr:uid="{00000000-0004-0000-0100-000093000000}"/>
    <hyperlink ref="A151" r:id="rId149" display="https://drive.google.com/open?id=16ufMy_vgel02YE_LwrSnsm6G5f-HFMiS" xr:uid="{00000000-0004-0000-0100-000094000000}"/>
    <hyperlink ref="A152" r:id="rId150" display="https://drive.google.com/open?id=1mQp1rs4JgNtFhpVj4mfqcWKAb8EUOQ-C" xr:uid="{00000000-0004-0000-0100-000095000000}"/>
    <hyperlink ref="A153" r:id="rId151" display="https://drive.google.com/open?id=1UJ3iFF_7L33FJUfNesMnbdIDqfJTb5_u" xr:uid="{00000000-0004-0000-0100-000096000000}"/>
    <hyperlink ref="A154" r:id="rId152" display="https://drive.google.com/open?id=1bONn3hw8ScikEiYZ7dXoPVWfKu8MOc8C" xr:uid="{00000000-0004-0000-0100-000097000000}"/>
    <hyperlink ref="A155" r:id="rId153" display="https://drive.google.com/open?id=1AQLL-zzuGtkE9IGct9Py-2ApP-td_Our" xr:uid="{00000000-0004-0000-0100-000098000000}"/>
    <hyperlink ref="A156" r:id="rId154" display="https://drive.google.com/open?id=1yDlChVeed_586p7Q1KCCcNL6WI5HzyEe" xr:uid="{00000000-0004-0000-0100-000099000000}"/>
    <hyperlink ref="A157" r:id="rId155" display="https://drive.google.com/open?id=1zVWOfvIA5TWMRCbuWcxoOvVdkO0DlOLH" xr:uid="{00000000-0004-0000-0100-00009A000000}"/>
    <hyperlink ref="A158" r:id="rId156" display="https://drive.google.com/open?id=15Czp3uw0VRNcYgCrBq68D98bVit7O-4z" xr:uid="{00000000-0004-0000-0100-00009B000000}"/>
    <hyperlink ref="A159" r:id="rId157" display="https://drive.google.com/open?id=1IZYyBDTCFBl-IIi92gwM3i5ZmhPRazUK" xr:uid="{00000000-0004-0000-0100-00009C000000}"/>
    <hyperlink ref="A160" r:id="rId158" display="https://drive.google.com/open?id=1yHMV3O4MtWJOsKOgusJSbxvrlPN3gmuV" xr:uid="{00000000-0004-0000-0100-00009D000000}"/>
    <hyperlink ref="A161" r:id="rId159" display="https://drive.google.com/open?id=16MFDCTcUo3sybB3gDqAoOXJx-tD_L08w" xr:uid="{00000000-0004-0000-0100-00009E000000}"/>
    <hyperlink ref="A162" r:id="rId160" display="https://drive.google.com/open?id=12_IaxRvoIVsvtkC29BvvXZmasWOmqx93" xr:uid="{00000000-0004-0000-0100-00009F000000}"/>
    <hyperlink ref="A163" r:id="rId161" display="https://drive.google.com/open?id=1p2DGJBGfisg5kTM9sxfSdG0fB9H4l44N" xr:uid="{00000000-0004-0000-0100-0000A0000000}"/>
    <hyperlink ref="A164" r:id="rId162" display="https://drive.google.com/open?id=1I8UYaXpgmXnTiCT4oeGwV0eIFQx9aViD" xr:uid="{00000000-0004-0000-0100-0000A1000000}"/>
    <hyperlink ref="A165" r:id="rId163" display="https://drive.google.com/open?id=1eP831VaOQMjFuUB9SPx3JrEOKysTiRT9" xr:uid="{00000000-0004-0000-0100-0000A2000000}"/>
    <hyperlink ref="A166" r:id="rId164" display="https://drive.google.com/open?id=1JLTuc_d2q3se3TrAGn32pJdN7v82kqPG" xr:uid="{00000000-0004-0000-0100-0000A3000000}"/>
    <hyperlink ref="A167" r:id="rId165" display="https://drive.google.com/open?id=1BbeBtFdSvpDfZLZS3JIbNIhqoCKZkaJN" xr:uid="{00000000-0004-0000-0100-0000A4000000}"/>
    <hyperlink ref="A168" r:id="rId166" display="https://drive.google.com/open?id=1TVPkr8fw4WcMeYzkODY4eg0kb7UKywCQ" xr:uid="{00000000-0004-0000-0100-0000A5000000}"/>
    <hyperlink ref="A169" r:id="rId167" display="https://drive.google.com/open?id=1Ir94gybubyFGyRZNhorRgABhsXVQowHs" xr:uid="{00000000-0004-0000-0100-0000A6000000}"/>
    <hyperlink ref="A170" r:id="rId168" display="https://drive.google.com/open?id=1BXHYsu0-dFRNjf-zw7XPmYh0Cs9eWZ59" xr:uid="{00000000-0004-0000-0100-0000A7000000}"/>
    <hyperlink ref="A171" r:id="rId169" display="https://drive.google.com/open?id=14jdPtEVsSoX1M292hxgsLOBSbXb9DY0I" xr:uid="{00000000-0004-0000-0100-0000A8000000}"/>
    <hyperlink ref="A172" r:id="rId170" display="https://drive.google.com/open?id=1luy7J08rMLPOmweJomJPOevO_Wx_-rgZ" xr:uid="{00000000-0004-0000-0100-0000A9000000}"/>
    <hyperlink ref="A173" r:id="rId171" display="https://drive.google.com/open?id=1Hktw0Ndm3FSLoXnZHVkF0wwEDV0PkDR5" xr:uid="{00000000-0004-0000-0100-0000AA000000}"/>
    <hyperlink ref="A174" r:id="rId172" display="https://drive.google.com/open?id=1Y-yApkDf1rRELI2KDwxVmaqT41gmGLW7" xr:uid="{00000000-0004-0000-0100-0000AB000000}"/>
    <hyperlink ref="A175" r:id="rId173" display="https://drive.google.com/open?id=1fl1c8hDgI-hDDI3d0zadvqi2puV7wsBW" xr:uid="{00000000-0004-0000-0100-0000AC000000}"/>
    <hyperlink ref="A176" r:id="rId174" display="https://drive.google.com/open?id=1lMXFbCnOfmkG1kfcp7pOJoKsPfKU6a08" xr:uid="{00000000-0004-0000-0100-0000AD000000}"/>
    <hyperlink ref="A177" r:id="rId175" display="https://drive.google.com/open?id=1lss1Ly3sY6wX8sPqJnjEnTbetjOmulnx" xr:uid="{00000000-0004-0000-0100-0000AE000000}"/>
    <hyperlink ref="A178" r:id="rId176" display="https://drive.google.com/open?id=1YQaqSQjp8VHg5l1hD-1TEWrne-4YlEE3" xr:uid="{00000000-0004-0000-0100-0000AF000000}"/>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Cadastro01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Fernando</cp:lastModifiedBy>
  <dcterms:modified xsi:type="dcterms:W3CDTF">2021-08-04T02:42:20Z</dcterms:modified>
</cp:coreProperties>
</file>