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-444" windowWidth="20376" windowHeight="12816" tabRatio="500" firstSheet="4" activeTab="4"/>
  </bookViews>
  <sheets>
    <sheet name="Dados experimentais" sheetId="1" state="hidden" r:id="rId1"/>
    <sheet name="id x vd" sheetId="2" state="hidden" r:id="rId2"/>
    <sheet name="id x vr" sheetId="3" state="hidden" r:id="rId3"/>
    <sheet name="Potencia x Vdd" sheetId="5" state="hidden" r:id="rId4"/>
    <sheet name="Plan1" sheetId="7" r:id="rId5"/>
  </sheets>
  <calcPr calcId="14562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D11" i="1"/>
  <c r="F11" i="1"/>
  <c r="C191" i="7"/>
  <c r="B12" i="1"/>
  <c r="D12" i="1"/>
  <c r="F12" i="1"/>
  <c r="C192" i="7"/>
  <c r="B13" i="1"/>
  <c r="D13" i="1"/>
  <c r="F13" i="1"/>
  <c r="C193" i="7"/>
  <c r="B14" i="1"/>
  <c r="D14" i="1"/>
  <c r="F14" i="1"/>
  <c r="C194" i="7"/>
  <c r="B15" i="1"/>
  <c r="D15" i="1"/>
  <c r="F15" i="1"/>
  <c r="C195" i="7"/>
  <c r="B16" i="1"/>
  <c r="D16" i="1"/>
  <c r="F16" i="1"/>
  <c r="C196" i="7"/>
  <c r="B17" i="1"/>
  <c r="D17" i="1"/>
  <c r="F17" i="1"/>
  <c r="C197" i="7"/>
  <c r="B18" i="1"/>
  <c r="D18" i="1"/>
  <c r="F18" i="1"/>
  <c r="C198" i="7"/>
  <c r="B19" i="1"/>
  <c r="D19" i="1"/>
  <c r="F19" i="1"/>
  <c r="C199" i="7"/>
  <c r="B10" i="1"/>
  <c r="D10" i="1"/>
  <c r="F10" i="1"/>
  <c r="C190" i="7"/>
  <c r="A11" i="1"/>
  <c r="B191" i="7"/>
  <c r="A12" i="1"/>
  <c r="B192" i="7"/>
  <c r="A13" i="1"/>
  <c r="B193" i="7"/>
  <c r="A14" i="1"/>
  <c r="B194" i="7"/>
  <c r="A15" i="1"/>
  <c r="B195" i="7"/>
  <c r="A16" i="1"/>
  <c r="B196" i="7"/>
  <c r="A17" i="1"/>
  <c r="B197" i="7"/>
  <c r="A18" i="1"/>
  <c r="B198" i="7"/>
  <c r="A19" i="1"/>
  <c r="B199" i="7"/>
  <c r="A10" i="1"/>
  <c r="B190" i="7"/>
  <c r="B2" i="2"/>
  <c r="A2" i="2"/>
  <c r="C10" i="1"/>
  <c r="C2" i="2"/>
  <c r="D2" i="2"/>
  <c r="G2" i="2"/>
  <c r="A3" i="2"/>
  <c r="C11" i="1"/>
  <c r="C3" i="2"/>
  <c r="D3" i="2"/>
  <c r="G3" i="2"/>
  <c r="A4" i="2"/>
  <c r="C12" i="1"/>
  <c r="C4" i="2"/>
  <c r="D4" i="2"/>
  <c r="G4" i="2"/>
  <c r="A5" i="2"/>
  <c r="C13" i="1"/>
  <c r="C5" i="2"/>
  <c r="D5" i="2"/>
  <c r="G5" i="2"/>
  <c r="A6" i="2"/>
  <c r="C14" i="1"/>
  <c r="C6" i="2"/>
  <c r="D6" i="2"/>
  <c r="G6" i="2"/>
  <c r="A7" i="2"/>
  <c r="C15" i="1"/>
  <c r="C7" i="2"/>
  <c r="D7" i="2"/>
  <c r="G7" i="2"/>
  <c r="A8" i="2"/>
  <c r="C16" i="1"/>
  <c r="C8" i="2"/>
  <c r="D8" i="2"/>
  <c r="G8" i="2"/>
  <c r="A9" i="2"/>
  <c r="C17" i="1"/>
  <c r="C9" i="2"/>
  <c r="D9" i="2"/>
  <c r="G9" i="2"/>
  <c r="A10" i="2"/>
  <c r="C18" i="1"/>
  <c r="C10" i="2"/>
  <c r="D10" i="2"/>
  <c r="G10" i="2"/>
  <c r="A11" i="2"/>
  <c r="C19" i="1"/>
  <c r="C11" i="2"/>
  <c r="D11" i="2"/>
  <c r="G11" i="2"/>
  <c r="G13" i="2"/>
  <c r="D17" i="2"/>
  <c r="H16" i="2"/>
  <c r="H2" i="2"/>
  <c r="B3" i="2"/>
  <c r="H3" i="2"/>
  <c r="B4" i="2"/>
  <c r="H4" i="2"/>
  <c r="B5" i="2"/>
  <c r="H5" i="2"/>
  <c r="B6" i="2"/>
  <c r="H6" i="2"/>
  <c r="B7" i="2"/>
  <c r="H7" i="2"/>
  <c r="B8" i="2"/>
  <c r="H8" i="2"/>
  <c r="B9" i="2"/>
  <c r="H9" i="2"/>
  <c r="B10" i="2"/>
  <c r="H10" i="2"/>
  <c r="B11" i="2"/>
  <c r="H11" i="2"/>
  <c r="H13" i="2"/>
  <c r="F2" i="2"/>
  <c r="F3" i="2"/>
  <c r="F4" i="2"/>
  <c r="F5" i="2"/>
  <c r="F6" i="2"/>
  <c r="F7" i="2"/>
  <c r="F8" i="2"/>
  <c r="F9" i="2"/>
  <c r="F10" i="2"/>
  <c r="F11" i="2"/>
  <c r="F13" i="2"/>
  <c r="C17" i="2"/>
  <c r="I16" i="2"/>
  <c r="I2" i="2"/>
  <c r="I3" i="2"/>
  <c r="I4" i="2"/>
  <c r="I5" i="2"/>
  <c r="I6" i="2"/>
  <c r="I7" i="2"/>
  <c r="I8" i="2"/>
  <c r="I9" i="2"/>
  <c r="I10" i="2"/>
  <c r="I11" i="2"/>
  <c r="I13" i="2"/>
  <c r="E2" i="2"/>
  <c r="E3" i="2"/>
  <c r="E4" i="2"/>
  <c r="E5" i="2"/>
  <c r="E6" i="2"/>
  <c r="E7" i="2"/>
  <c r="E8" i="2"/>
  <c r="E9" i="2"/>
  <c r="E10" i="2"/>
  <c r="E11" i="2"/>
  <c r="E13" i="2"/>
  <c r="C16" i="2"/>
  <c r="D16" i="2"/>
  <c r="C20" i="2"/>
  <c r="B22" i="2"/>
  <c r="H17" i="2"/>
  <c r="I17" i="2"/>
  <c r="B23" i="2"/>
  <c r="K2" i="2"/>
  <c r="K3" i="2"/>
  <c r="K4" i="2"/>
  <c r="K5" i="2"/>
  <c r="K6" i="2"/>
  <c r="K7" i="2"/>
  <c r="K8" i="2"/>
  <c r="K9" i="2"/>
  <c r="K10" i="2"/>
  <c r="K11" i="2"/>
  <c r="K13" i="2"/>
  <c r="B32" i="2"/>
  <c r="D177" i="7"/>
  <c r="B30" i="2"/>
  <c r="B29" i="2"/>
  <c r="D176" i="7"/>
  <c r="J2" i="2"/>
  <c r="J3" i="2"/>
  <c r="J4" i="2"/>
  <c r="J5" i="2"/>
  <c r="J6" i="2"/>
  <c r="J7" i="2"/>
  <c r="J8" i="2"/>
  <c r="J9" i="2"/>
  <c r="J10" i="2"/>
  <c r="J11" i="2"/>
  <c r="J13" i="2"/>
  <c r="B25" i="2"/>
  <c r="G145" i="7"/>
  <c r="E23" i="2"/>
  <c r="E146" i="7"/>
  <c r="E22" i="2"/>
  <c r="E145" i="7"/>
  <c r="C146" i="7"/>
  <c r="C145" i="7"/>
  <c r="B31" i="3"/>
  <c r="B30" i="3"/>
  <c r="B2" i="3"/>
  <c r="A2" i="3"/>
  <c r="C2" i="3"/>
  <c r="D2" i="3"/>
  <c r="G2" i="3"/>
  <c r="A3" i="3"/>
  <c r="C3" i="3"/>
  <c r="D3" i="3"/>
  <c r="G3" i="3"/>
  <c r="A4" i="3"/>
  <c r="C4" i="3"/>
  <c r="D4" i="3"/>
  <c r="G4" i="3"/>
  <c r="A5" i="3"/>
  <c r="C5" i="3"/>
  <c r="D5" i="3"/>
  <c r="G5" i="3"/>
  <c r="A6" i="3"/>
  <c r="C6" i="3"/>
  <c r="D6" i="3"/>
  <c r="G6" i="3"/>
  <c r="A7" i="3"/>
  <c r="C7" i="3"/>
  <c r="D7" i="3"/>
  <c r="G7" i="3"/>
  <c r="A8" i="3"/>
  <c r="C8" i="3"/>
  <c r="D8" i="3"/>
  <c r="G8" i="3"/>
  <c r="A9" i="3"/>
  <c r="C9" i="3"/>
  <c r="D9" i="3"/>
  <c r="G9" i="3"/>
  <c r="A10" i="3"/>
  <c r="C10" i="3"/>
  <c r="D10" i="3"/>
  <c r="G10" i="3"/>
  <c r="A11" i="3"/>
  <c r="C11" i="3"/>
  <c r="D11" i="3"/>
  <c r="G11" i="3"/>
  <c r="G13" i="3"/>
  <c r="D17" i="3"/>
  <c r="H16" i="3"/>
  <c r="H2" i="3"/>
  <c r="B3" i="3"/>
  <c r="H3" i="3"/>
  <c r="B4" i="3"/>
  <c r="H4" i="3"/>
  <c r="B5" i="3"/>
  <c r="H5" i="3"/>
  <c r="B6" i="3"/>
  <c r="H6" i="3"/>
  <c r="B7" i="3"/>
  <c r="H7" i="3"/>
  <c r="B8" i="3"/>
  <c r="H8" i="3"/>
  <c r="B9" i="3"/>
  <c r="H9" i="3"/>
  <c r="B10" i="3"/>
  <c r="H10" i="3"/>
  <c r="B11" i="3"/>
  <c r="H11" i="3"/>
  <c r="H13" i="3"/>
  <c r="F2" i="3"/>
  <c r="F3" i="3"/>
  <c r="F4" i="3"/>
  <c r="F5" i="3"/>
  <c r="F6" i="3"/>
  <c r="F7" i="3"/>
  <c r="F8" i="3"/>
  <c r="F9" i="3"/>
  <c r="F10" i="3"/>
  <c r="F11" i="3"/>
  <c r="F13" i="3"/>
  <c r="C17" i="3"/>
  <c r="I16" i="3"/>
  <c r="I2" i="3"/>
  <c r="I3" i="3"/>
  <c r="I4" i="3"/>
  <c r="I5" i="3"/>
  <c r="I6" i="3"/>
  <c r="I7" i="3"/>
  <c r="I8" i="3"/>
  <c r="I9" i="3"/>
  <c r="I10" i="3"/>
  <c r="I11" i="3"/>
  <c r="I13" i="3"/>
  <c r="E2" i="3"/>
  <c r="E3" i="3"/>
  <c r="E4" i="3"/>
  <c r="E5" i="3"/>
  <c r="E6" i="3"/>
  <c r="E7" i="3"/>
  <c r="E8" i="3"/>
  <c r="E9" i="3"/>
  <c r="E10" i="3"/>
  <c r="E11" i="3"/>
  <c r="E13" i="3"/>
  <c r="C16" i="3"/>
  <c r="D16" i="3"/>
  <c r="C20" i="3"/>
  <c r="B22" i="3"/>
  <c r="H17" i="3"/>
  <c r="I17" i="3"/>
  <c r="B23" i="3"/>
  <c r="K2" i="3"/>
  <c r="K3" i="3"/>
  <c r="K4" i="3"/>
  <c r="K5" i="3"/>
  <c r="K6" i="3"/>
  <c r="K7" i="3"/>
  <c r="K8" i="3"/>
  <c r="K9" i="3"/>
  <c r="K10" i="3"/>
  <c r="K11" i="3"/>
  <c r="K13" i="3"/>
  <c r="B33" i="3"/>
  <c r="D133" i="7"/>
  <c r="D132" i="7"/>
  <c r="J2" i="3"/>
  <c r="J3" i="3"/>
  <c r="J4" i="3"/>
  <c r="J5" i="3"/>
  <c r="J6" i="3"/>
  <c r="J7" i="3"/>
  <c r="J8" i="3"/>
  <c r="J9" i="3"/>
  <c r="J10" i="3"/>
  <c r="J11" i="3"/>
  <c r="J13" i="3"/>
  <c r="B25" i="3"/>
  <c r="G83" i="7"/>
  <c r="E23" i="3"/>
  <c r="E84" i="7"/>
  <c r="E22" i="3"/>
  <c r="E83" i="7"/>
  <c r="C84" i="7"/>
  <c r="C83" i="7"/>
  <c r="B31" i="2"/>
  <c r="B3" i="5"/>
  <c r="B4" i="5"/>
  <c r="B5" i="5"/>
  <c r="B6" i="5"/>
  <c r="B7" i="5"/>
  <c r="B8" i="5"/>
  <c r="B9" i="5"/>
  <c r="B10" i="5"/>
  <c r="B11" i="5"/>
  <c r="B2" i="5"/>
  <c r="A3" i="5"/>
  <c r="A4" i="5"/>
  <c r="A5" i="5"/>
  <c r="A6" i="5"/>
  <c r="A7" i="5"/>
  <c r="A8" i="5"/>
  <c r="A9" i="5"/>
  <c r="A10" i="5"/>
  <c r="A11" i="5"/>
  <c r="A2" i="5"/>
  <c r="B32" i="3"/>
  <c r="L11" i="3"/>
  <c r="L10" i="3"/>
  <c r="L9" i="3"/>
  <c r="L8" i="3"/>
  <c r="L7" i="3"/>
  <c r="L6" i="3"/>
  <c r="L5" i="3"/>
  <c r="L4" i="3"/>
  <c r="L3" i="3"/>
  <c r="L2" i="3"/>
  <c r="L11" i="2"/>
  <c r="L10" i="2"/>
  <c r="L9" i="2"/>
  <c r="L8" i="2"/>
  <c r="L7" i="2"/>
  <c r="L6" i="2"/>
  <c r="L5" i="2"/>
  <c r="L4" i="2"/>
  <c r="L3" i="2"/>
  <c r="L2" i="2"/>
  <c r="G10" i="1"/>
  <c r="G11" i="1"/>
  <c r="G12" i="1"/>
  <c r="G13" i="1"/>
  <c r="G14" i="1"/>
  <c r="G15" i="1"/>
  <c r="G16" i="1"/>
  <c r="G17" i="1"/>
  <c r="G18" i="1"/>
  <c r="G19" i="1"/>
  <c r="E11" i="1"/>
  <c r="E12" i="1"/>
  <c r="E13" i="1"/>
  <c r="E14" i="1"/>
  <c r="E15" i="1"/>
  <c r="E16" i="1"/>
  <c r="E17" i="1"/>
  <c r="E18" i="1"/>
  <c r="E19" i="1"/>
  <c r="E10" i="1"/>
</calcChain>
</file>

<file path=xl/sharedStrings.xml><?xml version="1.0" encoding="utf-8"?>
<sst xmlns="http://schemas.openxmlformats.org/spreadsheetml/2006/main" count="103" uniqueCount="56">
  <si>
    <t>Id</t>
  </si>
  <si>
    <t>Vd (V)</t>
  </si>
  <si>
    <t>Vdd (V)</t>
  </si>
  <si>
    <t>Id (mA)</t>
  </si>
  <si>
    <t>Fundo de escala</t>
  </si>
  <si>
    <t>Erro de calibragem (%)</t>
  </si>
  <si>
    <t>Equipamento</t>
  </si>
  <si>
    <t>%</t>
  </si>
  <si>
    <t>Dígito menos significativo</t>
  </si>
  <si>
    <t>Quantidade de dígitos menos significativos</t>
  </si>
  <si>
    <t>Vd</t>
  </si>
  <si>
    <t>200 mA</t>
  </si>
  <si>
    <t>20 V</t>
  </si>
  <si>
    <t>ICEL MD-6110</t>
  </si>
  <si>
    <t>MINIPA ET-1110</t>
  </si>
  <si>
    <t>Id - incerteza</t>
  </si>
  <si>
    <t>Vd - incerteza (V)</t>
  </si>
  <si>
    <t>Vr (V)</t>
  </si>
  <si>
    <t>x</t>
  </si>
  <si>
    <t>y</t>
  </si>
  <si>
    <t>s</t>
  </si>
  <si>
    <t>s^2</t>
  </si>
  <si>
    <t>1/s^2</t>
  </si>
  <si>
    <t>x/s^2</t>
  </si>
  <si>
    <t>x^2/s^2</t>
  </si>
  <si>
    <t>y/s^2</t>
  </si>
  <si>
    <t>x*y/s^2</t>
  </si>
  <si>
    <t>y^2/s^2</t>
  </si>
  <si>
    <t>(y - y(x))/s</t>
  </si>
  <si>
    <t>y(x)</t>
  </si>
  <si>
    <t>Barras de erro (s/2)</t>
  </si>
  <si>
    <t>SOMA</t>
  </si>
  <si>
    <t>MATRIZ</t>
  </si>
  <si>
    <t>C</t>
  </si>
  <si>
    <t>ADJ C</t>
  </si>
  <si>
    <t>DET C</t>
  </si>
  <si>
    <t>A</t>
  </si>
  <si>
    <t>VAR A</t>
  </si>
  <si>
    <t>B</t>
  </si>
  <si>
    <t>VAR B</t>
  </si>
  <si>
    <t xml:space="preserve">R^2 </t>
  </si>
  <si>
    <t>QUI-QUADRADO</t>
  </si>
  <si>
    <t>QUI-CRITICO</t>
  </si>
  <si>
    <t>y (x)</t>
  </si>
  <si>
    <t>Graus de liberdade</t>
  </si>
  <si>
    <t>Teste de qui quadrado</t>
  </si>
  <si>
    <t>Erro</t>
  </si>
  <si>
    <t>Pd (W)</t>
  </si>
  <si>
    <r>
      <t>V</t>
    </r>
    <r>
      <rPr>
        <b/>
        <vertAlign val="subscript"/>
        <sz val="12"/>
        <color theme="1"/>
        <rFont val="Arial"/>
        <family val="2"/>
      </rPr>
      <t>DD</t>
    </r>
    <r>
      <rPr>
        <b/>
        <sz val="12"/>
        <color theme="1"/>
        <rFont val="Arial"/>
        <family val="2"/>
      </rPr>
      <t xml:space="preserve"> (V)</t>
    </r>
  </si>
  <si>
    <r>
      <t>I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 xml:space="preserve"> (mA) &lt; 20 mA</t>
    </r>
  </si>
  <si>
    <r>
      <t>V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 xml:space="preserve"> (V) &lt; 3,3 V</t>
    </r>
  </si>
  <si>
    <r>
      <t>a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</si>
  <si>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a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</si>
  <si>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</si>
  <si>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</si>
  <si>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R</t>
    </r>
    <r>
      <rPr>
        <b/>
        <vertAlign val="superscript"/>
        <sz val="14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</si>
</sst>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"/>
    <numFmt numFmtId="166" formatCode="0.0000"/>
    <numFmt numFmtId="167" formatCode="0.000000"/>
    <numFmt numFmtId="168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4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/>
    <xf numFmtId="164" fontId="0" fillId="2" borderId="17" xfId="0" applyNumberFormat="1" applyFont="1" applyFill="1" applyBorder="1"/>
    <xf numFmtId="164" fontId="0" fillId="0" borderId="18" xfId="0" applyNumberFormat="1" applyBorder="1"/>
    <xf numFmtId="164" fontId="0" fillId="0" borderId="19" xfId="0" applyNumberFormat="1" applyFill="1" applyBorder="1"/>
    <xf numFmtId="165" fontId="0" fillId="0" borderId="19" xfId="0" applyNumberFormat="1" applyFill="1" applyBorder="1"/>
    <xf numFmtId="164" fontId="0" fillId="2" borderId="0" xfId="0" applyNumberFormat="1" applyFont="1" applyFill="1"/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4" xfId="0" applyNumberFormat="1" applyBorder="1"/>
    <xf numFmtId="164" fontId="0" fillId="2" borderId="20" xfId="0" applyNumberFormat="1" applyFont="1" applyFill="1" applyBorder="1"/>
    <xf numFmtId="164" fontId="0" fillId="0" borderId="21" xfId="0" applyNumberFormat="1" applyBorder="1"/>
    <xf numFmtId="164" fontId="0" fillId="2" borderId="22" xfId="0" applyNumberFormat="1" applyFont="1" applyFill="1" applyBorder="1"/>
    <xf numFmtId="164" fontId="0" fillId="0" borderId="23" xfId="0" applyNumberFormat="1" applyBorder="1"/>
    <xf numFmtId="0" fontId="0" fillId="0" borderId="24" xfId="0" applyBorder="1"/>
    <xf numFmtId="11" fontId="0" fillId="0" borderId="0" xfId="0" applyNumberFormat="1" applyBorder="1"/>
    <xf numFmtId="164" fontId="0" fillId="4" borderId="3" xfId="0" applyNumberFormat="1" applyFont="1" applyFill="1" applyBorder="1"/>
    <xf numFmtId="0" fontId="0" fillId="3" borderId="4" xfId="0" applyFill="1" applyBorder="1"/>
    <xf numFmtId="0" fontId="0" fillId="5" borderId="3" xfId="0" applyFont="1" applyFill="1" applyBorder="1"/>
    <xf numFmtId="164" fontId="0" fillId="4" borderId="5" xfId="0" applyNumberFormat="1" applyFont="1" applyFill="1" applyBorder="1"/>
    <xf numFmtId="165" fontId="0" fillId="3" borderId="6" xfId="0" applyNumberFormat="1" applyFill="1" applyBorder="1"/>
    <xf numFmtId="9" fontId="0" fillId="3" borderId="4" xfId="1" applyFont="1" applyFill="1" applyBorder="1"/>
    <xf numFmtId="0" fontId="2" fillId="0" borderId="0" xfId="0" applyFont="1"/>
    <xf numFmtId="11" fontId="0" fillId="0" borderId="6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5" fillId="0" borderId="25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8" fillId="0" borderId="0" xfId="0" applyFont="1"/>
    <xf numFmtId="166" fontId="8" fillId="0" borderId="0" xfId="0" applyNumberFormat="1" applyFont="1"/>
    <xf numFmtId="164" fontId="8" fillId="0" borderId="0" xfId="0" applyNumberFormat="1" applyFont="1"/>
    <xf numFmtId="2" fontId="8" fillId="0" borderId="0" xfId="0" applyNumberFormat="1" applyFont="1"/>
    <xf numFmtId="0" fontId="9" fillId="6" borderId="0" xfId="0" applyFont="1" applyFill="1" applyAlignment="1">
      <alignment horizontal="right"/>
    </xf>
    <xf numFmtId="166" fontId="0" fillId="3" borderId="4" xfId="0" applyNumberFormat="1" applyFill="1" applyBorder="1"/>
    <xf numFmtId="167" fontId="0" fillId="3" borderId="6" xfId="0" applyNumberFormat="1" applyFill="1" applyBorder="1"/>
    <xf numFmtId="168" fontId="8" fillId="0" borderId="0" xfId="0" applyNumberFormat="1" applyFont="1"/>
    <xf numFmtId="0" fontId="9" fillId="0" borderId="0" xfId="0" applyFont="1" applyAlignment="1">
      <alignment horizontal="center" vertical="center"/>
    </xf>
    <xf numFmtId="11" fontId="8" fillId="0" borderId="0" xfId="0" applyNumberFormat="1" applyFont="1"/>
    <xf numFmtId="0" fontId="0" fillId="3" borderId="4" xfId="0" applyFill="1" applyBorder="1" applyProtection="1">
      <protection locked="0"/>
    </xf>
    <xf numFmtId="0" fontId="7" fillId="0" borderId="27" xfId="0" applyFont="1" applyBorder="1" applyAlignment="1" applyProtection="1">
      <alignment horizontal="right" vertical="center" wrapText="1" indent="3"/>
      <protection locked="0"/>
    </xf>
    <xf numFmtId="0" fontId="7" fillId="0" borderId="28" xfId="0" applyFont="1" applyBorder="1" applyAlignment="1" applyProtection="1">
      <alignment horizontal="right" vertical="center" wrapText="1"/>
      <protection locked="0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</cellXfs>
  <cellStyles count="22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Normal" xfId="0" builtinId="0"/>
    <cellStyle name="Porcentagem" xfId="1" builtinId="5"/>
  </cellStyles>
  <dxfs count="37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border outline="0">
        <right style="medium">
          <color indexed="8"/>
        </right>
        <top style="medium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24"/>
          <bgColor indexed="4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u val="none"/>
        <sz val="11"/>
        <color indexed="16"/>
      </font>
      <fill>
        <patternFill patternType="solid">
          <fgColor indexed="31"/>
          <bgColor indexed="47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11"/>
        <color indexed="17"/>
      </font>
      <fill>
        <patternFill patternType="solid">
          <fgColor indexed="27"/>
          <bgColor indexed="42"/>
        </patternFill>
      </fill>
      <border>
        <left/>
        <right/>
        <top/>
        <bottom/>
      </border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0.00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border outline="0">
        <right style="medium">
          <color indexed="8"/>
        </right>
        <top style="medium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24"/>
          <bgColor indexed="4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u val="none"/>
        <sz val="11"/>
        <color indexed="16"/>
      </font>
      <fill>
        <patternFill patternType="solid">
          <fgColor indexed="31"/>
          <bgColor indexed="47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11"/>
        <color indexed="17"/>
      </font>
      <fill>
        <patternFill patternType="solid">
          <fgColor indexed="27"/>
          <bgColor indexed="42"/>
        </patternFill>
      </fill>
      <border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Corrente no circuito X</a:t>
            </a:r>
            <a:r>
              <a:rPr lang="en-US" baseline="0"/>
              <a:t> Tensão no Led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Table14[[#Headers],[y]]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noFill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 x vd'!$C$2:$C$11</c:f>
                <c:numCache>
                  <c:formatCode>General</c:formatCode>
                  <c:ptCount val="10"/>
                  <c:pt idx="0">
                    <c:v>0.20615528128088306</c:v>
                  </c:pt>
                  <c:pt idx="1">
                    <c:v>0.22219867236327046</c:v>
                  </c:pt>
                  <c:pt idx="2">
                    <c:v>0.242706097986845</c:v>
                  </c:pt>
                  <c:pt idx="3">
                    <c:v>0.26476404589747454</c:v>
                  </c:pt>
                  <c:pt idx="4">
                    <c:v>0.28689065861404406</c:v>
                  </c:pt>
                  <c:pt idx="5">
                    <c:v>0.3061110909457545</c:v>
                  </c:pt>
                  <c:pt idx="6">
                    <c:v>0.33129480829013908</c:v>
                  </c:pt>
                  <c:pt idx="7">
                    <c:v>0.35355339059327373</c:v>
                  </c:pt>
                  <c:pt idx="8">
                    <c:v>0.37584072424366149</c:v>
                  </c:pt>
                  <c:pt idx="9">
                    <c:v>0.39964015063554359</c:v>
                  </c:pt>
                </c:numCache>
              </c:numRef>
            </c:plus>
            <c:minus>
              <c:numRef>
                <c:f>'id x vd'!$C$2:$C$11</c:f>
                <c:numCache>
                  <c:formatCode>General</c:formatCode>
                  <c:ptCount val="10"/>
                  <c:pt idx="0">
                    <c:v>0.20615528128088306</c:v>
                  </c:pt>
                  <c:pt idx="1">
                    <c:v>0.22219867236327046</c:v>
                  </c:pt>
                  <c:pt idx="2">
                    <c:v>0.242706097986845</c:v>
                  </c:pt>
                  <c:pt idx="3">
                    <c:v>0.26476404589747454</c:v>
                  </c:pt>
                  <c:pt idx="4">
                    <c:v>0.28689065861404406</c:v>
                  </c:pt>
                  <c:pt idx="5">
                    <c:v>0.3061110909457545</c:v>
                  </c:pt>
                  <c:pt idx="6">
                    <c:v>0.33129480829013908</c:v>
                  </c:pt>
                  <c:pt idx="7">
                    <c:v>0.35355339059327373</c:v>
                  </c:pt>
                  <c:pt idx="8">
                    <c:v>0.37584072424366149</c:v>
                  </c:pt>
                  <c:pt idx="9">
                    <c:v>0.39964015063554359</c:v>
                  </c:pt>
                </c:numCache>
              </c:numRef>
            </c:minus>
          </c:errBars>
          <c:xVal>
            <c:numRef>
              <c:f>Table14[x]</c:f>
              <c:numCache>
                <c:formatCode>0.000</c:formatCode>
                <c:ptCount val="10"/>
                <c:pt idx="0">
                  <c:v>2.38</c:v>
                </c:pt>
                <c:pt idx="1">
                  <c:v>2.63</c:v>
                </c:pt>
                <c:pt idx="2">
                  <c:v>2.71</c:v>
                </c:pt>
                <c:pt idx="3">
                  <c:v>2.77</c:v>
                </c:pt>
                <c:pt idx="4">
                  <c:v>2.82</c:v>
                </c:pt>
                <c:pt idx="5">
                  <c:v>2.86</c:v>
                </c:pt>
                <c:pt idx="6">
                  <c:v>2.89</c:v>
                </c:pt>
                <c:pt idx="7">
                  <c:v>2.93</c:v>
                </c:pt>
                <c:pt idx="8">
                  <c:v>2.95</c:v>
                </c:pt>
                <c:pt idx="9">
                  <c:v>2.98</c:v>
                </c:pt>
              </c:numCache>
            </c:numRef>
          </c:xVal>
          <c:yVal>
            <c:numRef>
              <c:f>Table14[y]</c:f>
              <c:numCache>
                <c:formatCode>0.000</c:formatCode>
                <c:ptCount val="10"/>
                <c:pt idx="0">
                  <c:v>0</c:v>
                </c:pt>
                <c:pt idx="1">
                  <c:v>1.1000000000000001</c:v>
                </c:pt>
                <c:pt idx="2">
                  <c:v>2.5</c:v>
                </c:pt>
                <c:pt idx="3">
                  <c:v>4</c:v>
                </c:pt>
                <c:pt idx="4">
                  <c:v>5.5</c:v>
                </c:pt>
                <c:pt idx="5">
                  <c:v>6.8</c:v>
                </c:pt>
                <c:pt idx="6">
                  <c:v>8.5</c:v>
                </c:pt>
                <c:pt idx="7">
                  <c:v>10</c:v>
                </c:pt>
                <c:pt idx="8">
                  <c:v>11.5</c:v>
                </c:pt>
                <c:pt idx="9">
                  <c:v>13.1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Table14[[#Headers],[y (x)]]</c:f>
              <c:strCache>
                <c:ptCount val="1"/>
                <c:pt idx="0">
                  <c:v>y (x)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Table14[x]</c:f>
              <c:numCache>
                <c:formatCode>0.000</c:formatCode>
                <c:ptCount val="10"/>
                <c:pt idx="0">
                  <c:v>2.38</c:v>
                </c:pt>
                <c:pt idx="1">
                  <c:v>2.63</c:v>
                </c:pt>
                <c:pt idx="2">
                  <c:v>2.71</c:v>
                </c:pt>
                <c:pt idx="3">
                  <c:v>2.77</c:v>
                </c:pt>
                <c:pt idx="4">
                  <c:v>2.82</c:v>
                </c:pt>
                <c:pt idx="5">
                  <c:v>2.86</c:v>
                </c:pt>
                <c:pt idx="6">
                  <c:v>2.89</c:v>
                </c:pt>
                <c:pt idx="7">
                  <c:v>2.93</c:v>
                </c:pt>
                <c:pt idx="8">
                  <c:v>2.95</c:v>
                </c:pt>
                <c:pt idx="9">
                  <c:v>2.98</c:v>
                </c:pt>
              </c:numCache>
            </c:numRef>
          </c:xVal>
          <c:yVal>
            <c:numRef>
              <c:f>Table14[y (x)]</c:f>
              <c:numCache>
                <c:formatCode>General</c:formatCode>
                <c:ptCount val="10"/>
                <c:pt idx="0">
                  <c:v>-1.8391359863752186</c:v>
                </c:pt>
                <c:pt idx="1">
                  <c:v>2.8581690409772804</c:v>
                </c:pt>
                <c:pt idx="2">
                  <c:v>4.3613066497300821</c:v>
                </c:pt>
                <c:pt idx="3">
                  <c:v>5.4886598562946816</c:v>
                </c:pt>
                <c:pt idx="4">
                  <c:v>6.4281208617651799</c:v>
                </c:pt>
                <c:pt idx="5">
                  <c:v>7.1796896661415843</c:v>
                </c:pt>
                <c:pt idx="6">
                  <c:v>7.7433662694238876</c:v>
                </c:pt>
                <c:pt idx="7">
                  <c:v>8.4949350738002849</c:v>
                </c:pt>
                <c:pt idx="8">
                  <c:v>8.8707194759884871</c:v>
                </c:pt>
                <c:pt idx="9">
                  <c:v>9.4343960792707833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5824"/>
        <c:axId val="47743552"/>
      </c:scatterChart>
      <c:valAx>
        <c:axId val="66885824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Tensão no Led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7743552"/>
        <c:crosses val="autoZero"/>
        <c:crossBetween val="midCat"/>
      </c:valAx>
      <c:valAx>
        <c:axId val="477435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Corrente no circuito (mA)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688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Corrente no circuito x</a:t>
            </a:r>
            <a:r>
              <a:rPr lang="en-US" baseline="0"/>
              <a:t> Tensão no resistor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Table15[[#Headers],[y]]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pPr>
              <a:noFill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 x vr'!$C$2:$C$11</c:f>
                <c:numCache>
                  <c:formatCode>General</c:formatCode>
                  <c:ptCount val="10"/>
                  <c:pt idx="0">
                    <c:v>0.20615528128088306</c:v>
                  </c:pt>
                  <c:pt idx="1">
                    <c:v>0.22219867236327046</c:v>
                  </c:pt>
                  <c:pt idx="2">
                    <c:v>0.242706097986845</c:v>
                  </c:pt>
                  <c:pt idx="3">
                    <c:v>0.26476404589747454</c:v>
                  </c:pt>
                  <c:pt idx="4">
                    <c:v>0.28689065861404406</c:v>
                  </c:pt>
                  <c:pt idx="5">
                    <c:v>0.3061110909457545</c:v>
                  </c:pt>
                  <c:pt idx="6">
                    <c:v>0.33129480829013908</c:v>
                  </c:pt>
                  <c:pt idx="7">
                    <c:v>0.35355339059327373</c:v>
                  </c:pt>
                  <c:pt idx="8">
                    <c:v>0.37584072424366149</c:v>
                  </c:pt>
                  <c:pt idx="9">
                    <c:v>0.39964015063554359</c:v>
                  </c:pt>
                </c:numCache>
              </c:numRef>
            </c:plus>
            <c:minus>
              <c:numRef>
                <c:f>'id x vr'!$C$2:$C$11</c:f>
                <c:numCache>
                  <c:formatCode>General</c:formatCode>
                  <c:ptCount val="10"/>
                  <c:pt idx="0">
                    <c:v>0.20615528128088306</c:v>
                  </c:pt>
                  <c:pt idx="1">
                    <c:v>0.22219867236327046</c:v>
                  </c:pt>
                  <c:pt idx="2">
                    <c:v>0.242706097986845</c:v>
                  </c:pt>
                  <c:pt idx="3">
                    <c:v>0.26476404589747454</c:v>
                  </c:pt>
                  <c:pt idx="4">
                    <c:v>0.28689065861404406</c:v>
                  </c:pt>
                  <c:pt idx="5">
                    <c:v>0.3061110909457545</c:v>
                  </c:pt>
                  <c:pt idx="6">
                    <c:v>0.33129480829013908</c:v>
                  </c:pt>
                  <c:pt idx="7">
                    <c:v>0.35355339059327373</c:v>
                  </c:pt>
                  <c:pt idx="8">
                    <c:v>0.37584072424366149</c:v>
                  </c:pt>
                  <c:pt idx="9">
                    <c:v>0.39964015063554359</c:v>
                  </c:pt>
                </c:numCache>
              </c:numRef>
            </c:minus>
          </c:errBars>
          <c:xVal>
            <c:numRef>
              <c:f>Table15[x]</c:f>
              <c:numCache>
                <c:formatCode>0.000</c:formatCode>
                <c:ptCount val="10"/>
                <c:pt idx="0">
                  <c:v>-8.0000000000000071E-2</c:v>
                </c:pt>
                <c:pt idx="1">
                  <c:v>1.17</c:v>
                </c:pt>
                <c:pt idx="2">
                  <c:v>2.59</c:v>
                </c:pt>
                <c:pt idx="3">
                  <c:v>4.0299999999999994</c:v>
                </c:pt>
                <c:pt idx="4">
                  <c:v>5.48</c:v>
                </c:pt>
                <c:pt idx="5">
                  <c:v>6.84</c:v>
                </c:pt>
                <c:pt idx="6">
                  <c:v>8.41</c:v>
                </c:pt>
                <c:pt idx="7">
                  <c:v>9.870000000000001</c:v>
                </c:pt>
                <c:pt idx="8">
                  <c:v>11.350000000000001</c:v>
                </c:pt>
                <c:pt idx="9">
                  <c:v>12.82</c:v>
                </c:pt>
              </c:numCache>
            </c:numRef>
          </c:xVal>
          <c:yVal>
            <c:numRef>
              <c:f>Table15[y]</c:f>
              <c:numCache>
                <c:formatCode>0.000</c:formatCode>
                <c:ptCount val="10"/>
                <c:pt idx="0">
                  <c:v>0</c:v>
                </c:pt>
                <c:pt idx="1">
                  <c:v>1.1000000000000001</c:v>
                </c:pt>
                <c:pt idx="2">
                  <c:v>2.5</c:v>
                </c:pt>
                <c:pt idx="3">
                  <c:v>4</c:v>
                </c:pt>
                <c:pt idx="4">
                  <c:v>5.5</c:v>
                </c:pt>
                <c:pt idx="5">
                  <c:v>6.8</c:v>
                </c:pt>
                <c:pt idx="6">
                  <c:v>8.5</c:v>
                </c:pt>
                <c:pt idx="7">
                  <c:v>10</c:v>
                </c:pt>
                <c:pt idx="8">
                  <c:v>11.5</c:v>
                </c:pt>
                <c:pt idx="9">
                  <c:v>13.1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Table15[[#Headers],[y(x)]]</c:f>
              <c:strCache>
                <c:ptCount val="1"/>
                <c:pt idx="0">
                  <c:v>y(x)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Table15[x]</c:f>
              <c:numCache>
                <c:formatCode>0.000</c:formatCode>
                <c:ptCount val="10"/>
                <c:pt idx="0">
                  <c:v>-8.0000000000000071E-2</c:v>
                </c:pt>
                <c:pt idx="1">
                  <c:v>1.17</c:v>
                </c:pt>
                <c:pt idx="2">
                  <c:v>2.59</c:v>
                </c:pt>
                <c:pt idx="3">
                  <c:v>4.0299999999999994</c:v>
                </c:pt>
                <c:pt idx="4">
                  <c:v>5.48</c:v>
                </c:pt>
                <c:pt idx="5">
                  <c:v>6.84</c:v>
                </c:pt>
                <c:pt idx="6">
                  <c:v>8.41</c:v>
                </c:pt>
                <c:pt idx="7">
                  <c:v>9.870000000000001</c:v>
                </c:pt>
                <c:pt idx="8">
                  <c:v>11.350000000000001</c:v>
                </c:pt>
                <c:pt idx="9">
                  <c:v>12.82</c:v>
                </c:pt>
              </c:numCache>
            </c:numRef>
          </c:xVal>
          <c:yVal>
            <c:numRef>
              <c:f>Table15[y(x)]</c:f>
              <c:numCache>
                <c:formatCode>General</c:formatCode>
                <c:ptCount val="10"/>
                <c:pt idx="0">
                  <c:v>-0.12375391044657724</c:v>
                </c:pt>
                <c:pt idx="1">
                  <c:v>1.1445161204815482</c:v>
                </c:pt>
                <c:pt idx="2">
                  <c:v>2.5852708756158984</c:v>
                </c:pt>
                <c:pt idx="3">
                  <c:v>4.046317951245098</c:v>
                </c:pt>
                <c:pt idx="4">
                  <c:v>5.5175111871217242</c:v>
                </c:pt>
                <c:pt idx="5">
                  <c:v>6.8973889807715238</c:v>
                </c:pt>
                <c:pt idx="6">
                  <c:v>8.4903361396172503</c:v>
                </c:pt>
                <c:pt idx="7">
                  <c:v>9.9716755357413014</c:v>
                </c:pt>
                <c:pt idx="8">
                  <c:v>11.473307252360202</c:v>
                </c:pt>
                <c:pt idx="9">
                  <c:v>12.964792808731676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6432"/>
        <c:axId val="47747008"/>
      </c:scatterChart>
      <c:valAx>
        <c:axId val="477464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Tensão no resistor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7747008"/>
        <c:crosses val="autoZero"/>
        <c:crossBetween val="midCat"/>
      </c:valAx>
      <c:valAx>
        <c:axId val="477470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Corrente  no circuito (mA)</a:t>
                </a:r>
                <a:endParaRPr lang="en-US" sz="1400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7746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Potência dissipada pelo Led x Tensão da fonte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'Potencia x Vdd'!$B$1</c:f>
              <c:strCache>
                <c:ptCount val="1"/>
                <c:pt idx="0">
                  <c:v>Pd (W)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657317628684793E-2"/>
                  <c:y val="0.186735397482094"/>
                </c:manualLayout>
              </c:layout>
              <c:numFmt formatCode="General" sourceLinked="0"/>
            </c:trendlineLbl>
          </c:trendline>
          <c:xVal>
            <c:numRef>
              <c:f>'Potencia x Vdd'!$A$2:$A$11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3.8</c:v>
                </c:pt>
                <c:pt idx="2">
                  <c:v>5.3</c:v>
                </c:pt>
                <c:pt idx="3">
                  <c:v>6.8</c:v>
                </c:pt>
                <c:pt idx="4">
                  <c:v>8.3000000000000007</c:v>
                </c:pt>
                <c:pt idx="5">
                  <c:v>9.6999999999999993</c:v>
                </c:pt>
                <c:pt idx="6">
                  <c:v>11.3</c:v>
                </c:pt>
                <c:pt idx="7">
                  <c:v>12.8</c:v>
                </c:pt>
                <c:pt idx="8">
                  <c:v>14.3</c:v>
                </c:pt>
                <c:pt idx="9">
                  <c:v>15.8</c:v>
                </c:pt>
              </c:numCache>
            </c:numRef>
          </c:xVal>
          <c:yVal>
            <c:numRef>
              <c:f>'Potencia x Vdd'!$B$2:$B$11</c:f>
              <c:numCache>
                <c:formatCode>0.00E+00</c:formatCode>
                <c:ptCount val="10"/>
                <c:pt idx="0">
                  <c:v>0</c:v>
                </c:pt>
                <c:pt idx="1">
                  <c:v>2.8930000000000002E-3</c:v>
                </c:pt>
                <c:pt idx="2">
                  <c:v>6.7749999999999998E-3</c:v>
                </c:pt>
                <c:pt idx="3">
                  <c:v>1.108E-2</c:v>
                </c:pt>
                <c:pt idx="4">
                  <c:v>1.5509999999999998E-2</c:v>
                </c:pt>
                <c:pt idx="5">
                  <c:v>1.9447999999999997E-2</c:v>
                </c:pt>
                <c:pt idx="6">
                  <c:v>2.4565000000000003E-2</c:v>
                </c:pt>
                <c:pt idx="7">
                  <c:v>2.9300000000000003E-2</c:v>
                </c:pt>
                <c:pt idx="8">
                  <c:v>3.3925000000000004E-2</c:v>
                </c:pt>
                <c:pt idx="9">
                  <c:v>3.9038000000000003E-2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9312"/>
        <c:axId val="47749888"/>
      </c:scatterChart>
      <c:valAx>
        <c:axId val="4774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Vdd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49888"/>
        <c:crosses val="autoZero"/>
        <c:crossBetween val="midCat"/>
      </c:valAx>
      <c:valAx>
        <c:axId val="4774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Potência dissipada</a:t>
                </a:r>
                <a:r>
                  <a:rPr lang="en-US" baseline="0"/>
                  <a:t> pelo Led (W)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4774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Corrente no circuito x</a:t>
            </a:r>
            <a:r>
              <a:rPr lang="en-US" baseline="0"/>
              <a:t> Tensão no resistor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'id x vr'!$B$1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pPr>
              <a:noFill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 x vr'!$C$2:$C$11</c:f>
                <c:numCache>
                  <c:formatCode>General</c:formatCode>
                  <c:ptCount val="10"/>
                  <c:pt idx="0">
                    <c:v>0.20615528128088306</c:v>
                  </c:pt>
                  <c:pt idx="1">
                    <c:v>0.22219867236327046</c:v>
                  </c:pt>
                  <c:pt idx="2">
                    <c:v>0.242706097986845</c:v>
                  </c:pt>
                  <c:pt idx="3">
                    <c:v>0.26476404589747454</c:v>
                  </c:pt>
                  <c:pt idx="4">
                    <c:v>0.28689065861404406</c:v>
                  </c:pt>
                  <c:pt idx="5">
                    <c:v>0.3061110909457545</c:v>
                  </c:pt>
                  <c:pt idx="6">
                    <c:v>0.33129480829013908</c:v>
                  </c:pt>
                  <c:pt idx="7">
                    <c:v>0.35355339059327373</c:v>
                  </c:pt>
                  <c:pt idx="8">
                    <c:v>0.37584072424366149</c:v>
                  </c:pt>
                  <c:pt idx="9">
                    <c:v>0.39964015063554359</c:v>
                  </c:pt>
                </c:numCache>
              </c:numRef>
            </c:plus>
            <c:minus>
              <c:numRef>
                <c:f>'id x vr'!$C$2:$C$11</c:f>
                <c:numCache>
                  <c:formatCode>General</c:formatCode>
                  <c:ptCount val="10"/>
                  <c:pt idx="0">
                    <c:v>0.20615528128088306</c:v>
                  </c:pt>
                  <c:pt idx="1">
                    <c:v>0.22219867236327046</c:v>
                  </c:pt>
                  <c:pt idx="2">
                    <c:v>0.242706097986845</c:v>
                  </c:pt>
                  <c:pt idx="3">
                    <c:v>0.26476404589747454</c:v>
                  </c:pt>
                  <c:pt idx="4">
                    <c:v>0.28689065861404406</c:v>
                  </c:pt>
                  <c:pt idx="5">
                    <c:v>0.3061110909457545</c:v>
                  </c:pt>
                  <c:pt idx="6">
                    <c:v>0.33129480829013908</c:v>
                  </c:pt>
                  <c:pt idx="7">
                    <c:v>0.35355339059327373</c:v>
                  </c:pt>
                  <c:pt idx="8">
                    <c:v>0.37584072424366149</c:v>
                  </c:pt>
                  <c:pt idx="9">
                    <c:v>0.39964015063554359</c:v>
                  </c:pt>
                </c:numCache>
              </c:numRef>
            </c:minus>
          </c:errBars>
          <c:xVal>
            <c:numRef>
              <c:f>'id x vr'!$A$2:$A$11</c:f>
              <c:numCache>
                <c:formatCode>0.000</c:formatCode>
                <c:ptCount val="10"/>
                <c:pt idx="0">
                  <c:v>-8.0000000000000071E-2</c:v>
                </c:pt>
                <c:pt idx="1">
                  <c:v>1.17</c:v>
                </c:pt>
                <c:pt idx="2">
                  <c:v>2.59</c:v>
                </c:pt>
                <c:pt idx="3">
                  <c:v>4.0299999999999994</c:v>
                </c:pt>
                <c:pt idx="4">
                  <c:v>5.48</c:v>
                </c:pt>
                <c:pt idx="5">
                  <c:v>6.84</c:v>
                </c:pt>
                <c:pt idx="6">
                  <c:v>8.41</c:v>
                </c:pt>
                <c:pt idx="7">
                  <c:v>9.870000000000001</c:v>
                </c:pt>
                <c:pt idx="8">
                  <c:v>11.350000000000001</c:v>
                </c:pt>
                <c:pt idx="9">
                  <c:v>12.82</c:v>
                </c:pt>
              </c:numCache>
            </c:numRef>
          </c:xVal>
          <c:yVal>
            <c:numRef>
              <c:f>'id x vr'!$B$2:$B$11</c:f>
              <c:numCache>
                <c:formatCode>0.000</c:formatCode>
                <c:ptCount val="10"/>
                <c:pt idx="0">
                  <c:v>0</c:v>
                </c:pt>
                <c:pt idx="1">
                  <c:v>1.1000000000000001</c:v>
                </c:pt>
                <c:pt idx="2">
                  <c:v>2.5</c:v>
                </c:pt>
                <c:pt idx="3">
                  <c:v>4</c:v>
                </c:pt>
                <c:pt idx="4">
                  <c:v>5.5</c:v>
                </c:pt>
                <c:pt idx="5">
                  <c:v>6.8</c:v>
                </c:pt>
                <c:pt idx="6">
                  <c:v>8.5</c:v>
                </c:pt>
                <c:pt idx="7">
                  <c:v>10</c:v>
                </c:pt>
                <c:pt idx="8">
                  <c:v>11.5</c:v>
                </c:pt>
                <c:pt idx="9">
                  <c:v>13.1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'id x vr'!$L$1</c:f>
              <c:strCache>
                <c:ptCount val="1"/>
                <c:pt idx="0">
                  <c:v>y(x)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'id x vr'!$A$2:$A$11</c:f>
              <c:numCache>
                <c:formatCode>0.000</c:formatCode>
                <c:ptCount val="10"/>
                <c:pt idx="0">
                  <c:v>-8.0000000000000071E-2</c:v>
                </c:pt>
                <c:pt idx="1">
                  <c:v>1.17</c:v>
                </c:pt>
                <c:pt idx="2">
                  <c:v>2.59</c:v>
                </c:pt>
                <c:pt idx="3">
                  <c:v>4.0299999999999994</c:v>
                </c:pt>
                <c:pt idx="4">
                  <c:v>5.48</c:v>
                </c:pt>
                <c:pt idx="5">
                  <c:v>6.84</c:v>
                </c:pt>
                <c:pt idx="6">
                  <c:v>8.41</c:v>
                </c:pt>
                <c:pt idx="7">
                  <c:v>9.870000000000001</c:v>
                </c:pt>
                <c:pt idx="8">
                  <c:v>11.350000000000001</c:v>
                </c:pt>
                <c:pt idx="9">
                  <c:v>12.82</c:v>
                </c:pt>
              </c:numCache>
            </c:numRef>
          </c:xVal>
          <c:yVal>
            <c:numRef>
              <c:f>'id x vr'!$L$2:$L$11</c:f>
              <c:numCache>
                <c:formatCode>General</c:formatCode>
                <c:ptCount val="10"/>
                <c:pt idx="0">
                  <c:v>-0.12375391044657724</c:v>
                </c:pt>
                <c:pt idx="1">
                  <c:v>1.1445161204815482</c:v>
                </c:pt>
                <c:pt idx="2">
                  <c:v>2.5852708756158984</c:v>
                </c:pt>
                <c:pt idx="3">
                  <c:v>4.046317951245098</c:v>
                </c:pt>
                <c:pt idx="4">
                  <c:v>5.5175111871217242</c:v>
                </c:pt>
                <c:pt idx="5">
                  <c:v>6.8973889807715238</c:v>
                </c:pt>
                <c:pt idx="6">
                  <c:v>8.4903361396172503</c:v>
                </c:pt>
                <c:pt idx="7">
                  <c:v>9.9716755357413014</c:v>
                </c:pt>
                <c:pt idx="8">
                  <c:v>11.473307252360202</c:v>
                </c:pt>
                <c:pt idx="9">
                  <c:v>12.964792808731676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7296"/>
        <c:axId val="66847872"/>
      </c:scatterChart>
      <c:valAx>
        <c:axId val="668472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Tensão no resistor (V)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6847872"/>
        <c:crosses val="autoZero"/>
        <c:crossBetween val="midCat"/>
      </c:valAx>
      <c:valAx>
        <c:axId val="668478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Corrente  no circuito (mA)</a:t>
                </a:r>
                <a:endParaRPr lang="en-US" sz="1400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684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Corrente no circuito X</a:t>
            </a:r>
            <a:r>
              <a:rPr lang="en-US" baseline="0"/>
              <a:t> Tensão no Led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'id x vd'!$B$1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noFill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 x vd'!$C$2:$C$11</c:f>
                <c:numCache>
                  <c:formatCode>General</c:formatCode>
                  <c:ptCount val="10"/>
                  <c:pt idx="0">
                    <c:v>0.20615528128088306</c:v>
                  </c:pt>
                  <c:pt idx="1">
                    <c:v>0.22219867236327046</c:v>
                  </c:pt>
                  <c:pt idx="2">
                    <c:v>0.242706097986845</c:v>
                  </c:pt>
                  <c:pt idx="3">
                    <c:v>0.26476404589747454</c:v>
                  </c:pt>
                  <c:pt idx="4">
                    <c:v>0.28689065861404406</c:v>
                  </c:pt>
                  <c:pt idx="5">
                    <c:v>0.3061110909457545</c:v>
                  </c:pt>
                  <c:pt idx="6">
                    <c:v>0.33129480829013908</c:v>
                  </c:pt>
                  <c:pt idx="7">
                    <c:v>0.35355339059327373</c:v>
                  </c:pt>
                  <c:pt idx="8">
                    <c:v>0.37584072424366149</c:v>
                  </c:pt>
                  <c:pt idx="9">
                    <c:v>0.39964015063554359</c:v>
                  </c:pt>
                </c:numCache>
              </c:numRef>
            </c:plus>
            <c:minus>
              <c:numRef>
                <c:f>'id x vd'!$C$2:$C$11</c:f>
                <c:numCache>
                  <c:formatCode>General</c:formatCode>
                  <c:ptCount val="10"/>
                  <c:pt idx="0">
                    <c:v>0.20615528128088306</c:v>
                  </c:pt>
                  <c:pt idx="1">
                    <c:v>0.22219867236327046</c:v>
                  </c:pt>
                  <c:pt idx="2">
                    <c:v>0.242706097986845</c:v>
                  </c:pt>
                  <c:pt idx="3">
                    <c:v>0.26476404589747454</c:v>
                  </c:pt>
                  <c:pt idx="4">
                    <c:v>0.28689065861404406</c:v>
                  </c:pt>
                  <c:pt idx="5">
                    <c:v>0.3061110909457545</c:v>
                  </c:pt>
                  <c:pt idx="6">
                    <c:v>0.33129480829013908</c:v>
                  </c:pt>
                  <c:pt idx="7">
                    <c:v>0.35355339059327373</c:v>
                  </c:pt>
                  <c:pt idx="8">
                    <c:v>0.37584072424366149</c:v>
                  </c:pt>
                  <c:pt idx="9">
                    <c:v>0.39964015063554359</c:v>
                  </c:pt>
                </c:numCache>
              </c:numRef>
            </c:minus>
          </c:errBars>
          <c:xVal>
            <c:numRef>
              <c:f>'id x vd'!$A$2:$A$11</c:f>
              <c:numCache>
                <c:formatCode>0.000</c:formatCode>
                <c:ptCount val="10"/>
                <c:pt idx="0">
                  <c:v>2.38</c:v>
                </c:pt>
                <c:pt idx="1">
                  <c:v>2.63</c:v>
                </c:pt>
                <c:pt idx="2">
                  <c:v>2.71</c:v>
                </c:pt>
                <c:pt idx="3">
                  <c:v>2.77</c:v>
                </c:pt>
                <c:pt idx="4">
                  <c:v>2.82</c:v>
                </c:pt>
                <c:pt idx="5">
                  <c:v>2.86</c:v>
                </c:pt>
                <c:pt idx="6">
                  <c:v>2.89</c:v>
                </c:pt>
                <c:pt idx="7">
                  <c:v>2.93</c:v>
                </c:pt>
                <c:pt idx="8">
                  <c:v>2.95</c:v>
                </c:pt>
                <c:pt idx="9">
                  <c:v>2.98</c:v>
                </c:pt>
              </c:numCache>
            </c:numRef>
          </c:xVal>
          <c:yVal>
            <c:numRef>
              <c:f>'id x vd'!$B$2:$B$11</c:f>
              <c:numCache>
                <c:formatCode>0.000</c:formatCode>
                <c:ptCount val="10"/>
                <c:pt idx="0">
                  <c:v>0</c:v>
                </c:pt>
                <c:pt idx="1">
                  <c:v>1.1000000000000001</c:v>
                </c:pt>
                <c:pt idx="2">
                  <c:v>2.5</c:v>
                </c:pt>
                <c:pt idx="3">
                  <c:v>4</c:v>
                </c:pt>
                <c:pt idx="4">
                  <c:v>5.5</c:v>
                </c:pt>
                <c:pt idx="5">
                  <c:v>6.8</c:v>
                </c:pt>
                <c:pt idx="6">
                  <c:v>8.5</c:v>
                </c:pt>
                <c:pt idx="7">
                  <c:v>10</c:v>
                </c:pt>
                <c:pt idx="8">
                  <c:v>11.5</c:v>
                </c:pt>
                <c:pt idx="9">
                  <c:v>13.1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'id x vd'!$L$1</c:f>
              <c:strCache>
                <c:ptCount val="1"/>
                <c:pt idx="0">
                  <c:v>y (x)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'id x vd'!$A$2:$A$11</c:f>
              <c:numCache>
                <c:formatCode>0.000</c:formatCode>
                <c:ptCount val="10"/>
                <c:pt idx="0">
                  <c:v>2.38</c:v>
                </c:pt>
                <c:pt idx="1">
                  <c:v>2.63</c:v>
                </c:pt>
                <c:pt idx="2">
                  <c:v>2.71</c:v>
                </c:pt>
                <c:pt idx="3">
                  <c:v>2.77</c:v>
                </c:pt>
                <c:pt idx="4">
                  <c:v>2.82</c:v>
                </c:pt>
                <c:pt idx="5">
                  <c:v>2.86</c:v>
                </c:pt>
                <c:pt idx="6">
                  <c:v>2.89</c:v>
                </c:pt>
                <c:pt idx="7">
                  <c:v>2.93</c:v>
                </c:pt>
                <c:pt idx="8">
                  <c:v>2.95</c:v>
                </c:pt>
                <c:pt idx="9">
                  <c:v>2.98</c:v>
                </c:pt>
              </c:numCache>
            </c:numRef>
          </c:xVal>
          <c:yVal>
            <c:numRef>
              <c:f>'id x vd'!$L$2:$L$11</c:f>
              <c:numCache>
                <c:formatCode>General</c:formatCode>
                <c:ptCount val="10"/>
                <c:pt idx="0">
                  <c:v>-1.8391359863752186</c:v>
                </c:pt>
                <c:pt idx="1">
                  <c:v>2.8581690409772804</c:v>
                </c:pt>
                <c:pt idx="2">
                  <c:v>4.3613066497300821</c:v>
                </c:pt>
                <c:pt idx="3">
                  <c:v>5.4886598562946816</c:v>
                </c:pt>
                <c:pt idx="4">
                  <c:v>6.4281208617651799</c:v>
                </c:pt>
                <c:pt idx="5">
                  <c:v>7.1796896661415843</c:v>
                </c:pt>
                <c:pt idx="6">
                  <c:v>7.7433662694238876</c:v>
                </c:pt>
                <c:pt idx="7">
                  <c:v>8.4949350738002849</c:v>
                </c:pt>
                <c:pt idx="8">
                  <c:v>8.8707194759884871</c:v>
                </c:pt>
                <c:pt idx="9">
                  <c:v>9.4343960792707833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0176"/>
        <c:axId val="66850752"/>
      </c:scatterChart>
      <c:valAx>
        <c:axId val="66850176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Tensão no Led (V)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6850752"/>
        <c:crosses val="autoZero"/>
        <c:crossBetween val="midCat"/>
      </c:valAx>
      <c:valAx>
        <c:axId val="668507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Corrente no circuito (mA)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685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Potência dissipada pelo Led x Tensão da fonte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'Potencia x Vdd'!$B$1</c:f>
              <c:strCache>
                <c:ptCount val="1"/>
                <c:pt idx="0">
                  <c:v>Pd (W)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592247253422887"/>
                  <c:y val="-5.0051955350683672E-2"/>
                </c:manualLayout>
              </c:layout>
              <c:numFmt formatCode="General" sourceLinked="0"/>
            </c:trendlineLbl>
          </c:trendline>
          <c:xVal>
            <c:numRef>
              <c:f>'Potencia x Vdd'!$A$2:$A$11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3.8</c:v>
                </c:pt>
                <c:pt idx="2">
                  <c:v>5.3</c:v>
                </c:pt>
                <c:pt idx="3">
                  <c:v>6.8</c:v>
                </c:pt>
                <c:pt idx="4">
                  <c:v>8.3000000000000007</c:v>
                </c:pt>
                <c:pt idx="5">
                  <c:v>9.6999999999999993</c:v>
                </c:pt>
                <c:pt idx="6">
                  <c:v>11.3</c:v>
                </c:pt>
                <c:pt idx="7">
                  <c:v>12.8</c:v>
                </c:pt>
                <c:pt idx="8">
                  <c:v>14.3</c:v>
                </c:pt>
                <c:pt idx="9">
                  <c:v>15.8</c:v>
                </c:pt>
              </c:numCache>
            </c:numRef>
          </c:xVal>
          <c:yVal>
            <c:numRef>
              <c:f>'Potencia x Vdd'!$B$2:$B$11</c:f>
              <c:numCache>
                <c:formatCode>0.00E+00</c:formatCode>
                <c:ptCount val="10"/>
                <c:pt idx="0">
                  <c:v>0</c:v>
                </c:pt>
                <c:pt idx="1">
                  <c:v>2.8930000000000002E-3</c:v>
                </c:pt>
                <c:pt idx="2">
                  <c:v>6.7749999999999998E-3</c:v>
                </c:pt>
                <c:pt idx="3">
                  <c:v>1.108E-2</c:v>
                </c:pt>
                <c:pt idx="4">
                  <c:v>1.5509999999999998E-2</c:v>
                </c:pt>
                <c:pt idx="5">
                  <c:v>1.9447999999999997E-2</c:v>
                </c:pt>
                <c:pt idx="6">
                  <c:v>2.4565000000000003E-2</c:v>
                </c:pt>
                <c:pt idx="7">
                  <c:v>2.9300000000000003E-2</c:v>
                </c:pt>
                <c:pt idx="8">
                  <c:v>3.3925000000000004E-2</c:v>
                </c:pt>
                <c:pt idx="9">
                  <c:v>3.9038000000000003E-2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3056"/>
        <c:axId val="66853632"/>
      </c:scatterChart>
      <c:valAx>
        <c:axId val="6685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Vdd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853632"/>
        <c:crosses val="autoZero"/>
        <c:crossBetween val="midCat"/>
      </c:valAx>
      <c:valAx>
        <c:axId val="6685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Potência dissipada</a:t>
                </a:r>
                <a:r>
                  <a:rPr lang="en-US" baseline="0"/>
                  <a:t> pelo Led (W)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6685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20</xdr:row>
      <xdr:rowOff>38100</xdr:rowOff>
    </xdr:from>
    <xdr:to>
      <xdr:col>14</xdr:col>
      <xdr:colOff>101600</xdr:colOff>
      <xdr:row>48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0</xdr:rowOff>
    </xdr:from>
    <xdr:to>
      <xdr:col>18</xdr:col>
      <xdr:colOff>114300</xdr:colOff>
      <xdr:row>46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63500</xdr:rowOff>
    </xdr:from>
    <xdr:to>
      <xdr:col>12</xdr:col>
      <xdr:colOff>76200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0</xdr:row>
          <xdr:rowOff>0</xdr:rowOff>
        </xdr:from>
        <xdr:to>
          <xdr:col>7</xdr:col>
          <xdr:colOff>175260</xdr:colOff>
          <xdr:row>6</xdr:row>
          <xdr:rowOff>114300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6</xdr:row>
          <xdr:rowOff>53340</xdr:rowOff>
        </xdr:from>
        <xdr:to>
          <xdr:col>7</xdr:col>
          <xdr:colOff>121920</xdr:colOff>
          <xdr:row>15</xdr:row>
          <xdr:rowOff>152400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</xdr:colOff>
          <xdr:row>46</xdr:row>
          <xdr:rowOff>53340</xdr:rowOff>
        </xdr:from>
        <xdr:to>
          <xdr:col>7</xdr:col>
          <xdr:colOff>175260</xdr:colOff>
          <xdr:row>52</xdr:row>
          <xdr:rowOff>152400</xdr:rowOff>
        </xdr:to>
        <xdr:sp macro="" textlink="">
          <xdr:nvSpPr>
            <xdr:cNvPr id="6158" name="Object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15</xdr:row>
          <xdr:rowOff>30480</xdr:rowOff>
        </xdr:from>
        <xdr:to>
          <xdr:col>7</xdr:col>
          <xdr:colOff>144780</xdr:colOff>
          <xdr:row>45</xdr:row>
          <xdr:rowOff>106680</xdr:rowOff>
        </xdr:to>
        <xdr:sp macro="" textlink="">
          <xdr:nvSpPr>
            <xdr:cNvPr id="6159" name="Object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53</xdr:row>
          <xdr:rowOff>0</xdr:rowOff>
        </xdr:from>
        <xdr:to>
          <xdr:col>7</xdr:col>
          <xdr:colOff>182880</xdr:colOff>
          <xdr:row>59</xdr:row>
          <xdr:rowOff>0</xdr:rowOff>
        </xdr:to>
        <xdr:sp macro="" textlink="">
          <xdr:nvSpPr>
            <xdr:cNvPr id="6161" name="Object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</xdr:colOff>
          <xdr:row>71</xdr:row>
          <xdr:rowOff>60960</xdr:rowOff>
        </xdr:from>
        <xdr:to>
          <xdr:col>6</xdr:col>
          <xdr:colOff>640080</xdr:colOff>
          <xdr:row>74</xdr:row>
          <xdr:rowOff>30480</xdr:rowOff>
        </xdr:to>
        <xdr:sp macro="" textlink="">
          <xdr:nvSpPr>
            <xdr:cNvPr id="6162" name="Object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</xdr:colOff>
          <xdr:row>73</xdr:row>
          <xdr:rowOff>60960</xdr:rowOff>
        </xdr:from>
        <xdr:to>
          <xdr:col>7</xdr:col>
          <xdr:colOff>38100</xdr:colOff>
          <xdr:row>79</xdr:row>
          <xdr:rowOff>53340</xdr:rowOff>
        </xdr:to>
        <xdr:sp macro="" textlink="">
          <xdr:nvSpPr>
            <xdr:cNvPr id="6163" name="Object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7</xdr:col>
          <xdr:colOff>243840</xdr:colOff>
          <xdr:row>88</xdr:row>
          <xdr:rowOff>7620</xdr:rowOff>
        </xdr:to>
        <xdr:sp macro="" textlink="">
          <xdr:nvSpPr>
            <xdr:cNvPr id="6164" name="Object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</xdr:colOff>
          <xdr:row>90</xdr:row>
          <xdr:rowOff>53340</xdr:rowOff>
        </xdr:from>
        <xdr:to>
          <xdr:col>7</xdr:col>
          <xdr:colOff>175260</xdr:colOff>
          <xdr:row>96</xdr:row>
          <xdr:rowOff>152400</xdr:rowOff>
        </xdr:to>
        <xdr:sp macro="" textlink="">
          <xdr:nvSpPr>
            <xdr:cNvPr id="6165" name="Object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523874</xdr:colOff>
      <xdr:row>97</xdr:row>
      <xdr:rowOff>57150</xdr:rowOff>
    </xdr:from>
    <xdr:to>
      <xdr:col>7</xdr:col>
      <xdr:colOff>485775</xdr:colOff>
      <xdr:row>124</xdr:row>
      <xdr:rowOff>85725</xdr:rowOff>
    </xdr:to>
    <xdr:graphicFrame macro="">
      <xdr:nvGraphicFramePr>
        <xdr:cNvPr id="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121920</xdr:rowOff>
        </xdr:from>
        <xdr:to>
          <xdr:col>7</xdr:col>
          <xdr:colOff>205740</xdr:colOff>
          <xdr:row>127</xdr:row>
          <xdr:rowOff>144780</xdr:rowOff>
        </xdr:to>
        <xdr:sp macro="" textlink="">
          <xdr:nvSpPr>
            <xdr:cNvPr id="6166" name="Object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</xdr:row>
          <xdr:rowOff>160020</xdr:rowOff>
        </xdr:from>
        <xdr:to>
          <xdr:col>7</xdr:col>
          <xdr:colOff>495300</xdr:colOff>
          <xdr:row>135</xdr:row>
          <xdr:rowOff>182880</xdr:rowOff>
        </xdr:to>
        <xdr:sp macro="" textlink="">
          <xdr:nvSpPr>
            <xdr:cNvPr id="6167" name="Object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129540</xdr:colOff>
          <xdr:row>136</xdr:row>
          <xdr:rowOff>53340</xdr:rowOff>
        </xdr:from>
        <xdr:to>
          <xdr:col>7</xdr:col>
          <xdr:colOff>243840</xdr:colOff>
          <xdr:row>142</xdr:row>
          <xdr:rowOff>152400</xdr:rowOff>
        </xdr:to>
        <xdr:sp macro="" textlink="">
          <xdr:nvSpPr>
            <xdr:cNvPr id="6168" name="Object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200025</xdr:colOff>
      <xdr:row>146</xdr:row>
      <xdr:rowOff>47625</xdr:rowOff>
    </xdr:from>
    <xdr:to>
      <xdr:col>7</xdr:col>
      <xdr:colOff>514350</xdr:colOff>
      <xdr:row>171</xdr:row>
      <xdr:rowOff>90170</xdr:rowOff>
    </xdr:to>
    <xdr:graphicFrame macro="">
      <xdr:nvGraphicFramePr>
        <xdr:cNvPr id="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</xdr:row>
          <xdr:rowOff>91440</xdr:rowOff>
        </xdr:from>
        <xdr:to>
          <xdr:col>7</xdr:col>
          <xdr:colOff>586740</xdr:colOff>
          <xdr:row>180</xdr:row>
          <xdr:rowOff>129540</xdr:rowOff>
        </xdr:to>
        <xdr:sp macro="" textlink="">
          <xdr:nvSpPr>
            <xdr:cNvPr id="6169" name="Object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181</xdr:row>
          <xdr:rowOff>22860</xdr:rowOff>
        </xdr:from>
        <xdr:to>
          <xdr:col>7</xdr:col>
          <xdr:colOff>312420</xdr:colOff>
          <xdr:row>187</xdr:row>
          <xdr:rowOff>121920</xdr:rowOff>
        </xdr:to>
        <xdr:sp macro="" textlink="">
          <xdr:nvSpPr>
            <xdr:cNvPr id="6170" name="Object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161925</xdr:colOff>
      <xdr:row>199</xdr:row>
      <xdr:rowOff>161926</xdr:rowOff>
    </xdr:from>
    <xdr:to>
      <xdr:col>7</xdr:col>
      <xdr:colOff>409575</xdr:colOff>
      <xdr:row>221</xdr:row>
      <xdr:rowOff>95250</xdr:rowOff>
    </xdr:to>
    <xdr:graphicFrame macro="">
      <xdr:nvGraphicFramePr>
        <xdr:cNvPr id="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225</xdr:row>
          <xdr:rowOff>22860</xdr:rowOff>
        </xdr:from>
        <xdr:to>
          <xdr:col>7</xdr:col>
          <xdr:colOff>320040</xdr:colOff>
          <xdr:row>231</xdr:row>
          <xdr:rowOff>121920</xdr:rowOff>
        </xdr:to>
        <xdr:sp macro="" textlink="">
          <xdr:nvSpPr>
            <xdr:cNvPr id="6171" name="Object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</xdr:colOff>
          <xdr:row>232</xdr:row>
          <xdr:rowOff>0</xdr:rowOff>
        </xdr:from>
        <xdr:to>
          <xdr:col>7</xdr:col>
          <xdr:colOff>579120</xdr:colOff>
          <xdr:row>234</xdr:row>
          <xdr:rowOff>22860</xdr:rowOff>
        </xdr:to>
        <xdr:sp macro="" textlink="">
          <xdr:nvSpPr>
            <xdr:cNvPr id="6173" name="Object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234</xdr:row>
          <xdr:rowOff>60960</xdr:rowOff>
        </xdr:from>
        <xdr:to>
          <xdr:col>7</xdr:col>
          <xdr:colOff>495300</xdr:colOff>
          <xdr:row>237</xdr:row>
          <xdr:rowOff>83820</xdr:rowOff>
        </xdr:to>
        <xdr:sp macro="" textlink="">
          <xdr:nvSpPr>
            <xdr:cNvPr id="6174" name="Object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38100</xdr:colOff>
      <xdr:row>237</xdr:row>
      <xdr:rowOff>133350</xdr:rowOff>
    </xdr:from>
    <xdr:to>
      <xdr:col>7</xdr:col>
      <xdr:colOff>590550</xdr:colOff>
      <xdr:row>246</xdr:row>
      <xdr:rowOff>19050</xdr:rowOff>
    </xdr:to>
    <xdr:sp macro="" textlink="" fLocksText="0">
      <xdr:nvSpPr>
        <xdr:cNvPr id="2" name="CaixaDeTexto 1"/>
        <xdr:cNvSpPr txBox="1"/>
      </xdr:nvSpPr>
      <xdr:spPr>
        <a:xfrm>
          <a:off x="38100" y="48482250"/>
          <a:ext cx="6410325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246</xdr:row>
          <xdr:rowOff>45720</xdr:rowOff>
        </xdr:from>
        <xdr:to>
          <xdr:col>7</xdr:col>
          <xdr:colOff>495300</xdr:colOff>
          <xdr:row>249</xdr:row>
          <xdr:rowOff>76200</xdr:rowOff>
        </xdr:to>
        <xdr:sp macro="" textlink="">
          <xdr:nvSpPr>
            <xdr:cNvPr id="6175" name="Object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66675</xdr:colOff>
      <xdr:row>249</xdr:row>
      <xdr:rowOff>123826</xdr:rowOff>
    </xdr:from>
    <xdr:to>
      <xdr:col>7</xdr:col>
      <xdr:colOff>523875</xdr:colOff>
      <xdr:row>256</xdr:row>
      <xdr:rowOff>190501</xdr:rowOff>
    </xdr:to>
    <xdr:sp macro="" textlink="" fLocksText="0">
      <xdr:nvSpPr>
        <xdr:cNvPr id="3" name="CaixaDeTexto 2"/>
        <xdr:cNvSpPr txBox="1"/>
      </xdr:nvSpPr>
      <xdr:spPr>
        <a:xfrm>
          <a:off x="66675" y="50873026"/>
          <a:ext cx="6315075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257</xdr:row>
          <xdr:rowOff>38100</xdr:rowOff>
        </xdr:from>
        <xdr:to>
          <xdr:col>7</xdr:col>
          <xdr:colOff>579120</xdr:colOff>
          <xdr:row>261</xdr:row>
          <xdr:rowOff>83820</xdr:rowOff>
        </xdr:to>
        <xdr:sp macro="" textlink="">
          <xdr:nvSpPr>
            <xdr:cNvPr id="6176" name="Object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47625</xdr:colOff>
      <xdr:row>261</xdr:row>
      <xdr:rowOff>104775</xdr:rowOff>
    </xdr:from>
    <xdr:to>
      <xdr:col>7</xdr:col>
      <xdr:colOff>628650</xdr:colOff>
      <xdr:row>270</xdr:row>
      <xdr:rowOff>171450</xdr:rowOff>
    </xdr:to>
    <xdr:sp macro="" textlink="" fLocksText="0">
      <xdr:nvSpPr>
        <xdr:cNvPr id="4" name="CaixaDeTexto 3"/>
        <xdr:cNvSpPr txBox="1"/>
      </xdr:nvSpPr>
      <xdr:spPr>
        <a:xfrm>
          <a:off x="47625" y="53254275"/>
          <a:ext cx="6438900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9:G19" totalsRowShown="0" headerRowDxfId="36" dataDxfId="35">
  <autoFilter ref="A9:G19"/>
  <tableColumns count="7">
    <tableColumn id="1" name="Vdd (V)" dataDxfId="34">
      <calculatedColumnFormula>Plan1!D62</calculatedColumnFormula>
    </tableColumn>
    <tableColumn id="2" name="Id (mA)" dataDxfId="33">
      <calculatedColumnFormula>Plan1!E62</calculatedColumnFormula>
    </tableColumn>
    <tableColumn id="3" name="Id - incerteza" dataDxfId="32">
      <calculatedColumnFormula>SQRT((B10*D$4+D$6*D$5)^2+D$5^2/4)</calculatedColumnFormula>
    </tableColumn>
    <tableColumn id="4" name="Vd (V)" dataDxfId="31">
      <calculatedColumnFormula>Plan1!F62</calculatedColumnFormula>
    </tableColumn>
    <tableColumn id="5" name="Vd - incerteza (V)" dataDxfId="30">
      <calculatedColumnFormula>D10*C$4+C$6*C$5</calculatedColumnFormula>
    </tableColumn>
    <tableColumn id="9" name="Pd (W)" dataDxfId="29">
      <calculatedColumnFormula>Table1[[#This Row],[Id (mA)]]*10^-3*Table1[[#This Row],[Vd (V)]]</calculatedColumnFormula>
    </tableColumn>
    <tableColumn id="6" name="Vr (V)" dataDxfId="28">
      <calculatedColumnFormula>Table1[[#This Row],[Vdd (V)]]-Table1[[#This Row],[Vd (V)]]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L11" totalsRowShown="0" headerRowDxfId="25" tableBorderDxfId="24">
  <autoFilter ref="A1:L11"/>
  <tableColumns count="12">
    <tableColumn id="1" name="x" dataDxfId="23">
      <calculatedColumnFormula>'Dados experimentais'!D10</calculatedColumnFormula>
    </tableColumn>
    <tableColumn id="2" name="y" dataDxfId="22">
      <calculatedColumnFormula>'Dados experimentais'!B10</calculatedColumnFormula>
    </tableColumn>
    <tableColumn id="3" name="s" dataDxfId="21">
      <calculatedColumnFormula>'Dados experimentais'!C10</calculatedColumnFormula>
    </tableColumn>
    <tableColumn id="4" name="s^2" dataDxfId="20">
      <calculatedColumnFormula>C2^2</calculatedColumnFormula>
    </tableColumn>
    <tableColumn id="5" name="1/s^2" dataDxfId="19">
      <calculatedColumnFormula>1/D2</calculatedColumnFormula>
    </tableColumn>
    <tableColumn id="6" name="x/s^2" dataDxfId="18">
      <calculatedColumnFormula>A2/D2</calculatedColumnFormula>
    </tableColumn>
    <tableColumn id="7" name="x^2/s^2" dataDxfId="17">
      <calculatedColumnFormula>A2^2/D2</calculatedColumnFormula>
    </tableColumn>
    <tableColumn id="8" name="y/s^2" dataDxfId="16">
      <calculatedColumnFormula>B2/D2</calculatedColumnFormula>
    </tableColumn>
    <tableColumn id="9" name="x*y/s^2" dataDxfId="15">
      <calculatedColumnFormula>A2*B2/D2</calculatedColumnFormula>
    </tableColumn>
    <tableColumn id="10" name="y^2/s^2" dataDxfId="14">
      <calculatedColumnFormula>(B2^2)/D2</calculatedColumnFormula>
    </tableColumn>
    <tableColumn id="11" name="(y - y(x))/s" dataDxfId="13">
      <calculatedColumnFormula>((B2-(B$22+B$23*A2))/C2)^2</calculatedColumnFormula>
    </tableColumn>
    <tableColumn id="12" name="y (x)">
      <calculatedColumnFormula>B$22+B$23*A2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1:L11" totalsRowShown="0" headerRowDxfId="10" tableBorderDxfId="9">
  <autoFilter ref="A1:L11"/>
  <tableColumns count="12">
    <tableColumn id="1" name="x" dataDxfId="8">
      <calculatedColumnFormula>'Dados experimentais'!A10-'Dados experimentais'!D10</calculatedColumnFormula>
    </tableColumn>
    <tableColumn id="2" name="y" dataDxfId="7">
      <calculatedColumnFormula>'Dados experimentais'!B10</calculatedColumnFormula>
    </tableColumn>
    <tableColumn id="3" name="s" dataDxfId="6">
      <calculatedColumnFormula>'Dados experimentais'!C10</calculatedColumnFormula>
    </tableColumn>
    <tableColumn id="4" name="s^2" dataDxfId="5">
      <calculatedColumnFormula>C2^2</calculatedColumnFormula>
    </tableColumn>
    <tableColumn id="5" name="1/s^2" dataDxfId="4">
      <calculatedColumnFormula>1/D2</calculatedColumnFormula>
    </tableColumn>
    <tableColumn id="6" name="x/s^2" dataDxfId="3">
      <calculatedColumnFormula>A2/D2</calculatedColumnFormula>
    </tableColumn>
    <tableColumn id="7" name="x^2/s^2" dataDxfId="2">
      <calculatedColumnFormula>A2^2/D2</calculatedColumnFormula>
    </tableColumn>
    <tableColumn id="8" name="y/s^2" dataDxfId="1">
      <calculatedColumnFormula>B2/D2</calculatedColumnFormula>
    </tableColumn>
    <tableColumn id="9" name="x*y/s^2" dataDxfId="0">
      <calculatedColumnFormula>A2*B2/D2</calculatedColumnFormula>
    </tableColumn>
    <tableColumn id="10" name="y^2/s^2">
      <calculatedColumnFormula>(B2^2)/D2</calculatedColumnFormula>
    </tableColumn>
    <tableColumn id="11" name="(y - y(x))/s">
      <calculatedColumnFormula>((B2-(B$22+B$23*A2))/C2)^2</calculatedColumnFormula>
    </tableColumn>
    <tableColumn id="12" name="y(x)">
      <calculatedColumnFormula>B$22+B$23*A2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package" Target="../embeddings/Microsoft_Word_Document8.docx"/><Relationship Id="rId26" Type="http://schemas.openxmlformats.org/officeDocument/2006/relationships/package" Target="../embeddings/Microsoft_Word_Document12.docx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package" Target="../embeddings/Microsoft_Word_Document16.docx"/><Relationship Id="rId7" Type="http://schemas.openxmlformats.org/officeDocument/2006/relationships/image" Target="../media/image2.emf"/><Relationship Id="rId2" Type="http://schemas.openxmlformats.org/officeDocument/2006/relationships/drawing" Target="../drawings/drawing4.xml"/><Relationship Id="rId16" Type="http://schemas.openxmlformats.org/officeDocument/2006/relationships/package" Target="../embeddings/Microsoft_Word_Document7.docx"/><Relationship Id="rId20" Type="http://schemas.openxmlformats.org/officeDocument/2006/relationships/package" Target="../embeddings/Microsoft_Word_Document9.docx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11" Type="http://schemas.openxmlformats.org/officeDocument/2006/relationships/image" Target="../media/image4.emf"/><Relationship Id="rId24" Type="http://schemas.openxmlformats.org/officeDocument/2006/relationships/package" Target="../embeddings/Microsoft_Word_Document11.docx"/><Relationship Id="rId32" Type="http://schemas.openxmlformats.org/officeDocument/2006/relationships/package" Target="../embeddings/Microsoft_Word_Document15.docx"/><Relationship Id="rId37" Type="http://schemas.openxmlformats.org/officeDocument/2006/relationships/image" Target="../media/image17.emf"/><Relationship Id="rId40" Type="http://schemas.openxmlformats.org/officeDocument/2006/relationships/package" Target="../embeddings/Microsoft_Word_Document19.docx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package" Target="../embeddings/Microsoft_Word_Document13.docx"/><Relationship Id="rId36" Type="http://schemas.openxmlformats.org/officeDocument/2006/relationships/package" Target="../embeddings/Microsoft_Word_Document17.docx"/><Relationship Id="rId10" Type="http://schemas.openxmlformats.org/officeDocument/2006/relationships/package" Target="../embeddings/Microsoft_Word_Document4.docx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package" Target="../embeddings/Microsoft_Word_Document1.docx"/><Relationship Id="rId9" Type="http://schemas.openxmlformats.org/officeDocument/2006/relationships/image" Target="../media/image3.emf"/><Relationship Id="rId14" Type="http://schemas.openxmlformats.org/officeDocument/2006/relationships/package" Target="../embeddings/Microsoft_Word_Document6.docx"/><Relationship Id="rId22" Type="http://schemas.openxmlformats.org/officeDocument/2006/relationships/package" Target="../embeddings/Microsoft_Word_Document10.docx"/><Relationship Id="rId27" Type="http://schemas.openxmlformats.org/officeDocument/2006/relationships/image" Target="../media/image12.emf"/><Relationship Id="rId30" Type="http://schemas.openxmlformats.org/officeDocument/2006/relationships/package" Target="../embeddings/Microsoft_Word_Document14.docx"/><Relationship Id="rId35" Type="http://schemas.openxmlformats.org/officeDocument/2006/relationships/image" Target="../media/image16.emf"/><Relationship Id="rId8" Type="http://schemas.openxmlformats.org/officeDocument/2006/relationships/package" Target="../embeddings/Microsoft_Word_Document3.docx"/><Relationship Id="rId3" Type="http://schemas.openxmlformats.org/officeDocument/2006/relationships/vmlDrawing" Target="../drawings/vmlDrawing1.vml"/><Relationship Id="rId12" Type="http://schemas.openxmlformats.org/officeDocument/2006/relationships/package" Target="../embeddings/Microsoft_Word_Document5.docx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package" Target="../embeddings/Microsoft_Word_Document18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D10" sqref="D10"/>
    </sheetView>
  </sheetViews>
  <sheetFormatPr defaultColWidth="11.19921875" defaultRowHeight="15.6" x14ac:dyDescent="0.3"/>
  <cols>
    <col min="1" max="1" width="19.69921875" bestFit="1" customWidth="1"/>
    <col min="2" max="2" width="52.69921875" bestFit="1" customWidth="1"/>
    <col min="3" max="3" width="16.69921875" customWidth="1"/>
    <col min="4" max="4" width="15" customWidth="1"/>
    <col min="5" max="5" width="20.796875" bestFit="1" customWidth="1"/>
    <col min="6" max="6" width="20.796875" customWidth="1"/>
    <col min="7" max="7" width="11.296875" bestFit="1" customWidth="1"/>
  </cols>
  <sheetData>
    <row r="1" spans="1:7" ht="16.2" thickBot="1" x14ac:dyDescent="0.35">
      <c r="C1" s="7" t="s">
        <v>10</v>
      </c>
      <c r="D1" s="8" t="s">
        <v>0</v>
      </c>
    </row>
    <row r="2" spans="1:7" x14ac:dyDescent="0.3">
      <c r="B2" s="4" t="s">
        <v>6</v>
      </c>
      <c r="C2" s="9" t="s">
        <v>13</v>
      </c>
      <c r="D2" s="10" t="s">
        <v>14</v>
      </c>
    </row>
    <row r="3" spans="1:7" ht="16.2" thickBot="1" x14ac:dyDescent="0.35">
      <c r="B3" s="5" t="s">
        <v>4</v>
      </c>
      <c r="C3" s="11" t="s">
        <v>12</v>
      </c>
      <c r="D3" s="12" t="s">
        <v>11</v>
      </c>
    </row>
    <row r="4" spans="1:7" x14ac:dyDescent="0.3">
      <c r="A4" s="66" t="s">
        <v>5</v>
      </c>
      <c r="B4" s="5" t="s">
        <v>7</v>
      </c>
      <c r="C4" s="13">
        <v>5.0000000000000001E-3</v>
      </c>
      <c r="D4" s="14">
        <v>1.4999999999999999E-2</v>
      </c>
    </row>
    <row r="5" spans="1:7" x14ac:dyDescent="0.3">
      <c r="A5" s="67"/>
      <c r="B5" s="5" t="s">
        <v>8</v>
      </c>
      <c r="C5" s="15">
        <v>0.01</v>
      </c>
      <c r="D5" s="16">
        <v>0.1</v>
      </c>
      <c r="G5" s="2"/>
    </row>
    <row r="6" spans="1:7" ht="16.2" thickBot="1" x14ac:dyDescent="0.35">
      <c r="A6" s="68"/>
      <c r="B6" s="6" t="s">
        <v>9</v>
      </c>
      <c r="C6" s="17">
        <v>3</v>
      </c>
      <c r="D6" s="18">
        <v>2</v>
      </c>
    </row>
    <row r="9" spans="1:7" x14ac:dyDescent="0.3">
      <c r="A9" s="1" t="s">
        <v>2</v>
      </c>
      <c r="B9" s="1" t="s">
        <v>3</v>
      </c>
      <c r="C9" s="1" t="s">
        <v>15</v>
      </c>
      <c r="D9" s="1" t="s">
        <v>1</v>
      </c>
      <c r="E9" s="1" t="s">
        <v>16</v>
      </c>
      <c r="F9" s="1" t="s">
        <v>47</v>
      </c>
      <c r="G9" s="1" t="s">
        <v>17</v>
      </c>
    </row>
    <row r="10" spans="1:7" x14ac:dyDescent="0.3">
      <c r="A10" s="1">
        <f>Plan1!D62</f>
        <v>2.2999999999999998</v>
      </c>
      <c r="B10" s="1">
        <f>Plan1!E62</f>
        <v>0</v>
      </c>
      <c r="C10" s="3">
        <f t="shared" ref="C10:C19" si="0">SQRT((B10*D$4+D$6*D$5)^2+D$5^2/4)</f>
        <v>0.20615528128088306</v>
      </c>
      <c r="D10" s="1">
        <f>Plan1!F62</f>
        <v>2.38</v>
      </c>
      <c r="E10" s="3">
        <f t="shared" ref="E10:E19" si="1">D10*C$4+C$6*C$5</f>
        <v>4.19E-2</v>
      </c>
      <c r="F10" s="3">
        <f>Table1[[#This Row],[Id (mA)]]*10^-3*Table1[[#This Row],[Vd (V)]]</f>
        <v>0</v>
      </c>
      <c r="G10" s="1">
        <f>Table1[[#This Row],[Vdd (V)]]-Table1[[#This Row],[Vd (V)]]</f>
        <v>-8.0000000000000071E-2</v>
      </c>
    </row>
    <row r="11" spans="1:7" x14ac:dyDescent="0.3">
      <c r="A11" s="1">
        <f>Plan1!D63</f>
        <v>3.8</v>
      </c>
      <c r="B11" s="1">
        <f>Plan1!E63</f>
        <v>1.1000000000000001</v>
      </c>
      <c r="C11" s="3">
        <f t="shared" si="0"/>
        <v>0.22219867236327046</v>
      </c>
      <c r="D11" s="1">
        <f>Plan1!F63</f>
        <v>2.63</v>
      </c>
      <c r="E11" s="3">
        <f t="shared" si="1"/>
        <v>4.3150000000000001E-2</v>
      </c>
      <c r="F11" s="3">
        <f>Table1[[#This Row],[Id (mA)]]*10^-3*Table1[[#This Row],[Vd (V)]]</f>
        <v>2.8930000000000002E-3</v>
      </c>
      <c r="G11" s="1">
        <f>Table1[[#This Row],[Vdd (V)]]-Table1[[#This Row],[Vd (V)]]</f>
        <v>1.17</v>
      </c>
    </row>
    <row r="12" spans="1:7" x14ac:dyDescent="0.3">
      <c r="A12" s="1">
        <f>Plan1!D64</f>
        <v>5.3</v>
      </c>
      <c r="B12" s="1">
        <f>Plan1!E64</f>
        <v>2.5</v>
      </c>
      <c r="C12" s="3">
        <f t="shared" si="0"/>
        <v>0.242706097986845</v>
      </c>
      <c r="D12" s="1">
        <f>Plan1!F64</f>
        <v>2.71</v>
      </c>
      <c r="E12" s="3">
        <f t="shared" si="1"/>
        <v>4.3549999999999998E-2</v>
      </c>
      <c r="F12" s="3">
        <f>Table1[[#This Row],[Id (mA)]]*10^-3*Table1[[#This Row],[Vd (V)]]</f>
        <v>6.7749999999999998E-3</v>
      </c>
      <c r="G12" s="1">
        <f>Table1[[#This Row],[Vdd (V)]]-Table1[[#This Row],[Vd (V)]]</f>
        <v>2.59</v>
      </c>
    </row>
    <row r="13" spans="1:7" x14ac:dyDescent="0.3">
      <c r="A13" s="1">
        <f>Plan1!D65</f>
        <v>6.8</v>
      </c>
      <c r="B13" s="1">
        <f>Plan1!E65</f>
        <v>4</v>
      </c>
      <c r="C13" s="3">
        <f t="shared" si="0"/>
        <v>0.26476404589747454</v>
      </c>
      <c r="D13" s="1">
        <f>Plan1!F65</f>
        <v>2.77</v>
      </c>
      <c r="E13" s="3">
        <f t="shared" si="1"/>
        <v>4.385E-2</v>
      </c>
      <c r="F13" s="3">
        <f>Table1[[#This Row],[Id (mA)]]*10^-3*Table1[[#This Row],[Vd (V)]]</f>
        <v>1.108E-2</v>
      </c>
      <c r="G13" s="1">
        <f>Table1[[#This Row],[Vdd (V)]]-Table1[[#This Row],[Vd (V)]]</f>
        <v>4.0299999999999994</v>
      </c>
    </row>
    <row r="14" spans="1:7" x14ac:dyDescent="0.3">
      <c r="A14" s="1">
        <f>Plan1!D66</f>
        <v>8.3000000000000007</v>
      </c>
      <c r="B14" s="1">
        <f>Plan1!E66</f>
        <v>5.5</v>
      </c>
      <c r="C14" s="3">
        <f t="shared" si="0"/>
        <v>0.28689065861404406</v>
      </c>
      <c r="D14" s="1">
        <f>Plan1!F66</f>
        <v>2.82</v>
      </c>
      <c r="E14" s="3">
        <f t="shared" si="1"/>
        <v>4.41E-2</v>
      </c>
      <c r="F14" s="3">
        <f>Table1[[#This Row],[Id (mA)]]*10^-3*Table1[[#This Row],[Vd (V)]]</f>
        <v>1.5509999999999998E-2</v>
      </c>
      <c r="G14" s="1">
        <f>Table1[[#This Row],[Vdd (V)]]-Table1[[#This Row],[Vd (V)]]</f>
        <v>5.48</v>
      </c>
    </row>
    <row r="15" spans="1:7" x14ac:dyDescent="0.3">
      <c r="A15" s="1">
        <f>Plan1!D67</f>
        <v>9.6999999999999993</v>
      </c>
      <c r="B15" s="1">
        <f>Plan1!E67</f>
        <v>6.8</v>
      </c>
      <c r="C15" s="3">
        <f t="shared" si="0"/>
        <v>0.3061110909457545</v>
      </c>
      <c r="D15" s="1">
        <f>Plan1!F67</f>
        <v>2.86</v>
      </c>
      <c r="E15" s="3">
        <f t="shared" si="1"/>
        <v>4.4299999999999999E-2</v>
      </c>
      <c r="F15" s="3">
        <f>Table1[[#This Row],[Id (mA)]]*10^-3*Table1[[#This Row],[Vd (V)]]</f>
        <v>1.9447999999999997E-2</v>
      </c>
      <c r="G15" s="1">
        <f>Table1[[#This Row],[Vdd (V)]]-Table1[[#This Row],[Vd (V)]]</f>
        <v>6.84</v>
      </c>
    </row>
    <row r="16" spans="1:7" x14ac:dyDescent="0.3">
      <c r="A16" s="1">
        <f>Plan1!D68</f>
        <v>11.3</v>
      </c>
      <c r="B16" s="1">
        <f>Plan1!E68</f>
        <v>8.5</v>
      </c>
      <c r="C16" s="3">
        <f t="shared" si="0"/>
        <v>0.33129480829013908</v>
      </c>
      <c r="D16" s="1">
        <f>Plan1!F68</f>
        <v>2.89</v>
      </c>
      <c r="E16" s="3">
        <f t="shared" si="1"/>
        <v>4.4450000000000003E-2</v>
      </c>
      <c r="F16" s="3">
        <f>Table1[[#This Row],[Id (mA)]]*10^-3*Table1[[#This Row],[Vd (V)]]</f>
        <v>2.4565000000000003E-2</v>
      </c>
      <c r="G16" s="1">
        <f>Table1[[#This Row],[Vdd (V)]]-Table1[[#This Row],[Vd (V)]]</f>
        <v>8.41</v>
      </c>
    </row>
    <row r="17" spans="1:7" x14ac:dyDescent="0.3">
      <c r="A17" s="1">
        <f>Plan1!D69</f>
        <v>12.8</v>
      </c>
      <c r="B17" s="1">
        <f>Plan1!E69</f>
        <v>10</v>
      </c>
      <c r="C17" s="3">
        <f t="shared" si="0"/>
        <v>0.35355339059327373</v>
      </c>
      <c r="D17" s="1">
        <f>Plan1!F69</f>
        <v>2.93</v>
      </c>
      <c r="E17" s="3">
        <f t="shared" si="1"/>
        <v>4.4650000000000002E-2</v>
      </c>
      <c r="F17" s="3">
        <f>Table1[[#This Row],[Id (mA)]]*10^-3*Table1[[#This Row],[Vd (V)]]</f>
        <v>2.9300000000000003E-2</v>
      </c>
      <c r="G17" s="1">
        <f>Table1[[#This Row],[Vdd (V)]]-Table1[[#This Row],[Vd (V)]]</f>
        <v>9.870000000000001</v>
      </c>
    </row>
    <row r="18" spans="1:7" x14ac:dyDescent="0.3">
      <c r="A18" s="1">
        <f>Plan1!D70</f>
        <v>14.3</v>
      </c>
      <c r="B18" s="1">
        <f>Plan1!E70</f>
        <v>11.5</v>
      </c>
      <c r="C18" s="3">
        <f t="shared" si="0"/>
        <v>0.37584072424366149</v>
      </c>
      <c r="D18" s="1">
        <f>Plan1!F70</f>
        <v>2.95</v>
      </c>
      <c r="E18" s="3">
        <f t="shared" si="1"/>
        <v>4.4749999999999998E-2</v>
      </c>
      <c r="F18" s="3">
        <f>Table1[[#This Row],[Id (mA)]]*10^-3*Table1[[#This Row],[Vd (V)]]</f>
        <v>3.3925000000000004E-2</v>
      </c>
      <c r="G18" s="1">
        <f>Table1[[#This Row],[Vdd (V)]]-Table1[[#This Row],[Vd (V)]]</f>
        <v>11.350000000000001</v>
      </c>
    </row>
    <row r="19" spans="1:7" x14ac:dyDescent="0.3">
      <c r="A19" s="1">
        <f>Plan1!D71</f>
        <v>15.8</v>
      </c>
      <c r="B19" s="1">
        <f>Plan1!E71</f>
        <v>13.1</v>
      </c>
      <c r="C19" s="3">
        <f t="shared" si="0"/>
        <v>0.39964015063554359</v>
      </c>
      <c r="D19" s="1">
        <f>Plan1!F71</f>
        <v>2.98</v>
      </c>
      <c r="E19" s="3">
        <f t="shared" si="1"/>
        <v>4.4899999999999995E-2</v>
      </c>
      <c r="F19" s="3">
        <f>Table1[[#This Row],[Id (mA)]]*10^-3*Table1[[#This Row],[Vd (V)]]</f>
        <v>3.9038000000000003E-2</v>
      </c>
      <c r="G19" s="1">
        <f>Table1[[#This Row],[Vdd (V)]]-Table1[[#This Row],[Vd (V)]]</f>
        <v>12.82</v>
      </c>
    </row>
  </sheetData>
  <mergeCells count="1">
    <mergeCell ref="A4:A6"/>
  </mergeCell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A2" sqref="A2"/>
    </sheetView>
  </sheetViews>
  <sheetFormatPr defaultColWidth="11.19921875" defaultRowHeight="15.6" x14ac:dyDescent="0.3"/>
  <cols>
    <col min="1" max="1" width="17.09765625" bestFit="1" customWidth="1"/>
    <col min="3" max="3" width="16" bestFit="1" customWidth="1"/>
    <col min="4" max="4" width="13.796875" bestFit="1" customWidth="1"/>
    <col min="5" max="6" width="12.796875" bestFit="1" customWidth="1"/>
    <col min="7" max="8" width="13.796875" bestFit="1" customWidth="1"/>
    <col min="9" max="9" width="13.5" bestFit="1" customWidth="1"/>
    <col min="11" max="11" width="15" bestFit="1" customWidth="1"/>
    <col min="12" max="12" width="21.296875" customWidth="1"/>
  </cols>
  <sheetData>
    <row r="1" spans="1:19" s="20" customFormat="1" ht="15" customHeight="1" x14ac:dyDescent="0.3">
      <c r="A1" s="19" t="s">
        <v>18</v>
      </c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43</v>
      </c>
      <c r="S1" s="20" t="s">
        <v>30</v>
      </c>
    </row>
    <row r="2" spans="1:19" s="20" customFormat="1" ht="15" customHeight="1" x14ac:dyDescent="0.3">
      <c r="A2" s="21">
        <f>'Dados experimentais'!D10</f>
        <v>2.38</v>
      </c>
      <c r="B2" s="21">
        <f>'Dados experimentais'!B10</f>
        <v>0</v>
      </c>
      <c r="C2" s="21">
        <f>'Dados experimentais'!C10</f>
        <v>0.20615528128088306</v>
      </c>
      <c r="D2" s="22">
        <f t="shared" ref="D2:D11" si="0">C2^2</f>
        <v>4.2500000000000017E-2</v>
      </c>
      <c r="E2" s="41">
        <f>1/D2</f>
        <v>23.529411764705873</v>
      </c>
      <c r="F2" s="41">
        <f t="shared" ref="F2:F11" si="1">A2/D2</f>
        <v>55.999999999999979</v>
      </c>
      <c r="G2" s="41">
        <f t="shared" ref="G2:G11" si="2">A2^2/D2</f>
        <v>133.27999999999994</v>
      </c>
      <c r="H2" s="41">
        <f t="shared" ref="H2:H11" si="3">B2/D2</f>
        <v>0</v>
      </c>
      <c r="I2" s="41">
        <f t="shared" ref="I2:I11" si="4">A2*B2/D2</f>
        <v>0</v>
      </c>
      <c r="J2" s="41">
        <f t="shared" ref="J2:J11" si="5">(B2^2)/D2</f>
        <v>0</v>
      </c>
      <c r="K2" s="41">
        <f t="shared" ref="K2:K11" si="6">((B2-(B$22+B$23*A2))/C2)^2</f>
        <v>79.586380620714053</v>
      </c>
      <c r="L2" s="20">
        <f t="shared" ref="L2:L11" si="7">B$22+B$23*A2</f>
        <v>-1.8391359863752186</v>
      </c>
      <c r="S2" s="20">
        <v>0.25</v>
      </c>
    </row>
    <row r="3" spans="1:19" s="20" customFormat="1" ht="15" customHeight="1" x14ac:dyDescent="0.3">
      <c r="A3" s="21">
        <f>'Dados experimentais'!D11</f>
        <v>2.63</v>
      </c>
      <c r="B3" s="21">
        <f>'Dados experimentais'!B11</f>
        <v>1.1000000000000001</v>
      </c>
      <c r="C3" s="21">
        <f>'Dados experimentais'!C11</f>
        <v>0.22219867236327046</v>
      </c>
      <c r="D3" s="22">
        <f t="shared" si="0"/>
        <v>4.9372250000000006E-2</v>
      </c>
      <c r="E3" s="41">
        <f t="shared" ref="E3:E11" si="8">1/D3</f>
        <v>20.254292644147267</v>
      </c>
      <c r="F3" s="41">
        <f t="shared" si="1"/>
        <v>53.268789654107309</v>
      </c>
      <c r="G3" s="41">
        <f t="shared" si="2"/>
        <v>140.0969167903022</v>
      </c>
      <c r="H3" s="41">
        <f t="shared" si="3"/>
        <v>22.279721908561996</v>
      </c>
      <c r="I3" s="41">
        <f t="shared" si="4"/>
        <v>58.595668619518044</v>
      </c>
      <c r="J3" s="41">
        <f t="shared" si="5"/>
        <v>24.507694099418195</v>
      </c>
      <c r="K3" s="41">
        <f t="shared" si="6"/>
        <v>62.609226370095932</v>
      </c>
      <c r="L3" s="20">
        <f t="shared" si="7"/>
        <v>2.8581690409772804</v>
      </c>
      <c r="S3" s="20">
        <v>0.30000000000000004</v>
      </c>
    </row>
    <row r="4" spans="1:19" s="20" customFormat="1" ht="15" customHeight="1" x14ac:dyDescent="0.3">
      <c r="A4" s="21">
        <f>'Dados experimentais'!D12</f>
        <v>2.71</v>
      </c>
      <c r="B4" s="21">
        <f>'Dados experimentais'!B12</f>
        <v>2.5</v>
      </c>
      <c r="C4" s="21">
        <f>'Dados experimentais'!C12</f>
        <v>0.242706097986845</v>
      </c>
      <c r="D4" s="22">
        <f t="shared" si="0"/>
        <v>5.8906250000000007E-2</v>
      </c>
      <c r="E4" s="41">
        <f t="shared" si="8"/>
        <v>16.976127320954905</v>
      </c>
      <c r="F4" s="41">
        <f t="shared" si="1"/>
        <v>46.005305039787793</v>
      </c>
      <c r="G4" s="41">
        <f t="shared" si="2"/>
        <v>124.67437665782492</v>
      </c>
      <c r="H4" s="41">
        <f t="shared" si="3"/>
        <v>42.440318302387261</v>
      </c>
      <c r="I4" s="41">
        <f t="shared" si="4"/>
        <v>115.01326259946948</v>
      </c>
      <c r="J4" s="41">
        <f t="shared" si="5"/>
        <v>106.10079575596815</v>
      </c>
      <c r="K4" s="41">
        <f t="shared" si="6"/>
        <v>58.813155553602925</v>
      </c>
      <c r="L4" s="20">
        <f t="shared" si="7"/>
        <v>4.3613066497300821</v>
      </c>
      <c r="S4" s="20">
        <v>0.4</v>
      </c>
    </row>
    <row r="5" spans="1:19" s="20" customFormat="1" ht="15" customHeight="1" x14ac:dyDescent="0.3">
      <c r="A5" s="21">
        <f>'Dados experimentais'!D13</f>
        <v>2.77</v>
      </c>
      <c r="B5" s="21">
        <f>'Dados experimentais'!B13</f>
        <v>4</v>
      </c>
      <c r="C5" s="21">
        <f>'Dados experimentais'!C13</f>
        <v>0.26476404589747454</v>
      </c>
      <c r="D5" s="22">
        <f t="shared" si="0"/>
        <v>7.010000000000001E-2</v>
      </c>
      <c r="E5" s="41">
        <f t="shared" si="8"/>
        <v>14.26533523537803</v>
      </c>
      <c r="F5" s="41">
        <f t="shared" si="1"/>
        <v>39.514978601997143</v>
      </c>
      <c r="G5" s="41">
        <f t="shared" si="2"/>
        <v>109.45649072753208</v>
      </c>
      <c r="H5" s="41">
        <f t="shared" si="3"/>
        <v>57.061340941512121</v>
      </c>
      <c r="I5" s="41">
        <f t="shared" si="4"/>
        <v>158.05991440798857</v>
      </c>
      <c r="J5" s="41">
        <f t="shared" si="5"/>
        <v>228.24536376604848</v>
      </c>
      <c r="K5" s="41">
        <f t="shared" si="6"/>
        <v>31.613525930717572</v>
      </c>
      <c r="L5" s="20">
        <f t="shared" si="7"/>
        <v>5.4886598562946816</v>
      </c>
      <c r="S5" s="20">
        <v>0.45</v>
      </c>
    </row>
    <row r="6" spans="1:19" s="20" customFormat="1" ht="15" customHeight="1" x14ac:dyDescent="0.3">
      <c r="A6" s="21">
        <f>'Dados experimentais'!D14</f>
        <v>2.82</v>
      </c>
      <c r="B6" s="21">
        <f>'Dados experimentais'!B14</f>
        <v>5.5</v>
      </c>
      <c r="C6" s="21">
        <f>'Dados experimentais'!C14</f>
        <v>0.28689065861404406</v>
      </c>
      <c r="D6" s="22">
        <f t="shared" si="0"/>
        <v>8.230624999999997E-2</v>
      </c>
      <c r="E6" s="41">
        <f t="shared" si="8"/>
        <v>12.149745614701196</v>
      </c>
      <c r="F6" s="41">
        <f t="shared" si="1"/>
        <v>34.262282633457374</v>
      </c>
      <c r="G6" s="41">
        <f t="shared" si="2"/>
        <v>96.619637026349778</v>
      </c>
      <c r="H6" s="41">
        <f t="shared" si="3"/>
        <v>66.823600880856588</v>
      </c>
      <c r="I6" s="41">
        <f t="shared" si="4"/>
        <v>188.44255448401555</v>
      </c>
      <c r="J6" s="41">
        <f t="shared" si="5"/>
        <v>367.52980484471118</v>
      </c>
      <c r="K6" s="41">
        <f t="shared" si="6"/>
        <v>10.465892129014996</v>
      </c>
      <c r="L6" s="20">
        <f t="shared" si="7"/>
        <v>6.4281208617651799</v>
      </c>
    </row>
    <row r="7" spans="1:19" s="20" customFormat="1" ht="15" customHeight="1" x14ac:dyDescent="0.3">
      <c r="A7" s="21">
        <f>'Dados experimentais'!D15</f>
        <v>2.86</v>
      </c>
      <c r="B7" s="21">
        <f>'Dados experimentais'!B15</f>
        <v>6.8</v>
      </c>
      <c r="C7" s="21">
        <f>'Dados experimentais'!C15</f>
        <v>0.3061110909457545</v>
      </c>
      <c r="D7" s="22">
        <f t="shared" si="0"/>
        <v>9.3703999999999982E-2</v>
      </c>
      <c r="E7" s="41">
        <f t="shared" si="8"/>
        <v>10.671903013745412</v>
      </c>
      <c r="F7" s="41">
        <f t="shared" si="1"/>
        <v>30.52164261931188</v>
      </c>
      <c r="G7" s="41">
        <f t="shared" si="2"/>
        <v>87.291897891231969</v>
      </c>
      <c r="H7" s="41">
        <f t="shared" si="3"/>
        <v>72.568940493468801</v>
      </c>
      <c r="I7" s="41">
        <f t="shared" si="4"/>
        <v>207.5471698113208</v>
      </c>
      <c r="J7" s="41">
        <f t="shared" si="5"/>
        <v>493.46879535558787</v>
      </c>
      <c r="K7" s="41">
        <f t="shared" si="6"/>
        <v>1.5385068148073497</v>
      </c>
      <c r="L7" s="20">
        <f t="shared" si="7"/>
        <v>7.1796896661415843</v>
      </c>
    </row>
    <row r="8" spans="1:19" s="20" customFormat="1" ht="13.5" customHeight="1" x14ac:dyDescent="0.3">
      <c r="A8" s="21">
        <f>'Dados experimentais'!D16</f>
        <v>2.89</v>
      </c>
      <c r="B8" s="21">
        <f>'Dados experimentais'!B16</f>
        <v>8.5</v>
      </c>
      <c r="C8" s="21">
        <f>'Dados experimentais'!C16</f>
        <v>0.33129480829013908</v>
      </c>
      <c r="D8" s="22">
        <f t="shared" si="0"/>
        <v>0.10975625</v>
      </c>
      <c r="E8" s="41">
        <f t="shared" si="8"/>
        <v>9.1110984568076994</v>
      </c>
      <c r="F8" s="41">
        <f t="shared" si="1"/>
        <v>26.331074540174249</v>
      </c>
      <c r="G8" s="41">
        <f t="shared" si="2"/>
        <v>76.096805421103582</v>
      </c>
      <c r="H8" s="41">
        <f t="shared" si="3"/>
        <v>77.444336882865443</v>
      </c>
      <c r="I8" s="41">
        <f t="shared" si="4"/>
        <v>223.81413359148112</v>
      </c>
      <c r="J8" s="41">
        <f t="shared" si="5"/>
        <v>658.27686350435624</v>
      </c>
      <c r="K8" s="41">
        <f t="shared" si="6"/>
        <v>5.2160546870499411</v>
      </c>
      <c r="L8" s="20">
        <f t="shared" si="7"/>
        <v>7.7433662694238876</v>
      </c>
    </row>
    <row r="9" spans="1:19" s="20" customFormat="1" ht="15" customHeight="1" x14ac:dyDescent="0.3">
      <c r="A9" s="21">
        <f>'Dados experimentais'!D17</f>
        <v>2.93</v>
      </c>
      <c r="B9" s="21">
        <f>'Dados experimentais'!B17</f>
        <v>10</v>
      </c>
      <c r="C9" s="21">
        <f>'Dados experimentais'!C17</f>
        <v>0.35355339059327373</v>
      </c>
      <c r="D9" s="22">
        <f t="shared" si="0"/>
        <v>0.12499999999999997</v>
      </c>
      <c r="E9" s="41">
        <f t="shared" si="8"/>
        <v>8.0000000000000018</v>
      </c>
      <c r="F9" s="41">
        <f t="shared" si="1"/>
        <v>23.440000000000005</v>
      </c>
      <c r="G9" s="41">
        <f t="shared" si="2"/>
        <v>68.679200000000023</v>
      </c>
      <c r="H9" s="41">
        <f t="shared" si="3"/>
        <v>80.000000000000014</v>
      </c>
      <c r="I9" s="41">
        <f t="shared" si="4"/>
        <v>234.40000000000006</v>
      </c>
      <c r="J9" s="41">
        <f t="shared" si="5"/>
        <v>800.00000000000023</v>
      </c>
      <c r="K9" s="41">
        <f t="shared" si="6"/>
        <v>18.121763456612431</v>
      </c>
      <c r="L9" s="20">
        <f t="shared" si="7"/>
        <v>8.4949350738002849</v>
      </c>
    </row>
    <row r="10" spans="1:19" s="20" customFormat="1" ht="15" customHeight="1" x14ac:dyDescent="0.3">
      <c r="A10" s="21">
        <f>'Dados experimentais'!D18</f>
        <v>2.95</v>
      </c>
      <c r="B10" s="21">
        <f>'Dados experimentais'!B18</f>
        <v>11.5</v>
      </c>
      <c r="C10" s="21">
        <f>'Dados experimentais'!C18</f>
        <v>0.37584072424366149</v>
      </c>
      <c r="D10" s="22">
        <f t="shared" si="0"/>
        <v>0.14125625</v>
      </c>
      <c r="E10" s="41">
        <f t="shared" si="8"/>
        <v>7.0793327728861559</v>
      </c>
      <c r="F10" s="41">
        <f t="shared" si="1"/>
        <v>20.884031680014161</v>
      </c>
      <c r="G10" s="41">
        <f t="shared" si="2"/>
        <v>61.607893456041772</v>
      </c>
      <c r="H10" s="41">
        <f t="shared" si="3"/>
        <v>81.41232688819079</v>
      </c>
      <c r="I10" s="41">
        <f t="shared" si="4"/>
        <v>240.16636432016284</v>
      </c>
      <c r="J10" s="41">
        <f t="shared" si="5"/>
        <v>936.24175921419408</v>
      </c>
      <c r="K10" s="41">
        <f t="shared" si="6"/>
        <v>48.940249185053801</v>
      </c>
      <c r="L10" s="20">
        <f t="shared" si="7"/>
        <v>8.8707194759884871</v>
      </c>
    </row>
    <row r="11" spans="1:19" s="20" customFormat="1" ht="15" customHeight="1" x14ac:dyDescent="0.3">
      <c r="A11" s="21">
        <f>'Dados experimentais'!D19</f>
        <v>2.98</v>
      </c>
      <c r="B11" s="21">
        <f>'Dados experimentais'!B19</f>
        <v>13.1</v>
      </c>
      <c r="C11" s="21">
        <f>'Dados experimentais'!C19</f>
        <v>0.39964015063554359</v>
      </c>
      <c r="D11" s="22">
        <f t="shared" si="0"/>
        <v>0.15971224999999997</v>
      </c>
      <c r="E11" s="41">
        <f t="shared" si="8"/>
        <v>6.2612604856546703</v>
      </c>
      <c r="F11" s="41">
        <f t="shared" si="1"/>
        <v>18.658556247250917</v>
      </c>
      <c r="G11" s="41">
        <f t="shared" si="2"/>
        <v>55.602497616807739</v>
      </c>
      <c r="H11" s="41">
        <f t="shared" si="3"/>
        <v>82.022512362076185</v>
      </c>
      <c r="I11" s="41">
        <f t="shared" si="4"/>
        <v>244.42708683898701</v>
      </c>
      <c r="J11" s="41">
        <f t="shared" si="5"/>
        <v>1074.4949119431978</v>
      </c>
      <c r="K11" s="41">
        <f t="shared" si="6"/>
        <v>84.130378876168891</v>
      </c>
      <c r="L11" s="20">
        <f t="shared" si="7"/>
        <v>9.4343960792707833</v>
      </c>
      <c r="S11" s="20">
        <v>0.5</v>
      </c>
    </row>
    <row r="12" spans="1:19" ht="15" customHeight="1" thickBot="1" x14ac:dyDescent="0.35">
      <c r="A12" s="23"/>
      <c r="B12" s="23"/>
      <c r="C12" s="23"/>
      <c r="D12" s="23"/>
      <c r="E12" s="23"/>
      <c r="F12" s="23"/>
      <c r="G12" s="23"/>
      <c r="H12" s="23"/>
      <c r="I12" s="23"/>
    </row>
    <row r="13" spans="1:19" ht="15" customHeight="1" thickBot="1" x14ac:dyDescent="0.35">
      <c r="A13" s="24" t="s">
        <v>31</v>
      </c>
      <c r="B13" s="25"/>
      <c r="C13" s="25"/>
      <c r="D13" s="25"/>
      <c r="E13" s="26">
        <f t="shared" ref="E13:J13" si="9">SUM(E2:E11)</f>
        <v>128.29850730898119</v>
      </c>
      <c r="F13" s="26">
        <f t="shared" si="9"/>
        <v>348.88666101610085</v>
      </c>
      <c r="G13" s="26">
        <f t="shared" si="9"/>
        <v>953.40571558719398</v>
      </c>
      <c r="H13" s="26">
        <f t="shared" si="9"/>
        <v>582.05309865991921</v>
      </c>
      <c r="I13" s="26">
        <f t="shared" si="9"/>
        <v>1670.4661546729433</v>
      </c>
      <c r="J13" s="26">
        <f t="shared" si="9"/>
        <v>4688.8659884834824</v>
      </c>
      <c r="K13" s="27">
        <f>SUM(K2:K11)</f>
        <v>401.03513362383791</v>
      </c>
    </row>
    <row r="14" spans="1:19" ht="15" customHeight="1" x14ac:dyDescent="0.3">
      <c r="A14" s="23"/>
      <c r="B14" s="23"/>
      <c r="C14" s="23"/>
      <c r="D14" s="23"/>
      <c r="E14" s="23"/>
      <c r="F14" s="23"/>
      <c r="G14" s="23"/>
      <c r="H14" s="23"/>
      <c r="I14" s="23"/>
    </row>
    <row r="15" spans="1:19" ht="15" customHeight="1" thickBot="1" x14ac:dyDescent="0.35">
      <c r="A15" s="23"/>
      <c r="B15" s="23"/>
      <c r="C15" s="23"/>
      <c r="D15" s="23"/>
      <c r="E15" s="23"/>
      <c r="F15" s="23"/>
      <c r="G15" s="23"/>
      <c r="H15" s="23"/>
      <c r="I15" s="23"/>
    </row>
    <row r="16" spans="1:19" ht="15" customHeight="1" x14ac:dyDescent="0.3">
      <c r="A16" s="28" t="s">
        <v>32</v>
      </c>
      <c r="B16" s="23"/>
      <c r="C16" s="29">
        <f>E13</f>
        <v>128.29850730898119</v>
      </c>
      <c r="D16" s="30">
        <f>F13</f>
        <v>348.88666101610085</v>
      </c>
      <c r="E16" s="23"/>
      <c r="F16" s="28" t="s">
        <v>32</v>
      </c>
      <c r="G16" s="23"/>
      <c r="H16" s="29">
        <f>D17</f>
        <v>953.40571558719398</v>
      </c>
      <c r="I16" s="30">
        <f>-C17</f>
        <v>-348.88666101610085</v>
      </c>
    </row>
    <row r="17" spans="1:9" ht="15" customHeight="1" thickBot="1" x14ac:dyDescent="0.35">
      <c r="A17" s="31" t="s">
        <v>33</v>
      </c>
      <c r="B17" s="23"/>
      <c r="C17" s="32">
        <f>F13</f>
        <v>348.88666101610085</v>
      </c>
      <c r="D17" s="33">
        <f>G13</f>
        <v>953.40571558719398</v>
      </c>
      <c r="E17" s="23"/>
      <c r="F17" s="28" t="s">
        <v>34</v>
      </c>
      <c r="G17" s="23"/>
      <c r="H17" s="32">
        <f>-D16</f>
        <v>-348.88666101610085</v>
      </c>
      <c r="I17" s="33">
        <f>C16</f>
        <v>128.29850730898119</v>
      </c>
    </row>
    <row r="18" spans="1:9" ht="15" customHeight="1" x14ac:dyDescent="0.3">
      <c r="A18" s="34"/>
      <c r="B18" s="23"/>
      <c r="C18" s="23"/>
      <c r="D18" s="23"/>
      <c r="E18" s="23"/>
      <c r="F18" s="23"/>
      <c r="G18" s="23"/>
      <c r="H18" s="23"/>
      <c r="I18" s="23"/>
    </row>
    <row r="19" spans="1:9" ht="15" customHeight="1" thickBot="1" x14ac:dyDescent="0.35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15" customHeight="1" thickBot="1" x14ac:dyDescent="0.35">
      <c r="A20" s="24" t="s">
        <v>35</v>
      </c>
      <c r="B20" s="25"/>
      <c r="C20" s="35">
        <f>C16*D17-C17*D16</f>
        <v>598.62793472438352</v>
      </c>
      <c r="D20" s="23"/>
      <c r="E20" s="23"/>
      <c r="F20" s="23"/>
      <c r="G20" s="23"/>
      <c r="H20" s="23"/>
      <c r="I20" s="23"/>
    </row>
    <row r="21" spans="1:9" ht="15" customHeight="1" thickBot="1" x14ac:dyDescent="0.35">
      <c r="A21" s="23"/>
      <c r="B21" s="23"/>
      <c r="C21" s="23"/>
      <c r="D21" s="23"/>
      <c r="E21" s="23"/>
      <c r="F21" s="23"/>
      <c r="G21" s="23"/>
      <c r="H21" s="23"/>
      <c r="I21" s="23"/>
    </row>
    <row r="22" spans="1:9" ht="15" customHeight="1" x14ac:dyDescent="0.3">
      <c r="A22" s="36" t="s">
        <v>36</v>
      </c>
      <c r="B22" s="37">
        <f>(H16*H13+I16*I13)/C20</f>
        <v>-46.557479846771024</v>
      </c>
      <c r="C22" s="23"/>
      <c r="D22" s="36" t="s">
        <v>37</v>
      </c>
      <c r="E22" s="37">
        <f>SQRT(H16/C20)</f>
        <v>1.2620029962274515</v>
      </c>
      <c r="F22" s="23"/>
      <c r="G22" s="23"/>
      <c r="H22" s="23"/>
      <c r="I22" s="23"/>
    </row>
    <row r="23" spans="1:9" ht="15" customHeight="1" thickBot="1" x14ac:dyDescent="0.35">
      <c r="A23" s="38" t="s">
        <v>38</v>
      </c>
      <c r="B23" s="39">
        <f>(H17*H13+I17*I13)/C20</f>
        <v>18.789220109410003</v>
      </c>
      <c r="C23" s="23"/>
      <c r="D23" s="38" t="s">
        <v>39</v>
      </c>
      <c r="E23" s="39">
        <f>SQRT(I17/C20)</f>
        <v>0.46294810659780128</v>
      </c>
      <c r="F23" s="23"/>
      <c r="G23" s="23"/>
      <c r="H23" s="23"/>
      <c r="I23" s="23"/>
    </row>
    <row r="24" spans="1:9" ht="15" customHeight="1" thickBot="1" x14ac:dyDescent="0.35"/>
    <row r="25" spans="1:9" ht="15" customHeight="1" thickBot="1" x14ac:dyDescent="0.35">
      <c r="A25" s="24" t="s">
        <v>40</v>
      </c>
      <c r="B25" s="40">
        <f>((E13*I13-F13*H13)^2)/((E13*G13-F13^2)*(E13*J13-H13^2))</f>
        <v>0.80420691800866762</v>
      </c>
    </row>
    <row r="26" spans="1:9" ht="15" customHeight="1" x14ac:dyDescent="0.3"/>
    <row r="27" spans="1:9" ht="15" customHeight="1" thickBot="1" x14ac:dyDescent="0.35"/>
    <row r="28" spans="1:9" ht="15" customHeight="1" x14ac:dyDescent="0.3">
      <c r="A28" s="69" t="s">
        <v>45</v>
      </c>
      <c r="B28" s="70"/>
    </row>
    <row r="29" spans="1:9" ht="15" customHeight="1" x14ac:dyDescent="0.3">
      <c r="A29" s="42" t="s">
        <v>44</v>
      </c>
      <c r="B29" s="43">
        <f>Plan1!D174</f>
        <v>8</v>
      </c>
    </row>
    <row r="30" spans="1:9" ht="15" customHeight="1" x14ac:dyDescent="0.3">
      <c r="A30" s="42" t="s">
        <v>46</v>
      </c>
      <c r="B30" s="47">
        <f>Plan1!D175</f>
        <v>0.05</v>
      </c>
    </row>
    <row r="31" spans="1:9" ht="15" customHeight="1" x14ac:dyDescent="0.3">
      <c r="A31" s="44" t="s">
        <v>42</v>
      </c>
      <c r="B31" s="43">
        <f>CHIINV(B30,B29)</f>
        <v>15.507313055865453</v>
      </c>
    </row>
    <row r="32" spans="1:9" ht="15" customHeight="1" thickBot="1" x14ac:dyDescent="0.35">
      <c r="A32" s="45" t="s">
        <v>41</v>
      </c>
      <c r="B32" s="46">
        <f>K13</f>
        <v>401.03513362383791</v>
      </c>
    </row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</sheetData>
  <mergeCells count="1">
    <mergeCell ref="A28:B28"/>
  </mergeCells>
  <pageMargins left="0.75" right="0.75" top="1" bottom="1" header="0.5" footer="0.5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lessThan" id="{833924C7-9D41-4B2C-AE0B-8ABD054A651C}">
            <xm:f>'id x vr'!$B$32</xm:f>
            <x14:dxf>
              <font>
                <b val="0"/>
                <i val="0"/>
                <strike val="0"/>
                <condense val="0"/>
                <extend val="0"/>
                <u val="none"/>
                <sz val="11"/>
                <color indexed="17"/>
              </font>
              <fill>
                <patternFill patternType="solid">
                  <fgColor indexed="27"/>
                  <bgColor indexed="42"/>
                </patternFill>
              </fill>
              <border>
                <left/>
                <right/>
                <top/>
                <bottom/>
              </border>
            </x14:dxf>
          </x14:cfRule>
          <x14:cfRule type="cellIs" priority="2" stopIfTrue="1" operator="greaterThan" id="{87404897-6559-45F2-92F3-DD9BC4B8E51A}">
            <xm:f>'id x vr'!$B$32</xm:f>
            <x14:dxf>
              <font>
                <b val="0"/>
                <i val="0"/>
                <strike val="0"/>
                <condense val="0"/>
                <extend val="0"/>
                <u val="none"/>
                <sz val="11"/>
                <color indexed="16"/>
              </font>
              <fill>
                <patternFill patternType="solid">
                  <fgColor indexed="31"/>
                  <bgColor indexed="47"/>
                </patternFill>
              </fill>
              <border>
                <left/>
                <right/>
                <top/>
                <bottom/>
              </border>
            </x14:dxf>
          </x14:cfRule>
          <xm:sqref>B32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="90" zoomScaleNormal="90" workbookViewId="0">
      <selection activeCell="C20" sqref="C20"/>
    </sheetView>
  </sheetViews>
  <sheetFormatPr defaultColWidth="11.19921875" defaultRowHeight="15.6" x14ac:dyDescent="0.3"/>
  <cols>
    <col min="1" max="1" width="16.69921875" bestFit="1" customWidth="1"/>
    <col min="3" max="3" width="18" bestFit="1" customWidth="1"/>
    <col min="8" max="8" width="11.796875" bestFit="1" customWidth="1"/>
    <col min="9" max="9" width="13.19921875" bestFit="1" customWidth="1"/>
  </cols>
  <sheetData>
    <row r="1" spans="1:12" s="20" customFormat="1" ht="15" customHeight="1" x14ac:dyDescent="0.3">
      <c r="A1" s="19" t="s">
        <v>18</v>
      </c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</row>
    <row r="2" spans="1:12" s="20" customFormat="1" ht="15" customHeight="1" x14ac:dyDescent="0.3">
      <c r="A2" s="21">
        <f>'Dados experimentais'!A10-'Dados experimentais'!D10</f>
        <v>-8.0000000000000071E-2</v>
      </c>
      <c r="B2" s="21">
        <f>'Dados experimentais'!B10</f>
        <v>0</v>
      </c>
      <c r="C2" s="21">
        <f>'Dados experimentais'!C10</f>
        <v>0.20615528128088306</v>
      </c>
      <c r="D2" s="22">
        <f t="shared" ref="D2:D11" si="0">C2^2</f>
        <v>4.2500000000000017E-2</v>
      </c>
      <c r="E2" s="22">
        <f t="shared" ref="E2:E11" si="1">1/D2</f>
        <v>23.529411764705873</v>
      </c>
      <c r="F2" s="22">
        <f t="shared" ref="F2:F11" si="2">A2/D2</f>
        <v>-1.8823529411764715</v>
      </c>
      <c r="G2" s="22">
        <f t="shared" ref="G2:G11" si="3">A2^2/D2</f>
        <v>0.15058823529411786</v>
      </c>
      <c r="H2" s="22">
        <f t="shared" ref="H2:H11" si="4">B2/D2</f>
        <v>0</v>
      </c>
      <c r="I2" s="22">
        <f t="shared" ref="I2:I11" si="5">A2*B2/D2</f>
        <v>0</v>
      </c>
      <c r="J2" s="20">
        <f t="shared" ref="J2:J11" si="6">(B2^2)/D2</f>
        <v>0</v>
      </c>
      <c r="K2" s="20">
        <f t="shared" ref="K2:K11" si="7">((B2-(B$22+B$23*A2))/C2)^2</f>
        <v>0.36035365531339891</v>
      </c>
      <c r="L2" s="20">
        <f>B$22+B$23*A2</f>
        <v>-0.12375391044657724</v>
      </c>
    </row>
    <row r="3" spans="1:12" s="20" customFormat="1" ht="15" customHeight="1" x14ac:dyDescent="0.3">
      <c r="A3" s="21">
        <f>'Dados experimentais'!A11-'Dados experimentais'!D11</f>
        <v>1.17</v>
      </c>
      <c r="B3" s="21">
        <f>'Dados experimentais'!B11</f>
        <v>1.1000000000000001</v>
      </c>
      <c r="C3" s="21">
        <f>'Dados experimentais'!C11</f>
        <v>0.22219867236327046</v>
      </c>
      <c r="D3" s="22">
        <f t="shared" si="0"/>
        <v>4.9372250000000006E-2</v>
      </c>
      <c r="E3" s="22">
        <f t="shared" si="1"/>
        <v>20.254292644147267</v>
      </c>
      <c r="F3" s="22">
        <f t="shared" si="2"/>
        <v>23.697522393652299</v>
      </c>
      <c r="G3" s="22">
        <f t="shared" si="3"/>
        <v>27.72610120057319</v>
      </c>
      <c r="H3" s="22">
        <f t="shared" si="4"/>
        <v>22.279721908561996</v>
      </c>
      <c r="I3" s="22">
        <f t="shared" si="5"/>
        <v>26.067274633017529</v>
      </c>
      <c r="J3" s="20">
        <f t="shared" si="6"/>
        <v>24.507694099418195</v>
      </c>
      <c r="K3" s="20">
        <f t="shared" si="7"/>
        <v>4.0137627568678835E-2</v>
      </c>
      <c r="L3" s="20">
        <f t="shared" ref="L3:L11" si="8">B$22+B$23*A3</f>
        <v>1.1445161204815482</v>
      </c>
    </row>
    <row r="4" spans="1:12" s="20" customFormat="1" ht="15" customHeight="1" x14ac:dyDescent="0.3">
      <c r="A4" s="21">
        <f>'Dados experimentais'!A12-'Dados experimentais'!D12</f>
        <v>2.59</v>
      </c>
      <c r="B4" s="21">
        <f>'Dados experimentais'!B12</f>
        <v>2.5</v>
      </c>
      <c r="C4" s="21">
        <f>'Dados experimentais'!C12</f>
        <v>0.242706097986845</v>
      </c>
      <c r="D4" s="22">
        <f t="shared" si="0"/>
        <v>5.8906250000000007E-2</v>
      </c>
      <c r="E4" s="22">
        <f t="shared" si="1"/>
        <v>16.976127320954905</v>
      </c>
      <c r="F4" s="22">
        <f t="shared" si="2"/>
        <v>43.968169761273202</v>
      </c>
      <c r="G4" s="22">
        <f t="shared" si="3"/>
        <v>113.87755968169758</v>
      </c>
      <c r="H4" s="22">
        <f t="shared" si="4"/>
        <v>42.440318302387261</v>
      </c>
      <c r="I4" s="22">
        <f t="shared" si="5"/>
        <v>109.92042440318301</v>
      </c>
      <c r="J4" s="20">
        <f t="shared" si="6"/>
        <v>106.10079575596815</v>
      </c>
      <c r="K4" s="20">
        <f t="shared" si="7"/>
        <v>0.1234354967138804</v>
      </c>
      <c r="L4" s="20">
        <f t="shared" si="8"/>
        <v>2.5852708756158984</v>
      </c>
    </row>
    <row r="5" spans="1:12" s="20" customFormat="1" ht="15" customHeight="1" x14ac:dyDescent="0.3">
      <c r="A5" s="21">
        <f>'Dados experimentais'!A13-'Dados experimentais'!D13</f>
        <v>4.0299999999999994</v>
      </c>
      <c r="B5" s="21">
        <f>'Dados experimentais'!B13</f>
        <v>4</v>
      </c>
      <c r="C5" s="21">
        <f>'Dados experimentais'!C13</f>
        <v>0.26476404589747454</v>
      </c>
      <c r="D5" s="22">
        <f t="shared" si="0"/>
        <v>7.010000000000001E-2</v>
      </c>
      <c r="E5" s="22">
        <f t="shared" si="1"/>
        <v>14.26533523537803</v>
      </c>
      <c r="F5" s="22">
        <f t="shared" si="2"/>
        <v>57.489300998573448</v>
      </c>
      <c r="G5" s="22">
        <f t="shared" si="3"/>
        <v>231.68188302425099</v>
      </c>
      <c r="H5" s="22">
        <f t="shared" si="4"/>
        <v>57.061340941512121</v>
      </c>
      <c r="I5" s="22">
        <f t="shared" si="5"/>
        <v>229.95720399429379</v>
      </c>
      <c r="J5" s="20">
        <f t="shared" si="6"/>
        <v>228.24536376604848</v>
      </c>
      <c r="K5" s="20">
        <f t="shared" si="7"/>
        <v>3.0604174144697172E-2</v>
      </c>
      <c r="L5" s="20">
        <f t="shared" si="8"/>
        <v>4.046317951245098</v>
      </c>
    </row>
    <row r="6" spans="1:12" s="20" customFormat="1" ht="15" customHeight="1" x14ac:dyDescent="0.3">
      <c r="A6" s="21">
        <f>'Dados experimentais'!A14-'Dados experimentais'!D14</f>
        <v>5.48</v>
      </c>
      <c r="B6" s="21">
        <f>'Dados experimentais'!B14</f>
        <v>5.5</v>
      </c>
      <c r="C6" s="21">
        <f>'Dados experimentais'!C14</f>
        <v>0.28689065861404406</v>
      </c>
      <c r="D6" s="22">
        <f t="shared" si="0"/>
        <v>8.230624999999997E-2</v>
      </c>
      <c r="E6" s="22">
        <f t="shared" si="1"/>
        <v>12.149745614701196</v>
      </c>
      <c r="F6" s="22">
        <f t="shared" si="2"/>
        <v>66.580605968562566</v>
      </c>
      <c r="G6" s="22">
        <f t="shared" si="3"/>
        <v>364.86172070772284</v>
      </c>
      <c r="H6" s="22">
        <f t="shared" si="4"/>
        <v>66.823600880856588</v>
      </c>
      <c r="I6" s="22">
        <f t="shared" si="5"/>
        <v>366.19333282709408</v>
      </c>
      <c r="J6" s="20">
        <f t="shared" si="6"/>
        <v>367.52980484471118</v>
      </c>
      <c r="K6" s="20">
        <f t="shared" si="7"/>
        <v>3.725618338972296E-3</v>
      </c>
      <c r="L6" s="20">
        <f t="shared" si="8"/>
        <v>5.5175111871217242</v>
      </c>
    </row>
    <row r="7" spans="1:12" s="20" customFormat="1" ht="15" customHeight="1" x14ac:dyDescent="0.3">
      <c r="A7" s="21">
        <f>'Dados experimentais'!A15-'Dados experimentais'!D15</f>
        <v>6.84</v>
      </c>
      <c r="B7" s="21">
        <f>'Dados experimentais'!B15</f>
        <v>6.8</v>
      </c>
      <c r="C7" s="21">
        <f>'Dados experimentais'!C15</f>
        <v>0.3061110909457545</v>
      </c>
      <c r="D7" s="22">
        <f t="shared" si="0"/>
        <v>9.3703999999999982E-2</v>
      </c>
      <c r="E7" s="22">
        <f t="shared" si="1"/>
        <v>10.671903013745412</v>
      </c>
      <c r="F7" s="22">
        <f t="shared" si="2"/>
        <v>72.995816614018622</v>
      </c>
      <c r="G7" s="22">
        <f t="shared" si="3"/>
        <v>499.29138563988732</v>
      </c>
      <c r="H7" s="22">
        <f t="shared" si="4"/>
        <v>72.568940493468801</v>
      </c>
      <c r="I7" s="22">
        <f t="shared" si="5"/>
        <v>496.37155297532667</v>
      </c>
      <c r="J7" s="20">
        <f t="shared" si="6"/>
        <v>493.46879535558787</v>
      </c>
      <c r="K7" s="20">
        <f t="shared" si="7"/>
        <v>0.1012188762028972</v>
      </c>
      <c r="L7" s="20">
        <f t="shared" si="8"/>
        <v>6.8973889807715238</v>
      </c>
    </row>
    <row r="8" spans="1:12" s="20" customFormat="1" ht="13.5" customHeight="1" x14ac:dyDescent="0.3">
      <c r="A8" s="21">
        <f>'Dados experimentais'!A16-'Dados experimentais'!D16</f>
        <v>8.41</v>
      </c>
      <c r="B8" s="21">
        <f>'Dados experimentais'!B16</f>
        <v>8.5</v>
      </c>
      <c r="C8" s="21">
        <f>'Dados experimentais'!C16</f>
        <v>0.33129480829013908</v>
      </c>
      <c r="D8" s="22">
        <f t="shared" si="0"/>
        <v>0.10975625</v>
      </c>
      <c r="E8" s="22">
        <f t="shared" si="1"/>
        <v>9.1110984568076994</v>
      </c>
      <c r="F8" s="22">
        <f t="shared" si="2"/>
        <v>76.624338021752749</v>
      </c>
      <c r="G8" s="22">
        <f t="shared" si="3"/>
        <v>644.41068276294061</v>
      </c>
      <c r="H8" s="22">
        <f t="shared" si="4"/>
        <v>77.444336882865443</v>
      </c>
      <c r="I8" s="22">
        <f t="shared" si="5"/>
        <v>651.30687318489834</v>
      </c>
      <c r="J8" s="20">
        <f t="shared" si="6"/>
        <v>658.27686350435624</v>
      </c>
      <c r="K8" s="20">
        <f t="shared" si="7"/>
        <v>8.508872842984248E-4</v>
      </c>
      <c r="L8" s="20">
        <f t="shared" si="8"/>
        <v>8.4903361396172503</v>
      </c>
    </row>
    <row r="9" spans="1:12" s="20" customFormat="1" ht="15" customHeight="1" x14ac:dyDescent="0.3">
      <c r="A9" s="21">
        <f>'Dados experimentais'!A17-'Dados experimentais'!D17</f>
        <v>9.870000000000001</v>
      </c>
      <c r="B9" s="21">
        <f>'Dados experimentais'!B17</f>
        <v>10</v>
      </c>
      <c r="C9" s="21">
        <f>'Dados experimentais'!C17</f>
        <v>0.35355339059327373</v>
      </c>
      <c r="D9" s="22">
        <f t="shared" si="0"/>
        <v>0.12499999999999997</v>
      </c>
      <c r="E9" s="22">
        <f t="shared" si="1"/>
        <v>8.0000000000000018</v>
      </c>
      <c r="F9" s="22">
        <f t="shared" si="2"/>
        <v>78.960000000000022</v>
      </c>
      <c r="G9" s="22">
        <f t="shared" si="3"/>
        <v>779.33520000000044</v>
      </c>
      <c r="H9" s="22">
        <f t="shared" si="4"/>
        <v>80.000000000000014</v>
      </c>
      <c r="I9" s="22">
        <f t="shared" si="5"/>
        <v>789.60000000000036</v>
      </c>
      <c r="J9" s="20">
        <f t="shared" si="6"/>
        <v>800.00000000000023</v>
      </c>
      <c r="K9" s="20">
        <f t="shared" si="7"/>
        <v>6.4182022043383618E-3</v>
      </c>
      <c r="L9" s="20">
        <f t="shared" si="8"/>
        <v>9.9716755357413014</v>
      </c>
    </row>
    <row r="10" spans="1:12" s="20" customFormat="1" ht="15" customHeight="1" x14ac:dyDescent="0.3">
      <c r="A10" s="21">
        <f>'Dados experimentais'!A18-'Dados experimentais'!D18</f>
        <v>11.350000000000001</v>
      </c>
      <c r="B10" s="21">
        <f>'Dados experimentais'!B18</f>
        <v>11.5</v>
      </c>
      <c r="C10" s="21">
        <f>'Dados experimentais'!C18</f>
        <v>0.37584072424366149</v>
      </c>
      <c r="D10" s="22">
        <f t="shared" si="0"/>
        <v>0.14125625</v>
      </c>
      <c r="E10" s="22">
        <f t="shared" si="1"/>
        <v>7.0793327728861559</v>
      </c>
      <c r="F10" s="22">
        <f t="shared" si="2"/>
        <v>80.350426972257878</v>
      </c>
      <c r="G10" s="22">
        <f t="shared" si="3"/>
        <v>911.97734613512694</v>
      </c>
      <c r="H10" s="22">
        <f t="shared" si="4"/>
        <v>81.41232688819079</v>
      </c>
      <c r="I10" s="22">
        <f t="shared" si="5"/>
        <v>924.02991018096543</v>
      </c>
      <c r="J10" s="20">
        <f t="shared" si="6"/>
        <v>936.24175921419408</v>
      </c>
      <c r="K10" s="20">
        <f t="shared" si="7"/>
        <v>5.0440442568872538E-3</v>
      </c>
      <c r="L10" s="20">
        <f t="shared" si="8"/>
        <v>11.473307252360202</v>
      </c>
    </row>
    <row r="11" spans="1:12" s="20" customFormat="1" ht="15" customHeight="1" x14ac:dyDescent="0.3">
      <c r="A11" s="21">
        <f>'Dados experimentais'!A19-'Dados experimentais'!D19</f>
        <v>12.82</v>
      </c>
      <c r="B11" s="21">
        <f>'Dados experimentais'!B19</f>
        <v>13.1</v>
      </c>
      <c r="C11" s="21">
        <f>'Dados experimentais'!C19</f>
        <v>0.39964015063554359</v>
      </c>
      <c r="D11" s="22">
        <f t="shared" si="0"/>
        <v>0.15971224999999997</v>
      </c>
      <c r="E11" s="22">
        <f t="shared" si="1"/>
        <v>6.2612604856546703</v>
      </c>
      <c r="F11" s="22">
        <f t="shared" si="2"/>
        <v>80.269359426092876</v>
      </c>
      <c r="G11" s="22">
        <f t="shared" si="3"/>
        <v>1029.0531878425109</v>
      </c>
      <c r="H11" s="22">
        <f t="shared" si="4"/>
        <v>82.022512362076185</v>
      </c>
      <c r="I11" s="22">
        <f t="shared" si="5"/>
        <v>1051.5286084818167</v>
      </c>
      <c r="J11" s="20">
        <f t="shared" si="6"/>
        <v>1074.4949119431978</v>
      </c>
      <c r="K11" s="20">
        <f t="shared" si="7"/>
        <v>0.1144620063311922</v>
      </c>
      <c r="L11" s="20">
        <f t="shared" si="8"/>
        <v>12.964792808731676</v>
      </c>
    </row>
    <row r="12" spans="1:12" ht="15" customHeight="1" thickBot="1" x14ac:dyDescent="0.35">
      <c r="A12" s="23"/>
      <c r="B12" s="23"/>
      <c r="C12" s="23"/>
      <c r="D12" s="23"/>
      <c r="E12" s="23"/>
      <c r="F12" s="23"/>
      <c r="G12" s="23"/>
      <c r="H12" s="23"/>
      <c r="I12" s="23"/>
    </row>
    <row r="13" spans="1:12" ht="15" customHeight="1" thickBot="1" x14ac:dyDescent="0.35">
      <c r="A13" s="24" t="s">
        <v>31</v>
      </c>
      <c r="B13" s="25"/>
      <c r="C13" s="25"/>
      <c r="D13" s="25"/>
      <c r="E13" s="26">
        <f t="shared" ref="E13:J13" si="9">SUM(E2:E11)</f>
        <v>128.29850730898119</v>
      </c>
      <c r="F13" s="26">
        <f t="shared" si="9"/>
        <v>579.05318721500726</v>
      </c>
      <c r="G13" s="26">
        <f t="shared" si="9"/>
        <v>4602.3656552300054</v>
      </c>
      <c r="H13" s="26">
        <f t="shared" si="9"/>
        <v>582.05309865991921</v>
      </c>
      <c r="I13" s="26">
        <f t="shared" si="9"/>
        <v>4644.9751806805962</v>
      </c>
      <c r="J13" s="26">
        <f t="shared" si="9"/>
        <v>4688.8659884834824</v>
      </c>
      <c r="K13" s="27">
        <f>SUM(K2:K11)</f>
        <v>0.78625058835924089</v>
      </c>
    </row>
    <row r="14" spans="1:12" ht="15" customHeight="1" x14ac:dyDescent="0.3">
      <c r="A14" s="23"/>
      <c r="B14" s="23"/>
      <c r="C14" s="23"/>
      <c r="D14" s="23"/>
      <c r="E14" s="23"/>
      <c r="F14" s="23"/>
      <c r="G14" s="23"/>
      <c r="H14" s="23"/>
      <c r="I14" s="23"/>
    </row>
    <row r="15" spans="1:12" ht="15" customHeight="1" thickBot="1" x14ac:dyDescent="0.35">
      <c r="A15" s="23"/>
      <c r="B15" s="23"/>
      <c r="C15" s="23"/>
      <c r="D15" s="23"/>
      <c r="E15" s="23"/>
      <c r="F15" s="23"/>
      <c r="G15" s="23"/>
      <c r="H15" s="23"/>
      <c r="I15" s="23"/>
    </row>
    <row r="16" spans="1:12" ht="15" customHeight="1" x14ac:dyDescent="0.3">
      <c r="A16" s="28" t="s">
        <v>32</v>
      </c>
      <c r="B16" s="23"/>
      <c r="C16" s="29">
        <f>E13</f>
        <v>128.29850730898119</v>
      </c>
      <c r="D16" s="30">
        <f>F13</f>
        <v>579.05318721500726</v>
      </c>
      <c r="E16" s="23"/>
      <c r="F16" s="28" t="s">
        <v>32</v>
      </c>
      <c r="G16" s="23"/>
      <c r="H16" s="29">
        <f>D17</f>
        <v>4602.3656552300054</v>
      </c>
      <c r="I16" s="30">
        <f>-C17</f>
        <v>-579.05318721500726</v>
      </c>
    </row>
    <row r="17" spans="1:9" ht="15" customHeight="1" thickBot="1" x14ac:dyDescent="0.35">
      <c r="A17" s="31" t="s">
        <v>33</v>
      </c>
      <c r="B17" s="23"/>
      <c r="C17" s="32">
        <f>F13</f>
        <v>579.05318721500726</v>
      </c>
      <c r="D17" s="33">
        <f>G13</f>
        <v>4602.3656552300054</v>
      </c>
      <c r="E17" s="23"/>
      <c r="F17" s="28" t="s">
        <v>34</v>
      </c>
      <c r="G17" s="23"/>
      <c r="H17" s="32">
        <f>-D16</f>
        <v>-579.05318721500726</v>
      </c>
      <c r="I17" s="33">
        <f>C16</f>
        <v>128.29850730898119</v>
      </c>
    </row>
    <row r="18" spans="1:9" ht="15" customHeight="1" x14ac:dyDescent="0.3">
      <c r="A18" s="34"/>
      <c r="B18" s="23"/>
      <c r="C18" s="23"/>
      <c r="D18" s="23"/>
      <c r="E18" s="23"/>
      <c r="F18" s="23"/>
      <c r="G18" s="23"/>
      <c r="H18" s="23"/>
      <c r="I18" s="23"/>
    </row>
    <row r="19" spans="1:9" ht="15" customHeight="1" thickBot="1" x14ac:dyDescent="0.35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15" customHeight="1" thickBot="1" x14ac:dyDescent="0.35">
      <c r="A20" s="24" t="s">
        <v>35</v>
      </c>
      <c r="B20" s="25"/>
      <c r="C20" s="35">
        <f>C16*D17-C17*D16</f>
        <v>255174.05003227264</v>
      </c>
      <c r="D20" s="23"/>
      <c r="E20" s="23"/>
      <c r="F20" s="23"/>
      <c r="G20" s="23"/>
      <c r="H20" s="23"/>
      <c r="I20" s="23"/>
    </row>
    <row r="21" spans="1:9" ht="15" customHeight="1" thickBot="1" x14ac:dyDescent="0.35">
      <c r="A21" s="23"/>
      <c r="B21" s="23"/>
      <c r="C21" s="23"/>
      <c r="D21" s="23"/>
      <c r="E21" s="23"/>
      <c r="F21" s="23"/>
      <c r="G21" s="23"/>
      <c r="H21" s="23"/>
      <c r="I21" s="23"/>
    </row>
    <row r="22" spans="1:9" ht="15" customHeight="1" x14ac:dyDescent="0.3">
      <c r="A22" s="36" t="s">
        <v>36</v>
      </c>
      <c r="B22" s="37">
        <f>(H16*H13+I16*I13)/C20</f>
        <v>-4.2584628467177151E-2</v>
      </c>
      <c r="C22" s="23"/>
      <c r="D22" s="36" t="s">
        <v>37</v>
      </c>
      <c r="E22" s="37">
        <f>SQRT(H16/C20)</f>
        <v>0.13429885399681366</v>
      </c>
      <c r="F22" s="23"/>
      <c r="G22" s="23"/>
      <c r="H22" s="23"/>
      <c r="I22" s="23"/>
    </row>
    <row r="23" spans="1:9" ht="15" customHeight="1" thickBot="1" x14ac:dyDescent="0.35">
      <c r="A23" s="38" t="s">
        <v>38</v>
      </c>
      <c r="B23" s="39">
        <f>(H17*H13+I17*I13)/C20</f>
        <v>1.0146160247425002</v>
      </c>
      <c r="C23" s="23"/>
      <c r="D23" s="38" t="s">
        <v>39</v>
      </c>
      <c r="E23" s="39">
        <f>SQRT(I17/C20)</f>
        <v>2.2422939672108368E-2</v>
      </c>
      <c r="F23" s="23"/>
      <c r="G23" s="23"/>
      <c r="H23" s="23"/>
      <c r="I23" s="23"/>
    </row>
    <row r="24" spans="1:9" ht="15" customHeight="1" thickBot="1" x14ac:dyDescent="0.35"/>
    <row r="25" spans="1:9" ht="15" customHeight="1" thickBot="1" x14ac:dyDescent="0.35">
      <c r="A25" s="24" t="s">
        <v>40</v>
      </c>
      <c r="B25" s="40">
        <f>((E13*I13-F13*H13)^2)/((E13*G13-F13^2)*(E13*J13-H13^2))</f>
        <v>0.99961613730816667</v>
      </c>
    </row>
    <row r="26" spans="1:9" ht="15" customHeight="1" thickBot="1" x14ac:dyDescent="0.35"/>
    <row r="27" spans="1:9" ht="15" customHeight="1" x14ac:dyDescent="0.3"/>
    <row r="28" spans="1:9" ht="15" customHeight="1" thickBot="1" x14ac:dyDescent="0.35"/>
    <row r="29" spans="1:9" ht="15" customHeight="1" x14ac:dyDescent="0.3">
      <c r="A29" s="69" t="s">
        <v>45</v>
      </c>
      <c r="B29" s="70"/>
    </row>
    <row r="30" spans="1:9" ht="15" customHeight="1" x14ac:dyDescent="0.3">
      <c r="A30" s="42" t="s">
        <v>44</v>
      </c>
      <c r="B30" s="43">
        <f>Plan1!D130</f>
        <v>8</v>
      </c>
    </row>
    <row r="31" spans="1:9" ht="15" customHeight="1" x14ac:dyDescent="0.3">
      <c r="A31" s="42" t="s">
        <v>46</v>
      </c>
      <c r="B31" s="47">
        <f>Plan1!D131</f>
        <v>0.05</v>
      </c>
    </row>
    <row r="32" spans="1:9" ht="15" customHeight="1" x14ac:dyDescent="0.3">
      <c r="A32" s="44" t="s">
        <v>42</v>
      </c>
      <c r="B32" s="43">
        <f>CHIINV(B31,B30)</f>
        <v>15.507313055865453</v>
      </c>
    </row>
    <row r="33" spans="1:2" ht="15" customHeight="1" thickBot="1" x14ac:dyDescent="0.35">
      <c r="A33" s="45" t="s">
        <v>41</v>
      </c>
      <c r="B33" s="59">
        <f>K13</f>
        <v>0.78625058835924089</v>
      </c>
    </row>
    <row r="34" spans="1:2" ht="15" customHeight="1" x14ac:dyDescent="0.3"/>
    <row r="35" spans="1:2" ht="15" customHeight="1" x14ac:dyDescent="0.3"/>
    <row r="36" spans="1:2" ht="15" customHeight="1" x14ac:dyDescent="0.3"/>
    <row r="37" spans="1:2" ht="15" customHeight="1" x14ac:dyDescent="0.3"/>
    <row r="38" spans="1:2" ht="15" customHeight="1" x14ac:dyDescent="0.3"/>
    <row r="39" spans="1:2" ht="15" customHeight="1" x14ac:dyDescent="0.3"/>
    <row r="40" spans="1:2" ht="15" customHeight="1" x14ac:dyDescent="0.3"/>
    <row r="41" spans="1:2" ht="15" customHeight="1" x14ac:dyDescent="0.3"/>
  </sheetData>
  <mergeCells count="1">
    <mergeCell ref="A29:B29"/>
  </mergeCells>
  <conditionalFormatting sqref="B33">
    <cfRule type="cellIs" dxfId="12" priority="1" stopIfTrue="1" operator="lessThan">
      <formula>$B$32</formula>
    </cfRule>
    <cfRule type="cellIs" dxfId="11" priority="2" stopIfTrue="1" operator="greaterThan">
      <formula>$B$32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80" zoomScaleNormal="80" workbookViewId="0">
      <selection activeCell="B2" sqref="B2"/>
    </sheetView>
  </sheetViews>
  <sheetFormatPr defaultColWidth="11.19921875" defaultRowHeight="15.6" x14ac:dyDescent="0.3"/>
  <sheetData>
    <row r="1" spans="1:2" s="48" customFormat="1" ht="16.2" thickBot="1" x14ac:dyDescent="0.35">
      <c r="A1" s="7" t="s">
        <v>2</v>
      </c>
      <c r="B1" s="8" t="s">
        <v>47</v>
      </c>
    </row>
    <row r="2" spans="1:2" x14ac:dyDescent="0.3">
      <c r="A2" s="9">
        <f>'Dados experimentais'!A10</f>
        <v>2.2999999999999998</v>
      </c>
      <c r="B2" s="50">
        <f>'Dados experimentais'!F10</f>
        <v>0</v>
      </c>
    </row>
    <row r="3" spans="1:2" x14ac:dyDescent="0.3">
      <c r="A3" s="11">
        <f>'Dados experimentais'!A11</f>
        <v>3.8</v>
      </c>
      <c r="B3" s="16">
        <f>'Dados experimentais'!F11</f>
        <v>2.8930000000000002E-3</v>
      </c>
    </row>
    <row r="4" spans="1:2" x14ac:dyDescent="0.3">
      <c r="A4" s="11">
        <f>'Dados experimentais'!A12</f>
        <v>5.3</v>
      </c>
      <c r="B4" s="16">
        <f>'Dados experimentais'!F12</f>
        <v>6.7749999999999998E-3</v>
      </c>
    </row>
    <row r="5" spans="1:2" x14ac:dyDescent="0.3">
      <c r="A5" s="11">
        <f>'Dados experimentais'!A13</f>
        <v>6.8</v>
      </c>
      <c r="B5" s="16">
        <f>'Dados experimentais'!F13</f>
        <v>1.108E-2</v>
      </c>
    </row>
    <row r="6" spans="1:2" x14ac:dyDescent="0.3">
      <c r="A6" s="11">
        <f>'Dados experimentais'!A14</f>
        <v>8.3000000000000007</v>
      </c>
      <c r="B6" s="16">
        <f>'Dados experimentais'!F14</f>
        <v>1.5509999999999998E-2</v>
      </c>
    </row>
    <row r="7" spans="1:2" x14ac:dyDescent="0.3">
      <c r="A7" s="11">
        <f>'Dados experimentais'!A15</f>
        <v>9.6999999999999993</v>
      </c>
      <c r="B7" s="16">
        <f>'Dados experimentais'!F15</f>
        <v>1.9447999999999997E-2</v>
      </c>
    </row>
    <row r="8" spans="1:2" x14ac:dyDescent="0.3">
      <c r="A8" s="11">
        <f>'Dados experimentais'!A16</f>
        <v>11.3</v>
      </c>
      <c r="B8" s="16">
        <f>'Dados experimentais'!F16</f>
        <v>2.4565000000000003E-2</v>
      </c>
    </row>
    <row r="9" spans="1:2" x14ac:dyDescent="0.3">
      <c r="A9" s="11">
        <f>'Dados experimentais'!A17</f>
        <v>12.8</v>
      </c>
      <c r="B9" s="16">
        <f>'Dados experimentais'!F17</f>
        <v>2.9300000000000003E-2</v>
      </c>
    </row>
    <row r="10" spans="1:2" x14ac:dyDescent="0.3">
      <c r="A10" s="11">
        <f>'Dados experimentais'!A18</f>
        <v>14.3</v>
      </c>
      <c r="B10" s="16">
        <f>'Dados experimentais'!F18</f>
        <v>3.3925000000000004E-2</v>
      </c>
    </row>
    <row r="11" spans="1:2" ht="16.2" thickBot="1" x14ac:dyDescent="0.35">
      <c r="A11" s="17">
        <f>'Dados experimentais'!A19</f>
        <v>15.8</v>
      </c>
      <c r="B11" s="49">
        <f>'Dados experimentais'!F19</f>
        <v>3.9038000000000003E-2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0:G199"/>
  <sheetViews>
    <sheetView tabSelected="1" view="pageLayout" topLeftCell="A62" zoomScaleNormal="100" zoomScaleSheetLayoutView="100" workbookViewId="0">
      <selection activeCell="D62" sqref="D62"/>
    </sheetView>
  </sheetViews>
  <sheetFormatPr defaultRowHeight="15.6" x14ac:dyDescent="0.3"/>
  <cols>
    <col min="1" max="1" width="7.09765625" customWidth="1"/>
    <col min="2" max="2" width="9.8984375" bestFit="1" customWidth="1"/>
    <col min="3" max="3" width="15.69921875" customWidth="1"/>
    <col min="4" max="4" width="9.5" customWidth="1"/>
    <col min="5" max="5" width="12.3984375" customWidth="1"/>
    <col min="6" max="6" width="12.296875" customWidth="1"/>
    <col min="7" max="7" width="9.3984375" customWidth="1"/>
  </cols>
  <sheetData>
    <row r="60" spans="4:6" ht="16.2" thickBot="1" x14ac:dyDescent="0.35"/>
    <row r="61" spans="4:6" ht="34.200000000000003" thickBot="1" x14ac:dyDescent="0.35">
      <c r="D61" s="51" t="s">
        <v>48</v>
      </c>
      <c r="E61" s="52" t="s">
        <v>49</v>
      </c>
      <c r="F61" s="52" t="s">
        <v>50</v>
      </c>
    </row>
    <row r="62" spans="4:6" ht="16.2" thickBot="1" x14ac:dyDescent="0.35">
      <c r="D62" s="64">
        <v>2.2999999999999998</v>
      </c>
      <c r="E62" s="65">
        <v>0</v>
      </c>
      <c r="F62" s="65">
        <v>2.38</v>
      </c>
    </row>
    <row r="63" spans="4:6" ht="16.2" thickBot="1" x14ac:dyDescent="0.35">
      <c r="D63" s="64">
        <v>3.8</v>
      </c>
      <c r="E63" s="65">
        <v>1.1000000000000001</v>
      </c>
      <c r="F63" s="65">
        <v>2.63</v>
      </c>
    </row>
    <row r="64" spans="4:6" ht="16.2" thickBot="1" x14ac:dyDescent="0.35">
      <c r="D64" s="64">
        <v>5.3</v>
      </c>
      <c r="E64" s="65">
        <v>2.5</v>
      </c>
      <c r="F64" s="65">
        <v>2.71</v>
      </c>
    </row>
    <row r="65" spans="4:6" ht="16.2" thickBot="1" x14ac:dyDescent="0.35">
      <c r="D65" s="64">
        <v>6.8</v>
      </c>
      <c r="E65" s="65">
        <v>4</v>
      </c>
      <c r="F65" s="65">
        <v>2.77</v>
      </c>
    </row>
    <row r="66" spans="4:6" ht="16.2" thickBot="1" x14ac:dyDescent="0.35">
      <c r="D66" s="64">
        <v>8.3000000000000007</v>
      </c>
      <c r="E66" s="65">
        <v>5.5</v>
      </c>
      <c r="F66" s="65">
        <v>2.82</v>
      </c>
    </row>
    <row r="67" spans="4:6" ht="16.2" thickBot="1" x14ac:dyDescent="0.35">
      <c r="D67" s="64">
        <v>9.6999999999999993</v>
      </c>
      <c r="E67" s="65">
        <v>6.8</v>
      </c>
      <c r="F67" s="65">
        <v>2.86</v>
      </c>
    </row>
    <row r="68" spans="4:6" ht="16.2" thickBot="1" x14ac:dyDescent="0.35">
      <c r="D68" s="64">
        <v>11.3</v>
      </c>
      <c r="E68" s="65">
        <v>8.5</v>
      </c>
      <c r="F68" s="65">
        <v>2.89</v>
      </c>
    </row>
    <row r="69" spans="4:6" ht="16.2" thickBot="1" x14ac:dyDescent="0.35">
      <c r="D69" s="64">
        <v>12.8</v>
      </c>
      <c r="E69" s="65">
        <v>10</v>
      </c>
      <c r="F69" s="65">
        <v>2.93</v>
      </c>
    </row>
    <row r="70" spans="4:6" ht="16.2" thickBot="1" x14ac:dyDescent="0.35">
      <c r="D70" s="64">
        <v>14.3</v>
      </c>
      <c r="E70" s="65">
        <v>11.5</v>
      </c>
      <c r="F70" s="65">
        <v>2.95</v>
      </c>
    </row>
    <row r="71" spans="4:6" ht="16.2" thickBot="1" x14ac:dyDescent="0.35">
      <c r="D71" s="64">
        <v>15.8</v>
      </c>
      <c r="E71" s="65">
        <v>13.1</v>
      </c>
      <c r="F71" s="65">
        <v>2.98</v>
      </c>
    </row>
    <row r="83" spans="2:7" ht="21" x14ac:dyDescent="0.45">
      <c r="B83" s="57" t="s">
        <v>51</v>
      </c>
      <c r="C83" s="56">
        <f>'id x vr'!B22</f>
        <v>-4.2584628467177151E-2</v>
      </c>
      <c r="D83" s="57" t="s">
        <v>53</v>
      </c>
      <c r="E83" s="56">
        <f>'id x vr'!E22</f>
        <v>0.13429885399681366</v>
      </c>
      <c r="F83" s="57" t="s">
        <v>55</v>
      </c>
      <c r="G83" s="54">
        <f>'id x vr'!B25</f>
        <v>0.99961613730816667</v>
      </c>
    </row>
    <row r="84" spans="2:7" ht="20.399999999999999" x14ac:dyDescent="0.45">
      <c r="B84" s="57" t="s">
        <v>52</v>
      </c>
      <c r="C84" s="55">
        <f>'id x vr'!B23</f>
        <v>1.0146160247425002</v>
      </c>
      <c r="D84" s="57" t="s">
        <v>54</v>
      </c>
      <c r="E84" s="55">
        <f>'id x vr'!E23</f>
        <v>2.2422939672108368E-2</v>
      </c>
      <c r="F84" s="53"/>
      <c r="G84" s="53"/>
    </row>
    <row r="128" ht="16.2" thickBot="1" x14ac:dyDescent="0.35"/>
    <row r="129" spans="3:4" x14ac:dyDescent="0.3">
      <c r="C129" s="69" t="s">
        <v>45</v>
      </c>
      <c r="D129" s="70"/>
    </row>
    <row r="130" spans="3:4" x14ac:dyDescent="0.3">
      <c r="C130" s="42" t="s">
        <v>44</v>
      </c>
      <c r="D130" s="63">
        <v>8</v>
      </c>
    </row>
    <row r="131" spans="3:4" x14ac:dyDescent="0.3">
      <c r="C131" s="42" t="s">
        <v>46</v>
      </c>
      <c r="D131" s="47">
        <v>0.05</v>
      </c>
    </row>
    <row r="132" spans="3:4" x14ac:dyDescent="0.3">
      <c r="C132" s="44" t="s">
        <v>42</v>
      </c>
      <c r="D132" s="58">
        <f>CHIINV(D131,D130)</f>
        <v>15.507313055865453</v>
      </c>
    </row>
    <row r="133" spans="3:4" ht="16.2" thickBot="1" x14ac:dyDescent="0.35">
      <c r="C133" s="45" t="s">
        <v>41</v>
      </c>
      <c r="D133" s="58">
        <f>'id x vr'!B33</f>
        <v>0.78625058835924089</v>
      </c>
    </row>
    <row r="145" spans="2:7" ht="21" x14ac:dyDescent="0.45">
      <c r="B145" s="57" t="s">
        <v>51</v>
      </c>
      <c r="C145" s="60">
        <f>'id x vd'!B22</f>
        <v>-46.557479846771024</v>
      </c>
      <c r="D145" s="57" t="s">
        <v>53</v>
      </c>
      <c r="E145" s="60">
        <f>'id x vd'!E22</f>
        <v>1.2620029962274515</v>
      </c>
      <c r="F145" s="57" t="s">
        <v>55</v>
      </c>
      <c r="G145" s="54">
        <f>'id x vd'!B25</f>
        <v>0.80420691800866762</v>
      </c>
    </row>
    <row r="146" spans="2:7" ht="20.399999999999999" x14ac:dyDescent="0.45">
      <c r="B146" s="57" t="s">
        <v>52</v>
      </c>
      <c r="C146" s="56">
        <f>'id x vd'!B23</f>
        <v>18.789220109410003</v>
      </c>
      <c r="D146" s="57" t="s">
        <v>54</v>
      </c>
      <c r="E146" s="56">
        <f>'id x vd'!E23</f>
        <v>0.46294810659780128</v>
      </c>
      <c r="F146" s="53"/>
      <c r="G146" s="53"/>
    </row>
    <row r="172" spans="3:4" ht="16.2" thickBot="1" x14ac:dyDescent="0.35"/>
    <row r="173" spans="3:4" x14ac:dyDescent="0.3">
      <c r="C173" s="71" t="s">
        <v>45</v>
      </c>
      <c r="D173" s="72"/>
    </row>
    <row r="174" spans="3:4" x14ac:dyDescent="0.3">
      <c r="C174" s="42" t="s">
        <v>44</v>
      </c>
      <c r="D174" s="63">
        <v>8</v>
      </c>
    </row>
    <row r="175" spans="3:4" x14ac:dyDescent="0.3">
      <c r="C175" s="42" t="s">
        <v>46</v>
      </c>
      <c r="D175" s="47">
        <v>0.05</v>
      </c>
    </row>
    <row r="176" spans="3:4" x14ac:dyDescent="0.3">
      <c r="C176" s="44" t="s">
        <v>42</v>
      </c>
      <c r="D176" s="58">
        <f>CHIINV(D175,D174)</f>
        <v>15.507313055865453</v>
      </c>
    </row>
    <row r="177" spans="2:4" ht="16.2" thickBot="1" x14ac:dyDescent="0.35">
      <c r="C177" s="45" t="s">
        <v>41</v>
      </c>
      <c r="D177" s="43">
        <f>'id x vd'!B32</f>
        <v>401.03513362383791</v>
      </c>
    </row>
    <row r="189" spans="2:4" ht="18" x14ac:dyDescent="0.3">
      <c r="B189" s="61" t="s">
        <v>2</v>
      </c>
      <c r="C189" s="61" t="s">
        <v>47</v>
      </c>
    </row>
    <row r="190" spans="2:4" ht="18" x14ac:dyDescent="0.35">
      <c r="B190" s="53">
        <f>'Dados experimentais'!A10</f>
        <v>2.2999999999999998</v>
      </c>
      <c r="C190" s="62">
        <f>'Dados experimentais'!F10</f>
        <v>0</v>
      </c>
    </row>
    <row r="191" spans="2:4" ht="18" x14ac:dyDescent="0.35">
      <c r="B191" s="53">
        <f>'Dados experimentais'!A11</f>
        <v>3.8</v>
      </c>
      <c r="C191" s="62">
        <f>'Dados experimentais'!F11</f>
        <v>2.8930000000000002E-3</v>
      </c>
    </row>
    <row r="192" spans="2:4" ht="18" x14ac:dyDescent="0.35">
      <c r="B192" s="53">
        <f>'Dados experimentais'!A12</f>
        <v>5.3</v>
      </c>
      <c r="C192" s="62">
        <f>'Dados experimentais'!F12</f>
        <v>6.7749999999999998E-3</v>
      </c>
    </row>
    <row r="193" spans="2:3" ht="18" x14ac:dyDescent="0.35">
      <c r="B193" s="53">
        <f>'Dados experimentais'!A13</f>
        <v>6.8</v>
      </c>
      <c r="C193" s="62">
        <f>'Dados experimentais'!F13</f>
        <v>1.108E-2</v>
      </c>
    </row>
    <row r="194" spans="2:3" ht="18" x14ac:dyDescent="0.35">
      <c r="B194" s="53">
        <f>'Dados experimentais'!A14</f>
        <v>8.3000000000000007</v>
      </c>
      <c r="C194" s="62">
        <f>'Dados experimentais'!F14</f>
        <v>1.5509999999999998E-2</v>
      </c>
    </row>
    <row r="195" spans="2:3" ht="18" x14ac:dyDescent="0.35">
      <c r="B195" s="53">
        <f>'Dados experimentais'!A15</f>
        <v>9.6999999999999993</v>
      </c>
      <c r="C195" s="62">
        <f>'Dados experimentais'!F15</f>
        <v>1.9447999999999997E-2</v>
      </c>
    </row>
    <row r="196" spans="2:3" ht="18" x14ac:dyDescent="0.35">
      <c r="B196" s="53">
        <f>'Dados experimentais'!A16</f>
        <v>11.3</v>
      </c>
      <c r="C196" s="62">
        <f>'Dados experimentais'!F16</f>
        <v>2.4565000000000003E-2</v>
      </c>
    </row>
    <row r="197" spans="2:3" ht="18" x14ac:dyDescent="0.35">
      <c r="B197" s="53">
        <f>'Dados experimentais'!A17</f>
        <v>12.8</v>
      </c>
      <c r="C197" s="62">
        <f>'Dados experimentais'!F17</f>
        <v>2.9300000000000003E-2</v>
      </c>
    </row>
    <row r="198" spans="2:3" ht="18" x14ac:dyDescent="0.35">
      <c r="B198" s="53">
        <f>'Dados experimentais'!A18</f>
        <v>14.3</v>
      </c>
      <c r="C198" s="62">
        <f>'Dados experimentais'!F18</f>
        <v>3.3925000000000004E-2</v>
      </c>
    </row>
    <row r="199" spans="2:3" ht="18" x14ac:dyDescent="0.35">
      <c r="B199" s="53">
        <f>'Dados experimentais'!A19</f>
        <v>15.8</v>
      </c>
      <c r="C199" s="62">
        <f>'Dados experimentais'!F19</f>
        <v>3.9038000000000003E-2</v>
      </c>
    </row>
  </sheetData>
  <sheetProtection password="DE4C" sheet="1" objects="1" scenarios="1" selectLockedCells="1"/>
  <mergeCells count="2">
    <mergeCell ref="C129:D129"/>
    <mergeCell ref="C173:D173"/>
  </mergeCells>
  <pageMargins left="0.51181102362204722" right="0.51181102362204722" top="0.78740157480314965" bottom="0.78740157480314965" header="0.31496062992125984" footer="0.31496062992125984"/>
  <pageSetup paperSize="9" orientation="portrait" r:id="rId1"/>
  <headerFooter>
    <oddFooter>Página &amp;P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6151" r:id="rId4">
          <objectPr defaultSize="0" autoPict="0" r:id="rId5">
            <anchor moveWithCells="1">
              <from>
                <xdr:col>0</xdr:col>
                <xdr:colOff>15240</xdr:colOff>
                <xdr:row>0</xdr:row>
                <xdr:rowOff>0</xdr:rowOff>
              </from>
              <to>
                <xdr:col>7</xdr:col>
                <xdr:colOff>175260</xdr:colOff>
                <xdr:row>6</xdr:row>
                <xdr:rowOff>114300</xdr:rowOff>
              </to>
            </anchor>
          </objectPr>
        </oleObject>
      </mc:Choice>
      <mc:Fallback>
        <oleObject progId="Word.Document.12" shapeId="6151" r:id="rId4"/>
      </mc:Fallback>
    </mc:AlternateContent>
    <mc:AlternateContent xmlns:mc="http://schemas.openxmlformats.org/markup-compatibility/2006">
      <mc:Choice Requires="x14">
        <oleObject progId="Word.Document.12" shapeId="6152" r:id="rId6">
          <objectPr defaultSize="0" r:id="rId7">
            <anchor moveWithCells="1">
              <from>
                <xdr:col>0</xdr:col>
                <xdr:colOff>76200</xdr:colOff>
                <xdr:row>6</xdr:row>
                <xdr:rowOff>53340</xdr:rowOff>
              </from>
              <to>
                <xdr:col>7</xdr:col>
                <xdr:colOff>121920</xdr:colOff>
                <xdr:row>15</xdr:row>
                <xdr:rowOff>152400</xdr:rowOff>
              </to>
            </anchor>
          </objectPr>
        </oleObject>
      </mc:Choice>
      <mc:Fallback>
        <oleObject progId="Word.Document.12" shapeId="6152" r:id="rId6"/>
      </mc:Fallback>
    </mc:AlternateContent>
    <mc:AlternateContent xmlns:mc="http://schemas.openxmlformats.org/markup-compatibility/2006">
      <mc:Choice Requires="x14">
        <oleObject progId="Word.Document.12" shapeId="6158" r:id="rId8">
          <objectPr defaultSize="0" r:id="rId9">
            <anchor moveWithCells="1">
              <from>
                <xdr:col>0</xdr:col>
                <xdr:colOff>60960</xdr:colOff>
                <xdr:row>46</xdr:row>
                <xdr:rowOff>53340</xdr:rowOff>
              </from>
              <to>
                <xdr:col>7</xdr:col>
                <xdr:colOff>175260</xdr:colOff>
                <xdr:row>52</xdr:row>
                <xdr:rowOff>152400</xdr:rowOff>
              </to>
            </anchor>
          </objectPr>
        </oleObject>
      </mc:Choice>
      <mc:Fallback>
        <oleObject progId="Word.Document.12" shapeId="6158" r:id="rId8"/>
      </mc:Fallback>
    </mc:AlternateContent>
    <mc:AlternateContent xmlns:mc="http://schemas.openxmlformats.org/markup-compatibility/2006">
      <mc:Choice Requires="x14">
        <oleObject progId="Word.Document.12" shapeId="6159" r:id="rId10">
          <objectPr defaultSize="0" r:id="rId11">
            <anchor moveWithCells="1">
              <from>
                <xdr:col>0</xdr:col>
                <xdr:colOff>76200</xdr:colOff>
                <xdr:row>15</xdr:row>
                <xdr:rowOff>30480</xdr:rowOff>
              </from>
              <to>
                <xdr:col>7</xdr:col>
                <xdr:colOff>144780</xdr:colOff>
                <xdr:row>45</xdr:row>
                <xdr:rowOff>106680</xdr:rowOff>
              </to>
            </anchor>
          </objectPr>
        </oleObject>
      </mc:Choice>
      <mc:Fallback>
        <oleObject progId="Word.Document.12" shapeId="6159" r:id="rId10"/>
      </mc:Fallback>
    </mc:AlternateContent>
    <mc:AlternateContent xmlns:mc="http://schemas.openxmlformats.org/markup-compatibility/2006">
      <mc:Choice Requires="x14">
        <oleObject progId="Word.Document.12" shapeId="6161" r:id="rId12">
          <objectPr defaultSize="0" r:id="rId13">
            <anchor moveWithCells="1">
              <from>
                <xdr:col>0</xdr:col>
                <xdr:colOff>30480</xdr:colOff>
                <xdr:row>53</xdr:row>
                <xdr:rowOff>0</xdr:rowOff>
              </from>
              <to>
                <xdr:col>7</xdr:col>
                <xdr:colOff>182880</xdr:colOff>
                <xdr:row>59</xdr:row>
                <xdr:rowOff>0</xdr:rowOff>
              </to>
            </anchor>
          </objectPr>
        </oleObject>
      </mc:Choice>
      <mc:Fallback>
        <oleObject progId="Word.Document.12" shapeId="6161" r:id="rId12"/>
      </mc:Fallback>
    </mc:AlternateContent>
    <mc:AlternateContent xmlns:mc="http://schemas.openxmlformats.org/markup-compatibility/2006">
      <mc:Choice Requires="x14">
        <oleObject progId="Word.Document.12" shapeId="6162" r:id="rId14">
          <objectPr defaultSize="0" r:id="rId15">
            <anchor moveWithCells="1">
              <from>
                <xdr:col>0</xdr:col>
                <xdr:colOff>45720</xdr:colOff>
                <xdr:row>71</xdr:row>
                <xdr:rowOff>60960</xdr:rowOff>
              </from>
              <to>
                <xdr:col>6</xdr:col>
                <xdr:colOff>640080</xdr:colOff>
                <xdr:row>74</xdr:row>
                <xdr:rowOff>30480</xdr:rowOff>
              </to>
            </anchor>
          </objectPr>
        </oleObject>
      </mc:Choice>
      <mc:Fallback>
        <oleObject progId="Word.Document.12" shapeId="6162" r:id="rId14"/>
      </mc:Fallback>
    </mc:AlternateContent>
    <mc:AlternateContent xmlns:mc="http://schemas.openxmlformats.org/markup-compatibility/2006">
      <mc:Choice Requires="x14">
        <oleObject progId="Word.Document.12" shapeId="6163" r:id="rId16">
          <objectPr defaultSize="0" r:id="rId17">
            <anchor moveWithCells="1">
              <from>
                <xdr:col>0</xdr:col>
                <xdr:colOff>45720</xdr:colOff>
                <xdr:row>73</xdr:row>
                <xdr:rowOff>60960</xdr:rowOff>
              </from>
              <to>
                <xdr:col>7</xdr:col>
                <xdr:colOff>38100</xdr:colOff>
                <xdr:row>79</xdr:row>
                <xdr:rowOff>53340</xdr:rowOff>
              </to>
            </anchor>
          </objectPr>
        </oleObject>
      </mc:Choice>
      <mc:Fallback>
        <oleObject progId="Word.Document.12" shapeId="6163" r:id="rId16"/>
      </mc:Fallback>
    </mc:AlternateContent>
    <mc:AlternateContent xmlns:mc="http://schemas.openxmlformats.org/markup-compatibility/2006">
      <mc:Choice Requires="x14">
        <oleObject progId="Word.Document.12" shapeId="6164" r:id="rId18">
          <objectPr defaultSize="0" r:id="rId19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7</xdr:col>
                <xdr:colOff>243840</xdr:colOff>
                <xdr:row>88</xdr:row>
                <xdr:rowOff>7620</xdr:rowOff>
              </to>
            </anchor>
          </objectPr>
        </oleObject>
      </mc:Choice>
      <mc:Fallback>
        <oleObject progId="Word.Document.12" shapeId="6164" r:id="rId18"/>
      </mc:Fallback>
    </mc:AlternateContent>
    <mc:AlternateContent xmlns:mc="http://schemas.openxmlformats.org/markup-compatibility/2006">
      <mc:Choice Requires="x14">
        <oleObject progId="Word.Document.12" shapeId="6165" r:id="rId20">
          <objectPr defaultSize="0" r:id="rId21">
            <anchor moveWithCells="1">
              <from>
                <xdr:col>0</xdr:col>
                <xdr:colOff>60960</xdr:colOff>
                <xdr:row>90</xdr:row>
                <xdr:rowOff>53340</xdr:rowOff>
              </from>
              <to>
                <xdr:col>7</xdr:col>
                <xdr:colOff>175260</xdr:colOff>
                <xdr:row>96</xdr:row>
                <xdr:rowOff>152400</xdr:rowOff>
              </to>
            </anchor>
          </objectPr>
        </oleObject>
      </mc:Choice>
      <mc:Fallback>
        <oleObject progId="Word.Document.12" shapeId="6165" r:id="rId20"/>
      </mc:Fallback>
    </mc:AlternateContent>
    <mc:AlternateContent xmlns:mc="http://schemas.openxmlformats.org/markup-compatibility/2006">
      <mc:Choice Requires="x14">
        <oleObject progId="Word.Document.12" shapeId="6166" r:id="rId22">
          <objectPr defaultSize="0" r:id="rId23">
            <anchor moveWithCells="1">
              <from>
                <xdr:col>0</xdr:col>
                <xdr:colOff>0</xdr:colOff>
                <xdr:row>124</xdr:row>
                <xdr:rowOff>121920</xdr:rowOff>
              </from>
              <to>
                <xdr:col>7</xdr:col>
                <xdr:colOff>205740</xdr:colOff>
                <xdr:row>127</xdr:row>
                <xdr:rowOff>144780</xdr:rowOff>
              </to>
            </anchor>
          </objectPr>
        </oleObject>
      </mc:Choice>
      <mc:Fallback>
        <oleObject progId="Word.Document.12" shapeId="6166" r:id="rId22"/>
      </mc:Fallback>
    </mc:AlternateContent>
    <mc:AlternateContent xmlns:mc="http://schemas.openxmlformats.org/markup-compatibility/2006">
      <mc:Choice Requires="x14">
        <oleObject progId="Word.Document.12" shapeId="6167" r:id="rId24">
          <objectPr defaultSize="0" r:id="rId25">
            <anchor moveWithCells="1">
              <from>
                <xdr:col>0</xdr:col>
                <xdr:colOff>0</xdr:colOff>
                <xdr:row>133</xdr:row>
                <xdr:rowOff>160020</xdr:rowOff>
              </from>
              <to>
                <xdr:col>7</xdr:col>
                <xdr:colOff>495300</xdr:colOff>
                <xdr:row>135</xdr:row>
                <xdr:rowOff>182880</xdr:rowOff>
              </to>
            </anchor>
          </objectPr>
        </oleObject>
      </mc:Choice>
      <mc:Fallback>
        <oleObject progId="Word.Document.12" shapeId="6167" r:id="rId24"/>
      </mc:Fallback>
    </mc:AlternateContent>
    <mc:AlternateContent xmlns:mc="http://schemas.openxmlformats.org/markup-compatibility/2006">
      <mc:Choice Requires="x14">
        <oleObject progId="Word.Document.12" shapeId="6168" r:id="rId26">
          <objectPr defaultSize="0" r:id="rId27">
            <anchor moveWithCells="1">
              <from>
                <xdr:col>0</xdr:col>
                <xdr:colOff>129540</xdr:colOff>
                <xdr:row>136</xdr:row>
                <xdr:rowOff>53340</xdr:rowOff>
              </from>
              <to>
                <xdr:col>7</xdr:col>
                <xdr:colOff>243840</xdr:colOff>
                <xdr:row>142</xdr:row>
                <xdr:rowOff>152400</xdr:rowOff>
              </to>
            </anchor>
          </objectPr>
        </oleObject>
      </mc:Choice>
      <mc:Fallback>
        <oleObject progId="Word.Document.12" shapeId="6168" r:id="rId26"/>
      </mc:Fallback>
    </mc:AlternateContent>
    <mc:AlternateContent xmlns:mc="http://schemas.openxmlformats.org/markup-compatibility/2006">
      <mc:Choice Requires="x14">
        <oleObject progId="Word.Document.12" shapeId="6169" r:id="rId28">
          <objectPr defaultSize="0" r:id="rId29">
            <anchor moveWithCells="1">
              <from>
                <xdr:col>0</xdr:col>
                <xdr:colOff>0</xdr:colOff>
                <xdr:row>177</xdr:row>
                <xdr:rowOff>91440</xdr:rowOff>
              </from>
              <to>
                <xdr:col>7</xdr:col>
                <xdr:colOff>586740</xdr:colOff>
                <xdr:row>180</xdr:row>
                <xdr:rowOff>129540</xdr:rowOff>
              </to>
            </anchor>
          </objectPr>
        </oleObject>
      </mc:Choice>
      <mc:Fallback>
        <oleObject progId="Word.Document.12" shapeId="6169" r:id="rId28"/>
      </mc:Fallback>
    </mc:AlternateContent>
    <mc:AlternateContent xmlns:mc="http://schemas.openxmlformats.org/markup-compatibility/2006">
      <mc:Choice Requires="x14">
        <oleObject progId="Word.Document.12" shapeId="6170" r:id="rId30">
          <objectPr defaultSize="0" r:id="rId31">
            <anchor moveWithCells="1">
              <from>
                <xdr:col>0</xdr:col>
                <xdr:colOff>198120</xdr:colOff>
                <xdr:row>181</xdr:row>
                <xdr:rowOff>22860</xdr:rowOff>
              </from>
              <to>
                <xdr:col>7</xdr:col>
                <xdr:colOff>312420</xdr:colOff>
                <xdr:row>187</xdr:row>
                <xdr:rowOff>121920</xdr:rowOff>
              </to>
            </anchor>
          </objectPr>
        </oleObject>
      </mc:Choice>
      <mc:Fallback>
        <oleObject progId="Word.Document.12" shapeId="6170" r:id="rId30"/>
      </mc:Fallback>
    </mc:AlternateContent>
    <mc:AlternateContent xmlns:mc="http://schemas.openxmlformats.org/markup-compatibility/2006">
      <mc:Choice Requires="x14">
        <oleObject progId="Word.Document.12" shapeId="6171" r:id="rId32">
          <objectPr defaultSize="0" autoPict="0" r:id="rId33">
            <anchor moveWithCells="1">
              <from>
                <xdr:col>0</xdr:col>
                <xdr:colOff>198120</xdr:colOff>
                <xdr:row>225</xdr:row>
                <xdr:rowOff>22860</xdr:rowOff>
              </from>
              <to>
                <xdr:col>7</xdr:col>
                <xdr:colOff>320040</xdr:colOff>
                <xdr:row>231</xdr:row>
                <xdr:rowOff>121920</xdr:rowOff>
              </to>
            </anchor>
          </objectPr>
        </oleObject>
      </mc:Choice>
      <mc:Fallback>
        <oleObject progId="Word.Document.12" shapeId="6171" r:id="rId32"/>
      </mc:Fallback>
    </mc:AlternateContent>
    <mc:AlternateContent xmlns:mc="http://schemas.openxmlformats.org/markup-compatibility/2006">
      <mc:Choice Requires="x14">
        <oleObject progId="Word.Document.12" shapeId="6173" r:id="rId34">
          <objectPr defaultSize="0" r:id="rId35">
            <anchor moveWithCells="1">
              <from>
                <xdr:col>0</xdr:col>
                <xdr:colOff>60960</xdr:colOff>
                <xdr:row>232</xdr:row>
                <xdr:rowOff>0</xdr:rowOff>
              </from>
              <to>
                <xdr:col>7</xdr:col>
                <xdr:colOff>579120</xdr:colOff>
                <xdr:row>234</xdr:row>
                <xdr:rowOff>22860</xdr:rowOff>
              </to>
            </anchor>
          </objectPr>
        </oleObject>
      </mc:Choice>
      <mc:Fallback>
        <oleObject progId="Word.Document.12" shapeId="6173" r:id="rId34"/>
      </mc:Fallback>
    </mc:AlternateContent>
    <mc:AlternateContent xmlns:mc="http://schemas.openxmlformats.org/markup-compatibility/2006">
      <mc:Choice Requires="x14">
        <oleObject progId="Word.Document.12" shapeId="6174" r:id="rId36">
          <objectPr defaultSize="0" r:id="rId37">
            <anchor moveWithCells="1">
              <from>
                <xdr:col>0</xdr:col>
                <xdr:colOff>0</xdr:colOff>
                <xdr:row>234</xdr:row>
                <xdr:rowOff>60960</xdr:rowOff>
              </from>
              <to>
                <xdr:col>7</xdr:col>
                <xdr:colOff>495300</xdr:colOff>
                <xdr:row>237</xdr:row>
                <xdr:rowOff>83820</xdr:rowOff>
              </to>
            </anchor>
          </objectPr>
        </oleObject>
      </mc:Choice>
      <mc:Fallback>
        <oleObject progId="Word.Document.12" shapeId="6174" r:id="rId36"/>
      </mc:Fallback>
    </mc:AlternateContent>
    <mc:AlternateContent xmlns:mc="http://schemas.openxmlformats.org/markup-compatibility/2006">
      <mc:Choice Requires="x14">
        <oleObject progId="Word.Document.12" shapeId="6175" r:id="rId38">
          <objectPr defaultSize="0" r:id="rId39">
            <anchor moveWithCells="1">
              <from>
                <xdr:col>0</xdr:col>
                <xdr:colOff>0</xdr:colOff>
                <xdr:row>246</xdr:row>
                <xdr:rowOff>45720</xdr:rowOff>
              </from>
              <to>
                <xdr:col>7</xdr:col>
                <xdr:colOff>495300</xdr:colOff>
                <xdr:row>249</xdr:row>
                <xdr:rowOff>76200</xdr:rowOff>
              </to>
            </anchor>
          </objectPr>
        </oleObject>
      </mc:Choice>
      <mc:Fallback>
        <oleObject progId="Word.Document.12" shapeId="6175" r:id="rId38"/>
      </mc:Fallback>
    </mc:AlternateContent>
    <mc:AlternateContent xmlns:mc="http://schemas.openxmlformats.org/markup-compatibility/2006">
      <mc:Choice Requires="x14">
        <oleObject progId="Word.Document.12" shapeId="6176" r:id="rId40">
          <objectPr defaultSize="0" r:id="rId41">
            <anchor moveWithCells="1">
              <from>
                <xdr:col>0</xdr:col>
                <xdr:colOff>7620</xdr:colOff>
                <xdr:row>257</xdr:row>
                <xdr:rowOff>38100</xdr:rowOff>
              </from>
              <to>
                <xdr:col>7</xdr:col>
                <xdr:colOff>579120</xdr:colOff>
                <xdr:row>261</xdr:row>
                <xdr:rowOff>83820</xdr:rowOff>
              </to>
            </anchor>
          </objectPr>
        </oleObject>
      </mc:Choice>
      <mc:Fallback>
        <oleObject progId="Word.Document.12" shapeId="6176" r:id="rId4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experimentais</vt:lpstr>
      <vt:lpstr>id x vd</vt:lpstr>
      <vt:lpstr>id x vr</vt:lpstr>
      <vt:lpstr>Potencia x Vdd</vt:lpstr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Varjão</dc:creator>
  <cp:lastModifiedBy>Ricardo</cp:lastModifiedBy>
  <cp:lastPrinted>2014-05-01T03:00:19Z</cp:lastPrinted>
  <dcterms:created xsi:type="dcterms:W3CDTF">2014-04-12T11:07:41Z</dcterms:created>
  <dcterms:modified xsi:type="dcterms:W3CDTF">2014-05-01T03:02:35Z</dcterms:modified>
</cp:coreProperties>
</file>