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x\rpack\agridat\data-raw\"/>
    </mc:Choice>
  </mc:AlternateContent>
  <bookViews>
    <workbookView xWindow="2040" yWindow="0" windowWidth="15360" windowHeight="9000" tabRatio="662" firstSheet="1" activeTab="1"/>
  </bookViews>
  <sheets>
    <sheet name="Article title and authors" sheetId="28" r:id="rId1"/>
    <sheet name="grain yield all" sheetId="2" r:id="rId2"/>
    <sheet name="Damaged ears all" sheetId="24" r:id="rId3"/>
    <sheet name="Proteins" sheetId="15" r:id="rId4"/>
    <sheet name="Lipids" sheetId="1" r:id="rId5"/>
    <sheet name="ADF" sheetId="12" r:id="rId6"/>
    <sheet name="NDF" sheetId="13" r:id="rId7"/>
    <sheet name="TDF" sheetId="14" r:id="rId8"/>
    <sheet name="Fumonisins single Cry1Ab" sheetId="5" r:id="rId9"/>
    <sheet name="Thricotecens single Cry1Ab" sheetId="8" r:id="rId10"/>
    <sheet name="Aflatoxin" sheetId="9" r:id="rId11"/>
    <sheet name="Mycotoxins" sheetId="10" r:id="rId12"/>
  </sheets>
  <definedNames>
    <definedName name="_xlnm._FilterDatabase" localSheetId="5" hidden="1">ADF!$1:$1101</definedName>
    <definedName name="_xlnm._FilterDatabase" localSheetId="10" hidden="1">Aflatoxin!#REF!</definedName>
    <definedName name="_xlnm._FilterDatabase" localSheetId="2" hidden="1">'Damaged ears all'!$A$1:$BF$1236</definedName>
    <definedName name="_xlnm._FilterDatabase" localSheetId="8" hidden="1">'Fumonisins single Cry1Ab'!#REF!</definedName>
    <definedName name="_xlnm._FilterDatabase" localSheetId="1" hidden="1">'grain yield all'!$A$1:$AS$279</definedName>
    <definedName name="_xlnm._FilterDatabase" localSheetId="4" hidden="1">Lipids!$A$1:$BF$1103</definedName>
    <definedName name="_xlnm._FilterDatabase" localSheetId="11" hidden="1">Mycotoxins!#REF!</definedName>
    <definedName name="_xlnm._FilterDatabase" localSheetId="6" hidden="1">NDF!$1:$1102</definedName>
    <definedName name="_xlnm._FilterDatabase" localSheetId="3" hidden="1">Proteins!$1:$1092</definedName>
    <definedName name="_xlnm._FilterDatabase" localSheetId="7" hidden="1">TDF!$1:$1102</definedName>
    <definedName name="_xlnm._FilterDatabase" localSheetId="9" hidden="1">'Thricotecens single Cry1Ab'!#REF!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281" i="2" l="1"/>
  <c r="AY282" i="2"/>
  <c r="AY281" i="2"/>
  <c r="AX277" i="2"/>
  <c r="AY277" i="2"/>
  <c r="AX276" i="2"/>
  <c r="AY276" i="2"/>
  <c r="AX275" i="2"/>
  <c r="AY275" i="2"/>
  <c r="AX274" i="2"/>
  <c r="AY274" i="2"/>
  <c r="AX273" i="2"/>
  <c r="AY273" i="2"/>
  <c r="AX272" i="2"/>
  <c r="AY272" i="2"/>
  <c r="AX271" i="2"/>
  <c r="AY271" i="2"/>
  <c r="AX270" i="2"/>
  <c r="AY270" i="2"/>
  <c r="AX269" i="2"/>
  <c r="AY269" i="2"/>
  <c r="AX268" i="2"/>
  <c r="AY268" i="2"/>
  <c r="AX266" i="2"/>
  <c r="AY266" i="2"/>
  <c r="AX263" i="2"/>
  <c r="AY263" i="2"/>
  <c r="AX260" i="2"/>
  <c r="AY260" i="2"/>
  <c r="AX257" i="2"/>
  <c r="AY257" i="2"/>
  <c r="AX254" i="2"/>
  <c r="AY254" i="2"/>
  <c r="AX251" i="2"/>
  <c r="AY251" i="2"/>
  <c r="AX248" i="2"/>
  <c r="AY248" i="2"/>
  <c r="AX245" i="2"/>
  <c r="AY245" i="2"/>
  <c r="AX243" i="2"/>
  <c r="AY243" i="2"/>
  <c r="AX242" i="2"/>
  <c r="AY242" i="2"/>
  <c r="AX241" i="2"/>
  <c r="AY241" i="2"/>
  <c r="AX240" i="2"/>
  <c r="AY240" i="2"/>
  <c r="AX239" i="2"/>
  <c r="AY239" i="2"/>
  <c r="AX238" i="2"/>
  <c r="AY238" i="2"/>
  <c r="AX237" i="2"/>
  <c r="AY237" i="2"/>
  <c r="AX236" i="2"/>
  <c r="AY236" i="2"/>
  <c r="AX235" i="2"/>
  <c r="AY235" i="2"/>
  <c r="AX234" i="2"/>
  <c r="AY234" i="2"/>
  <c r="AX233" i="2"/>
  <c r="AY233" i="2"/>
  <c r="AX223" i="2"/>
  <c r="AY223" i="2"/>
  <c r="AX220" i="2"/>
  <c r="AY220" i="2"/>
  <c r="AX218" i="2"/>
  <c r="AY218" i="2"/>
  <c r="AX215" i="2"/>
  <c r="AY215" i="2"/>
  <c r="AX206" i="2"/>
  <c r="AY206" i="2"/>
  <c r="AX200" i="2"/>
  <c r="AY200" i="2"/>
  <c r="AX198" i="2"/>
  <c r="AY198" i="2"/>
  <c r="AX197" i="2"/>
  <c r="AY197" i="2"/>
  <c r="AX194" i="2"/>
  <c r="AY194" i="2"/>
  <c r="AX193" i="2"/>
  <c r="AY193" i="2"/>
  <c r="AX189" i="2"/>
  <c r="AY189" i="2"/>
  <c r="AX185" i="2"/>
  <c r="AY185" i="2"/>
  <c r="AX181" i="2"/>
  <c r="AY181" i="2"/>
  <c r="AX178" i="2"/>
  <c r="AY178" i="2"/>
  <c r="AX174" i="2"/>
  <c r="AY174" i="2"/>
  <c r="AX173" i="2"/>
  <c r="AY173" i="2"/>
  <c r="AX170" i="2"/>
  <c r="AY170" i="2"/>
  <c r="AX169" i="2"/>
  <c r="AY169" i="2"/>
  <c r="AX168" i="2"/>
  <c r="AY168" i="2"/>
  <c r="AX167" i="2"/>
  <c r="AY167" i="2"/>
  <c r="AX166" i="2"/>
  <c r="AY166" i="2"/>
  <c r="AX165" i="2"/>
  <c r="AY165" i="2"/>
  <c r="AX164" i="2"/>
  <c r="AY164" i="2"/>
  <c r="AX163" i="2"/>
  <c r="AY163" i="2"/>
  <c r="AX162" i="2"/>
  <c r="AY162" i="2"/>
  <c r="AX161" i="2"/>
  <c r="AY161" i="2"/>
  <c r="AX160" i="2"/>
  <c r="AY160" i="2"/>
  <c r="AX159" i="2"/>
  <c r="AY159" i="2"/>
  <c r="AX158" i="2"/>
  <c r="AY158" i="2"/>
  <c r="AX157" i="2"/>
  <c r="AY157" i="2"/>
  <c r="AX156" i="2"/>
  <c r="AY156" i="2"/>
  <c r="AX155" i="2"/>
  <c r="AY155" i="2"/>
  <c r="AX154" i="2"/>
  <c r="AY154" i="2"/>
  <c r="AX153" i="2"/>
  <c r="AY153" i="2"/>
  <c r="AX152" i="2"/>
  <c r="AY152" i="2"/>
  <c r="AX151" i="2"/>
  <c r="AY151" i="2"/>
  <c r="AX150" i="2"/>
  <c r="AY150" i="2"/>
  <c r="AX149" i="2"/>
  <c r="AY149" i="2"/>
  <c r="AX148" i="2"/>
  <c r="AY148" i="2"/>
  <c r="AX147" i="2"/>
  <c r="AY147" i="2"/>
  <c r="AX146" i="2"/>
  <c r="AY146" i="2"/>
  <c r="AX145" i="2"/>
  <c r="AY145" i="2"/>
  <c r="AX144" i="2"/>
  <c r="AY144" i="2"/>
  <c r="AX143" i="2"/>
  <c r="AY143" i="2"/>
  <c r="AX142" i="2"/>
  <c r="AY142" i="2"/>
  <c r="AX141" i="2"/>
  <c r="AY141" i="2"/>
  <c r="AX140" i="2"/>
  <c r="AY140" i="2"/>
  <c r="AX139" i="2"/>
  <c r="AY139" i="2"/>
  <c r="AX138" i="2"/>
  <c r="AY138" i="2"/>
  <c r="AX137" i="2"/>
  <c r="AY137" i="2"/>
  <c r="AX136" i="2"/>
  <c r="AY136" i="2"/>
  <c r="AX135" i="2"/>
  <c r="AY135" i="2"/>
  <c r="AX134" i="2"/>
  <c r="AY134" i="2"/>
  <c r="AX133" i="2"/>
  <c r="AY133" i="2"/>
  <c r="AX132" i="2"/>
  <c r="AY132" i="2"/>
  <c r="AX131" i="2"/>
  <c r="AY131" i="2"/>
  <c r="AX130" i="2"/>
  <c r="AY130" i="2"/>
  <c r="AX129" i="2"/>
  <c r="AY129" i="2"/>
  <c r="AX128" i="2"/>
  <c r="AY128" i="2"/>
  <c r="AX127" i="2"/>
  <c r="AY127" i="2"/>
  <c r="AX126" i="2"/>
  <c r="AY126" i="2"/>
  <c r="AX125" i="2"/>
  <c r="AY125" i="2"/>
  <c r="AX124" i="2"/>
  <c r="AY124" i="2"/>
  <c r="AX123" i="2"/>
  <c r="AY123" i="2"/>
  <c r="AX122" i="2"/>
  <c r="AY122" i="2"/>
  <c r="AX121" i="2"/>
  <c r="AY121" i="2"/>
  <c r="AX120" i="2"/>
  <c r="AY120" i="2"/>
  <c r="AX119" i="2"/>
  <c r="AY119" i="2"/>
  <c r="AX118" i="2"/>
  <c r="AY118" i="2"/>
  <c r="AX117" i="2"/>
  <c r="AY117" i="2"/>
  <c r="AX116" i="2"/>
  <c r="AY116" i="2"/>
  <c r="AX115" i="2"/>
  <c r="AY115" i="2"/>
  <c r="AX114" i="2"/>
  <c r="AY114" i="2"/>
  <c r="AX113" i="2"/>
  <c r="AY113" i="2"/>
  <c r="AX112" i="2"/>
  <c r="AY112" i="2"/>
  <c r="AX111" i="2"/>
  <c r="AY111" i="2"/>
  <c r="AX110" i="2"/>
  <c r="AY110" i="2"/>
  <c r="AX109" i="2"/>
  <c r="AY109" i="2"/>
  <c r="AX107" i="2"/>
  <c r="AY107" i="2"/>
  <c r="AX106" i="2"/>
  <c r="AY106" i="2"/>
  <c r="AX105" i="2"/>
  <c r="AY105" i="2"/>
  <c r="AX103" i="2"/>
  <c r="AY103" i="2"/>
  <c r="AX102" i="2"/>
  <c r="AY102" i="2"/>
  <c r="AX100" i="2"/>
  <c r="AY100" i="2"/>
  <c r="AX99" i="2"/>
  <c r="AY99" i="2"/>
  <c r="AX97" i="2"/>
  <c r="AY97" i="2"/>
  <c r="AX96" i="2"/>
  <c r="AY96" i="2"/>
  <c r="AX94" i="2"/>
  <c r="AY94" i="2"/>
  <c r="AX93" i="2"/>
  <c r="AY93" i="2"/>
  <c r="AX91" i="2"/>
  <c r="AY91" i="2"/>
  <c r="AX90" i="2"/>
  <c r="AY90" i="2"/>
  <c r="AX89" i="2"/>
  <c r="AY89" i="2"/>
  <c r="AX88" i="2"/>
  <c r="AY88" i="2"/>
  <c r="AX87" i="2"/>
  <c r="AY87" i="2"/>
  <c r="AX81" i="2"/>
  <c r="AY81" i="2"/>
  <c r="AX80" i="2"/>
  <c r="AY80" i="2"/>
  <c r="AY79" i="2"/>
  <c r="AX79" i="2"/>
  <c r="AU277" i="2"/>
  <c r="AU276" i="2"/>
  <c r="AU275" i="2"/>
  <c r="AU274" i="2"/>
  <c r="AU273" i="2"/>
  <c r="AU272" i="2"/>
  <c r="AU271" i="2"/>
  <c r="AU270" i="2"/>
  <c r="AU269" i="2"/>
  <c r="AU268" i="2"/>
  <c r="AU266" i="2"/>
  <c r="AU263" i="2"/>
  <c r="AU260" i="2"/>
  <c r="AU257" i="2"/>
  <c r="AU254" i="2"/>
  <c r="AU251" i="2"/>
  <c r="AU248" i="2"/>
  <c r="AU245" i="2"/>
  <c r="AU243" i="2"/>
  <c r="AU242" i="2"/>
  <c r="AU241" i="2"/>
  <c r="AU240" i="2"/>
  <c r="AU239" i="2"/>
  <c r="AU238" i="2"/>
  <c r="AU237" i="2"/>
  <c r="AU236" i="2"/>
  <c r="AU235" i="2"/>
  <c r="AU234" i="2"/>
  <c r="AU233" i="2"/>
  <c r="AU223" i="2"/>
  <c r="AU220" i="2"/>
  <c r="AU218" i="2"/>
  <c r="AU215" i="2"/>
  <c r="AU206" i="2"/>
  <c r="AU200" i="2"/>
  <c r="AU198" i="2"/>
  <c r="AU197" i="2"/>
  <c r="AU194" i="2"/>
  <c r="AU193" i="2"/>
  <c r="AU189" i="2"/>
  <c r="AU185" i="2"/>
  <c r="AU181" i="2"/>
  <c r="AU178" i="2"/>
  <c r="AU174" i="2"/>
  <c r="AU173" i="2"/>
  <c r="AU170" i="2"/>
  <c r="AU169" i="2"/>
  <c r="AU168" i="2"/>
  <c r="AU167" i="2"/>
  <c r="AU166" i="2"/>
  <c r="AU165" i="2"/>
  <c r="AU164" i="2"/>
  <c r="AU163" i="2"/>
  <c r="AU162" i="2"/>
  <c r="AU161" i="2"/>
  <c r="AU160" i="2"/>
  <c r="AU159" i="2"/>
  <c r="AU158" i="2"/>
  <c r="AU157" i="2"/>
  <c r="AU156" i="2"/>
  <c r="AU155" i="2"/>
  <c r="AU154" i="2"/>
  <c r="AU153" i="2"/>
  <c r="AU152" i="2"/>
  <c r="AU151" i="2"/>
  <c r="AU150" i="2"/>
  <c r="AU149" i="2"/>
  <c r="AU148" i="2"/>
  <c r="AU147" i="2"/>
  <c r="AU146" i="2"/>
  <c r="AU145" i="2"/>
  <c r="AU144" i="2"/>
  <c r="AU143" i="2"/>
  <c r="AU142" i="2"/>
  <c r="AU141" i="2"/>
  <c r="AU140" i="2"/>
  <c r="AU139" i="2"/>
  <c r="AU138" i="2"/>
  <c r="AU137" i="2"/>
  <c r="AU136" i="2"/>
  <c r="AU135" i="2"/>
  <c r="AU134" i="2"/>
  <c r="AU133" i="2"/>
  <c r="AU132" i="2"/>
  <c r="AU131" i="2"/>
  <c r="AU130" i="2"/>
  <c r="AU129" i="2"/>
  <c r="AU128" i="2"/>
  <c r="AU127" i="2"/>
  <c r="AU126" i="2"/>
  <c r="AU125" i="2"/>
  <c r="AU124" i="2"/>
  <c r="AU123" i="2"/>
  <c r="AU122" i="2"/>
  <c r="AU121" i="2"/>
  <c r="AU120" i="2"/>
  <c r="AU119" i="2"/>
  <c r="AU118" i="2"/>
  <c r="AU117" i="2"/>
  <c r="AU116" i="2"/>
  <c r="AU115" i="2"/>
  <c r="AU114" i="2"/>
  <c r="AU113" i="2"/>
  <c r="AU112" i="2"/>
  <c r="AU111" i="2"/>
  <c r="AU110" i="2"/>
  <c r="AU109" i="2"/>
  <c r="AU107" i="2"/>
  <c r="AU106" i="2"/>
  <c r="AU105" i="2"/>
  <c r="AU103" i="2"/>
  <c r="AU102" i="2"/>
  <c r="AU100" i="2"/>
  <c r="AU99" i="2"/>
  <c r="AU97" i="2"/>
  <c r="AU96" i="2"/>
  <c r="AU94" i="2"/>
  <c r="AU93" i="2"/>
  <c r="AU91" i="2"/>
  <c r="AU90" i="2"/>
  <c r="AU89" i="2"/>
  <c r="AU88" i="2"/>
  <c r="AU87" i="2"/>
  <c r="AU81" i="2"/>
  <c r="AU80" i="2"/>
  <c r="AU79" i="2"/>
  <c r="AW79" i="2"/>
  <c r="AW80" i="2"/>
  <c r="AW81" i="2"/>
  <c r="AW87" i="2"/>
  <c r="AW88" i="2"/>
  <c r="AW89" i="2"/>
  <c r="AW90" i="2"/>
  <c r="AW91" i="2"/>
  <c r="AW93" i="2"/>
  <c r="AW94" i="2"/>
  <c r="AW96" i="2"/>
  <c r="AW97" i="2"/>
  <c r="AW99" i="2"/>
  <c r="AW100" i="2"/>
  <c r="AW102" i="2"/>
  <c r="AW103" i="2"/>
  <c r="AW105" i="2"/>
  <c r="AW106" i="2"/>
  <c r="AW107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3" i="2"/>
  <c r="AW174" i="2"/>
  <c r="AW178" i="2"/>
  <c r="AW181" i="2"/>
  <c r="AW185" i="2"/>
  <c r="AW189" i="2"/>
  <c r="AW193" i="2"/>
  <c r="AW194" i="2"/>
  <c r="AW197" i="2"/>
  <c r="AW198" i="2"/>
  <c r="AW200" i="2"/>
  <c r="AW206" i="2"/>
  <c r="AW215" i="2"/>
  <c r="AW218" i="2"/>
  <c r="AW220" i="2"/>
  <c r="AW223" i="2"/>
  <c r="AW233" i="2"/>
  <c r="AW234" i="2"/>
  <c r="AW235" i="2"/>
  <c r="AW236" i="2"/>
  <c r="AW237" i="2"/>
  <c r="AW238" i="2"/>
  <c r="AW239" i="2"/>
  <c r="AW240" i="2"/>
  <c r="AW241" i="2"/>
  <c r="AW242" i="2"/>
  <c r="AW243" i="2"/>
  <c r="AW245" i="2"/>
  <c r="AW248" i="2"/>
  <c r="AW251" i="2"/>
  <c r="AW254" i="2"/>
  <c r="AW257" i="2"/>
  <c r="AW260" i="2"/>
  <c r="AW263" i="2"/>
  <c r="AW266" i="2"/>
  <c r="AW268" i="2"/>
  <c r="AW269" i="2"/>
  <c r="AW270" i="2"/>
  <c r="AW271" i="2"/>
  <c r="AW272" i="2"/>
  <c r="AW273" i="2"/>
  <c r="AW274" i="2"/>
  <c r="AW275" i="2"/>
  <c r="AW276" i="2"/>
  <c r="AW277" i="2"/>
  <c r="AW281" i="2"/>
  <c r="BA79" i="2"/>
  <c r="AT277" i="2"/>
  <c r="AV277" i="2"/>
  <c r="AT276" i="2"/>
  <c r="AV276" i="2"/>
  <c r="AT275" i="2"/>
  <c r="AV275" i="2"/>
  <c r="AT274" i="2"/>
  <c r="AV274" i="2"/>
  <c r="AT273" i="2"/>
  <c r="AV273" i="2"/>
  <c r="AT272" i="2"/>
  <c r="AV272" i="2"/>
  <c r="AT271" i="2"/>
  <c r="AV271" i="2"/>
  <c r="AT270" i="2"/>
  <c r="AV270" i="2"/>
  <c r="AT269" i="2"/>
  <c r="AV269" i="2"/>
  <c r="AT268" i="2"/>
  <c r="AV268" i="2"/>
  <c r="AT266" i="2"/>
  <c r="AV266" i="2"/>
  <c r="AT263" i="2"/>
  <c r="AV263" i="2"/>
  <c r="AT260" i="2"/>
  <c r="AV260" i="2"/>
  <c r="AT257" i="2"/>
  <c r="AV257" i="2"/>
  <c r="AT254" i="2"/>
  <c r="AV254" i="2"/>
  <c r="AT251" i="2"/>
  <c r="AV251" i="2"/>
  <c r="AT248" i="2"/>
  <c r="AV248" i="2"/>
  <c r="AT245" i="2"/>
  <c r="AV245" i="2"/>
  <c r="AT243" i="2"/>
  <c r="AV243" i="2"/>
  <c r="AT242" i="2"/>
  <c r="AV242" i="2"/>
  <c r="AT241" i="2"/>
  <c r="AV241" i="2"/>
  <c r="AT240" i="2"/>
  <c r="AV240" i="2"/>
  <c r="AT239" i="2"/>
  <c r="AV239" i="2"/>
  <c r="AT238" i="2"/>
  <c r="AV238" i="2"/>
  <c r="AT237" i="2"/>
  <c r="AV237" i="2"/>
  <c r="AT236" i="2"/>
  <c r="AV236" i="2"/>
  <c r="AT235" i="2"/>
  <c r="AV235" i="2"/>
  <c r="AT234" i="2"/>
  <c r="AV234" i="2"/>
  <c r="AT233" i="2"/>
  <c r="AV233" i="2"/>
  <c r="AT223" i="2"/>
  <c r="AV223" i="2"/>
  <c r="AT220" i="2"/>
  <c r="AV220" i="2"/>
  <c r="AT218" i="2"/>
  <c r="AV218" i="2"/>
  <c r="AT215" i="2"/>
  <c r="AV215" i="2"/>
  <c r="AT206" i="2"/>
  <c r="AV206" i="2"/>
  <c r="AT200" i="2"/>
  <c r="AV200" i="2"/>
  <c r="AT198" i="2"/>
  <c r="AV198" i="2"/>
  <c r="AT197" i="2"/>
  <c r="AV197" i="2"/>
  <c r="AT194" i="2"/>
  <c r="AV194" i="2"/>
  <c r="AT193" i="2"/>
  <c r="AV193" i="2"/>
  <c r="AT189" i="2"/>
  <c r="AV189" i="2"/>
  <c r="AT185" i="2"/>
  <c r="AV185" i="2"/>
  <c r="AT181" i="2"/>
  <c r="AV181" i="2"/>
  <c r="AT178" i="2"/>
  <c r="AV178" i="2"/>
  <c r="AT174" i="2"/>
  <c r="AV174" i="2"/>
  <c r="AT173" i="2"/>
  <c r="AV173" i="2"/>
  <c r="AT170" i="2"/>
  <c r="AV170" i="2"/>
  <c r="AT169" i="2"/>
  <c r="AV169" i="2"/>
  <c r="AT168" i="2"/>
  <c r="AV168" i="2"/>
  <c r="AT167" i="2"/>
  <c r="AV167" i="2"/>
  <c r="AT166" i="2"/>
  <c r="AV166" i="2"/>
  <c r="AT165" i="2"/>
  <c r="AV165" i="2"/>
  <c r="AT164" i="2"/>
  <c r="AV164" i="2"/>
  <c r="AT163" i="2"/>
  <c r="AV163" i="2"/>
  <c r="AT162" i="2"/>
  <c r="AV162" i="2"/>
  <c r="AT161" i="2"/>
  <c r="AV161" i="2"/>
  <c r="AT160" i="2"/>
  <c r="AV160" i="2"/>
  <c r="AT159" i="2"/>
  <c r="AV159" i="2"/>
  <c r="AT158" i="2"/>
  <c r="AV158" i="2"/>
  <c r="AT157" i="2"/>
  <c r="AV157" i="2"/>
  <c r="AT156" i="2"/>
  <c r="AV156" i="2"/>
  <c r="AT155" i="2"/>
  <c r="AV155" i="2"/>
  <c r="AT154" i="2"/>
  <c r="AV154" i="2"/>
  <c r="AT153" i="2"/>
  <c r="AV153" i="2"/>
  <c r="AT152" i="2"/>
  <c r="AV152" i="2"/>
  <c r="AT151" i="2"/>
  <c r="AV151" i="2"/>
  <c r="AT150" i="2"/>
  <c r="AV150" i="2"/>
  <c r="AT149" i="2"/>
  <c r="AV149" i="2"/>
  <c r="AT148" i="2"/>
  <c r="AV148" i="2"/>
  <c r="AT147" i="2"/>
  <c r="AV147" i="2"/>
  <c r="AT146" i="2"/>
  <c r="AV146" i="2"/>
  <c r="AT145" i="2"/>
  <c r="AV145" i="2"/>
  <c r="AT144" i="2"/>
  <c r="AV144" i="2"/>
  <c r="AT143" i="2"/>
  <c r="AV143" i="2"/>
  <c r="AT142" i="2"/>
  <c r="AV142" i="2"/>
  <c r="AT141" i="2"/>
  <c r="AV141" i="2"/>
  <c r="AT140" i="2"/>
  <c r="AV140" i="2"/>
  <c r="AT139" i="2"/>
  <c r="AV139" i="2"/>
  <c r="AT138" i="2"/>
  <c r="AV138" i="2"/>
  <c r="AT137" i="2"/>
  <c r="AV137" i="2"/>
  <c r="AT136" i="2"/>
  <c r="AV136" i="2"/>
  <c r="AT135" i="2"/>
  <c r="AV135" i="2"/>
  <c r="AT134" i="2"/>
  <c r="AV134" i="2"/>
  <c r="AT133" i="2"/>
  <c r="AV133" i="2"/>
  <c r="AT132" i="2"/>
  <c r="AV132" i="2"/>
  <c r="AT131" i="2"/>
  <c r="AV131" i="2"/>
  <c r="AT130" i="2"/>
  <c r="AV130" i="2"/>
  <c r="AT129" i="2"/>
  <c r="AV129" i="2"/>
  <c r="AT128" i="2"/>
  <c r="AV128" i="2"/>
  <c r="AT127" i="2"/>
  <c r="AV127" i="2"/>
  <c r="AT126" i="2"/>
  <c r="AV126" i="2"/>
  <c r="AT125" i="2"/>
  <c r="AV125" i="2"/>
  <c r="AT124" i="2"/>
  <c r="AV124" i="2"/>
  <c r="AT123" i="2"/>
  <c r="AV123" i="2"/>
  <c r="AT122" i="2"/>
  <c r="AV122" i="2"/>
  <c r="AT121" i="2"/>
  <c r="AV121" i="2"/>
  <c r="AT120" i="2"/>
  <c r="AV120" i="2"/>
  <c r="AT119" i="2"/>
  <c r="AV119" i="2"/>
  <c r="AT118" i="2"/>
  <c r="AV118" i="2"/>
  <c r="AT117" i="2"/>
  <c r="AV117" i="2"/>
  <c r="AT116" i="2"/>
  <c r="AV116" i="2"/>
  <c r="AT115" i="2"/>
  <c r="AV115" i="2"/>
  <c r="AT114" i="2"/>
  <c r="AV114" i="2"/>
  <c r="AT113" i="2"/>
  <c r="AV113" i="2"/>
  <c r="AT112" i="2"/>
  <c r="AV112" i="2"/>
  <c r="AT111" i="2"/>
  <c r="AV111" i="2"/>
  <c r="AT110" i="2"/>
  <c r="AV110" i="2"/>
  <c r="AT109" i="2"/>
  <c r="AV109" i="2"/>
  <c r="AT107" i="2"/>
  <c r="AV107" i="2"/>
  <c r="AT106" i="2"/>
  <c r="AV106" i="2"/>
  <c r="AT105" i="2"/>
  <c r="AV105" i="2"/>
  <c r="AT103" i="2"/>
  <c r="AV103" i="2"/>
  <c r="AT102" i="2"/>
  <c r="AV102" i="2"/>
  <c r="AT100" i="2"/>
  <c r="AV100" i="2"/>
  <c r="AT99" i="2"/>
  <c r="AV99" i="2"/>
  <c r="AT97" i="2"/>
  <c r="AV97" i="2"/>
  <c r="AT96" i="2"/>
  <c r="AV96" i="2"/>
  <c r="AT94" i="2"/>
  <c r="AV94" i="2"/>
  <c r="AT93" i="2"/>
  <c r="AV93" i="2"/>
  <c r="AT91" i="2"/>
  <c r="AV91" i="2"/>
  <c r="AT90" i="2"/>
  <c r="AV90" i="2"/>
  <c r="AT89" i="2"/>
  <c r="AV89" i="2"/>
  <c r="AT88" i="2"/>
  <c r="AV88" i="2"/>
  <c r="AT87" i="2"/>
  <c r="AV87" i="2"/>
  <c r="AT81" i="2"/>
  <c r="AV81" i="2"/>
  <c r="AT80" i="2"/>
  <c r="AV80" i="2"/>
  <c r="AV79" i="2"/>
  <c r="AT79" i="2"/>
  <c r="BB7" i="12"/>
  <c r="BB6" i="12"/>
  <c r="AW7" i="12"/>
  <c r="AW6" i="12"/>
  <c r="BB5" i="12"/>
  <c r="BB4" i="12"/>
  <c r="AW5" i="12"/>
  <c r="AW4" i="12"/>
  <c r="BB3" i="12"/>
  <c r="BB2" i="12"/>
  <c r="AW3" i="12"/>
  <c r="AW2" i="12"/>
  <c r="AX11" i="9"/>
  <c r="AU11" i="9"/>
  <c r="AB2" i="24"/>
  <c r="AC2" i="24"/>
  <c r="AU2" i="24"/>
  <c r="BA2" i="24"/>
  <c r="AB3" i="24"/>
  <c r="AC3" i="24"/>
  <c r="AU3" i="24"/>
  <c r="BA3" i="24"/>
  <c r="AB4" i="24"/>
  <c r="AC4" i="24"/>
  <c r="AU4" i="24"/>
  <c r="BA4" i="24"/>
  <c r="AB5" i="24"/>
  <c r="AC5" i="24"/>
  <c r="AU5" i="24"/>
  <c r="BA5" i="24"/>
  <c r="AB6" i="24"/>
  <c r="AC6" i="24"/>
  <c r="AU6" i="24"/>
  <c r="BA6" i="24"/>
  <c r="AB7" i="24"/>
  <c r="AC7" i="24"/>
  <c r="AU7" i="24"/>
  <c r="BA7" i="24"/>
  <c r="AB8" i="24"/>
  <c r="AC8" i="24"/>
  <c r="AU8" i="24"/>
  <c r="BA8" i="24"/>
  <c r="AB9" i="24"/>
  <c r="AC9" i="24"/>
  <c r="AU9" i="24"/>
  <c r="BA9" i="24"/>
  <c r="AB10" i="24"/>
  <c r="AC10" i="24"/>
  <c r="AU10" i="24"/>
  <c r="BA10" i="24"/>
  <c r="AB11" i="24"/>
  <c r="AC11" i="24"/>
  <c r="AU11" i="24"/>
  <c r="BA11" i="24"/>
  <c r="AB12" i="24"/>
  <c r="AC12" i="24"/>
  <c r="AU12" i="24"/>
  <c r="BA12" i="24"/>
  <c r="AB13" i="24"/>
  <c r="AC13" i="24"/>
  <c r="AU13" i="24"/>
  <c r="BA13" i="24"/>
  <c r="AB14" i="24"/>
  <c r="AC14" i="24"/>
  <c r="AU14" i="24"/>
  <c r="BA14" i="24"/>
  <c r="AB15" i="24"/>
  <c r="AC15" i="24"/>
  <c r="AU15" i="24"/>
  <c r="BA15" i="24"/>
  <c r="AB16" i="24"/>
  <c r="AC16" i="24"/>
  <c r="AU16" i="24"/>
  <c r="BA16" i="24"/>
  <c r="AB17" i="24"/>
  <c r="AC17" i="24"/>
  <c r="AU17" i="24"/>
  <c r="BA17" i="24"/>
  <c r="AB18" i="24"/>
  <c r="AC18" i="24"/>
  <c r="AU18" i="24"/>
  <c r="BA18" i="24"/>
  <c r="AB19" i="24"/>
  <c r="AC19" i="24"/>
  <c r="AU19" i="24"/>
  <c r="BA19" i="24"/>
  <c r="AB20" i="24"/>
  <c r="AC20" i="24"/>
  <c r="AU20" i="24"/>
  <c r="BA20" i="24"/>
  <c r="AB21" i="24"/>
  <c r="AC21" i="24"/>
  <c r="AU21" i="24"/>
  <c r="BA21" i="24"/>
  <c r="AB22" i="24"/>
  <c r="AC22" i="24"/>
  <c r="AU22" i="24"/>
  <c r="BA22" i="24"/>
  <c r="AB23" i="24"/>
  <c r="AC23" i="24"/>
  <c r="AU23" i="24"/>
  <c r="BA23" i="24"/>
  <c r="AB24" i="24"/>
  <c r="AC24" i="24"/>
  <c r="AU24" i="24"/>
  <c r="BA24" i="24"/>
  <c r="AB25" i="24"/>
  <c r="AC25" i="24"/>
  <c r="AU25" i="24"/>
  <c r="BA25" i="24"/>
  <c r="AB26" i="24"/>
  <c r="AC26" i="24"/>
  <c r="AU26" i="24"/>
  <c r="BA26" i="24"/>
  <c r="AB27" i="24"/>
  <c r="AC27" i="24"/>
  <c r="AU27" i="24"/>
  <c r="BA27" i="24"/>
  <c r="AB28" i="24"/>
  <c r="AC28" i="24"/>
  <c r="AU28" i="24"/>
  <c r="BA28" i="24"/>
  <c r="AB29" i="24"/>
  <c r="AC29" i="24"/>
  <c r="AU29" i="24"/>
  <c r="BA29" i="24"/>
  <c r="AB30" i="24"/>
  <c r="AC30" i="24"/>
  <c r="AU30" i="24"/>
  <c r="BA30" i="24"/>
  <c r="AB31" i="24"/>
  <c r="AC31" i="24"/>
  <c r="AU31" i="24"/>
  <c r="BA31" i="24"/>
  <c r="AB32" i="24"/>
  <c r="AC32" i="24"/>
  <c r="AU32" i="24"/>
  <c r="BA32" i="24"/>
  <c r="AB33" i="24"/>
  <c r="AC33" i="24"/>
  <c r="AU33" i="24"/>
  <c r="BA33" i="24"/>
  <c r="AB34" i="24"/>
  <c r="AC34" i="24"/>
  <c r="AU34" i="24"/>
  <c r="BA34" i="24"/>
  <c r="AB35" i="24"/>
  <c r="AC35" i="24"/>
  <c r="AU35" i="24"/>
  <c r="BA35" i="24"/>
  <c r="AB36" i="24"/>
  <c r="AC36" i="24"/>
  <c r="AU36" i="24"/>
  <c r="BA36" i="24"/>
  <c r="AB37" i="24"/>
  <c r="AC37" i="24"/>
  <c r="AU37" i="24"/>
  <c r="BA37" i="24"/>
  <c r="AB38" i="24"/>
  <c r="AC38" i="24"/>
  <c r="AU38" i="24"/>
  <c r="BA38" i="24"/>
  <c r="AB39" i="24"/>
  <c r="AC39" i="24"/>
  <c r="AU39" i="24"/>
  <c r="BA39" i="24"/>
  <c r="AB40" i="24"/>
  <c r="AC40" i="24"/>
  <c r="AU40" i="24"/>
  <c r="BA40" i="24"/>
  <c r="AB41" i="24"/>
  <c r="AC41" i="24"/>
  <c r="AU41" i="24"/>
  <c r="BA41" i="24"/>
  <c r="AU42" i="24"/>
  <c r="BA42" i="24"/>
  <c r="AU43" i="24"/>
  <c r="BA43" i="24"/>
  <c r="AU44" i="24"/>
  <c r="BA44" i="24"/>
  <c r="AU45" i="24"/>
  <c r="BA45" i="24"/>
  <c r="AU46" i="24"/>
  <c r="BA46" i="24"/>
  <c r="AU47" i="24"/>
  <c r="BA47" i="24"/>
  <c r="AU48" i="24"/>
  <c r="BA48" i="24"/>
  <c r="AU49" i="24"/>
  <c r="BA49" i="24"/>
  <c r="AU50" i="24"/>
  <c r="BA50" i="24"/>
  <c r="AU51" i="24"/>
  <c r="BA51" i="24"/>
  <c r="AU52" i="24"/>
  <c r="BA52" i="24"/>
  <c r="AU53" i="24"/>
  <c r="BA53" i="24"/>
  <c r="AU54" i="24"/>
  <c r="BA54" i="24"/>
  <c r="AU55" i="24"/>
  <c r="BA55" i="24"/>
  <c r="AU56" i="24"/>
  <c r="BA56" i="24"/>
  <c r="AU57" i="24"/>
  <c r="BA57" i="24"/>
  <c r="AU58" i="24"/>
  <c r="BA58" i="24"/>
  <c r="AU59" i="24"/>
  <c r="BA59" i="24"/>
  <c r="AU60" i="24"/>
  <c r="BA60" i="24"/>
  <c r="AU61" i="24"/>
  <c r="BA61" i="24"/>
  <c r="AU62" i="24"/>
  <c r="BA62" i="24"/>
  <c r="AU63" i="24"/>
  <c r="BA63" i="24"/>
  <c r="AU64" i="24"/>
  <c r="BA64" i="24"/>
  <c r="AU65" i="24"/>
  <c r="BA65" i="24"/>
  <c r="AU66" i="24"/>
  <c r="BA66" i="24"/>
  <c r="AU67" i="24"/>
  <c r="BA67" i="24"/>
  <c r="AU68" i="24"/>
  <c r="BA68" i="24"/>
  <c r="AU69" i="24"/>
  <c r="BA69" i="24"/>
  <c r="AU70" i="24"/>
  <c r="BA70" i="24"/>
  <c r="AU71" i="24"/>
  <c r="BA71" i="24"/>
  <c r="AU72" i="24"/>
  <c r="BA72" i="24"/>
  <c r="AU73" i="24"/>
  <c r="BA73" i="24"/>
  <c r="AU74" i="24"/>
  <c r="BA74" i="24"/>
  <c r="AU75" i="24"/>
  <c r="BA75" i="24"/>
  <c r="AU76" i="24"/>
  <c r="BA76" i="24"/>
  <c r="AU77" i="24"/>
  <c r="BA77" i="24"/>
  <c r="AU78" i="24"/>
  <c r="BA78" i="24"/>
  <c r="AU79" i="24"/>
  <c r="BA79" i="24"/>
  <c r="AU80" i="24"/>
  <c r="BA80" i="24"/>
  <c r="AU81" i="24"/>
  <c r="BA81" i="24"/>
  <c r="AU82" i="24"/>
  <c r="BA82" i="24"/>
  <c r="AU83" i="24"/>
  <c r="BA83" i="24"/>
  <c r="AU84" i="24"/>
  <c r="BA84" i="24"/>
  <c r="AU85" i="24"/>
  <c r="BA85" i="24"/>
  <c r="AU86" i="24"/>
  <c r="BA86" i="24"/>
  <c r="AU87" i="24"/>
  <c r="BA87" i="24"/>
  <c r="AU88" i="24"/>
  <c r="BA88" i="24"/>
  <c r="AU89" i="24"/>
  <c r="BA89" i="24"/>
  <c r="AU90" i="24"/>
  <c r="BA90" i="24"/>
  <c r="AU91" i="24"/>
  <c r="BA91" i="24"/>
  <c r="AU92" i="24"/>
  <c r="BA92" i="24"/>
  <c r="AU93" i="24"/>
  <c r="BA93" i="24"/>
  <c r="AU94" i="24"/>
  <c r="BA94" i="24"/>
  <c r="AU95" i="24"/>
  <c r="BA95" i="24"/>
  <c r="AU96" i="24"/>
  <c r="BA96" i="24"/>
  <c r="AU97" i="24"/>
  <c r="BA97" i="24"/>
  <c r="AU98" i="24"/>
  <c r="BA98" i="24"/>
  <c r="AU99" i="24"/>
  <c r="BA99" i="24"/>
  <c r="AU100" i="24"/>
  <c r="BA100" i="24"/>
  <c r="AU101" i="24"/>
  <c r="BA101" i="24"/>
  <c r="AU102" i="24"/>
  <c r="BA102" i="24"/>
  <c r="AU103" i="24"/>
  <c r="BA103" i="24"/>
  <c r="AU104" i="24"/>
  <c r="BA104" i="24"/>
  <c r="AU105" i="24"/>
  <c r="BA105" i="24"/>
  <c r="AU106" i="24"/>
  <c r="BA106" i="24"/>
  <c r="AU107" i="24"/>
  <c r="BA107" i="24"/>
  <c r="AU108" i="24"/>
  <c r="BA108" i="24"/>
  <c r="AU109" i="24"/>
  <c r="BA109" i="24"/>
  <c r="AU110" i="24"/>
  <c r="BA110" i="24"/>
  <c r="AU111" i="24"/>
  <c r="BA111" i="24"/>
  <c r="AU112" i="24"/>
  <c r="BA112" i="24"/>
  <c r="AV113" i="24"/>
  <c r="AU113" i="24"/>
  <c r="BD113" i="24"/>
  <c r="BA113" i="24"/>
  <c r="AU114" i="24"/>
  <c r="BA114" i="24"/>
  <c r="AU115" i="24"/>
  <c r="BA115" i="24"/>
  <c r="AU116" i="24"/>
  <c r="BA116" i="24"/>
  <c r="AU117" i="24"/>
  <c r="BA117" i="24"/>
  <c r="AU118" i="24"/>
  <c r="BA118" i="24"/>
  <c r="AU119" i="24"/>
  <c r="BA119" i="24"/>
  <c r="AU120" i="24"/>
  <c r="BA120" i="24"/>
  <c r="AU121" i="24"/>
  <c r="BA121" i="24"/>
  <c r="AU122" i="24"/>
  <c r="BA122" i="24"/>
  <c r="AU123" i="24"/>
  <c r="BA123" i="24"/>
  <c r="AU124" i="24"/>
  <c r="BA124" i="24"/>
  <c r="AU125" i="24"/>
  <c r="BA125" i="24"/>
  <c r="AU126" i="24"/>
  <c r="BA126" i="24"/>
  <c r="AU127" i="24"/>
  <c r="BA127" i="24"/>
  <c r="AU128" i="24"/>
  <c r="BA128" i="24"/>
  <c r="AU129" i="24"/>
  <c r="BA129" i="24"/>
  <c r="AU130" i="24"/>
  <c r="BA130" i="24"/>
  <c r="AU131" i="24"/>
  <c r="BA131" i="24"/>
  <c r="AU132" i="24"/>
  <c r="BA132" i="24"/>
  <c r="AU133" i="24"/>
  <c r="BA133" i="24"/>
  <c r="AU134" i="24"/>
  <c r="BA134" i="24"/>
  <c r="AU135" i="24"/>
  <c r="BA135" i="24"/>
  <c r="AU136" i="24"/>
  <c r="BA136" i="24"/>
  <c r="AU137" i="24"/>
  <c r="BA137" i="24"/>
  <c r="AU138" i="24"/>
  <c r="BA138" i="24"/>
  <c r="AU139" i="24"/>
  <c r="BA139" i="24"/>
  <c r="AU140" i="24"/>
  <c r="BA140" i="24"/>
  <c r="AF7" i="5"/>
  <c r="AE7" i="5"/>
  <c r="AF6" i="5"/>
  <c r="AE6" i="5"/>
  <c r="AF5" i="5"/>
  <c r="AE5" i="5"/>
  <c r="AF4" i="5"/>
  <c r="AE4" i="5"/>
  <c r="AE17" i="5"/>
  <c r="BC17" i="5"/>
  <c r="BD17" i="5"/>
  <c r="AE16" i="5"/>
  <c r="BC16" i="5"/>
  <c r="BD16" i="5"/>
  <c r="AE15" i="5"/>
  <c r="BC15" i="5"/>
  <c r="BD15" i="5"/>
  <c r="AE14" i="5"/>
  <c r="BC14" i="5"/>
  <c r="BD14" i="5"/>
  <c r="AF17" i="5"/>
  <c r="AF16" i="5"/>
  <c r="AF15" i="5"/>
  <c r="AF14" i="5"/>
  <c r="AE8" i="5"/>
  <c r="BC8" i="5"/>
  <c r="BD8" i="5"/>
  <c r="AE9" i="5"/>
  <c r="BC9" i="5"/>
  <c r="BD9" i="5"/>
  <c r="AE10" i="5"/>
  <c r="BC10" i="5"/>
  <c r="BD10" i="5"/>
  <c r="AE11" i="5"/>
  <c r="BC11" i="5"/>
  <c r="BD11" i="5"/>
  <c r="AE12" i="5"/>
  <c r="BC12" i="5"/>
  <c r="BD12" i="5"/>
  <c r="AE13" i="5"/>
  <c r="BC13" i="5"/>
  <c r="BD13" i="5"/>
  <c r="AF13" i="5"/>
  <c r="AF12" i="5"/>
  <c r="AF11" i="5"/>
  <c r="AF10" i="5"/>
  <c r="AF9" i="5"/>
  <c r="AF8" i="5"/>
  <c r="R28" i="5"/>
  <c r="AZ2" i="5"/>
  <c r="AW2" i="5"/>
  <c r="AN74" i="2"/>
  <c r="AN75" i="2"/>
  <c r="AN76" i="2"/>
  <c r="AH110" i="2"/>
  <c r="AN277" i="2"/>
  <c r="AN276" i="2"/>
  <c r="AN275" i="2"/>
  <c r="AN274" i="2"/>
  <c r="AN273" i="2"/>
  <c r="AN272" i="2"/>
  <c r="AN271" i="2"/>
  <c r="AN270" i="2"/>
  <c r="AN269" i="2"/>
  <c r="AN268" i="2"/>
  <c r="AH277" i="2"/>
  <c r="AH276" i="2"/>
  <c r="AH275" i="2"/>
  <c r="AH274" i="2"/>
  <c r="AH273" i="2"/>
  <c r="AH272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N267" i="2"/>
  <c r="AN266" i="2"/>
  <c r="AN265" i="2"/>
  <c r="AN264" i="2"/>
  <c r="AN263" i="2"/>
  <c r="AN262" i="2"/>
  <c r="AN261" i="2"/>
  <c r="AN260" i="2"/>
  <c r="AN259" i="2"/>
  <c r="AN258" i="2"/>
  <c r="AN257" i="2"/>
  <c r="AN256" i="2"/>
  <c r="AN255" i="2"/>
  <c r="AN254" i="2"/>
  <c r="AN253" i="2"/>
  <c r="AN252" i="2"/>
  <c r="AN251" i="2"/>
  <c r="AN250" i="2"/>
  <c r="AN249" i="2"/>
  <c r="AN248" i="2"/>
  <c r="AN247" i="2"/>
  <c r="AN246" i="2"/>
  <c r="AN245" i="2"/>
  <c r="AN244" i="2"/>
  <c r="AN243" i="2"/>
  <c r="AH243" i="2"/>
  <c r="AH242" i="2"/>
  <c r="AH241" i="2"/>
  <c r="AN242" i="2"/>
  <c r="AN241" i="2"/>
  <c r="AH240" i="2"/>
  <c r="AH239" i="2"/>
  <c r="AH238" i="2"/>
  <c r="AH237" i="2"/>
  <c r="AH236" i="2"/>
  <c r="AH235" i="2"/>
  <c r="AH234" i="2"/>
  <c r="AH233" i="2"/>
  <c r="AN240" i="2"/>
  <c r="AN239" i="2"/>
  <c r="AN238" i="2"/>
  <c r="AN237" i="2"/>
  <c r="AN236" i="2"/>
  <c r="AN235" i="2"/>
  <c r="AN234" i="2"/>
  <c r="AN233" i="2"/>
  <c r="AH232" i="2"/>
  <c r="AH231" i="2"/>
  <c r="AH230" i="2"/>
  <c r="AH229" i="2"/>
  <c r="AH228" i="2"/>
  <c r="AH227" i="2"/>
  <c r="AH226" i="2"/>
  <c r="AH225" i="2"/>
  <c r="AN232" i="2"/>
  <c r="AN231" i="2"/>
  <c r="AN230" i="2"/>
  <c r="AN229" i="2"/>
  <c r="AN228" i="2"/>
  <c r="AN227" i="2"/>
  <c r="AN226" i="2"/>
  <c r="AN225" i="2"/>
  <c r="AN224" i="2"/>
  <c r="AN223" i="2"/>
  <c r="AN222" i="2"/>
  <c r="AN221" i="2"/>
  <c r="AN220" i="2"/>
  <c r="AH224" i="2"/>
  <c r="AH223" i="2"/>
  <c r="AH222" i="2"/>
  <c r="AH221" i="2"/>
  <c r="AH220" i="2"/>
  <c r="AN214" i="2"/>
  <c r="AN213" i="2"/>
  <c r="AN212" i="2"/>
  <c r="AH214" i="2"/>
  <c r="AH213" i="2"/>
  <c r="AH212" i="2"/>
  <c r="AH219" i="2"/>
  <c r="AH218" i="2"/>
  <c r="AH217" i="2"/>
  <c r="AH216" i="2"/>
  <c r="AH215" i="2"/>
  <c r="AH211" i="2"/>
  <c r="AH210" i="2"/>
  <c r="AH209" i="2"/>
  <c r="AN219" i="2"/>
  <c r="AN218" i="2"/>
  <c r="AN217" i="2"/>
  <c r="AN216" i="2"/>
  <c r="AN215" i="2"/>
  <c r="AN211" i="2"/>
  <c r="AN210" i="2"/>
  <c r="AN209" i="2"/>
  <c r="AN189" i="2"/>
  <c r="AN190" i="2"/>
  <c r="AN191" i="2"/>
  <c r="AN192" i="2"/>
  <c r="AN193" i="2"/>
  <c r="AN194" i="2"/>
  <c r="AN195" i="2"/>
  <c r="AN196" i="2"/>
  <c r="AN197" i="2"/>
  <c r="AN208" i="2"/>
  <c r="AN207" i="2"/>
  <c r="AN206" i="2"/>
  <c r="AN205" i="2"/>
  <c r="AN204" i="2"/>
  <c r="AN203" i="2"/>
  <c r="AN202" i="2"/>
  <c r="AN201" i="2"/>
  <c r="AN200" i="2"/>
  <c r="AN199" i="2"/>
  <c r="AN198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75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N172" i="2"/>
  <c r="AN173" i="2"/>
  <c r="AN174" i="2"/>
  <c r="AN171" i="2"/>
  <c r="AH172" i="2"/>
  <c r="AH173" i="2"/>
  <c r="AH174" i="2"/>
  <c r="AH171" i="2"/>
  <c r="AN166" i="2"/>
  <c r="AN167" i="2"/>
  <c r="AN168" i="2"/>
  <c r="AN169" i="2"/>
  <c r="AN170" i="2"/>
  <c r="AN165" i="2"/>
  <c r="AH166" i="2"/>
  <c r="AH167" i="2"/>
  <c r="AH168" i="2"/>
  <c r="AH169" i="2"/>
  <c r="AH170" i="2"/>
  <c r="AH165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20" i="2"/>
  <c r="AN116" i="2"/>
  <c r="AN117" i="2"/>
  <c r="AN118" i="2"/>
  <c r="AN119" i="2"/>
  <c r="AN115" i="2"/>
  <c r="AH116" i="2"/>
  <c r="AH117" i="2"/>
  <c r="AH118" i="2"/>
  <c r="AH119" i="2"/>
  <c r="AH115" i="2"/>
  <c r="AN110" i="2"/>
  <c r="AN111" i="2"/>
  <c r="AN112" i="2"/>
  <c r="AN113" i="2"/>
  <c r="AN114" i="2"/>
  <c r="AH111" i="2"/>
  <c r="AH112" i="2"/>
  <c r="AH113" i="2"/>
  <c r="AH114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90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74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38" i="2"/>
  <c r="AN37" i="2"/>
  <c r="AN34" i="2"/>
  <c r="AN35" i="2"/>
  <c r="AN36" i="2"/>
  <c r="AN28" i="2"/>
  <c r="AN29" i="2"/>
  <c r="AN30" i="2"/>
  <c r="AN31" i="2"/>
  <c r="AN32" i="2"/>
  <c r="AN33" i="2"/>
  <c r="AN25" i="2"/>
  <c r="AN26" i="2"/>
  <c r="AN27" i="2"/>
  <c r="AN22" i="2"/>
  <c r="AN23" i="2"/>
  <c r="AN24" i="2"/>
  <c r="AN19" i="2"/>
  <c r="AN20" i="2"/>
  <c r="AN21" i="2"/>
  <c r="AN18" i="2"/>
  <c r="AN16" i="2"/>
  <c r="AN17" i="2"/>
  <c r="AN11" i="2"/>
  <c r="AN14" i="2"/>
  <c r="AN15" i="2"/>
  <c r="AN9" i="2"/>
  <c r="AN10" i="2"/>
  <c r="AN5" i="2"/>
  <c r="AN6" i="2"/>
  <c r="AN7" i="2"/>
  <c r="AN8" i="2"/>
  <c r="AN3" i="2"/>
  <c r="AN4" i="2"/>
  <c r="AN2" i="2"/>
  <c r="AH32" i="2"/>
  <c r="AH33" i="2"/>
  <c r="AH34" i="2"/>
  <c r="AH35" i="2"/>
  <c r="AH36" i="2"/>
  <c r="AH37" i="2"/>
  <c r="AH25" i="2"/>
  <c r="AH26" i="2"/>
  <c r="AH27" i="2"/>
  <c r="AH28" i="2"/>
  <c r="AH29" i="2"/>
  <c r="AH30" i="2"/>
  <c r="AH31" i="2"/>
  <c r="AH3" i="2"/>
  <c r="AH4" i="2"/>
  <c r="AH5" i="2"/>
  <c r="AH6" i="2"/>
  <c r="AH7" i="2"/>
  <c r="AH8" i="2"/>
  <c r="AH9" i="2"/>
  <c r="AH10" i="2"/>
  <c r="AH11" i="2"/>
  <c r="AH14" i="2"/>
  <c r="AH15" i="2"/>
  <c r="AH16" i="2"/>
  <c r="AH17" i="2"/>
  <c r="AH18" i="2"/>
  <c r="AH19" i="2"/>
  <c r="AH20" i="2"/>
  <c r="AH21" i="2"/>
  <c r="AH22" i="2"/>
  <c r="AH23" i="2"/>
  <c r="AH24" i="2"/>
  <c r="AH2" i="2"/>
  <c r="AX58" i="10"/>
  <c r="AY58" i="10"/>
  <c r="AX57" i="10"/>
  <c r="AY57" i="10"/>
  <c r="AY54" i="10"/>
  <c r="AY53" i="10"/>
  <c r="AU58" i="10"/>
  <c r="AV58" i="10"/>
  <c r="AU57" i="10"/>
  <c r="AV57" i="10"/>
  <c r="AV54" i="10"/>
  <c r="AV53" i="10"/>
  <c r="AD17" i="10"/>
  <c r="AC17" i="10"/>
  <c r="AD16" i="10"/>
  <c r="AC16" i="10"/>
  <c r="AD15" i="10"/>
  <c r="AC15" i="10"/>
  <c r="AD14" i="10"/>
  <c r="AC14" i="10"/>
  <c r="AD13" i="10"/>
  <c r="AC13" i="10"/>
  <c r="AD12" i="10"/>
  <c r="AC12" i="10"/>
  <c r="AD11" i="10"/>
  <c r="AC11" i="10"/>
  <c r="AD10" i="10"/>
  <c r="AC10" i="10"/>
  <c r="AD9" i="10"/>
  <c r="AC9" i="10"/>
  <c r="AD8" i="10"/>
  <c r="AC8" i="10"/>
  <c r="AD7" i="10"/>
  <c r="AC7" i="10"/>
  <c r="AD6" i="10"/>
  <c r="AC6" i="10"/>
  <c r="AD5" i="10"/>
  <c r="AC5" i="10"/>
  <c r="AD4" i="10"/>
  <c r="AC4" i="10"/>
  <c r="AT22" i="10"/>
  <c r="AW22" i="10"/>
  <c r="AT23" i="10"/>
  <c r="AW23" i="10"/>
  <c r="AT24" i="10"/>
  <c r="AW24" i="10"/>
  <c r="AT25" i="10"/>
  <c r="AW25" i="10"/>
  <c r="AT26" i="10"/>
  <c r="AW26" i="10"/>
  <c r="AT27" i="10"/>
  <c r="AW27" i="10"/>
  <c r="AT28" i="10"/>
  <c r="AW28" i="10"/>
  <c r="AT29" i="10"/>
  <c r="AW29" i="10"/>
  <c r="AT30" i="10"/>
  <c r="AW30" i="10"/>
  <c r="AT31" i="10"/>
  <c r="AW31" i="10"/>
  <c r="AT32" i="10"/>
  <c r="AW32" i="10"/>
  <c r="AT33" i="10"/>
  <c r="AW33" i="10"/>
  <c r="AT34" i="10"/>
  <c r="AW34" i="10"/>
  <c r="AT35" i="10"/>
  <c r="AW35" i="10"/>
  <c r="AT36" i="10"/>
  <c r="AW36" i="10"/>
  <c r="AT37" i="10"/>
  <c r="AW37" i="10"/>
  <c r="AT38" i="10"/>
  <c r="AW38" i="10"/>
  <c r="AT39" i="10"/>
  <c r="AW39" i="10"/>
  <c r="AT40" i="10"/>
  <c r="AW40" i="10"/>
  <c r="AT41" i="10"/>
  <c r="AW41" i="10"/>
  <c r="AT42" i="10"/>
  <c r="AW42" i="10"/>
  <c r="AT43" i="10"/>
  <c r="AW43" i="10"/>
  <c r="AT57" i="10"/>
  <c r="AW57" i="10"/>
  <c r="AT58" i="10"/>
  <c r="AW58" i="10"/>
  <c r="AU22" i="10"/>
  <c r="AX22" i="10"/>
  <c r="AU23" i="10"/>
  <c r="AX23" i="10"/>
  <c r="AC24" i="10"/>
  <c r="AD24" i="10"/>
  <c r="AC25" i="10"/>
  <c r="AD25" i="10"/>
  <c r="AC26" i="10"/>
  <c r="AD26" i="10"/>
  <c r="AC27" i="10"/>
  <c r="AD27" i="10"/>
  <c r="AC28" i="10"/>
  <c r="AD28" i="10"/>
  <c r="AC29" i="10"/>
  <c r="AD29" i="10"/>
  <c r="AC30" i="10"/>
  <c r="AD30" i="10"/>
  <c r="AC31" i="10"/>
  <c r="AD31" i="10"/>
  <c r="AC36" i="10"/>
  <c r="AD36" i="10"/>
  <c r="AC37" i="10"/>
  <c r="AD37" i="10"/>
  <c r="AC38" i="10"/>
  <c r="AD38" i="10"/>
  <c r="AC39" i="10"/>
  <c r="AD39" i="10"/>
  <c r="AC40" i="10"/>
  <c r="AD40" i="10"/>
  <c r="AC41" i="10"/>
  <c r="AD41" i="10"/>
  <c r="AC42" i="10"/>
  <c r="AD42" i="10"/>
  <c r="AC43" i="10"/>
  <c r="AD43" i="10"/>
  <c r="BB7" i="13"/>
  <c r="AW7" i="13"/>
  <c r="BB6" i="13"/>
  <c r="AW6" i="13"/>
  <c r="BB5" i="13"/>
  <c r="BB4" i="13"/>
  <c r="AW5" i="13"/>
  <c r="AW4" i="13"/>
  <c r="BB3" i="13"/>
  <c r="BB2" i="13"/>
  <c r="AW3" i="13"/>
  <c r="AW2" i="13"/>
  <c r="BB7" i="15"/>
  <c r="BB6" i="15"/>
  <c r="AW7" i="15"/>
  <c r="AW6" i="15"/>
  <c r="BB4" i="15"/>
  <c r="BB5" i="15"/>
  <c r="AW4" i="15"/>
  <c r="AW5" i="15"/>
  <c r="BB3" i="15"/>
  <c r="BB2" i="15"/>
  <c r="AW3" i="15"/>
  <c r="AW2" i="15"/>
  <c r="BB7" i="14"/>
  <c r="BB6" i="14"/>
  <c r="AW7" i="14"/>
  <c r="AW6" i="14"/>
  <c r="BB5" i="14"/>
  <c r="BB4" i="14"/>
  <c r="AW5" i="14"/>
  <c r="AW4" i="14"/>
  <c r="BB3" i="14"/>
  <c r="BB2" i="14"/>
  <c r="AW3" i="14"/>
  <c r="AW2" i="14"/>
  <c r="AX3" i="8"/>
  <c r="AX2" i="8"/>
  <c r="AU3" i="8"/>
  <c r="AU2" i="8"/>
  <c r="AW3" i="8"/>
  <c r="AW2" i="8"/>
  <c r="AT3" i="8"/>
  <c r="AT2" i="8"/>
  <c r="AW23" i="8"/>
  <c r="AW22" i="8"/>
  <c r="AD23" i="8"/>
  <c r="AC23" i="8"/>
  <c r="AD22" i="8"/>
  <c r="AC22" i="8"/>
  <c r="AT23" i="8"/>
  <c r="AT22" i="8"/>
  <c r="AW21" i="8"/>
  <c r="AW20" i="8"/>
  <c r="AT21" i="8"/>
  <c r="AT20" i="8"/>
  <c r="AW19" i="8"/>
  <c r="AW18" i="8"/>
  <c r="AT19" i="8"/>
  <c r="AT18" i="8"/>
  <c r="AD21" i="8"/>
  <c r="AC21" i="8"/>
  <c r="AD20" i="8"/>
  <c r="AC20" i="8"/>
  <c r="AD19" i="8"/>
  <c r="AC19" i="8"/>
  <c r="AD18" i="8"/>
  <c r="AC18" i="8"/>
  <c r="AW11" i="8"/>
  <c r="AW10" i="8"/>
  <c r="AW9" i="8"/>
  <c r="AW8" i="8"/>
  <c r="AW7" i="8"/>
  <c r="AW6" i="8"/>
  <c r="AW5" i="8"/>
  <c r="AW4" i="8"/>
  <c r="AT11" i="8"/>
  <c r="AT10" i="8"/>
  <c r="AT9" i="8"/>
  <c r="AT8" i="8"/>
  <c r="AT7" i="8"/>
  <c r="AT6" i="8"/>
  <c r="AT5" i="8"/>
  <c r="AT4" i="8"/>
  <c r="AC4" i="8"/>
  <c r="AD4" i="8"/>
  <c r="AC5" i="8"/>
  <c r="AD5" i="8"/>
  <c r="AC6" i="8"/>
  <c r="AD6" i="8"/>
  <c r="AC7" i="8"/>
  <c r="AD7" i="8"/>
  <c r="AC8" i="8"/>
  <c r="AD8" i="8"/>
  <c r="AC9" i="8"/>
  <c r="AD9" i="8"/>
  <c r="AC10" i="8"/>
  <c r="AD10" i="8"/>
  <c r="AC11" i="8"/>
  <c r="AD11" i="8"/>
  <c r="AT12" i="8"/>
  <c r="AW12" i="8"/>
  <c r="AT13" i="8"/>
  <c r="AW13" i="8"/>
  <c r="AT14" i="8"/>
  <c r="AW14" i="8"/>
  <c r="AT15" i="8"/>
  <c r="AW15" i="8"/>
  <c r="AC16" i="8"/>
  <c r="AD16" i="8"/>
  <c r="AT16" i="8"/>
  <c r="AW16" i="8"/>
  <c r="AC17" i="8"/>
  <c r="AD17" i="8"/>
  <c r="AT17" i="8"/>
  <c r="AW17" i="8"/>
</calcChain>
</file>

<file path=xl/sharedStrings.xml><?xml version="1.0" encoding="utf-8"?>
<sst xmlns="http://schemas.openxmlformats.org/spreadsheetml/2006/main" count="21290" uniqueCount="1041">
  <si>
    <t xml:space="preserve">Cry1Fa2 + pat </t>
    <phoneticPr fontId="1" type="noConversion"/>
  </si>
  <si>
    <t xml:space="preserve">Lepidopteran insect resistance + Glufosinate herbicide tolerance </t>
    <phoneticPr fontId="1" type="noConversion"/>
  </si>
  <si>
    <t>SE non GMO</t>
    <phoneticPr fontId="1" type="noConversion"/>
  </si>
  <si>
    <t>&gt; 0.05</t>
    <phoneticPr fontId="1" type="noConversion"/>
  </si>
  <si>
    <t>8 locations: Jackson county, Arkansas; Greene and Jefferson counties, Iowa; Clinton and Stark counties, Illinois; Boone county, Indiana; Pawnee county, Kansas; and York county, Nebraska</t>
    <phoneticPr fontId="1" type="noConversion"/>
  </si>
  <si>
    <t>Pactol CB Bt, Valmont Bt, Novelis Bt, Tran</t>
    <phoneticPr fontId="1" type="noConversion"/>
  </si>
  <si>
    <t>Mindanao, Philippines: South Cotabato (1 location), Sultan Kuradat (3 locations), and North Cotabato (3 locations)</t>
    <phoneticPr fontId="1" type="noConversion"/>
  </si>
  <si>
    <t>cry3Bb1 gene (insect resistance: coleoptera), cp4epsps gene (herbicide tolerance: glyphosate)</t>
    <phoneticPr fontId="1" type="noConversion"/>
  </si>
  <si>
    <t>WT2</t>
  </si>
  <si>
    <t>Unfertilized control</t>
  </si>
  <si>
    <t>manure plus sidedress</t>
  </si>
  <si>
    <t>40° 30' N</t>
  </si>
  <si>
    <t>Corapeake, North Carolina USA</t>
  </si>
  <si>
    <t>double</t>
  </si>
  <si>
    <t>triple</t>
  </si>
  <si>
    <t>GMO event type</t>
  </si>
  <si>
    <t>Insect</t>
    <phoneticPr fontId="1" type="noConversion"/>
  </si>
  <si>
    <t xml:space="preserve">Helicoverpa zeae </t>
  </si>
  <si>
    <t>Buenos Aires (two sites), Cordoba and Santa Fe, Argentina</t>
    <phoneticPr fontId="1" type="noConversion"/>
  </si>
  <si>
    <t>+2 months</t>
  </si>
  <si>
    <t>&lt;0.05</t>
  </si>
  <si>
    <t>Agronomic practices</t>
    <phoneticPr fontId="1" type="noConversion"/>
  </si>
  <si>
    <t xml:space="preserve">Transformation event </t>
    <phoneticPr fontId="1" type="noConversion"/>
  </si>
  <si>
    <t>Cry1F</t>
  </si>
  <si>
    <t>DBT418</t>
  </si>
  <si>
    <t>Dekalb493</t>
  </si>
  <si>
    <t>Dekalb 580RR</t>
  </si>
  <si>
    <t>protected plot</t>
  </si>
  <si>
    <t>33V08</t>
    <phoneticPr fontId="1" type="noConversion"/>
  </si>
  <si>
    <t>Mycogen 2395</t>
  </si>
  <si>
    <t>Novartis 3030</t>
  </si>
  <si>
    <t>DKC3872YG</t>
  </si>
  <si>
    <t>M1 2A-31</t>
  </si>
  <si>
    <t>Florence</t>
  </si>
  <si>
    <t>43°45' N</t>
  </si>
  <si>
    <t>11°15' E</t>
  </si>
  <si>
    <t>Herculex I</t>
  </si>
  <si>
    <t>P33F87</t>
  </si>
  <si>
    <t>Cry1Fa2</t>
  </si>
  <si>
    <t>P33F85</t>
  </si>
  <si>
    <t>Untreated</t>
  </si>
  <si>
    <t>Aflatoxin B1 (microg/kg) non GMO</t>
  </si>
  <si>
    <t>Aflatoxin B2 (microg/kg) non GMO</t>
  </si>
  <si>
    <t>Total aflatoxin  (ng/g) GMO</t>
  </si>
  <si>
    <r>
      <t>STDEV</t>
    </r>
    <r>
      <rPr>
        <b/>
        <vertAlign val="subscript"/>
        <sz val="8"/>
        <rFont val="Arial"/>
      </rPr>
      <t>afla iso</t>
    </r>
    <r>
      <rPr>
        <b/>
        <sz val="8"/>
        <rFont val="Arial"/>
        <family val="2"/>
      </rPr>
      <t xml:space="preserve"> GMO</t>
    </r>
  </si>
  <si>
    <t>Total aflatoxin   (ng/g) non GMO</t>
  </si>
  <si>
    <r>
      <t>STDEV</t>
    </r>
    <r>
      <rPr>
        <b/>
        <vertAlign val="subscript"/>
        <sz val="8"/>
        <rFont val="Arial"/>
      </rPr>
      <t>aflaconc</t>
    </r>
    <r>
      <rPr>
        <b/>
        <sz val="8"/>
        <rFont val="Arial"/>
        <family val="2"/>
      </rPr>
      <t xml:space="preserve"> non-GMO</t>
    </r>
  </si>
  <si>
    <t>M1 1A-32</t>
  </si>
  <si>
    <t xml:space="preserve"> 33°25' N</t>
  </si>
  <si>
    <t>Compositional analyses were conducted using standard analytical methods (AOAC, AOCS, and other published methods</t>
    <phoneticPr fontId="1" type="noConversion"/>
  </si>
  <si>
    <t>Prelude</t>
  </si>
  <si>
    <t>Pactol CB Bt</t>
  </si>
  <si>
    <t>Pactol</t>
  </si>
  <si>
    <t>Valmont Bt</t>
  </si>
  <si>
    <t>Novelis Bt</t>
  </si>
  <si>
    <t>Bt</t>
  </si>
  <si>
    <t>M1 80D-27</t>
  </si>
  <si>
    <r>
      <t>Grain Yield GMO (t ha</t>
    </r>
    <r>
      <rPr>
        <b/>
        <vertAlign val="superscript"/>
        <sz val="8"/>
        <rFont val="Arial"/>
      </rPr>
      <t>-1</t>
    </r>
    <r>
      <rPr>
        <b/>
        <sz val="8"/>
        <rFont val="Arial"/>
        <family val="2"/>
      </rPr>
      <t>)</t>
    </r>
  </si>
  <si>
    <r>
      <t>Grain Yield Non-GMO (t ha</t>
    </r>
    <r>
      <rPr>
        <b/>
        <vertAlign val="superscript"/>
        <sz val="8"/>
        <rFont val="Arial"/>
      </rPr>
      <t>-1</t>
    </r>
    <r>
      <rPr>
        <b/>
        <sz val="8"/>
        <rFont val="Arial"/>
        <family val="2"/>
      </rPr>
      <t>)</t>
    </r>
  </si>
  <si>
    <t>33°25' N</t>
    <phoneticPr fontId="1" type="noConversion"/>
  </si>
  <si>
    <t>t</t>
  </si>
  <si>
    <t>Sainte-Anne-de-Bellevue, Quebec, Canada</t>
    <phoneticPr fontId="1" type="noConversion"/>
  </si>
  <si>
    <t>Los Banos, Luzon Province, Philippines</t>
    <phoneticPr fontId="1" type="noConversion"/>
  </si>
  <si>
    <t>&lt; 0.05</t>
    <phoneticPr fontId="1" type="noConversion"/>
  </si>
  <si>
    <t>&gt; 0.05</t>
    <phoneticPr fontId="1" type="noConversion"/>
  </si>
  <si>
    <t>&lt; 0.05</t>
    <phoneticPr fontId="1" type="noConversion"/>
  </si>
  <si>
    <t>Avg. DKC58-52BtY, DK621BtY, RX697YG and RX730YG</t>
  </si>
  <si>
    <t>Plains, Midville, Calhoun (Southern) Georgia, USA</t>
  </si>
  <si>
    <t>97° 09' 21'' W</t>
  </si>
  <si>
    <t>insecticide protected</t>
  </si>
  <si>
    <t>Transal Bt</t>
  </si>
  <si>
    <t>Transal</t>
  </si>
  <si>
    <t>A6609Bt</t>
  </si>
  <si>
    <t>Urbana and Monmouth, Illinois USA</t>
  </si>
  <si>
    <t>Cry1Ab</t>
    <phoneticPr fontId="1" type="noConversion"/>
  </si>
  <si>
    <t>EXP62</t>
    <phoneticPr fontId="1" type="noConversion"/>
  </si>
  <si>
    <t>MPA636B</t>
    <phoneticPr fontId="1" type="noConversion"/>
  </si>
  <si>
    <t>MON-87427-7</t>
    <phoneticPr fontId="1" type="noConversion"/>
  </si>
  <si>
    <t>Roundup Ready</t>
    <phoneticPr fontId="1" type="noConversion"/>
  </si>
  <si>
    <t>Nivalenolo</t>
  </si>
  <si>
    <t>Nobilis</t>
  </si>
  <si>
    <t>Golden Harvest 2493</t>
  </si>
  <si>
    <t>phyA2</t>
  </si>
  <si>
    <t>_</t>
    <phoneticPr fontId="1" type="noConversion"/>
  </si>
  <si>
    <t>_</t>
    <phoneticPr fontId="1" type="noConversion"/>
  </si>
  <si>
    <t>Commercial name</t>
  </si>
  <si>
    <t>SE DON - non GMO</t>
  </si>
  <si>
    <t>Crop</t>
  </si>
  <si>
    <t>Location</t>
  </si>
  <si>
    <t>Soil</t>
  </si>
  <si>
    <r>
      <t>Soil OM g kg</t>
    </r>
    <r>
      <rPr>
        <b/>
        <vertAlign val="superscript"/>
        <sz val="8"/>
        <rFont val="Arial"/>
      </rPr>
      <t>-1</t>
    </r>
  </si>
  <si>
    <r>
      <t>Soil P mg kg</t>
    </r>
    <r>
      <rPr>
        <b/>
        <vertAlign val="superscript"/>
        <sz val="8"/>
        <rFont val="Arial"/>
      </rPr>
      <t>-1</t>
    </r>
  </si>
  <si>
    <r>
      <t>Soil Organic N g Kg</t>
    </r>
    <r>
      <rPr>
        <b/>
        <vertAlign val="superscript"/>
        <sz val="8"/>
        <rFont val="Arial"/>
      </rPr>
      <t>-1</t>
    </r>
  </si>
  <si>
    <t>DK591Bt</t>
    <phoneticPr fontId="1" type="noConversion"/>
  </si>
  <si>
    <t>MON810</t>
    <phoneticPr fontId="1" type="noConversion"/>
  </si>
  <si>
    <t>&gt; 0.05</t>
    <phoneticPr fontId="1" type="noConversion"/>
  </si>
  <si>
    <t>Number of experiment</t>
    <phoneticPr fontId="1" type="noConversion"/>
  </si>
  <si>
    <t>Cry1Ab</t>
    <phoneticPr fontId="1" type="noConversion"/>
  </si>
  <si>
    <t>MEB307</t>
    <phoneticPr fontId="1" type="noConversion"/>
  </si>
  <si>
    <t>MON810</t>
    <phoneticPr fontId="1" type="noConversion"/>
  </si>
  <si>
    <t>M1 56C-5</t>
  </si>
  <si>
    <t>Leland, Mississippi USA</t>
  </si>
  <si>
    <t>_</t>
    <phoneticPr fontId="1" type="noConversion"/>
  </si>
  <si>
    <t>Bt</t>
    <phoneticPr fontId="1" type="noConversion"/>
  </si>
  <si>
    <t>75° 00' W</t>
  </si>
  <si>
    <t>_</t>
    <phoneticPr fontId="1" type="noConversion"/>
  </si>
  <si>
    <t xml:space="preserve">Total fumonisin (FB1+FB2+FB3) (mg/kg) GMO </t>
  </si>
  <si>
    <t xml:space="preserve">SEMTotal fumosin  - GMO </t>
  </si>
  <si>
    <t xml:space="preserve">Total fumosin (mg/kg) - non-GMO </t>
  </si>
  <si>
    <t>Climate-Koppen</t>
  </si>
  <si>
    <t>Climate-classification</t>
  </si>
  <si>
    <t>1 june</t>
  </si>
  <si>
    <t>15 june</t>
  </si>
  <si>
    <t>GH-0937</t>
  </si>
  <si>
    <t>Bonus</t>
  </si>
  <si>
    <t>Tifton, Georgia USA</t>
  </si>
  <si>
    <t xml:space="preserve">MON87460 - Cold shock protein B </t>
    <phoneticPr fontId="1" type="noConversion"/>
  </si>
  <si>
    <t>Methods of determination of fumosin B1</t>
  </si>
  <si>
    <t>Methods of determination of ftotal fumosin</t>
  </si>
  <si>
    <t>DKC68-04</t>
    <phoneticPr fontId="1" type="noConversion"/>
  </si>
  <si>
    <t>_</t>
    <phoneticPr fontId="1" type="noConversion"/>
  </si>
  <si>
    <t>_</t>
    <phoneticPr fontId="1" type="noConversion"/>
  </si>
  <si>
    <t>MON810</t>
    <phoneticPr fontId="1" type="noConversion"/>
  </si>
  <si>
    <t>_</t>
    <phoneticPr fontId="1" type="noConversion"/>
  </si>
  <si>
    <t>YieldGard VT Rootworm</t>
    <phoneticPr fontId="1" type="noConversion"/>
  </si>
  <si>
    <t>Cry1ab</t>
    <phoneticPr fontId="1" type="noConversion"/>
  </si>
  <si>
    <t>H9230Bt</t>
    <phoneticPr fontId="1" type="noConversion"/>
  </si>
  <si>
    <t>H9481Bt</t>
    <phoneticPr fontId="1" type="noConversion"/>
  </si>
  <si>
    <t>Suffolk, Virginia USA</t>
  </si>
  <si>
    <t>CV</t>
    <phoneticPr fontId="1" type="noConversion"/>
  </si>
  <si>
    <t>t</t>
    <phoneticPr fontId="1" type="noConversion"/>
  </si>
  <si>
    <t>single</t>
  </si>
  <si>
    <t>Borovce, Slovakia</t>
  </si>
  <si>
    <t>48° 34.381' N</t>
  </si>
  <si>
    <t>17° 43.302' E</t>
  </si>
  <si>
    <t>MON88017</t>
    <phoneticPr fontId="1" type="noConversion"/>
  </si>
  <si>
    <t>MON-88017-3</t>
  </si>
  <si>
    <t>&gt; 0.05</t>
    <phoneticPr fontId="1" type="noConversion"/>
  </si>
  <si>
    <t>High insect stress - no insecticide use</t>
    <phoneticPr fontId="1" type="noConversion"/>
  </si>
  <si>
    <t>31 non Bt isolines</t>
  </si>
  <si>
    <t>Corn Earworm infested plots</t>
  </si>
  <si>
    <t>SE GMO</t>
    <phoneticPr fontId="1" type="noConversion"/>
  </si>
  <si>
    <t>Novartis 4394</t>
  </si>
  <si>
    <t>Dekalb</t>
    <phoneticPr fontId="1" type="noConversion"/>
  </si>
  <si>
    <t>_</t>
    <phoneticPr fontId="1" type="noConversion"/>
  </si>
  <si>
    <t>Dekalb</t>
    <phoneticPr fontId="1" type="noConversion"/>
  </si>
  <si>
    <t>Cry1Ab</t>
    <phoneticPr fontId="1" type="noConversion"/>
  </si>
  <si>
    <t>maize</t>
    <phoneticPr fontId="1" type="noConversion"/>
  </si>
  <si>
    <t>Beresford, Clay County, South Dakota USA</t>
  </si>
  <si>
    <t>Garst 8600 IT</t>
  </si>
  <si>
    <t>Golden Harvest EX8665</t>
  </si>
  <si>
    <t>Mycogen 2787</t>
  </si>
  <si>
    <t>Mycogen 2725</t>
  </si>
  <si>
    <t>Maximizer 454</t>
  </si>
  <si>
    <t>Plymouth</t>
  </si>
  <si>
    <t>50°22' N</t>
  </si>
  <si>
    <t>4°8' O</t>
  </si>
  <si>
    <t>P1498HR</t>
  </si>
  <si>
    <t>P1498R</t>
  </si>
  <si>
    <t xml:space="preserve">33°10′47″ N </t>
  </si>
  <si>
    <t>84°21′47″ W</t>
  </si>
  <si>
    <t>Los Banos, Luzon Province, Philippines</t>
  </si>
  <si>
    <t>Novartis 4640</t>
  </si>
  <si>
    <t>Pioneer 3489</t>
  </si>
  <si>
    <t>P33F85</t>
    <phoneticPr fontId="1" type="noConversion"/>
  </si>
  <si>
    <t>P33F83</t>
    <phoneticPr fontId="1" type="noConversion"/>
  </si>
  <si>
    <t>P33F85</t>
    <phoneticPr fontId="1" type="noConversion"/>
  </si>
  <si>
    <t>DKC68-03</t>
    <phoneticPr fontId="1" type="noConversion"/>
  </si>
  <si>
    <t>Hybrid name</t>
    <phoneticPr fontId="1" type="noConversion"/>
  </si>
  <si>
    <t>Hybrid name</t>
    <phoneticPr fontId="1" type="noConversion"/>
  </si>
  <si>
    <t>Hybrid name</t>
    <phoneticPr fontId="1" type="noConversion"/>
  </si>
  <si>
    <t>Hybrid name</t>
    <phoneticPr fontId="1" type="noConversion"/>
  </si>
  <si>
    <t>Hybrid nama</t>
    <phoneticPr fontId="1" type="noConversion"/>
  </si>
  <si>
    <t>Hybrid name</t>
    <phoneticPr fontId="1" type="noConversion"/>
  </si>
  <si>
    <t>NC+5778Bt</t>
    <phoneticPr fontId="1" type="noConversion"/>
  </si>
  <si>
    <t>P33V08Bt</t>
    <phoneticPr fontId="1" type="noConversion"/>
  </si>
  <si>
    <t>Compositional analyses were conducted using standard analytical methods (AOAC, AOCS, and other published methods</t>
  </si>
  <si>
    <t>&gt;0.05</t>
  </si>
  <si>
    <t>Bt + glyphosate resistant</t>
  </si>
  <si>
    <t>MON88017</t>
  </si>
  <si>
    <t>cry3Bb1 + cp4epsps</t>
  </si>
  <si>
    <t>90°54' W</t>
  </si>
  <si>
    <t>2012-June</t>
  </si>
  <si>
    <t xml:space="preserve">Bt-protected YieldGard
VT Triple  </t>
  </si>
  <si>
    <t>DKC63-42</t>
  </si>
  <si>
    <t>MON810 + MON88017 + glyphosate herbicide tollerance</t>
  </si>
  <si>
    <t xml:space="preserve">bioplastic granules inoculated with A. flavus NRRL 30797 </t>
  </si>
  <si>
    <t xml:space="preserve">Golden Harvest </t>
    <phoneticPr fontId="1" type="noConversion"/>
  </si>
  <si>
    <t>&lt; 0.05</t>
    <phoneticPr fontId="1" type="noConversion"/>
  </si>
  <si>
    <t>&gt; 0.05</t>
    <phoneticPr fontId="1" type="noConversion"/>
  </si>
  <si>
    <t>&lt; 0.05</t>
    <phoneticPr fontId="1" type="noConversion"/>
  </si>
  <si>
    <t>&gt; 0.05</t>
    <phoneticPr fontId="1" type="noConversion"/>
  </si>
  <si>
    <t>&gt; 0.05</t>
    <phoneticPr fontId="1" type="noConversion"/>
  </si>
  <si>
    <t>&gt; 0.05</t>
    <phoneticPr fontId="1" type="noConversion"/>
  </si>
  <si>
    <t>Older Bt hybrids</t>
  </si>
  <si>
    <t>Beheville, Texas USA</t>
  </si>
  <si>
    <t>28° 24' 20'' N</t>
  </si>
  <si>
    <t>Novartis 4144</t>
  </si>
  <si>
    <t>NK3030</t>
  </si>
  <si>
    <t>Pioneer 3751</t>
  </si>
  <si>
    <t>Dekalb493RR</t>
  </si>
  <si>
    <t>CBH351</t>
  </si>
  <si>
    <t>Garst 8773IT</t>
  </si>
  <si>
    <t>Los Banos, Luzon Province, Philippines</t>
    <phoneticPr fontId="1" type="noConversion"/>
  </si>
  <si>
    <t>14°10′N</t>
  </si>
  <si>
    <t>14°10′N</t>
    <phoneticPr fontId="1" type="noConversion"/>
  </si>
  <si>
    <t xml:space="preserve"> 121°13′E</t>
  </si>
  <si>
    <t>_</t>
    <phoneticPr fontId="1" type="noConversion"/>
  </si>
  <si>
    <t>_</t>
    <phoneticPr fontId="1" type="noConversion"/>
  </si>
  <si>
    <t>_</t>
    <phoneticPr fontId="1" type="noConversion"/>
  </si>
  <si>
    <t>Avg. DK585, DK621, RX697 and RX730</t>
  </si>
  <si>
    <t>27° 44' 34'' N</t>
  </si>
  <si>
    <t>8 locations: Jackson county, Arkansas; Clinton and Stark counties, Illinois; Jefferson county, Iowa; Pawnee county, Kansas; Shelby county, Missouri; York county, Nebraska; ; Miami county, Ohio</t>
    <phoneticPr fontId="1" type="noConversion"/>
  </si>
  <si>
    <t>MON87427</t>
    <phoneticPr fontId="1" type="noConversion"/>
  </si>
  <si>
    <t>Mindanao, Philippines: South Cotabato (1 location), Sultan Kuradat (3 locations), and North Cotabato (3 locations)</t>
    <phoneticPr fontId="1" type="noConversion"/>
  </si>
  <si>
    <t>Ears not inoculated</t>
  </si>
  <si>
    <t>M1 78D-13</t>
  </si>
  <si>
    <t>Eckartsweier, Kandel, Trebur and Ladenburg, Germany</t>
  </si>
  <si>
    <t>Mesnil Bt</t>
  </si>
  <si>
    <t>P31B13Bt</t>
    <phoneticPr fontId="1" type="noConversion"/>
  </si>
  <si>
    <t>15 may</t>
  </si>
  <si>
    <t>Plots non infested</t>
  </si>
  <si>
    <t>Golden Harvest 2292</t>
  </si>
  <si>
    <t>Maximizer 23</t>
  </si>
  <si>
    <t>Novartis 4146</t>
  </si>
  <si>
    <t>Novartis 2555</t>
  </si>
  <si>
    <t>Golden Harvest 6911</t>
  </si>
  <si>
    <t>Mycogen 2424</t>
  </si>
  <si>
    <t>CP4 EPSPS (cp4epsps gene)</t>
    <phoneticPr fontId="1" type="noConversion"/>
  </si>
  <si>
    <t>Monsanto</t>
    <phoneticPr fontId="1" type="noConversion"/>
  </si>
  <si>
    <t>RX730YG</t>
  </si>
  <si>
    <t>Triple</t>
    <phoneticPr fontId="1" type="noConversion"/>
  </si>
  <si>
    <t>GMO event type</t>
    <phoneticPr fontId="1" type="noConversion"/>
  </si>
  <si>
    <t>31N27</t>
  </si>
  <si>
    <t>30F34</t>
  </si>
  <si>
    <t>30F33</t>
  </si>
  <si>
    <t>ECB infestation: none</t>
  </si>
  <si>
    <t>ECB infestation: 1st generation</t>
  </si>
  <si>
    <t>ECB infestation: 2nd generation</t>
  </si>
  <si>
    <t>ECB infestation: 1st and 2nd</t>
  </si>
  <si>
    <t>BT1</t>
  </si>
  <si>
    <t>BT2</t>
  </si>
  <si>
    <t>WT1</t>
  </si>
  <si>
    <t>manure</t>
  </si>
  <si>
    <t>RX697YG</t>
  </si>
  <si>
    <t>4°8' O</t>
    <phoneticPr fontId="1" type="noConversion"/>
  </si>
  <si>
    <t>&lt; 0.05</t>
    <phoneticPr fontId="1" type="noConversion"/>
  </si>
  <si>
    <t>Colina, Region Metropolitana; Calera de Tango, Region Metropolitana; and Lumbreras, Region Metropolitana</t>
  </si>
  <si>
    <t>33°26' N</t>
  </si>
  <si>
    <t>70°39' W</t>
  </si>
  <si>
    <t>2016-Winter</t>
  </si>
  <si>
    <t>TC1507 + MON810</t>
    <phoneticPr fontId="1" type="noConversion"/>
  </si>
  <si>
    <t>Replicates GMO</t>
  </si>
  <si>
    <t>Replicates Non-GMO</t>
  </si>
  <si>
    <t>Agronomic practices</t>
  </si>
  <si>
    <t xml:space="preserve">Irrigation treatment </t>
  </si>
  <si>
    <t>Water stress treatment</t>
  </si>
  <si>
    <t>Plant density</t>
  </si>
  <si>
    <t>Biocontrol treatment</t>
  </si>
  <si>
    <t>Preserving agent</t>
  </si>
  <si>
    <t>Insect infestation treatment*</t>
  </si>
  <si>
    <t>Insect stress treatment</t>
  </si>
  <si>
    <t>Number of experiment</t>
  </si>
  <si>
    <t>Sampling time period</t>
  </si>
  <si>
    <t>Oldness of hybriyds</t>
  </si>
  <si>
    <t>Eckartsweier, Kandel, Trebur, Freising and Ingolstadt, Germany</t>
  </si>
  <si>
    <t xml:space="preserve">SEM Total fumosin (mg/kg)  - Non-GMO </t>
  </si>
  <si>
    <t>Rainfall mm</t>
  </si>
  <si>
    <t>Temperature °C</t>
  </si>
  <si>
    <t>Year</t>
  </si>
  <si>
    <t>Previous crop</t>
  </si>
  <si>
    <t>avg. 2000 and 2001</t>
  </si>
  <si>
    <t>Agrigold</t>
  </si>
  <si>
    <t>Averaged insect stress condictions</t>
    <phoneticPr fontId="1" type="noConversion"/>
  </si>
  <si>
    <t>LSD</t>
    <phoneticPr fontId="1" type="noConversion"/>
  </si>
  <si>
    <t>Agronomical tecnique</t>
  </si>
  <si>
    <t>Type</t>
  </si>
  <si>
    <t>Seeding company</t>
  </si>
  <si>
    <t>Elizabeth, Mississipi, USA</t>
  </si>
  <si>
    <t>Unique identifier</t>
  </si>
  <si>
    <t xml:space="preserve">Transformation event </t>
  </si>
  <si>
    <t>isoline</t>
  </si>
  <si>
    <t>Ezra</t>
  </si>
  <si>
    <t>&gt; 0.05</t>
    <phoneticPr fontId="1" type="noConversion"/>
  </si>
  <si>
    <t>Pioneer</t>
  </si>
  <si>
    <t>Pioneer</t>
    <phoneticPr fontId="1" type="noConversion"/>
  </si>
  <si>
    <t>Cry1ab</t>
    <phoneticPr fontId="1" type="noConversion"/>
  </si>
  <si>
    <t>G8366Bt</t>
    <phoneticPr fontId="1" type="noConversion"/>
  </si>
  <si>
    <t>Dekalb</t>
  </si>
  <si>
    <t>Garst Seeds</t>
  </si>
  <si>
    <t>Maximizer 21</t>
  </si>
  <si>
    <t>M1 update 6-14</t>
  </si>
  <si>
    <t>37° 64' N</t>
  </si>
  <si>
    <t>116° 8' E</t>
  </si>
  <si>
    <t>M1 72C-32</t>
  </si>
  <si>
    <t>2000 and 2001</t>
  </si>
  <si>
    <t>DKC58-52BtY</t>
  </si>
  <si>
    <t>DK585</t>
  </si>
  <si>
    <t>DK621</t>
  </si>
  <si>
    <t>RX697</t>
  </si>
  <si>
    <t>RX730</t>
  </si>
  <si>
    <t>M1 73C-9</t>
  </si>
  <si>
    <t>Upper Marlboro, Maryland USA</t>
  </si>
  <si>
    <t>Beltsville, Maryland USA</t>
  </si>
  <si>
    <t>_</t>
    <phoneticPr fontId="1" type="noConversion"/>
  </si>
  <si>
    <t>_</t>
    <phoneticPr fontId="1" type="noConversion"/>
  </si>
  <si>
    <t>Novartis 4494</t>
  </si>
  <si>
    <t>Novartis N52-B2</t>
  </si>
  <si>
    <t>Golden Harvest 8067</t>
  </si>
  <si>
    <t>Golden Harvest 2398</t>
  </si>
  <si>
    <t>Novartis 7070</t>
  </si>
  <si>
    <t>Cesar Bt</t>
  </si>
  <si>
    <t>Cesar</t>
  </si>
  <si>
    <t>ECB-infested</t>
  </si>
  <si>
    <t>Pittstown, New Jersey USA</t>
  </si>
  <si>
    <t>M1 87D-39</t>
  </si>
  <si>
    <t>Crawfordsville, Indiana USA; St. Joseph, Indiana USA; Clinton, Illinois USA; Washington, Iowa USA</t>
  </si>
  <si>
    <t>Cry1Ab + Cry3Bb1 + (CP4 epsps+goxv247)</t>
  </si>
  <si>
    <t>Non-Bt</t>
  </si>
  <si>
    <t>mock-inoculated bioplastic granules (cont)</t>
  </si>
  <si>
    <t>2012-August</t>
  </si>
  <si>
    <t>Cry1Ab</t>
    <phoneticPr fontId="1" type="noConversion"/>
  </si>
  <si>
    <t>&gt; 0.05</t>
    <phoneticPr fontId="1" type="noConversion"/>
  </si>
  <si>
    <t>&gt; 0.05</t>
    <phoneticPr fontId="1" type="noConversion"/>
  </si>
  <si>
    <t>MON810</t>
    <phoneticPr fontId="1" type="noConversion"/>
  </si>
  <si>
    <t>Roundup WeatherMAX 10 lb ae/acre V2-V4 growth stages for weed control</t>
  </si>
  <si>
    <t>Stable insertion of the coding sequence of cold shock protein B (CSPB) from B. subtilis-drought tolerance</t>
  </si>
  <si>
    <t xml:space="preserve">MON87460 </t>
  </si>
  <si>
    <t>44500-49500 plants per ha/no foliar insecticides and irrigation/roundup herbicide for the control on the hybrids that were all glyphosate-tolerant</t>
  </si>
  <si>
    <t>MON810/MON88017</t>
  </si>
  <si>
    <t>Cry1Ab and Cry3Bb1 - glyphosate resistance</t>
  </si>
  <si>
    <t>Non-Bt hybrids</t>
  </si>
  <si>
    <t>High insect stress - no insecticide use</t>
  </si>
  <si>
    <t>Buenos Aires (two sites), Cordoba and Santa Fe, Argentina</t>
  </si>
  <si>
    <t>SD GMO</t>
  </si>
  <si>
    <t>SD non GMO</t>
  </si>
  <si>
    <t>_</t>
    <phoneticPr fontId="1" type="noConversion"/>
  </si>
  <si>
    <t>Low insect stress - foliar insecticide application zeta-cypermethrin and rynaxpyr 2011 and rynaxpyr 2012</t>
  </si>
  <si>
    <t>Cry1A.105 + Cry2Ab1 and Cry3Bb2 glyphosate resistance</t>
  </si>
  <si>
    <t>Neuwer Bt hybrids</t>
  </si>
  <si>
    <t>90°52' O</t>
    <phoneticPr fontId="1" type="noConversion"/>
  </si>
  <si>
    <t>Cry1Ab + Cry3Bb1 + (CP4 epsps + goxv247)</t>
  </si>
  <si>
    <t>SD - GMO</t>
  </si>
  <si>
    <t>SD - non GMO</t>
  </si>
  <si>
    <t>Mycotoxin GMO</t>
  </si>
  <si>
    <t>Mycotoxin non GMO</t>
  </si>
  <si>
    <t>Total aflatoxin</t>
  </si>
  <si>
    <t xml:space="preserve">Cyclopiazonic acid </t>
  </si>
  <si>
    <t>Methods of determination of compositional parameters</t>
  </si>
  <si>
    <t>Dekalb 580</t>
  </si>
  <si>
    <t>Golden Harvest 2390</t>
  </si>
  <si>
    <t>DKC69-40</t>
  </si>
  <si>
    <t>MON810 + MON88017</t>
  </si>
  <si>
    <t>Cry1Ab + Cry3bb</t>
  </si>
  <si>
    <t>DKC69-43</t>
  </si>
  <si>
    <t>Genuity VT Double PRO</t>
  </si>
  <si>
    <t>DKC68-03</t>
  </si>
  <si>
    <t>MON89034</t>
  </si>
  <si>
    <t>Cry1A.105 + Cry2Ab2</t>
  </si>
  <si>
    <t>DKC68-04</t>
  </si>
  <si>
    <t>P1498YHR</t>
  </si>
  <si>
    <t>97° 45' 03'' W</t>
  </si>
  <si>
    <t>31B13</t>
  </si>
  <si>
    <t>33V08</t>
  </si>
  <si>
    <t>M1 78D-42</t>
  </si>
  <si>
    <t>Dekalb 566</t>
  </si>
  <si>
    <t>DKC69-43RR2</t>
  </si>
  <si>
    <t>Mesnil</t>
  </si>
  <si>
    <t>SE DON - GMO</t>
  </si>
  <si>
    <t>Ningjin County, Shandong Province of China</t>
  </si>
  <si>
    <t>&lt; 0.05</t>
    <phoneticPr fontId="1" type="noConversion"/>
  </si>
  <si>
    <t>Insect infestation treatment*</t>
    <phoneticPr fontId="1" type="noConversion"/>
  </si>
  <si>
    <t>&gt; 0.05</t>
    <phoneticPr fontId="1" type="noConversion"/>
  </si>
  <si>
    <t>&lt; 0.05</t>
    <phoneticPr fontId="1" type="noConversion"/>
  </si>
  <si>
    <t>Monsanto</t>
  </si>
  <si>
    <t>&lt; 0.005</t>
    <phoneticPr fontId="1" type="noConversion"/>
  </si>
  <si>
    <t>&gt; 0.05</t>
    <phoneticPr fontId="1" type="noConversion"/>
  </si>
  <si>
    <t>Agrigold</t>
    <phoneticPr fontId="1" type="noConversion"/>
  </si>
  <si>
    <t>MON810</t>
    <phoneticPr fontId="1" type="noConversion"/>
  </si>
  <si>
    <t>Bt11</t>
    <phoneticPr fontId="1" type="noConversion"/>
  </si>
  <si>
    <t>Preserving agent</t>
    <phoneticPr fontId="1" type="noConversion"/>
  </si>
  <si>
    <t xml:space="preserve">SDTotal fumosin  - GMO </t>
  </si>
  <si>
    <t xml:space="preserve">SD Total fumosin  - GMO </t>
  </si>
  <si>
    <t>MS</t>
  </si>
  <si>
    <t>MS*n</t>
  </si>
  <si>
    <t>radq(AY)</t>
  </si>
  <si>
    <t>LSD</t>
  </si>
  <si>
    <t>N79-L3</t>
  </si>
  <si>
    <t>M1 86D-44</t>
  </si>
  <si>
    <t>NK 4496</t>
  </si>
  <si>
    <t>NK Max496</t>
  </si>
  <si>
    <t>sidedress</t>
  </si>
  <si>
    <t>50°22' N</t>
    <phoneticPr fontId="1" type="noConversion"/>
  </si>
  <si>
    <t>TDF-non GMO</t>
  </si>
  <si>
    <t>SE TDF non-GMO</t>
  </si>
  <si>
    <t>Range-TDF non GMO</t>
  </si>
  <si>
    <t>P TDF</t>
  </si>
  <si>
    <r>
      <t>F</t>
    </r>
    <r>
      <rPr>
        <b/>
        <sz val="8"/>
        <rFont val="Arial"/>
        <family val="2"/>
      </rPr>
      <t xml:space="preserve"> Ears injuried </t>
    </r>
  </si>
  <si>
    <r>
      <t>P</t>
    </r>
    <r>
      <rPr>
        <b/>
        <sz val="8"/>
        <rFont val="Arial"/>
        <family val="2"/>
      </rPr>
      <t xml:space="preserve"> Ears injuried </t>
    </r>
  </si>
  <si>
    <t>M1 2A-25</t>
  </si>
  <si>
    <t>M1 51C-15</t>
  </si>
  <si>
    <t>TDF in grain-GMO % dw</t>
  </si>
  <si>
    <t>SE TDF GMO</t>
  </si>
  <si>
    <t>Range-TDF GMO</t>
  </si>
  <si>
    <t>SE protein non-GMO</t>
  </si>
  <si>
    <t>Range-protein non GMO</t>
  </si>
  <si>
    <t>P protein</t>
  </si>
  <si>
    <t>SE ADF GMO</t>
  </si>
  <si>
    <t>Range-ADF GMO</t>
  </si>
  <si>
    <t>ADF-non GMO</t>
  </si>
  <si>
    <t>SE ADF non-GMO</t>
  </si>
  <si>
    <t>Range-ADF non GMO</t>
  </si>
  <si>
    <t>P ADF</t>
  </si>
  <si>
    <t>NDF in grain-GMO % dw</t>
  </si>
  <si>
    <t>Agrisure Viptera</t>
    <phoneticPr fontId="1" type="noConversion"/>
  </si>
  <si>
    <t>Syngenta</t>
    <phoneticPr fontId="1" type="noConversion"/>
  </si>
  <si>
    <t>2003-2004</t>
  </si>
  <si>
    <t>Hybrid BtA</t>
  </si>
  <si>
    <t>Morgan City, Mississippi USA</t>
  </si>
  <si>
    <t>Stoneville, Mississippi, USA</t>
  </si>
  <si>
    <t>Replicates GMO</t>
    <phoneticPr fontId="1" type="noConversion"/>
  </si>
  <si>
    <t>96° 46′ 34″ W</t>
  </si>
  <si>
    <t>43° 4′ 51″ N</t>
  </si>
  <si>
    <t>90° 54′ 54″ W</t>
  </si>
  <si>
    <t>33° 25′ 26″ N</t>
  </si>
  <si>
    <t>96° 55′ 41″ W</t>
  </si>
  <si>
    <t>&lt; 0.05</t>
    <phoneticPr fontId="1" type="noConversion"/>
  </si>
  <si>
    <t>M1 28B-44</t>
  </si>
  <si>
    <t>Williamson (Pike Co.), GA, USA</t>
  </si>
  <si>
    <t>84°21′47″W</t>
  </si>
  <si>
    <t>Planting type</t>
  </si>
  <si>
    <t>recommended (mid-April)</t>
  </si>
  <si>
    <t>South Shore , South Dakota USA</t>
  </si>
  <si>
    <t xml:space="preserve">CspB - Cold shock protein B </t>
    <phoneticPr fontId="1" type="noConversion"/>
  </si>
  <si>
    <t xml:space="preserve">CspB - Cold shock protein B </t>
    <phoneticPr fontId="1" type="noConversion"/>
  </si>
  <si>
    <t>_</t>
    <phoneticPr fontId="1" type="noConversion"/>
  </si>
  <si>
    <t>CP4 EPSPS (cp4epsps gene)</t>
  </si>
  <si>
    <t>31G68</t>
  </si>
  <si>
    <t>31G66</t>
  </si>
  <si>
    <t>31N28</t>
  </si>
  <si>
    <t>CP4 EPSPS (cp4epsps gene)</t>
    <phoneticPr fontId="1" type="noConversion"/>
  </si>
  <si>
    <t>Dekalb</t>
    <phoneticPr fontId="1" type="noConversion"/>
  </si>
  <si>
    <t>NC+5778</t>
  </si>
  <si>
    <t>P3223</t>
  </si>
  <si>
    <t>P3394</t>
  </si>
  <si>
    <t>CX8802</t>
  </si>
  <si>
    <t>C8120Bt</t>
  </si>
  <si>
    <t>DK580Bt</t>
  </si>
  <si>
    <t>&gt; 0.05</t>
    <phoneticPr fontId="1" type="noConversion"/>
  </si>
  <si>
    <t>31B13</t>
    <phoneticPr fontId="1" type="noConversion"/>
  </si>
  <si>
    <t>45° 6′ 18″ N</t>
  </si>
  <si>
    <t>M1 update 4-41</t>
  </si>
  <si>
    <t>DKC3871</t>
  </si>
  <si>
    <t>BVLA430101</t>
  </si>
  <si>
    <t>LIYU35</t>
  </si>
  <si>
    <t>Corpus Christy, Texas USA</t>
  </si>
  <si>
    <t>Aflatoxin B1 (microg/kg) GMO</t>
  </si>
  <si>
    <t>&gt; 0.05</t>
  </si>
  <si>
    <t>&gt; 0.05</t>
    <phoneticPr fontId="1" type="noConversion"/>
  </si>
  <si>
    <t>_</t>
    <phoneticPr fontId="1" type="noConversion"/>
  </si>
  <si>
    <t>&lt; 0.05</t>
    <phoneticPr fontId="1" type="noConversion"/>
  </si>
  <si>
    <t>MON810</t>
    <phoneticPr fontId="1" type="noConversion"/>
  </si>
  <si>
    <t xml:space="preserve">toxin(s)/protein expressed </t>
  </si>
  <si>
    <t>Asgrow</t>
  </si>
  <si>
    <t>Pioneer</t>
    <phoneticPr fontId="1" type="noConversion"/>
  </si>
  <si>
    <t>Maturity (d/GDD) GMO</t>
  </si>
  <si>
    <t>Isoline</t>
  </si>
  <si>
    <t>Maturity (d) Non-GMO</t>
  </si>
  <si>
    <t>38° 48′ 59″ N</t>
  </si>
  <si>
    <t>76° 55′ 4″ W</t>
  </si>
  <si>
    <t>39° 2′ 15″ N</t>
  </si>
  <si>
    <t>76° 36′ 35″ W</t>
  </si>
  <si>
    <t>36° 44′ 28″ N</t>
  </si>
  <si>
    <t>76° 42′ 0″ W</t>
  </si>
  <si>
    <t>36° 26′ 24″ N</t>
  </si>
  <si>
    <t>83° 30′ 36″ W</t>
  </si>
  <si>
    <t>31° 27′ 48″ N</t>
  </si>
  <si>
    <t>&gt; 0.05</t>
    <phoneticPr fontId="1" type="noConversion"/>
  </si>
  <si>
    <t>South Texas, Corpus Christi, TX</t>
  </si>
  <si>
    <t>27°48' N</t>
  </si>
  <si>
    <t>97°23' W</t>
  </si>
  <si>
    <t>Sandy-clay loam</t>
  </si>
  <si>
    <t>low rainfall</t>
  </si>
  <si>
    <t>high temperature</t>
  </si>
  <si>
    <t>MON87427 x MON89034 x NK603</t>
  </si>
  <si>
    <t>MPA636B</t>
  </si>
  <si>
    <t>Year</t>
    <phoneticPr fontId="1" type="noConversion"/>
  </si>
  <si>
    <t>Previous crop</t>
    <phoneticPr fontId="1" type="noConversion"/>
  </si>
  <si>
    <t>Type</t>
    <phoneticPr fontId="1" type="noConversion"/>
  </si>
  <si>
    <t>Control</t>
  </si>
  <si>
    <t>Dekalb</t>
    <phoneticPr fontId="1" type="noConversion"/>
  </si>
  <si>
    <t>Sampling time period</t>
    <phoneticPr fontId="1" type="noConversion"/>
  </si>
  <si>
    <t>M1 66C-9</t>
    <phoneticPr fontId="1" type="noConversion"/>
  </si>
  <si>
    <t>8 locations: Jackson county, Arkansas; Clinton and Stark counties, Illinois; Jefferson county, Iowa; Pawnee county, Kansas; Shelby county, Missouri; York county, Nebraska; ; Miami county, Ohio</t>
  </si>
  <si>
    <t>M1 69C-12</t>
  </si>
  <si>
    <t>M1 72C-19</t>
  </si>
  <si>
    <t>M1 73C-14</t>
  </si>
  <si>
    <t>Low insect stress - foliar insecticide application zeta-cypermethrin and rynaxpyr 2011 and rynaxpyr 2012</t>
    <phoneticPr fontId="1" type="noConversion"/>
  </si>
  <si>
    <t>Average Pactol CB Bt, Valmont Bt, Novelis Bt, Transal Bt, Mesnil Bt</t>
  </si>
  <si>
    <t>176 &amp; MON810</t>
  </si>
  <si>
    <t xml:space="preserve">CspB - Cold shock protein B </t>
  </si>
  <si>
    <t xml:space="preserve">MON87460 - Cold shock protein B </t>
  </si>
  <si>
    <t>M1 4A-9</t>
  </si>
  <si>
    <t>Hybrid BtD</t>
  </si>
  <si>
    <t>Neuwer Bt hybrids</t>
    <phoneticPr fontId="1" type="noConversion"/>
  </si>
  <si>
    <t>TC1507</t>
    <phoneticPr fontId="1" type="noConversion"/>
  </si>
  <si>
    <t xml:space="preserve">Irrigation treatment </t>
    <phoneticPr fontId="1" type="noConversion"/>
  </si>
  <si>
    <t>Insect stress treatment</t>
    <phoneticPr fontId="1" type="noConversion"/>
  </si>
  <si>
    <t>Maize</t>
  </si>
  <si>
    <t>Low water stress</t>
  </si>
  <si>
    <t>Climate-classification</t>
    <phoneticPr fontId="1" type="noConversion"/>
  </si>
  <si>
    <t>Rainfall mm</t>
    <phoneticPr fontId="1" type="noConversion"/>
  </si>
  <si>
    <t>M1 1A-4</t>
  </si>
  <si>
    <t>DI</t>
  </si>
  <si>
    <t>Range-fat GMO</t>
    <phoneticPr fontId="1" type="noConversion"/>
  </si>
  <si>
    <t>fat-non GMO</t>
    <phoneticPr fontId="1" type="noConversion"/>
  </si>
  <si>
    <t>Range-fat non GMO</t>
    <phoneticPr fontId="1" type="noConversion"/>
  </si>
  <si>
    <t>-</t>
  </si>
  <si>
    <t>Aflatoxin B1</t>
  </si>
  <si>
    <t>27°48' N</t>
    <phoneticPr fontId="1" type="noConversion"/>
  </si>
  <si>
    <t>Lat</t>
  </si>
  <si>
    <t>Long</t>
  </si>
  <si>
    <t>Elevation</t>
  </si>
  <si>
    <t>Climate-Koppen</t>
    <phoneticPr fontId="1" type="noConversion"/>
  </si>
  <si>
    <t>P1498R</t>
    <phoneticPr fontId="1" type="noConversion"/>
  </si>
  <si>
    <t>M1 53C-1</t>
  </si>
  <si>
    <t>Glufosinate herbicide tolerance + Lepidopteran insect resistance</t>
    <phoneticPr fontId="1" type="noConversion"/>
  </si>
  <si>
    <t>quadruple</t>
    <phoneticPr fontId="1" type="noConversion"/>
  </si>
  <si>
    <t>Southwestern France: Haute-Garonne (9 sites), Tarn (4), Tarn et Garonne (5), Gers
(2) and Ariège (1)</t>
  </si>
  <si>
    <t>Zearalenone</t>
  </si>
  <si>
    <t>N75-T2</t>
  </si>
  <si>
    <t>32K62</t>
  </si>
  <si>
    <t xml:space="preserve">N75-T2 </t>
  </si>
  <si>
    <t>YieldGard VT Triple</t>
  </si>
  <si>
    <t>Aflatoxin B2</t>
  </si>
  <si>
    <t>Cry1Fa2 + Cry1Ab</t>
  </si>
  <si>
    <t>P1498HR</t>
    <phoneticPr fontId="1" type="noConversion"/>
  </si>
  <si>
    <t>Foulum (North Jutland, Denmark)</t>
  </si>
  <si>
    <t>Blairsville (Northen) Georgia, USA</t>
  </si>
  <si>
    <t>32° 2' 2'' N</t>
  </si>
  <si>
    <t>84° 23' 34'' W</t>
  </si>
  <si>
    <t>34° 52' 34'' N</t>
  </si>
  <si>
    <t>83° 57' 30'' W</t>
  </si>
  <si>
    <t xml:space="preserve">M1 85D-23 </t>
  </si>
  <si>
    <t>Marshall, MO USA</t>
  </si>
  <si>
    <t>Ezra Bt</t>
  </si>
  <si>
    <t>MON802</t>
  </si>
  <si>
    <t>B73 x Mo17</t>
  </si>
  <si>
    <t>no treatment + ECB 1 and 2</t>
  </si>
  <si>
    <t>Pounce, post-anthesis (weekly) + ECB 1</t>
  </si>
  <si>
    <t>Pounce, from V6 to V15 (weekly) + ECB2</t>
  </si>
  <si>
    <t>no treatment + none</t>
  </si>
  <si>
    <t>Pounce, from V6 to postanthesis (weekly)+none</t>
  </si>
  <si>
    <t>Oregon, MO USA</t>
  </si>
  <si>
    <t>Ears injuried non-GMO</t>
  </si>
  <si>
    <t>SE Ears injuried non-GMO</t>
  </si>
  <si>
    <t>SD Ears injuried non-GMO</t>
  </si>
  <si>
    <t>Ontario, Canada</t>
  </si>
  <si>
    <t>33° 24' 19'' N</t>
  </si>
  <si>
    <t>90° 53' 51'' W</t>
  </si>
  <si>
    <t>33° 22' 51'' N</t>
  </si>
  <si>
    <t>90° 21' W</t>
  </si>
  <si>
    <t>Ears injuried GMO</t>
  </si>
  <si>
    <t>SE Ears injuried  GMO</t>
  </si>
  <si>
    <t>SD Ears injuried  GMO</t>
  </si>
  <si>
    <t>CV  Ears injuried  GMO</t>
  </si>
  <si>
    <t>LSD  Ears injuried  GMO</t>
  </si>
  <si>
    <t>P NDF</t>
  </si>
  <si>
    <t>Plymouth</t>
    <phoneticPr fontId="1" type="noConversion"/>
  </si>
  <si>
    <t>Cry1Ab</t>
  </si>
  <si>
    <t>_</t>
  </si>
  <si>
    <t>Replicates Non-GMO</t>
    <phoneticPr fontId="1" type="noConversion"/>
  </si>
  <si>
    <t>27°48' N</t>
    <phoneticPr fontId="1" type="noConversion"/>
  </si>
  <si>
    <t>97°23' W</t>
    <phoneticPr fontId="1" type="noConversion"/>
  </si>
  <si>
    <t>&gt; 0.05</t>
    <phoneticPr fontId="1" type="noConversion"/>
  </si>
  <si>
    <t>P fat</t>
    <phoneticPr fontId="1" type="noConversion"/>
  </si>
  <si>
    <t>SE protein GMO</t>
  </si>
  <si>
    <t>Range-protein GMO</t>
  </si>
  <si>
    <t>protein-non GMO</t>
  </si>
  <si>
    <t>M1 4A-9</t>
    <phoneticPr fontId="1" type="noConversion"/>
  </si>
  <si>
    <t>SE NDF GMO</t>
  </si>
  <si>
    <t>Range-NDF GMO</t>
  </si>
  <si>
    <t>NDF-non GMO</t>
  </si>
  <si>
    <t>SE NDF non-GMO</t>
  </si>
  <si>
    <t>Range-NDF non GMO</t>
  </si>
  <si>
    <t>&gt; 0.05</t>
    <phoneticPr fontId="1" type="noConversion"/>
  </si>
  <si>
    <t>&lt; 0.05</t>
    <phoneticPr fontId="1" type="noConversion"/>
  </si>
  <si>
    <t>&gt; 0.05</t>
    <phoneticPr fontId="1" type="noConversion"/>
  </si>
  <si>
    <t>N45-A6</t>
  </si>
  <si>
    <t>MZ2263</t>
  </si>
  <si>
    <t>MZ226</t>
  </si>
  <si>
    <t>MZ3888</t>
  </si>
  <si>
    <t>MZ310</t>
  </si>
  <si>
    <t>MZ5444</t>
  </si>
  <si>
    <t>MZ540</t>
  </si>
  <si>
    <t>N23-F7</t>
    <phoneticPr fontId="1" type="noConversion"/>
  </si>
  <si>
    <t>&gt; 0.05</t>
    <phoneticPr fontId="1" type="noConversion"/>
  </si>
  <si>
    <t>Isoline</t>
    <phoneticPr fontId="1" type="noConversion"/>
  </si>
  <si>
    <t>ADF in grain-GMO %dw</t>
  </si>
  <si>
    <t>Methods of determination of fumosin B1</t>
    <phoneticPr fontId="1" type="noConversion"/>
  </si>
  <si>
    <t>Methods of determination of ftotal fumosin</t>
    <phoneticPr fontId="1" type="noConversion"/>
  </si>
  <si>
    <t>84°21′47″ W</t>
    <phoneticPr fontId="1" type="noConversion"/>
  </si>
  <si>
    <t>N34F/GT</t>
  </si>
  <si>
    <t>M1 42B-21</t>
  </si>
  <si>
    <t>maize</t>
  </si>
  <si>
    <t>34B24</t>
  </si>
  <si>
    <t>34B23</t>
  </si>
  <si>
    <t>M1 50C-20</t>
  </si>
  <si>
    <t>DKC6971</t>
  </si>
  <si>
    <t xml:space="preserve">Cry1Ab </t>
  </si>
  <si>
    <t>DKC 6972</t>
  </si>
  <si>
    <t xml:space="preserve">J.C. Robinson </t>
    <phoneticPr fontId="1" type="noConversion"/>
  </si>
  <si>
    <t xml:space="preserve">J.C. Robinson </t>
    <phoneticPr fontId="1" type="noConversion"/>
  </si>
  <si>
    <t xml:space="preserve">Garst </t>
  </si>
  <si>
    <t xml:space="preserve">Garst </t>
    <phoneticPr fontId="1" type="noConversion"/>
  </si>
  <si>
    <t xml:space="preserve">Pioneer </t>
  </si>
  <si>
    <t xml:space="preserve">Pioneer </t>
    <phoneticPr fontId="1" type="noConversion"/>
  </si>
  <si>
    <t>cry1Ab + pat</t>
    <phoneticPr fontId="1" type="noConversion"/>
  </si>
  <si>
    <t>Illinois, Iowa, and Nebraska, USA</t>
  </si>
  <si>
    <t>33°26' N</t>
    <phoneticPr fontId="1" type="noConversion"/>
  </si>
  <si>
    <t>70°39' W</t>
    <phoneticPr fontId="1" type="noConversion"/>
  </si>
  <si>
    <t>Oldness of hybriyds</t>
    <phoneticPr fontId="1" type="noConversion"/>
  </si>
  <si>
    <t>Older Bt hybrids</t>
    <phoneticPr fontId="1" type="noConversion"/>
  </si>
  <si>
    <t>MON89034/MON88017</t>
  </si>
  <si>
    <t>H9230Bt</t>
  </si>
  <si>
    <t>H9481Bt</t>
  </si>
  <si>
    <t>NC+5778Bt</t>
  </si>
  <si>
    <t>dryland</t>
  </si>
  <si>
    <t>average (Imperial, Nebraska USA; Lexington, Nebraska USA; Kearny, Nebraska USA; Hampton, Nebraska USA; Grand Island, Nebraska USA; Ogden, Iowa USA; Ogden, Iowa USA; Jasper, Iowa USA; Storm Lake, Iowa USA; Ahrens, Iowa USA; Bonnichsen, Iowa USA;  Volga, Io</t>
  </si>
  <si>
    <t xml:space="preserve">average </t>
  </si>
  <si>
    <t xml:space="preserve">average Brady, Nebraska USA, </t>
  </si>
  <si>
    <t>average</t>
  </si>
  <si>
    <t>&lt; 0.005</t>
  </si>
  <si>
    <t>Dekalb, Asgrow</t>
  </si>
  <si>
    <t>ECB-infested plots*</t>
  </si>
  <si>
    <r>
      <t xml:space="preserve">Ears inoculated with </t>
    </r>
    <r>
      <rPr>
        <i/>
        <sz val="8"/>
        <rFont val="Arial"/>
      </rPr>
      <t>Fusarium verticillioides</t>
    </r>
    <r>
      <rPr>
        <sz val="8"/>
        <rFont val="Arial"/>
        <family val="2"/>
        <charset val="1"/>
      </rPr>
      <t xml:space="preserve"> and </t>
    </r>
    <r>
      <rPr>
        <i/>
        <sz val="8"/>
        <rFont val="Arial"/>
      </rPr>
      <t>Fusarium proliferatum</t>
    </r>
  </si>
  <si>
    <t>Corn earworm infested plots</t>
  </si>
  <si>
    <t>N79L3</t>
  </si>
  <si>
    <r>
      <t>Treated - chlorantraniliprole 13 applications year</t>
    </r>
    <r>
      <rPr>
        <vertAlign val="superscript"/>
        <sz val="8"/>
        <rFont val="Arial"/>
      </rPr>
      <t>-1</t>
    </r>
  </si>
  <si>
    <t>SEM  - Non-GMO</t>
  </si>
  <si>
    <t>Aflatoxin B2 (microg/kg) GMO</t>
  </si>
  <si>
    <t>Maize</t>
    <phoneticPr fontId="1" type="noConversion"/>
  </si>
  <si>
    <t>Plant density</t>
    <phoneticPr fontId="1" type="noConversion"/>
  </si>
  <si>
    <t>M1 40B-23</t>
  </si>
  <si>
    <t>P1498YHR</t>
    <phoneticPr fontId="1" type="noConversion"/>
  </si>
  <si>
    <t>DKC69-43RR2</t>
    <phoneticPr fontId="1" type="noConversion"/>
  </si>
  <si>
    <t>DKC68-04RR2</t>
    <phoneticPr fontId="1" type="noConversion"/>
  </si>
  <si>
    <t>N7853111</t>
    <phoneticPr fontId="1" type="noConversion"/>
  </si>
  <si>
    <t>N785GT</t>
    <phoneticPr fontId="1" type="noConversion"/>
  </si>
  <si>
    <t>Pioneer</t>
    <phoneticPr fontId="1" type="noConversion"/>
  </si>
  <si>
    <t>TC1507</t>
    <phoneticPr fontId="1" type="noConversion"/>
  </si>
  <si>
    <t>M1 53C-35</t>
  </si>
  <si>
    <t>DK580</t>
  </si>
  <si>
    <t>DK591</t>
  </si>
  <si>
    <t>G8325</t>
  </si>
  <si>
    <t>H2547</t>
  </si>
  <si>
    <t>H2581</t>
  </si>
  <si>
    <t>Narbons, Montesquieu Lauragais (Midi-Pyrenees, France)</t>
  </si>
  <si>
    <t>&gt; 0.05</t>
    <phoneticPr fontId="1" type="noConversion"/>
  </si>
  <si>
    <t>SEM  - GMO</t>
  </si>
  <si>
    <t>Biocontrol treatment</t>
    <phoneticPr fontId="1" type="noConversion"/>
  </si>
  <si>
    <t>Temperature °C</t>
    <phoneticPr fontId="1" type="noConversion"/>
  </si>
  <si>
    <t>Average Pactol, Prelude, Nobilis, Transal, Mesnil</t>
  </si>
  <si>
    <t>average 2000</t>
  </si>
  <si>
    <t>Average Pactol, Prelude, Nobilis, Transal</t>
  </si>
  <si>
    <t>SD</t>
  </si>
  <si>
    <t>Parameter</t>
  </si>
  <si>
    <t>DON</t>
  </si>
  <si>
    <t>MON</t>
  </si>
  <si>
    <t xml:space="preserve">SD </t>
  </si>
  <si>
    <t>DON/MON/3-A-DON/15-A-DON (mg/kg) GMO</t>
  </si>
  <si>
    <t>DON/MON/3-A-DON/15-A-DON (mg/kg) non GMO</t>
  </si>
  <si>
    <t>3-A-DON</t>
  </si>
  <si>
    <t>15-A-DON</t>
  </si>
  <si>
    <t>Hybrid BtB</t>
  </si>
  <si>
    <t>Hybrid BtC</t>
  </si>
  <si>
    <t>Stable insertion of the coding sequence of cold shock protein B (CSPB) from B. subtilis-drought tolerance</t>
    <phoneticPr fontId="1" type="noConversion"/>
  </si>
  <si>
    <t>P</t>
  </si>
  <si>
    <t>M1 27B-38</t>
  </si>
  <si>
    <t>TC1507 + MON810</t>
    <phoneticPr fontId="1" type="noConversion"/>
  </si>
  <si>
    <t>MON89034 + MON88017</t>
  </si>
  <si>
    <t>MON89034</t>
    <phoneticPr fontId="1" type="noConversion"/>
  </si>
  <si>
    <t xml:space="preserve">Cry2Ab2 + Cry1A.105 </t>
    <phoneticPr fontId="1" type="noConversion"/>
  </si>
  <si>
    <t>Cry1Ab</t>
    <phoneticPr fontId="1" type="noConversion"/>
  </si>
  <si>
    <t>Bt176</t>
    <phoneticPr fontId="1" type="noConversion"/>
  </si>
  <si>
    <t>double</t>
    <phoneticPr fontId="1" type="noConversion"/>
  </si>
  <si>
    <t xml:space="preserve">Lepidopteran insect resistance + Glufosinate herbicide tolerance </t>
    <phoneticPr fontId="1" type="noConversion"/>
  </si>
  <si>
    <t>Syngenta</t>
    <phoneticPr fontId="1" type="noConversion"/>
  </si>
  <si>
    <t>Lepidopteran insect resistance + Lepidopteran insect resistance + Glyphosate herbicide tolerance + Coleopteran insect resistance</t>
    <phoneticPr fontId="1" type="noConversion"/>
  </si>
  <si>
    <t>quadruple</t>
    <phoneticPr fontId="1" type="noConversion"/>
  </si>
  <si>
    <t>56° 30' N</t>
  </si>
  <si>
    <t>9° 35' E</t>
  </si>
  <si>
    <t>MEB307</t>
  </si>
  <si>
    <t>Monumental</t>
  </si>
  <si>
    <t>Hybrid A</t>
  </si>
  <si>
    <t>Hybrid B</t>
  </si>
  <si>
    <t>Averaged over water stress and insect stress condictions</t>
    <phoneticPr fontId="1" type="noConversion"/>
  </si>
  <si>
    <t>_</t>
    <phoneticPr fontId="1" type="noConversion"/>
  </si>
  <si>
    <t>DKC68-04RR2</t>
  </si>
  <si>
    <t>Agrisure Viptera</t>
  </si>
  <si>
    <t>N7853111</t>
  </si>
  <si>
    <t>Bt11 + MIR162 + MIR604</t>
  </si>
  <si>
    <t>N785GT</t>
  </si>
  <si>
    <t>High water stress</t>
  </si>
  <si>
    <t>protein in grain-GMO %dw</t>
  </si>
  <si>
    <t>Cry1Ab + Vip3A + modified Cry3A</t>
  </si>
  <si>
    <t>Syngenta</t>
  </si>
  <si>
    <r>
      <t>Treated - chlorantraniliprole 18 applications year</t>
    </r>
    <r>
      <rPr>
        <vertAlign val="superscript"/>
        <sz val="8"/>
        <rFont val="Arial"/>
      </rPr>
      <t>-1</t>
    </r>
  </si>
  <si>
    <t>76° 45′ 12″ W</t>
  </si>
  <si>
    <t>M1 75D-29</t>
  </si>
  <si>
    <t>Stoneville, Mississippi USA</t>
  </si>
  <si>
    <t>M1 76D-30</t>
  </si>
  <si>
    <t>Older Bt Hybrids</t>
  </si>
  <si>
    <t>Newer Bt Hybrids</t>
  </si>
  <si>
    <t>Averaged over water stress and insect stress condictions</t>
  </si>
  <si>
    <t>Optimum Intrasect</t>
  </si>
  <si>
    <t>P33F83</t>
  </si>
  <si>
    <t>TC1507 + MON810</t>
  </si>
  <si>
    <t>N45A-LL</t>
  </si>
  <si>
    <t>Cry1Ab green plant tissue and pollen</t>
  </si>
  <si>
    <t>Cry1Ab all plant tissue</t>
  </si>
  <si>
    <t>51°15'13'' N</t>
  </si>
  <si>
    <t xml:space="preserve"> 85°19'23'' W</t>
  </si>
  <si>
    <t>176 or Bt11</t>
  </si>
  <si>
    <t>average 1999</t>
  </si>
  <si>
    <t>Hybrid C</t>
  </si>
  <si>
    <t>Hybrid D</t>
  </si>
  <si>
    <t>Untreated</t>
    <phoneticPr fontId="1" type="noConversion"/>
  </si>
  <si>
    <t>Non-Bt hybrid</t>
    <phoneticPr fontId="1" type="noConversion"/>
  </si>
  <si>
    <t>Insect infestation treatment</t>
    <phoneticPr fontId="1" type="noConversion"/>
  </si>
  <si>
    <t>_</t>
    <phoneticPr fontId="1" type="noConversion"/>
  </si>
  <si>
    <t>&gt; 0.05</t>
    <phoneticPr fontId="1" type="noConversion"/>
  </si>
  <si>
    <t>PR33P66</t>
  </si>
  <si>
    <t>PR33P67</t>
  </si>
  <si>
    <t>31G97</t>
  </si>
  <si>
    <t>34B98</t>
  </si>
  <si>
    <t>MON810</t>
  </si>
  <si>
    <t>31G96</t>
  </si>
  <si>
    <t>TC1507</t>
  </si>
  <si>
    <t>_</t>
    <phoneticPr fontId="1" type="noConversion"/>
  </si>
  <si>
    <t>Maize</t>
    <phoneticPr fontId="1" type="noConversion"/>
  </si>
  <si>
    <t>Florence</t>
    <phoneticPr fontId="1" type="noConversion"/>
  </si>
  <si>
    <t>M1 2A-31</t>
    <phoneticPr fontId="1" type="noConversion"/>
  </si>
  <si>
    <t>P33F87</t>
    <phoneticPr fontId="1" type="noConversion"/>
  </si>
  <si>
    <t>Compositional analyses were conducted using standard analytical methods (AOAC, AOCS, and other published methods)</t>
    <phoneticPr fontId="1" type="noConversion"/>
  </si>
  <si>
    <t>YieldGard VT Rootworm</t>
  </si>
  <si>
    <t>Colina, Region Metropolitana; Calera de Tango, Region Metropolitana; and Lumbreras, Region Metropolitana</t>
    <phoneticPr fontId="1" type="noConversion"/>
  </si>
  <si>
    <t xml:space="preserve">33°10′47″ N </t>
    <phoneticPr fontId="1" type="noConversion"/>
  </si>
  <si>
    <t xml:space="preserve">Lepidopteran insect resistance and Glufosinate herbicide tolerance </t>
    <phoneticPr fontId="1" type="noConversion"/>
  </si>
  <si>
    <t xml:space="preserve">Novartis </t>
    <phoneticPr fontId="1" type="noConversion"/>
  </si>
  <si>
    <t>Novartis</t>
    <phoneticPr fontId="1" type="noConversion"/>
  </si>
  <si>
    <t xml:space="preserve">Dekalb </t>
  </si>
  <si>
    <t xml:space="preserve">Dekalb </t>
    <phoneticPr fontId="1" type="noConversion"/>
  </si>
  <si>
    <t>17 Bt hybrids</t>
  </si>
  <si>
    <t>17 non Bt isolines</t>
  </si>
  <si>
    <t>27 Bt hybrids</t>
  </si>
  <si>
    <t>27 non Bt isolines</t>
  </si>
  <si>
    <t>31 Bt hybrids</t>
  </si>
  <si>
    <t xml:space="preserve">manual infestation with ECB </t>
  </si>
  <si>
    <r>
      <t>Treated - chlorantraniliprole 75.4 g ha</t>
    </r>
    <r>
      <rPr>
        <vertAlign val="superscript"/>
        <sz val="8"/>
        <rFont val="Arial"/>
      </rPr>
      <t xml:space="preserve">-1 </t>
    </r>
    <r>
      <rPr>
        <sz val="8"/>
        <rFont val="Arial"/>
        <family val="2"/>
        <charset val="1"/>
      </rPr>
      <t>15 applications year</t>
    </r>
    <r>
      <rPr>
        <vertAlign val="superscript"/>
        <sz val="8"/>
        <rFont val="Arial"/>
      </rPr>
      <t>-1</t>
    </r>
  </si>
  <si>
    <t>Dekalb</t>
    <phoneticPr fontId="1" type="noConversion"/>
  </si>
  <si>
    <t xml:space="preserve">Lepidopteran insect resistance and Glyphosate herbicide tolerance + Coleopteran insect resistance
</t>
    <phoneticPr fontId="1" type="noConversion"/>
  </si>
  <si>
    <t>irrigated</t>
  </si>
  <si>
    <t>Compositional analyses were conducted using standard analytical methods (AOAC, AOCS, and other published methods)</t>
  </si>
  <si>
    <t>Stable insertion of the coding sequence of cold shock protein B (CSPB) from B. subtilis-drought tolerance</t>
    <phoneticPr fontId="1" type="noConversion"/>
  </si>
  <si>
    <t xml:space="preserve">bioplastic granules inoculated with A. flavus NRRL 21882 </t>
  </si>
  <si>
    <t>P Total fumosin Elisa</t>
  </si>
  <si>
    <t>&gt; 0.05</t>
    <phoneticPr fontId="1" type="noConversion"/>
  </si>
  <si>
    <t>33°25' N</t>
  </si>
  <si>
    <t>90°52' O</t>
  </si>
  <si>
    <t>Cry1Ab</t>
    <phoneticPr fontId="1" type="noConversion"/>
  </si>
  <si>
    <t>_</t>
    <phoneticPr fontId="1" type="noConversion"/>
  </si>
  <si>
    <t>_</t>
    <phoneticPr fontId="1" type="noConversion"/>
  </si>
  <si>
    <t>_</t>
    <phoneticPr fontId="1" type="noConversion"/>
  </si>
  <si>
    <t>Soil</t>
    <phoneticPr fontId="1" type="noConversion"/>
  </si>
  <si>
    <t>Agronomical tecnique</t>
    <phoneticPr fontId="1" type="noConversion"/>
  </si>
  <si>
    <t>Well watered</t>
  </si>
  <si>
    <t>Water limited conditions</t>
  </si>
  <si>
    <t>Crop</t>
    <phoneticPr fontId="1" type="noConversion"/>
  </si>
  <si>
    <t>Location</t>
    <phoneticPr fontId="1" type="noConversion"/>
  </si>
  <si>
    <t>Water stress treatment</t>
    <phoneticPr fontId="1" type="noConversion"/>
  </si>
  <si>
    <t>Maturity (d) Non-GMO</t>
    <phoneticPr fontId="1" type="noConversion"/>
  </si>
  <si>
    <t>Sainte-Anne-de-Bellevue, Quebec, Canada</t>
  </si>
  <si>
    <t>P33F83</t>
    <phoneticPr fontId="1" type="noConversion"/>
  </si>
  <si>
    <t>M1 24A-6</t>
  </si>
  <si>
    <t>&lt; 0.05</t>
  </si>
  <si>
    <t>43°45' N</t>
    <phoneticPr fontId="1" type="noConversion"/>
  </si>
  <si>
    <t>11°15' E</t>
    <phoneticPr fontId="1" type="noConversion"/>
  </si>
  <si>
    <t>43° 26' N</t>
  </si>
  <si>
    <t>1° 27' E</t>
  </si>
  <si>
    <t>DKc5784</t>
  </si>
  <si>
    <t>DKc5783</t>
  </si>
  <si>
    <t xml:space="preserve">Cry1A.105 + Cry2Ab2 and Cry3Bb1 + cp4 epsps (aroA:CP4) </t>
    <phoneticPr fontId="1" type="noConversion"/>
  </si>
  <si>
    <t xml:space="preserve">Lepidopteran insect resistance + Insect resistance + Glufosinate herbicide tolerance </t>
    <phoneticPr fontId="1" type="noConversion"/>
  </si>
  <si>
    <t>7070Bt</t>
    <phoneticPr fontId="1" type="noConversion"/>
  </si>
  <si>
    <t>_</t>
    <phoneticPr fontId="1" type="noConversion"/>
  </si>
  <si>
    <t xml:space="preserve">Lepidopteran insect resistance + Glufosinate herbicide tolerance </t>
    <phoneticPr fontId="1" type="noConversion"/>
  </si>
  <si>
    <t xml:space="preserve">Lepidopteran insect resistance and Glyphosate herbicide tolerance + Coleopteran insect resistance
</t>
    <phoneticPr fontId="1" type="noConversion"/>
  </si>
  <si>
    <t>Cry1Fa2 + pat and Cry1Ab</t>
    <phoneticPr fontId="1" type="noConversion"/>
  </si>
  <si>
    <t>Triple</t>
    <phoneticPr fontId="1" type="noConversion"/>
  </si>
  <si>
    <t>Cry1Fa2 + pat</t>
    <phoneticPr fontId="1" type="noConversion"/>
  </si>
  <si>
    <t>Cry1Fa2 + pat</t>
    <phoneticPr fontId="1" type="noConversion"/>
  </si>
  <si>
    <t>Lepidopteran insect resistance + Glufosinate herbicide tolerance and Lepidopteran insect resistance</t>
    <phoneticPr fontId="1" type="noConversion"/>
  </si>
  <si>
    <t>Phytase production</t>
  </si>
  <si>
    <t>DKC4442YG</t>
    <phoneticPr fontId="1" type="noConversion"/>
  </si>
  <si>
    <t>cry1Ab + pat</t>
    <phoneticPr fontId="1" type="noConversion"/>
  </si>
  <si>
    <t xml:space="preserve">Lepidopteran insect resistance + Glufosinate herbicide tolerance </t>
    <phoneticPr fontId="1" type="noConversion"/>
  </si>
  <si>
    <t>GE traits</t>
    <phoneticPr fontId="1" type="noConversion"/>
  </si>
  <si>
    <t>Pioneer</t>
    <phoneticPr fontId="1" type="noConversion"/>
  </si>
  <si>
    <t>MON802</t>
    <phoneticPr fontId="1" type="noConversion"/>
  </si>
  <si>
    <t>8 locations: Jackson county, Arkansas; Greene and Jefferson counties, Iowa; Clinton and Stark counties, Illinois; Boone county, Indiana; Pawnee county, Kansas; and York county, Nebraska</t>
  </si>
  <si>
    <t>Roundup Ready</t>
  </si>
  <si>
    <t>MON-87427-7</t>
  </si>
  <si>
    <t>MON87427</t>
  </si>
  <si>
    <t>EXP62</t>
  </si>
  <si>
    <t>45°24’ N</t>
  </si>
  <si>
    <t>MON810 + MON88017</t>
    <phoneticPr fontId="1" type="noConversion"/>
  </si>
  <si>
    <t>Commercial name</t>
    <phoneticPr fontId="1" type="noConversion"/>
  </si>
  <si>
    <t>73°56’ W</t>
  </si>
  <si>
    <t>N23-F9</t>
  </si>
  <si>
    <t>N25N-GT</t>
  </si>
  <si>
    <t>N29-A2</t>
  </si>
  <si>
    <t>N29-G7</t>
  </si>
  <si>
    <t>N34-F1</t>
  </si>
  <si>
    <t>Event 176</t>
  </si>
  <si>
    <t>Cry1Ab and Cry3Bb1 - Glyphosate resistance</t>
  </si>
  <si>
    <t>DBT418</t>
    <phoneticPr fontId="1" type="noConversion"/>
  </si>
  <si>
    <t>Triple</t>
    <phoneticPr fontId="1" type="noConversion"/>
  </si>
  <si>
    <t>Single</t>
    <phoneticPr fontId="1" type="noConversion"/>
  </si>
  <si>
    <t>Double</t>
    <phoneticPr fontId="1" type="noConversion"/>
  </si>
  <si>
    <t xml:space="preserve">Cry1A.105 + Cry2Ab2 and Cry3Bb1 + cp4 epsps (aroA:CP4) </t>
    <phoneticPr fontId="1" type="noConversion"/>
  </si>
  <si>
    <t xml:space="preserve">Cry1Ab + and cry3Bb1 + cp4 epsps (aroA:CP4) </t>
    <phoneticPr fontId="1" type="noConversion"/>
  </si>
  <si>
    <t>TC1507</t>
    <phoneticPr fontId="1" type="noConversion"/>
  </si>
  <si>
    <t>double</t>
    <phoneticPr fontId="1" type="noConversion"/>
  </si>
  <si>
    <t>Quadriple</t>
    <phoneticPr fontId="1" type="noConversion"/>
  </si>
  <si>
    <t>Glufosinate herbicide tolerance + Lepidopteran insect resistance</t>
  </si>
  <si>
    <t>Unique identifier</t>
    <phoneticPr fontId="1" type="noConversion"/>
  </si>
  <si>
    <t xml:space="preserve">Cry1Ab and cry3Bb1 + cp4 epsps (aroA:CP4) </t>
    <phoneticPr fontId="1" type="noConversion"/>
  </si>
  <si>
    <t xml:space="preserve">Dekalb </t>
    <phoneticPr fontId="1" type="noConversion"/>
  </si>
  <si>
    <t>Cry1Fa2 + pat and Cry1Ab</t>
    <phoneticPr fontId="1" type="noConversion"/>
  </si>
  <si>
    <t xml:space="preserve">Cry1Fa2 + pat </t>
    <phoneticPr fontId="1" type="noConversion"/>
  </si>
  <si>
    <t>DKC69-71</t>
    <phoneticPr fontId="1" type="noConversion"/>
  </si>
  <si>
    <t>DKC 69-72</t>
    <phoneticPr fontId="1" type="noConversion"/>
  </si>
  <si>
    <t>Dekalb</t>
    <phoneticPr fontId="1" type="noConversion"/>
  </si>
  <si>
    <t>Maize</t>
    <phoneticPr fontId="1" type="noConversion"/>
  </si>
  <si>
    <t>34B99</t>
  </si>
  <si>
    <t xml:space="preserve">Cry1ab </t>
    <phoneticPr fontId="1" type="noConversion"/>
  </si>
  <si>
    <t xml:space="preserve">Lepidopteran insect resistance </t>
    <phoneticPr fontId="1" type="noConversion"/>
  </si>
  <si>
    <t>Cargill</t>
    <phoneticPr fontId="1" type="noConversion"/>
  </si>
  <si>
    <t>NC+</t>
    <phoneticPr fontId="1" type="noConversion"/>
  </si>
  <si>
    <t>Bt176</t>
    <phoneticPr fontId="1" type="noConversion"/>
  </si>
  <si>
    <t>Cry1Ac + bar</t>
    <phoneticPr fontId="1" type="noConversion"/>
  </si>
  <si>
    <t>Cry1Ab + bar</t>
    <phoneticPr fontId="1" type="noConversion"/>
  </si>
  <si>
    <t>Bt176</t>
    <phoneticPr fontId="1" type="noConversion"/>
  </si>
  <si>
    <t>Cry1Ab + bar</t>
    <phoneticPr fontId="1" type="noConversion"/>
  </si>
  <si>
    <t>cry1Ab + pat</t>
    <phoneticPr fontId="1" type="noConversion"/>
  </si>
  <si>
    <t>Bt11</t>
    <phoneticPr fontId="1" type="noConversion"/>
  </si>
  <si>
    <t>cry1Ab + pat</t>
    <phoneticPr fontId="1" type="noConversion"/>
  </si>
  <si>
    <t>CBH351</t>
    <phoneticPr fontId="1" type="noConversion"/>
  </si>
  <si>
    <t>CBH351</t>
    <phoneticPr fontId="1" type="noConversion"/>
  </si>
  <si>
    <t>Cry9C + bar</t>
    <phoneticPr fontId="1" type="noConversion"/>
  </si>
  <si>
    <t>MON810</t>
    <phoneticPr fontId="1" type="noConversion"/>
  </si>
  <si>
    <t>Bt11</t>
  </si>
  <si>
    <t>Bt11</t>
    <phoneticPr fontId="1" type="noConversion"/>
  </si>
  <si>
    <t>N25N</t>
    <phoneticPr fontId="1" type="noConversion"/>
  </si>
  <si>
    <t>Monsanto</t>
    <phoneticPr fontId="1" type="noConversion"/>
  </si>
  <si>
    <t>Bt + glyphosate resistant</t>
    <phoneticPr fontId="1" type="noConversion"/>
  </si>
  <si>
    <t>NX6369 Bt</t>
  </si>
  <si>
    <t>NX6368</t>
  </si>
  <si>
    <t>Pactol Bt</t>
  </si>
  <si>
    <t>Cry1Fa2 + pat and Cry1Ab</t>
    <phoneticPr fontId="1" type="noConversion"/>
  </si>
  <si>
    <t xml:space="preserve">Cry1Fa2 + pat </t>
  </si>
  <si>
    <t>DKC69-40</t>
    <phoneticPr fontId="1" type="noConversion"/>
  </si>
  <si>
    <t>DKC69-43</t>
    <phoneticPr fontId="1" type="noConversion"/>
  </si>
  <si>
    <t>34B97</t>
  </si>
  <si>
    <t>MON87427 x MON89034 x NK603</t>
    <phoneticPr fontId="1" type="noConversion"/>
  </si>
  <si>
    <t>2016-Winter</t>
    <phoneticPr fontId="1" type="noConversion"/>
  </si>
  <si>
    <t>cry3Bb1 + cp4epsps</t>
    <phoneticPr fontId="1" type="noConversion"/>
  </si>
  <si>
    <t>cry3Bb1 + cp4epsps</t>
    <phoneticPr fontId="1" type="noConversion"/>
  </si>
  <si>
    <t>fat in grain-GMO % dw</t>
    <phoneticPr fontId="1" type="noConversion"/>
  </si>
  <si>
    <t>Older Bt Hybrids</t>
    <phoneticPr fontId="1" type="noConversion"/>
  </si>
  <si>
    <t>Older Bt Hybrids</t>
    <phoneticPr fontId="1" type="noConversion"/>
  </si>
  <si>
    <t>Newer Bt Hybrids</t>
    <phoneticPr fontId="1" type="noConversion"/>
  </si>
  <si>
    <t>M1 2A-25</t>
    <phoneticPr fontId="1" type="noConversion"/>
  </si>
  <si>
    <t>Maize</t>
    <phoneticPr fontId="1" type="noConversion"/>
  </si>
  <si>
    <t>South Texas, Corpus Christi, TX</t>
    <phoneticPr fontId="1" type="noConversion"/>
  </si>
  <si>
    <t>Lepidopteran insect resistance + Glufosinate herbicide tolerance and Lepidopteran insect resistance and Coleopteran insect resistance</t>
    <phoneticPr fontId="1" type="noConversion"/>
  </si>
  <si>
    <t xml:space="preserve">Lepidopteran insect resistance + Glufosinate herbicide tolerance </t>
  </si>
  <si>
    <t xml:space="preserve">Cry1Ab + and cry3Bb1 + cp4 epsps (aroA:CP4) </t>
    <phoneticPr fontId="1" type="noConversion"/>
  </si>
  <si>
    <t xml:space="preserve">Lepidopteran insect resistance and Glyphosate herbicide tolerance + Coleopteran insect resistance
</t>
    <phoneticPr fontId="1" type="noConversion"/>
  </si>
  <si>
    <t>Triple</t>
    <phoneticPr fontId="1" type="noConversion"/>
  </si>
  <si>
    <t>Triple</t>
    <phoneticPr fontId="1" type="noConversion"/>
  </si>
  <si>
    <t>44500-49500 plants per ha/no foliar insecticides and irrigation/roundup herbicide for the control on the hybrids that were all glyphosate-tolerant</t>
    <phoneticPr fontId="1" type="noConversion"/>
  </si>
  <si>
    <t>Maturity (d/GDD) GMO</t>
    <phoneticPr fontId="1" type="noConversion"/>
  </si>
  <si>
    <t>DK621BtY</t>
  </si>
  <si>
    <t>Modified Bt gene conferring resistance to ECB</t>
    <phoneticPr fontId="1" type="noConversion"/>
  </si>
  <si>
    <t>N79-P4</t>
  </si>
  <si>
    <t>32-23</t>
  </si>
  <si>
    <t>N75-K6</t>
  </si>
  <si>
    <t>32K61</t>
  </si>
  <si>
    <t>Mindanao, Philippines: South Cotabato (1 location), Sultan Kuradat (3 locations), and North Cotabato (3 locations)</t>
    <phoneticPr fontId="1" type="noConversion"/>
  </si>
  <si>
    <t>DK440</t>
  </si>
  <si>
    <t>Cry1Ab</t>
    <phoneticPr fontId="1" type="noConversion"/>
  </si>
  <si>
    <r>
      <t>b</t>
    </r>
    <r>
      <rPr>
        <sz val="12"/>
        <color indexed="8"/>
        <rFont val="Times New Roman"/>
      </rPr>
      <t>Department of Agriculture, Food and Environment, University of Pisa, via del Borghetto 80, 56125 Pisa, Italy</t>
    </r>
  </si>
  <si>
    <t>*Corresponding Author information:</t>
  </si>
  <si>
    <t>Laura Ercoli</t>
  </si>
  <si>
    <t>laura.ercoli@santannapisa.it</t>
  </si>
  <si>
    <t>Supplementary Information 2</t>
  </si>
  <si>
    <t>Seed company</t>
    <phoneticPr fontId="1" type="noConversion"/>
  </si>
  <si>
    <t>Seed company</t>
    <phoneticPr fontId="1" type="noConversion"/>
  </si>
  <si>
    <t>Seed company</t>
    <phoneticPr fontId="1" type="noConversion"/>
  </si>
  <si>
    <t>Seed company</t>
    <phoneticPr fontId="1" type="noConversion"/>
  </si>
  <si>
    <t>Marshall, MO USA</t>
    <phoneticPr fontId="1" type="noConversion"/>
  </si>
  <si>
    <t xml:space="preserve">39°6′58″N </t>
    <phoneticPr fontId="1" type="noConversion"/>
  </si>
  <si>
    <t>93°11′52″W</t>
  </si>
  <si>
    <t>Oregon, MO USA</t>
    <phoneticPr fontId="1" type="noConversion"/>
  </si>
  <si>
    <t xml:space="preserve">Cry1Ab + and cry3Bb1 + cp4 epsps (aroA:CP4) </t>
    <phoneticPr fontId="1" type="noConversion"/>
  </si>
  <si>
    <t>GE traits</t>
    <phoneticPr fontId="1" type="noConversion"/>
  </si>
  <si>
    <t>quadruple</t>
  </si>
  <si>
    <t>Lepidopteran insect resistance</t>
  </si>
  <si>
    <t>Bt11</t>
    <phoneticPr fontId="1" type="noConversion"/>
  </si>
  <si>
    <t xml:space="preserve">Lepidopteran insect resistance </t>
    <phoneticPr fontId="1" type="noConversion"/>
  </si>
  <si>
    <t>Cry1Ab + bar</t>
    <phoneticPr fontId="1" type="noConversion"/>
  </si>
  <si>
    <t>double</t>
    <phoneticPr fontId="1" type="noConversion"/>
  </si>
  <si>
    <t xml:space="preserve">Lepidopteran insect resistance + Glufosinate herbicide tolerance </t>
    <phoneticPr fontId="1" type="noConversion"/>
  </si>
  <si>
    <t>Bt176</t>
    <phoneticPr fontId="1" type="noConversion"/>
  </si>
  <si>
    <t>Cry1ab</t>
    <phoneticPr fontId="1" type="noConversion"/>
  </si>
  <si>
    <t>4640Bt</t>
  </si>
  <si>
    <t>34R06</t>
  </si>
  <si>
    <t>580Bt-Y</t>
  </si>
  <si>
    <t>8773BLT</t>
    <phoneticPr fontId="1" type="noConversion"/>
  </si>
  <si>
    <t>8600 BLT</t>
  </si>
  <si>
    <t>8600 BLT</t>
    <phoneticPr fontId="1" type="noConversion"/>
  </si>
  <si>
    <t>NX5297</t>
  </si>
  <si>
    <t>Cry1Ac + bar + pinII</t>
  </si>
  <si>
    <t>Cry1Ac + bar + pinII</t>
    <phoneticPr fontId="1" type="noConversion"/>
  </si>
  <si>
    <t>triple</t>
    <phoneticPr fontId="1" type="noConversion"/>
  </si>
  <si>
    <t>triple</t>
    <phoneticPr fontId="1" type="noConversion"/>
  </si>
  <si>
    <t xml:space="preserve">Transformation event </t>
    <phoneticPr fontId="1" type="noConversion"/>
  </si>
  <si>
    <t>Bt11</t>
    <phoneticPr fontId="1" type="noConversion"/>
  </si>
  <si>
    <t>Pioneer</t>
    <phoneticPr fontId="1" type="noConversion"/>
  </si>
  <si>
    <t>Cry1Ab</t>
    <phoneticPr fontId="1" type="noConversion"/>
  </si>
  <si>
    <t>C8120Bt</t>
    <phoneticPr fontId="1" type="noConversion"/>
  </si>
  <si>
    <t>MON810</t>
    <phoneticPr fontId="1" type="noConversion"/>
  </si>
  <si>
    <t>Elizabeth, Mississipi, USA</t>
    <phoneticPr fontId="1" type="noConversion"/>
  </si>
  <si>
    <t>M1 87D-36</t>
  </si>
  <si>
    <t>insecticide application: 0</t>
  </si>
  <si>
    <t>insecticide application: 1</t>
  </si>
  <si>
    <t>insecticide application: 3</t>
  </si>
  <si>
    <t>Auggen, Eckartsweier, Ladenburg, and Trebur, Germany</t>
  </si>
  <si>
    <t>_</t>
    <phoneticPr fontId="1" type="noConversion"/>
  </si>
  <si>
    <t>cry1Ab + pat</t>
  </si>
  <si>
    <t>Bt11 + MIR162 + MIR604</t>
    <phoneticPr fontId="1" type="noConversion"/>
  </si>
  <si>
    <t>cry1Ab + pat and vip3Aa20 and mcry3A</t>
    <phoneticPr fontId="1" type="noConversion"/>
  </si>
  <si>
    <t>Lepidopteran insect resistance + Glufosinate herbicide tolerance and Lepidopteran insect resistance and Coleopteran insect resistance</t>
    <phoneticPr fontId="1" type="noConversion"/>
  </si>
  <si>
    <t>cry1Ab + pat and vip3Aa20 and mcry3A</t>
    <phoneticPr fontId="1" type="noConversion"/>
  </si>
  <si>
    <t>cry1Ab + pat</t>
    <phoneticPr fontId="1" type="noConversion"/>
  </si>
  <si>
    <t>MON810</t>
    <phoneticPr fontId="1" type="noConversion"/>
  </si>
  <si>
    <t xml:space="preserve">Lepidopteran insect resistance </t>
  </si>
  <si>
    <t>cp4epsps gene (herbicide tolerance: glyphosate)</t>
  </si>
  <si>
    <t>cry3Bb1 gene (insect resistance: coleoptera), cp4epsps gene (herbicide tolerance: glyphosate) + cry1A.105 and cry2Ab2 genes (insect resistance: lepidoptera) + cp4epsps gene (herbicide tolerance: glyphosate)</t>
  </si>
  <si>
    <t>quintuple</t>
  </si>
  <si>
    <t>A6605</t>
  </si>
  <si>
    <t>Syngenta Seeds Inc.</t>
  </si>
  <si>
    <t>N79P4</t>
  </si>
  <si>
    <t>insecticide application: 5</t>
  </si>
  <si>
    <t>1 may</t>
  </si>
  <si>
    <t xml:space="preserve">Cry1ab </t>
  </si>
  <si>
    <t>Cry1ab</t>
  </si>
  <si>
    <r>
      <t>Elisa Pellegrino</t>
    </r>
    <r>
      <rPr>
        <vertAlign val="superscript"/>
        <sz val="12"/>
        <color indexed="8"/>
        <rFont val="Times New Roman"/>
      </rPr>
      <t>a</t>
    </r>
    <r>
      <rPr>
        <sz val="12"/>
        <color indexed="8"/>
        <rFont val="Times New Roman"/>
      </rPr>
      <t>, Stefano Bedini</t>
    </r>
    <r>
      <rPr>
        <vertAlign val="superscript"/>
        <sz val="12"/>
        <color indexed="8"/>
        <rFont val="Times New Roman"/>
      </rPr>
      <t>b</t>
    </r>
    <r>
      <rPr>
        <sz val="12"/>
        <color indexed="8"/>
        <rFont val="Times New Roman"/>
      </rPr>
      <t>, Marco Nuti</t>
    </r>
    <r>
      <rPr>
        <vertAlign val="superscript"/>
        <sz val="12"/>
        <color indexed="8"/>
        <rFont val="Times New Roman"/>
      </rPr>
      <t>a,b</t>
    </r>
    <r>
      <rPr>
        <sz val="12"/>
        <color indexed="8"/>
        <rFont val="Times New Roman"/>
      </rPr>
      <t>, Laura Ercoli</t>
    </r>
    <r>
      <rPr>
        <vertAlign val="superscript"/>
        <sz val="12"/>
        <color indexed="8"/>
        <rFont val="Times New Roman"/>
      </rPr>
      <t xml:space="preserve"> a,</t>
    </r>
    <r>
      <rPr>
        <sz val="12"/>
        <color indexed="8"/>
        <rFont val="Times New Roman"/>
      </rPr>
      <t>*</t>
    </r>
  </si>
  <si>
    <r>
      <t>a</t>
    </r>
    <r>
      <rPr>
        <sz val="12"/>
        <color indexed="8"/>
        <rFont val="Times New Roman"/>
      </rPr>
      <t>Institute of Life Sciences, Scuola Superiore Sant'Anna, Piazza Martiri della Libertà 33, 56127 Pisa, Italy</t>
    </r>
  </si>
  <si>
    <t xml:space="preserve">cry3Bb1 gene (insect resistance: coleoptera), cp4epsps gene (herbicide tolerance: glyphosate)
</t>
  </si>
  <si>
    <t>cspB gene (thermic stress tolerance), nptII gene (aminoglycoside antibiotic resistance: kanamycin and neomycin)</t>
  </si>
  <si>
    <t>cry1Ab gene (insect resistance: lepidoptera)</t>
  </si>
  <si>
    <t>cry1Ab gene (insect resistance: lepidoptera), pat gene (herbicide tolerance: glufosinate)</t>
  </si>
  <si>
    <t xml:space="preserve">cry1Ab gene (insect resistance: lepidoptera), pat gene (herbicide tolerance: glufosinate)
</t>
  </si>
  <si>
    <t xml:space="preserve">39°59′12″N </t>
    <phoneticPr fontId="1" type="noConversion"/>
  </si>
  <si>
    <t>95°8′33″W</t>
  </si>
  <si>
    <t>_</t>
    <phoneticPr fontId="1" type="noConversion"/>
  </si>
  <si>
    <t>_</t>
    <phoneticPr fontId="1" type="noConversion"/>
  </si>
  <si>
    <t>Class and unique identifier</t>
    <phoneticPr fontId="1" type="noConversion"/>
  </si>
  <si>
    <t>_</t>
    <phoneticPr fontId="1" type="noConversion"/>
  </si>
  <si>
    <t>357Bt</t>
  </si>
  <si>
    <t>3030Bt</t>
  </si>
  <si>
    <t>X1006RT</t>
  </si>
  <si>
    <t>493Bt-X</t>
  </si>
  <si>
    <t>8773BLT</t>
  </si>
  <si>
    <t>EX8711</t>
  </si>
  <si>
    <t>Cry1Ab + pat</t>
    <phoneticPr fontId="1" type="noConversion"/>
  </si>
  <si>
    <t>Maximizer 23</t>
    <phoneticPr fontId="1" type="noConversion"/>
  </si>
  <si>
    <t>Hybrid name</t>
    <phoneticPr fontId="1" type="noConversion"/>
  </si>
  <si>
    <t>Syngenta</t>
    <phoneticPr fontId="1" type="noConversion"/>
  </si>
  <si>
    <t>566Bt</t>
    <phoneticPr fontId="1" type="noConversion"/>
  </si>
  <si>
    <t>580Bt</t>
    <phoneticPr fontId="1" type="noConversion"/>
  </si>
  <si>
    <t>2555Bt</t>
    <phoneticPr fontId="1" type="noConversion"/>
  </si>
  <si>
    <t>493Bt</t>
    <phoneticPr fontId="1" type="noConversion"/>
  </si>
  <si>
    <t>3030Bt</t>
    <phoneticPr fontId="1" type="noConversion"/>
  </si>
  <si>
    <t>Golden Harvest 2390Bt</t>
    <phoneticPr fontId="1" type="noConversion"/>
  </si>
  <si>
    <t>Golden Harvest 2493Bt</t>
    <phoneticPr fontId="1" type="noConversion"/>
  </si>
  <si>
    <t>_</t>
    <phoneticPr fontId="1" type="noConversion"/>
  </si>
  <si>
    <t xml:space="preserve">Novartis </t>
    <phoneticPr fontId="1" type="noConversion"/>
  </si>
  <si>
    <t>resistance to lepidopteran insects</t>
    <phoneticPr fontId="1" type="noConversion"/>
  </si>
  <si>
    <t>Stacked  Herbicide Tolerance + Insect Resistance</t>
    <phoneticPr fontId="1" type="noConversion"/>
  </si>
  <si>
    <t>double</t>
    <phoneticPr fontId="1" type="noConversion"/>
  </si>
  <si>
    <t>Cry1Ab + pat</t>
    <phoneticPr fontId="1" type="noConversion"/>
  </si>
  <si>
    <t>Cry1Ab green plant tissue and pollen + pat</t>
    <phoneticPr fontId="1" type="noConversion"/>
  </si>
  <si>
    <t>Insect Resistance +Herbicide Tolerance + Insect Resistance</t>
    <phoneticPr fontId="1" type="noConversion"/>
  </si>
  <si>
    <t>Cry1Ab + Cry3Bb1 + (CP4 epsps+goxv247)</t>
    <phoneticPr fontId="1" type="noConversion"/>
  </si>
  <si>
    <t>cry1Ab gene (insect resistance: lepidoptera)</t>
    <phoneticPr fontId="1" type="noConversion"/>
  </si>
  <si>
    <t>Insect resistance: lepidoptera</t>
    <phoneticPr fontId="1" type="noConversion"/>
  </si>
  <si>
    <t>Herbicide Tolerance + Insect Resistance</t>
  </si>
  <si>
    <t>double</t>
    <phoneticPr fontId="1" type="noConversion"/>
  </si>
  <si>
    <t>Herbicide Tolerance + Insect Resistance</t>
    <phoneticPr fontId="1" type="noConversion"/>
  </si>
  <si>
    <t>Insect resistance: lepidoptera</t>
    <phoneticPr fontId="1" type="noConversion"/>
  </si>
  <si>
    <t>Herbicide Tolerance + Insect Resistance &amp; Insect resistance: lepidopter</t>
    <phoneticPr fontId="1" type="noConversion"/>
  </si>
  <si>
    <t>double and single</t>
    <phoneticPr fontId="1" type="noConversion"/>
  </si>
  <si>
    <t>triple</t>
    <phoneticPr fontId="1" type="noConversion"/>
  </si>
  <si>
    <t xml:space="preserve">Insect Resistance + Herbicide Tolerance + Insect Resistance </t>
    <phoneticPr fontId="1" type="noConversion"/>
  </si>
  <si>
    <r>
      <t>SEM</t>
    </r>
    <r>
      <rPr>
        <b/>
        <vertAlign val="subscript"/>
        <sz val="8"/>
        <rFont val="Arial"/>
      </rPr>
      <t>Yield</t>
    </r>
    <r>
      <rPr>
        <b/>
        <sz val="8"/>
        <rFont val="Arial"/>
        <family val="2"/>
      </rPr>
      <t xml:space="preserve"> GMO</t>
    </r>
  </si>
  <si>
    <r>
      <t>SD</t>
    </r>
    <r>
      <rPr>
        <b/>
        <vertAlign val="subscript"/>
        <sz val="8"/>
        <rFont val="Arial"/>
      </rPr>
      <t>Yield</t>
    </r>
    <r>
      <rPr>
        <b/>
        <sz val="8"/>
        <rFont val="Arial"/>
        <family val="2"/>
      </rPr>
      <t xml:space="preserve"> GMO</t>
    </r>
  </si>
  <si>
    <r>
      <t>SEM</t>
    </r>
    <r>
      <rPr>
        <b/>
        <vertAlign val="subscript"/>
        <sz val="8"/>
        <rFont val="Arial"/>
      </rPr>
      <t>Yield</t>
    </r>
    <r>
      <rPr>
        <b/>
        <sz val="8"/>
        <rFont val="Arial"/>
        <family val="2"/>
      </rPr>
      <t xml:space="preserve"> Non-GMO</t>
    </r>
  </si>
  <si>
    <r>
      <t>SD</t>
    </r>
    <r>
      <rPr>
        <b/>
        <vertAlign val="subscript"/>
        <sz val="8"/>
        <rFont val="Arial"/>
      </rPr>
      <t>Yield</t>
    </r>
    <r>
      <rPr>
        <b/>
        <sz val="8"/>
        <rFont val="Arial"/>
        <family val="2"/>
      </rPr>
      <t xml:space="preserve"> non-GMO</t>
    </r>
  </si>
  <si>
    <r>
      <t>F</t>
    </r>
    <r>
      <rPr>
        <b/>
        <vertAlign val="subscript"/>
        <sz val="8"/>
        <rFont val="Arial"/>
      </rPr>
      <t>Yield</t>
    </r>
  </si>
  <si>
    <r>
      <t>P</t>
    </r>
    <r>
      <rPr>
        <b/>
        <vertAlign val="subscript"/>
        <sz val="8"/>
        <rFont val="Arial"/>
      </rPr>
      <t>Yield</t>
    </r>
  </si>
  <si>
    <t>cry1Ab + pat</t>
    <phoneticPr fontId="1" type="noConversion"/>
  </si>
  <si>
    <t>Roundup WeatherMAX 10 lb ae/acre V2-V4 growth stages for weed control</t>
    <phoneticPr fontId="1" type="noConversion"/>
  </si>
  <si>
    <t>herbicide tollerance: glyphosate</t>
  </si>
  <si>
    <t xml:space="preserve">Helicoverpa zeae /Spodoptera frugiperda </t>
    <phoneticPr fontId="1" type="noConversion"/>
  </si>
  <si>
    <t xml:space="preserve">Helicoverpa zeae /Spodoptera frugiperda </t>
    <phoneticPr fontId="1" type="noConversion"/>
  </si>
  <si>
    <r>
      <t>Erwinia chrysanthemi</t>
    </r>
    <r>
      <rPr>
        <sz val="12"/>
        <rFont val="Times New Roman"/>
      </rPr>
      <t xml:space="preserve"> </t>
    </r>
  </si>
  <si>
    <t xml:space="preserve">toxin(s)/protein expressed </t>
    <phoneticPr fontId="1" type="noConversion"/>
  </si>
  <si>
    <t>MON89034</t>
    <phoneticPr fontId="1" type="noConversion"/>
  </si>
  <si>
    <t>TC1507 + MON810</t>
    <phoneticPr fontId="1" type="noConversion"/>
  </si>
  <si>
    <t>MON810 + MON88017</t>
    <phoneticPr fontId="1" type="noConversion"/>
  </si>
  <si>
    <t>cry3Bb1 gene (insect resistance: coleoptera), cp4epsps gene (herbicide tolerance: glyphosate)</t>
  </si>
  <si>
    <t>Impact of genetically engineered maize on agronomic, environmental and toxicological traits: a meta-analysis of 21 years of field data</t>
  </si>
  <si>
    <t>Diff</t>
  </si>
  <si>
    <t>Wt</t>
  </si>
  <si>
    <t>g+</t>
  </si>
  <si>
    <t>samp size</t>
  </si>
  <si>
    <t>g*sampsize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</si>
</sst>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9">
    <font>
      <sz val="10"/>
      <name val="Arial"/>
    </font>
    <font>
      <sz val="8"/>
      <name val="Verdana"/>
    </font>
    <font>
      <sz val="8"/>
      <name val="Arial"/>
      <family val="2"/>
      <charset val="1"/>
    </font>
    <font>
      <b/>
      <sz val="8"/>
      <name val="Arial"/>
      <family val="2"/>
    </font>
    <font>
      <b/>
      <vertAlign val="superscript"/>
      <sz val="8"/>
      <name val="Arial"/>
    </font>
    <font>
      <b/>
      <vertAlign val="subscript"/>
      <sz val="8"/>
      <name val="Arial"/>
    </font>
    <font>
      <sz val="8"/>
      <name val="AdvOT863180fb"/>
      <family val="2"/>
    </font>
    <font>
      <i/>
      <sz val="8"/>
      <name val="Arial"/>
    </font>
    <font>
      <b/>
      <i/>
      <sz val="8"/>
      <name val="Arial"/>
    </font>
    <font>
      <vertAlign val="superscript"/>
      <sz val="8"/>
      <name val="Arial"/>
    </font>
    <font>
      <sz val="8"/>
      <name val="AdvOT2e364b11"/>
      <family val="2"/>
    </font>
    <font>
      <sz val="12"/>
      <name val="Times New Roman"/>
    </font>
    <font>
      <b/>
      <sz val="11.5"/>
      <color indexed="8"/>
      <name val="Times New Roman"/>
    </font>
    <font>
      <sz val="12"/>
      <color indexed="8"/>
      <name val="Times New Roman"/>
    </font>
    <font>
      <b/>
      <sz val="12"/>
      <color indexed="8"/>
      <name val="Times New Roman"/>
    </font>
    <font>
      <vertAlign val="superscript"/>
      <sz val="12"/>
      <color indexed="8"/>
      <name val="Times New Roman"/>
    </font>
    <font>
      <u/>
      <sz val="10"/>
      <color indexed="12"/>
      <name val="Arial"/>
    </font>
    <font>
      <u/>
      <sz val="10"/>
      <color indexed="20"/>
      <name val="Arial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16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11">
    <xf numFmtId="0" fontId="0" fillId="0" borderId="0" xfId="0"/>
    <xf numFmtId="0" fontId="2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2" fontId="2" fillId="0" borderId="2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2" fontId="2" fillId="0" borderId="0" xfId="0" applyNumberFormat="1" applyFont="1" applyFill="1" applyBorder="1" applyAlignment="1">
      <alignment horizontal="left" vertical="top"/>
    </xf>
    <xf numFmtId="2" fontId="2" fillId="0" borderId="1" xfId="0" applyNumberFormat="1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2" fontId="2" fillId="0" borderId="0" xfId="0" applyNumberFormat="1" applyFont="1" applyFill="1" applyAlignment="1">
      <alignment horizontal="left" vertical="top"/>
    </xf>
    <xf numFmtId="0" fontId="2" fillId="0" borderId="2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vertical="top" wrapText="1"/>
    </xf>
    <xf numFmtId="20" fontId="2" fillId="0" borderId="2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20" fontId="2" fillId="0" borderId="0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 wrapText="1"/>
    </xf>
    <xf numFmtId="0" fontId="6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0" fontId="6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/>
    </xf>
    <xf numFmtId="165" fontId="2" fillId="0" borderId="0" xfId="0" applyNumberFormat="1" applyFont="1" applyFill="1" applyBorder="1" applyAlignment="1">
      <alignment horizontal="left" vertical="top"/>
    </xf>
    <xf numFmtId="165" fontId="2" fillId="0" borderId="1" xfId="0" applyNumberFormat="1" applyFont="1" applyFill="1" applyBorder="1" applyAlignment="1">
      <alignment horizontal="left" vertical="top"/>
    </xf>
    <xf numFmtId="165" fontId="2" fillId="0" borderId="2" xfId="0" applyNumberFormat="1" applyFont="1" applyFill="1" applyBorder="1" applyAlignment="1">
      <alignment horizontal="left" vertical="top"/>
    </xf>
    <xf numFmtId="165" fontId="2" fillId="0" borderId="3" xfId="0" applyNumberFormat="1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5" fontId="2" fillId="0" borderId="0" xfId="0" applyNumberFormat="1" applyFont="1" applyFill="1" applyAlignment="1">
      <alignment horizontal="left" vertical="top"/>
    </xf>
    <xf numFmtId="20" fontId="2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Border="1" applyAlignment="1" applyProtection="1">
      <alignment horizontal="left" vertical="top"/>
      <protection locked="0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 applyProtection="1">
      <alignment horizontal="left" vertical="top"/>
      <protection locked="0"/>
    </xf>
    <xf numFmtId="0" fontId="10" fillId="0" borderId="2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/>
    </xf>
    <xf numFmtId="0" fontId="10" fillId="0" borderId="2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vertical="top" wrapText="1"/>
    </xf>
    <xf numFmtId="0" fontId="0" fillId="0" borderId="0" xfId="0" applyFont="1" applyFill="1" applyBorder="1"/>
    <xf numFmtId="0" fontId="8" fillId="0" borderId="1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16" fontId="2" fillId="0" borderId="2" xfId="0" applyNumberFormat="1" applyFont="1" applyFill="1" applyBorder="1" applyAlignment="1">
      <alignment horizontal="left" vertical="top"/>
    </xf>
    <xf numFmtId="16" fontId="2" fillId="0" borderId="0" xfId="0" applyNumberFormat="1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/>
    <xf numFmtId="0" fontId="13" fillId="0" borderId="0" xfId="0" applyFont="1"/>
    <xf numFmtId="0" fontId="14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/>
    <xf numFmtId="0" fontId="2" fillId="0" borderId="3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vertical="top" wrapText="1"/>
    </xf>
    <xf numFmtId="2" fontId="2" fillId="3" borderId="0" xfId="0" applyNumberFormat="1" applyFont="1" applyFill="1" applyBorder="1" applyAlignment="1">
      <alignment horizontal="left" vertical="top" wrapText="1"/>
    </xf>
    <xf numFmtId="2" fontId="0" fillId="3" borderId="0" xfId="0" applyNumberFormat="1" applyFont="1" applyFill="1" applyBorder="1"/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 wrapText="1"/>
    </xf>
    <xf numFmtId="2" fontId="2" fillId="3" borderId="1" xfId="0" applyNumberFormat="1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top" wrapText="1"/>
    </xf>
    <xf numFmtId="2" fontId="2" fillId="3" borderId="5" xfId="0" applyNumberFormat="1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center" vertical="top"/>
    </xf>
    <xf numFmtId="2" fontId="2" fillId="3" borderId="5" xfId="0" applyNumberFormat="1" applyFont="1" applyFill="1" applyBorder="1" applyAlignment="1">
      <alignment horizontal="left" vertical="top"/>
    </xf>
    <xf numFmtId="2" fontId="2" fillId="3" borderId="0" xfId="0" applyNumberFormat="1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/>
    </xf>
    <xf numFmtId="2" fontId="2" fillId="3" borderId="1" xfId="0" applyNumberFormat="1" applyFont="1" applyFill="1" applyBorder="1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165" fontId="2" fillId="3" borderId="0" xfId="0" applyNumberFormat="1" applyFont="1" applyFill="1" applyBorder="1" applyAlignment="1">
      <alignment horizontal="left" vertical="top"/>
    </xf>
    <xf numFmtId="165" fontId="2" fillId="3" borderId="1" xfId="0" applyNumberFormat="1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3" borderId="0" xfId="0" quotePrefix="1" applyFont="1" applyFill="1" applyBorder="1" applyAlignment="1">
      <alignment horizontal="left" vertical="top"/>
    </xf>
    <xf numFmtId="164" fontId="2" fillId="3" borderId="5" xfId="0" applyNumberFormat="1" applyFont="1" applyFill="1" applyBorder="1" applyAlignment="1">
      <alignment horizontal="left" vertical="top"/>
    </xf>
    <xf numFmtId="164" fontId="2" fillId="3" borderId="0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0" fontId="2" fillId="3" borderId="6" xfId="0" applyFont="1" applyFill="1" applyBorder="1" applyAlignment="1">
      <alignment horizontal="left" vertical="top"/>
    </xf>
    <xf numFmtId="2" fontId="2" fillId="3" borderId="6" xfId="0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0" fillId="4" borderId="0" xfId="0" applyFont="1" applyFill="1" applyBorder="1"/>
    <xf numFmtId="0" fontId="0" fillId="0" borderId="5" xfId="0" applyFont="1" applyFill="1" applyBorder="1"/>
    <xf numFmtId="0" fontId="18" fillId="5" borderId="0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C19" sqref="C19"/>
    </sheetView>
  </sheetViews>
  <sheetFormatPr defaultColWidth="10.77734375" defaultRowHeight="15.6"/>
  <cols>
    <col min="1" max="16384" width="10.77734375" style="58"/>
  </cols>
  <sheetData>
    <row r="1" spans="1:11">
      <c r="A1" s="56" t="s">
        <v>907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>
      <c r="A2" s="59"/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1">
      <c r="A3" s="59" t="s">
        <v>1035</v>
      </c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ht="18.600000000000001">
      <c r="A4" s="60" t="s">
        <v>969</v>
      </c>
      <c r="B4" s="57"/>
      <c r="C4" s="57"/>
      <c r="D4" s="57"/>
      <c r="E4" s="57"/>
      <c r="F4" s="57"/>
      <c r="G4" s="57"/>
      <c r="H4" s="57"/>
      <c r="I4" s="57"/>
      <c r="J4" s="57"/>
      <c r="K4" s="57"/>
    </row>
    <row r="5" spans="1:11" ht="18.600000000000001">
      <c r="A5" s="61" t="s">
        <v>970</v>
      </c>
      <c r="B5" s="57"/>
      <c r="C5" s="57"/>
      <c r="D5" s="57"/>
      <c r="E5" s="57"/>
      <c r="F5" s="57"/>
      <c r="G5" s="57"/>
      <c r="H5" s="57"/>
      <c r="I5" s="57"/>
      <c r="J5" s="57"/>
      <c r="K5" s="57"/>
    </row>
    <row r="6" spans="1:11" ht="18.600000000000001">
      <c r="A6" s="61" t="s">
        <v>903</v>
      </c>
      <c r="B6" s="57"/>
      <c r="C6" s="57"/>
      <c r="D6" s="57"/>
      <c r="E6" s="57"/>
      <c r="F6" s="57"/>
      <c r="G6" s="57"/>
      <c r="H6" s="57"/>
      <c r="I6" s="57"/>
      <c r="J6" s="57"/>
      <c r="K6" s="57"/>
    </row>
    <row r="7" spans="1:11">
      <c r="A7" s="60"/>
      <c r="B7" s="57"/>
      <c r="C7" s="57"/>
      <c r="D7" s="57"/>
      <c r="E7" s="57"/>
      <c r="F7" s="57"/>
      <c r="G7" s="57"/>
      <c r="H7" s="57"/>
      <c r="I7" s="57"/>
      <c r="J7" s="57"/>
      <c r="K7" s="57"/>
    </row>
    <row r="8" spans="1:11">
      <c r="A8" s="59" t="s">
        <v>904</v>
      </c>
      <c r="B8" s="57"/>
      <c r="C8" s="57"/>
      <c r="D8" s="57"/>
      <c r="E8" s="57"/>
      <c r="F8" s="57"/>
      <c r="G8" s="57"/>
      <c r="H8" s="57"/>
      <c r="I8" s="57"/>
      <c r="J8" s="57"/>
      <c r="K8" s="57"/>
    </row>
    <row r="9" spans="1:11">
      <c r="A9" s="60" t="s">
        <v>905</v>
      </c>
      <c r="B9" s="57"/>
      <c r="C9" s="57"/>
      <c r="D9" s="57"/>
      <c r="E9" s="57"/>
      <c r="F9" s="57"/>
      <c r="G9" s="57"/>
      <c r="H9" s="57"/>
      <c r="I9" s="57"/>
      <c r="J9" s="57"/>
      <c r="K9" s="57"/>
    </row>
    <row r="10" spans="1:11">
      <c r="A10" s="60" t="s">
        <v>906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</row>
    <row r="11" spans="1:11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</row>
    <row r="12" spans="1:11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3"/>
  <sheetViews>
    <sheetView zoomScale="150" workbookViewId="0">
      <pane xSplit="1" ySplit="1" topLeftCell="W45" activePane="bottomRight" state="frozen"/>
      <selection pane="topRight" activeCell="B1" sqref="B1"/>
      <selection pane="bottomLeft" activeCell="A2" sqref="A2"/>
      <selection pane="bottomRight" activeCell="X2" sqref="X2:Y2"/>
    </sheetView>
  </sheetViews>
  <sheetFormatPr defaultColWidth="8.33203125" defaultRowHeight="10.199999999999999"/>
  <cols>
    <col min="1" max="1" width="10.77734375" style="1" customWidth="1"/>
    <col min="2" max="2" width="6.33203125" style="1" customWidth="1"/>
    <col min="3" max="3" width="78" style="1" customWidth="1"/>
    <col min="4" max="4" width="13.77734375" style="1" customWidth="1"/>
    <col min="5" max="5" width="11.44140625" style="1" customWidth="1"/>
    <col min="6" max="9" width="13.77734375" style="1" customWidth="1"/>
    <col min="10" max="10" width="9" style="1" customWidth="1"/>
    <col min="11" max="11" width="10.109375" style="1" customWidth="1"/>
    <col min="12" max="12" width="9.77734375" style="1" customWidth="1"/>
    <col min="13" max="13" width="8.44140625" style="1" customWidth="1"/>
    <col min="14" max="14" width="14.44140625" style="1" customWidth="1"/>
    <col min="15" max="15" width="12.77734375" style="1" customWidth="1"/>
    <col min="16" max="16" width="10.109375" style="1" customWidth="1"/>
    <col min="17" max="17" width="28.77734375" style="1" customWidth="1"/>
    <col min="18" max="18" width="42.44140625" style="1" customWidth="1"/>
    <col min="19" max="19" width="20" style="1" customWidth="1"/>
    <col min="20" max="20" width="30.6640625" style="1" customWidth="1"/>
    <col min="21" max="21" width="13.33203125" style="1" customWidth="1"/>
    <col min="22" max="22" width="28.33203125" style="1" customWidth="1"/>
    <col min="23" max="23" width="26.109375" style="1" bestFit="1" customWidth="1"/>
    <col min="24" max="24" width="16.77734375" style="1" customWidth="1"/>
    <col min="25" max="25" width="30.109375" style="1" bestFit="1" customWidth="1"/>
    <col min="26" max="26" width="12.44140625" style="1" customWidth="1"/>
    <col min="27" max="27" width="27.109375" style="1" customWidth="1"/>
    <col min="28" max="28" width="15" style="1" customWidth="1"/>
    <col min="29" max="30" width="7.77734375" style="1" customWidth="1"/>
    <col min="31" max="31" width="17.44140625" style="1" customWidth="1"/>
    <col min="32" max="34" width="10.6640625" style="1" customWidth="1"/>
    <col min="35" max="35" width="10.33203125" style="1" customWidth="1"/>
    <col min="36" max="36" width="12.109375" style="1" customWidth="1"/>
    <col min="37" max="37" width="19" style="1" customWidth="1"/>
    <col min="38" max="38" width="10.77734375" style="1" customWidth="1"/>
    <col min="39" max="39" width="15.33203125" style="1" customWidth="1"/>
    <col min="40" max="41" width="10.77734375" style="1" customWidth="1"/>
    <col min="42" max="42" width="14.77734375" style="1" customWidth="1"/>
    <col min="43" max="45" width="10.77734375" style="1" customWidth="1"/>
    <col min="46" max="46" width="12.77734375" style="1" customWidth="1"/>
    <col min="47" max="53" width="10.6640625" style="1" customWidth="1"/>
    <col min="54" max="16384" width="8.33203125" style="1"/>
  </cols>
  <sheetData>
    <row r="1" spans="1:53" s="3" customFormat="1" ht="66" customHeight="1">
      <c r="A1" s="62" t="s">
        <v>836</v>
      </c>
      <c r="B1" s="10" t="s">
        <v>87</v>
      </c>
      <c r="C1" s="10" t="s">
        <v>88</v>
      </c>
      <c r="D1" s="10" t="s">
        <v>520</v>
      </c>
      <c r="E1" s="10" t="s">
        <v>521</v>
      </c>
      <c r="F1" s="10" t="s">
        <v>89</v>
      </c>
      <c r="G1" s="10" t="s">
        <v>90</v>
      </c>
      <c r="H1" s="10" t="s">
        <v>91</v>
      </c>
      <c r="I1" s="10" t="s">
        <v>92</v>
      </c>
      <c r="J1" s="10" t="s">
        <v>522</v>
      </c>
      <c r="K1" s="62" t="s">
        <v>109</v>
      </c>
      <c r="L1" s="62" t="s">
        <v>110</v>
      </c>
      <c r="M1" s="10" t="s">
        <v>267</v>
      </c>
      <c r="N1" s="10" t="s">
        <v>268</v>
      </c>
      <c r="O1" s="10" t="s">
        <v>269</v>
      </c>
      <c r="P1" s="10" t="s">
        <v>270</v>
      </c>
      <c r="Q1" s="62" t="s">
        <v>275</v>
      </c>
      <c r="R1" s="10" t="s">
        <v>276</v>
      </c>
      <c r="S1" s="10" t="s">
        <v>277</v>
      </c>
      <c r="T1" s="10" t="s">
        <v>85</v>
      </c>
      <c r="U1" s="70" t="s">
        <v>168</v>
      </c>
      <c r="V1" s="10" t="s">
        <v>280</v>
      </c>
      <c r="W1" s="62" t="s">
        <v>462</v>
      </c>
      <c r="X1" s="62" t="s">
        <v>15</v>
      </c>
      <c r="Y1" s="12" t="s">
        <v>807</v>
      </c>
      <c r="Z1" s="10" t="s">
        <v>465</v>
      </c>
      <c r="AA1" s="10" t="s">
        <v>466</v>
      </c>
      <c r="AB1" s="10" t="s">
        <v>467</v>
      </c>
      <c r="AC1" s="62" t="s">
        <v>252</v>
      </c>
      <c r="AD1" s="62" t="s">
        <v>253</v>
      </c>
      <c r="AE1" s="62" t="s">
        <v>254</v>
      </c>
      <c r="AF1" s="62" t="s">
        <v>255</v>
      </c>
      <c r="AG1" s="62" t="s">
        <v>256</v>
      </c>
      <c r="AH1" s="62" t="s">
        <v>257</v>
      </c>
      <c r="AI1" s="62" t="s">
        <v>258</v>
      </c>
      <c r="AJ1" s="62" t="s">
        <v>259</v>
      </c>
      <c r="AK1" s="62" t="s">
        <v>260</v>
      </c>
      <c r="AL1" s="62" t="s">
        <v>261</v>
      </c>
      <c r="AM1" s="62" t="s">
        <v>262</v>
      </c>
      <c r="AN1" s="62" t="s">
        <v>263</v>
      </c>
      <c r="AO1" s="62" t="s">
        <v>264</v>
      </c>
      <c r="AP1" s="62" t="s">
        <v>117</v>
      </c>
      <c r="AQ1" s="62" t="s">
        <v>118</v>
      </c>
      <c r="AR1" s="62" t="s">
        <v>348</v>
      </c>
      <c r="AS1" s="62" t="s">
        <v>666</v>
      </c>
      <c r="AT1" s="62" t="s">
        <v>670</v>
      </c>
      <c r="AU1" s="62" t="s">
        <v>368</v>
      </c>
      <c r="AV1" s="62" t="s">
        <v>669</v>
      </c>
      <c r="AW1" s="62" t="s">
        <v>671</v>
      </c>
      <c r="AX1" s="62" t="s">
        <v>86</v>
      </c>
      <c r="AY1" s="62" t="s">
        <v>665</v>
      </c>
      <c r="AZ1" s="62" t="s">
        <v>677</v>
      </c>
      <c r="BA1" s="62" t="s">
        <v>386</v>
      </c>
    </row>
    <row r="2" spans="1:53" s="3" customFormat="1">
      <c r="A2" s="4" t="s">
        <v>678</v>
      </c>
      <c r="B2" s="4" t="s">
        <v>508</v>
      </c>
      <c r="C2" s="4" t="s">
        <v>528</v>
      </c>
      <c r="D2" s="4" t="s">
        <v>102</v>
      </c>
      <c r="E2" s="4" t="s">
        <v>102</v>
      </c>
      <c r="F2" s="4" t="s">
        <v>102</v>
      </c>
      <c r="G2" s="4" t="s">
        <v>102</v>
      </c>
      <c r="H2" s="4" t="s">
        <v>102</v>
      </c>
      <c r="I2" s="4" t="s">
        <v>102</v>
      </c>
      <c r="J2" s="4" t="s">
        <v>102</v>
      </c>
      <c r="K2" s="4" t="s">
        <v>102</v>
      </c>
      <c r="L2" s="4" t="s">
        <v>102</v>
      </c>
      <c r="M2" s="4" t="s">
        <v>102</v>
      </c>
      <c r="N2" s="4" t="s">
        <v>102</v>
      </c>
      <c r="O2" s="4">
        <v>2005</v>
      </c>
      <c r="P2" s="4" t="s">
        <v>102</v>
      </c>
      <c r="Q2" s="4" t="s">
        <v>102</v>
      </c>
      <c r="R2" s="4" t="s">
        <v>103</v>
      </c>
      <c r="S2" s="4" t="s">
        <v>102</v>
      </c>
      <c r="T2" s="4" t="s">
        <v>102</v>
      </c>
      <c r="U2" s="4" t="s">
        <v>732</v>
      </c>
      <c r="V2" s="14" t="s">
        <v>324</v>
      </c>
      <c r="W2" s="4" t="s">
        <v>569</v>
      </c>
      <c r="X2" s="4" t="s">
        <v>131</v>
      </c>
      <c r="Y2" s="4" t="s">
        <v>1001</v>
      </c>
      <c r="Z2" s="4" t="s">
        <v>102</v>
      </c>
      <c r="AA2" s="4" t="s">
        <v>733</v>
      </c>
      <c r="AB2" s="4" t="s">
        <v>102</v>
      </c>
      <c r="AC2" s="4">
        <v>21</v>
      </c>
      <c r="AD2" s="4">
        <v>21</v>
      </c>
      <c r="AE2" s="4" t="s">
        <v>102</v>
      </c>
      <c r="AF2" s="4" t="s">
        <v>102</v>
      </c>
      <c r="AG2" s="4" t="s">
        <v>102</v>
      </c>
      <c r="AH2" s="4" t="s">
        <v>102</v>
      </c>
      <c r="AI2" s="4" t="s">
        <v>102</v>
      </c>
      <c r="AJ2" s="4" t="s">
        <v>102</v>
      </c>
      <c r="AK2" s="4" t="s">
        <v>102</v>
      </c>
      <c r="AL2" s="4" t="s">
        <v>102</v>
      </c>
      <c r="AM2" s="4" t="s">
        <v>102</v>
      </c>
      <c r="AN2" s="4" t="s">
        <v>102</v>
      </c>
      <c r="AO2" s="4" t="s">
        <v>102</v>
      </c>
      <c r="AP2" s="4" t="s">
        <v>102</v>
      </c>
      <c r="AQ2" s="4" t="s">
        <v>102</v>
      </c>
      <c r="AR2" s="4" t="s">
        <v>102</v>
      </c>
      <c r="AS2" s="4" t="s">
        <v>667</v>
      </c>
      <c r="AT2" s="4">
        <f>185.7/1000</f>
        <v>0.18569999999999998</v>
      </c>
      <c r="AU2" s="4">
        <f>46.8/1000</f>
        <v>4.6799999999999994E-2</v>
      </c>
      <c r="AV2" s="4"/>
      <c r="AW2" s="4">
        <f>113.6/1000</f>
        <v>0.11359999999999999</v>
      </c>
      <c r="AX2" s="4">
        <f>57.2/1000</f>
        <v>5.7200000000000001E-2</v>
      </c>
      <c r="AY2" s="4"/>
      <c r="AZ2" s="4">
        <v>0.04</v>
      </c>
      <c r="BA2" s="4"/>
    </row>
    <row r="3" spans="1:53" s="3" customFormat="1">
      <c r="A3" s="6" t="s">
        <v>678</v>
      </c>
      <c r="B3" s="6" t="s">
        <v>508</v>
      </c>
      <c r="C3" s="6" t="s">
        <v>528</v>
      </c>
      <c r="D3" s="6" t="s">
        <v>102</v>
      </c>
      <c r="E3" s="6" t="s">
        <v>102</v>
      </c>
      <c r="F3" s="6" t="s">
        <v>102</v>
      </c>
      <c r="G3" s="6" t="s">
        <v>102</v>
      </c>
      <c r="H3" s="6" t="s">
        <v>102</v>
      </c>
      <c r="I3" s="6" t="s">
        <v>102</v>
      </c>
      <c r="J3" s="6" t="s">
        <v>102</v>
      </c>
      <c r="K3" s="6" t="s">
        <v>102</v>
      </c>
      <c r="L3" s="6" t="s">
        <v>102</v>
      </c>
      <c r="M3" s="6" t="s">
        <v>102</v>
      </c>
      <c r="N3" s="6" t="s">
        <v>102</v>
      </c>
      <c r="O3" s="6">
        <v>2006</v>
      </c>
      <c r="P3" s="6" t="s">
        <v>102</v>
      </c>
      <c r="Q3" s="6" t="s">
        <v>102</v>
      </c>
      <c r="R3" s="6" t="s">
        <v>103</v>
      </c>
      <c r="S3" s="6" t="s">
        <v>102</v>
      </c>
      <c r="T3" s="6" t="s">
        <v>102</v>
      </c>
      <c r="U3" s="6" t="s">
        <v>732</v>
      </c>
      <c r="V3" s="15" t="s">
        <v>324</v>
      </c>
      <c r="W3" s="6" t="s">
        <v>569</v>
      </c>
      <c r="X3" s="6" t="s">
        <v>131</v>
      </c>
      <c r="Y3" s="6" t="s">
        <v>1001</v>
      </c>
      <c r="Z3" s="6" t="s">
        <v>102</v>
      </c>
      <c r="AA3" s="6" t="s">
        <v>733</v>
      </c>
      <c r="AB3" s="6" t="s">
        <v>102</v>
      </c>
      <c r="AC3" s="6">
        <v>21</v>
      </c>
      <c r="AD3" s="6">
        <v>21</v>
      </c>
      <c r="AE3" s="6" t="s">
        <v>102</v>
      </c>
      <c r="AF3" s="6" t="s">
        <v>102</v>
      </c>
      <c r="AG3" s="6" t="s">
        <v>102</v>
      </c>
      <c r="AH3" s="6" t="s">
        <v>102</v>
      </c>
      <c r="AI3" s="6" t="s">
        <v>102</v>
      </c>
      <c r="AJ3" s="6" t="s">
        <v>102</v>
      </c>
      <c r="AK3" s="6" t="s">
        <v>102</v>
      </c>
      <c r="AL3" s="6" t="s">
        <v>102</v>
      </c>
      <c r="AM3" s="6" t="s">
        <v>102</v>
      </c>
      <c r="AN3" s="6" t="s">
        <v>102</v>
      </c>
      <c r="AO3" s="6" t="s">
        <v>102</v>
      </c>
      <c r="AP3" s="6" t="s">
        <v>102</v>
      </c>
      <c r="AQ3" s="6" t="s">
        <v>102</v>
      </c>
      <c r="AR3" s="6" t="s">
        <v>102</v>
      </c>
      <c r="AS3" s="6" t="s">
        <v>667</v>
      </c>
      <c r="AT3" s="6">
        <f>975.6/1000</f>
        <v>0.97560000000000002</v>
      </c>
      <c r="AU3" s="6">
        <f>471.8/1000</f>
        <v>0.4718</v>
      </c>
      <c r="AV3" s="6"/>
      <c r="AW3" s="6">
        <f>238.8/1000</f>
        <v>0.23880000000000001</v>
      </c>
      <c r="AX3" s="6">
        <f>56.1*1000</f>
        <v>56100</v>
      </c>
      <c r="AY3" s="6"/>
      <c r="AZ3" s="6">
        <v>0.01</v>
      </c>
      <c r="BA3" s="6"/>
    </row>
    <row r="4" spans="1:53" ht="12" customHeight="1">
      <c r="A4" s="1" t="s">
        <v>495</v>
      </c>
      <c r="B4" s="1" t="s">
        <v>604</v>
      </c>
      <c r="C4" s="1" t="s">
        <v>265</v>
      </c>
      <c r="D4" s="2" t="s">
        <v>570</v>
      </c>
      <c r="E4" s="2" t="s">
        <v>570</v>
      </c>
      <c r="F4" s="2" t="s">
        <v>570</v>
      </c>
      <c r="G4" s="2" t="s">
        <v>570</v>
      </c>
      <c r="H4" s="2" t="s">
        <v>570</v>
      </c>
      <c r="I4" s="2" t="s">
        <v>570</v>
      </c>
      <c r="J4" s="2" t="s">
        <v>570</v>
      </c>
      <c r="K4" s="2" t="s">
        <v>570</v>
      </c>
      <c r="L4" s="2" t="s">
        <v>570</v>
      </c>
      <c r="M4" s="2" t="s">
        <v>570</v>
      </c>
      <c r="N4" s="2" t="s">
        <v>570</v>
      </c>
      <c r="O4" s="1">
        <v>2000</v>
      </c>
      <c r="P4" s="2" t="s">
        <v>570</v>
      </c>
      <c r="Q4" s="2" t="s">
        <v>570</v>
      </c>
      <c r="R4" s="1" t="s">
        <v>55</v>
      </c>
      <c r="S4" s="2" t="s">
        <v>570</v>
      </c>
      <c r="T4" s="1" t="s">
        <v>51</v>
      </c>
      <c r="U4" s="1" t="s">
        <v>570</v>
      </c>
      <c r="V4" s="1" t="s">
        <v>824</v>
      </c>
      <c r="W4" s="1" t="s">
        <v>1005</v>
      </c>
      <c r="X4" s="1" t="s">
        <v>1003</v>
      </c>
      <c r="Y4" s="1" t="s">
        <v>1002</v>
      </c>
      <c r="Z4" s="1" t="s">
        <v>570</v>
      </c>
      <c r="AA4" s="1" t="s">
        <v>52</v>
      </c>
      <c r="AB4" s="1" t="s">
        <v>570</v>
      </c>
      <c r="AC4" s="2">
        <f t="shared" ref="AC4:AD11" si="0">5*2</f>
        <v>10</v>
      </c>
      <c r="AD4" s="2">
        <f t="shared" si="0"/>
        <v>10</v>
      </c>
      <c r="AE4" s="1" t="s">
        <v>570</v>
      </c>
      <c r="AF4" s="1" t="s">
        <v>570</v>
      </c>
      <c r="AG4" s="1" t="s">
        <v>570</v>
      </c>
      <c r="AH4" s="1" t="s">
        <v>570</v>
      </c>
      <c r="AI4" s="1" t="s">
        <v>570</v>
      </c>
      <c r="AJ4" s="1" t="s">
        <v>570</v>
      </c>
      <c r="AK4" s="1" t="s">
        <v>69</v>
      </c>
      <c r="AL4" s="1" t="s">
        <v>570</v>
      </c>
      <c r="AM4" s="1" t="s">
        <v>570</v>
      </c>
      <c r="AN4" s="1" t="s">
        <v>570</v>
      </c>
      <c r="AO4" s="1" t="s">
        <v>570</v>
      </c>
      <c r="AP4" s="1" t="s">
        <v>570</v>
      </c>
      <c r="AQ4" s="1" t="s">
        <v>570</v>
      </c>
      <c r="AR4" s="1" t="s">
        <v>570</v>
      </c>
      <c r="AS4" s="1" t="s">
        <v>668</v>
      </c>
      <c r="AT4" s="1">
        <f>41/1000</f>
        <v>4.1000000000000002E-2</v>
      </c>
      <c r="AU4" s="1" t="s">
        <v>570</v>
      </c>
      <c r="AV4" s="1">
        <v>84.997272231314795</v>
      </c>
      <c r="AW4" s="1">
        <f>35.8/1000</f>
        <v>3.5799999999999998E-2</v>
      </c>
      <c r="AX4" s="1" t="s">
        <v>570</v>
      </c>
      <c r="AY4" s="1">
        <v>84.997272231314795</v>
      </c>
      <c r="AZ4" s="1" t="s">
        <v>457</v>
      </c>
      <c r="BA4" s="13">
        <v>155.80000000000001</v>
      </c>
    </row>
    <row r="5" spans="1:53" ht="12" customHeight="1">
      <c r="A5" s="1" t="s">
        <v>495</v>
      </c>
      <c r="B5" s="1" t="s">
        <v>604</v>
      </c>
      <c r="C5" s="1" t="s">
        <v>265</v>
      </c>
      <c r="D5" s="2" t="s">
        <v>570</v>
      </c>
      <c r="E5" s="2" t="s">
        <v>570</v>
      </c>
      <c r="F5" s="2" t="s">
        <v>570</v>
      </c>
      <c r="G5" s="2" t="s">
        <v>570</v>
      </c>
      <c r="H5" s="2" t="s">
        <v>570</v>
      </c>
      <c r="I5" s="2" t="s">
        <v>570</v>
      </c>
      <c r="J5" s="2" t="s">
        <v>570</v>
      </c>
      <c r="K5" s="2" t="s">
        <v>570</v>
      </c>
      <c r="L5" s="2" t="s">
        <v>570</v>
      </c>
      <c r="M5" s="2" t="s">
        <v>570</v>
      </c>
      <c r="N5" s="2" t="s">
        <v>570</v>
      </c>
      <c r="O5" s="1">
        <v>2000</v>
      </c>
      <c r="P5" s="2" t="s">
        <v>570</v>
      </c>
      <c r="Q5" s="2" t="s">
        <v>570</v>
      </c>
      <c r="R5" s="1" t="s">
        <v>55</v>
      </c>
      <c r="S5" s="1" t="s">
        <v>570</v>
      </c>
      <c r="T5" s="1" t="s">
        <v>53</v>
      </c>
      <c r="U5" s="1" t="s">
        <v>570</v>
      </c>
      <c r="V5" s="1" t="s">
        <v>824</v>
      </c>
      <c r="W5" s="1" t="s">
        <v>1005</v>
      </c>
      <c r="X5" s="1" t="s">
        <v>1003</v>
      </c>
      <c r="Y5" s="1" t="s">
        <v>1002</v>
      </c>
      <c r="Z5" s="1" t="s">
        <v>570</v>
      </c>
      <c r="AA5" s="1" t="s">
        <v>50</v>
      </c>
      <c r="AB5" s="1" t="s">
        <v>570</v>
      </c>
      <c r="AC5" s="2">
        <f t="shared" si="0"/>
        <v>10</v>
      </c>
      <c r="AD5" s="2">
        <f t="shared" si="0"/>
        <v>10</v>
      </c>
      <c r="AE5" s="1" t="s">
        <v>570</v>
      </c>
      <c r="AF5" s="1" t="s">
        <v>570</v>
      </c>
      <c r="AG5" s="1" t="s">
        <v>570</v>
      </c>
      <c r="AH5" s="1" t="s">
        <v>570</v>
      </c>
      <c r="AI5" s="1" t="s">
        <v>570</v>
      </c>
      <c r="AJ5" s="1" t="s">
        <v>570</v>
      </c>
      <c r="AK5" s="1" t="s">
        <v>69</v>
      </c>
      <c r="AL5" s="1" t="s">
        <v>570</v>
      </c>
      <c r="AM5" s="1" t="s">
        <v>570</v>
      </c>
      <c r="AN5" s="1" t="s">
        <v>570</v>
      </c>
      <c r="AO5" s="1" t="s">
        <v>570</v>
      </c>
      <c r="AP5" s="1" t="s">
        <v>570</v>
      </c>
      <c r="AQ5" s="1" t="s">
        <v>570</v>
      </c>
      <c r="AR5" s="1" t="s">
        <v>570</v>
      </c>
      <c r="AS5" s="1" t="s">
        <v>668</v>
      </c>
      <c r="AT5" s="1">
        <f>49.8/1000</f>
        <v>4.9799999999999997E-2</v>
      </c>
      <c r="AU5" s="1" t="s">
        <v>570</v>
      </c>
      <c r="AV5" s="1">
        <v>84.997272231314795</v>
      </c>
      <c r="AW5" s="1">
        <f>102.8/1000</f>
        <v>0.1028</v>
      </c>
      <c r="AX5" s="1" t="s">
        <v>570</v>
      </c>
      <c r="AY5" s="1">
        <v>84.997272231314795</v>
      </c>
      <c r="AZ5" s="1" t="s">
        <v>457</v>
      </c>
      <c r="BA5" s="13">
        <v>155.80000000000001</v>
      </c>
    </row>
    <row r="6" spans="1:53" ht="12" customHeight="1">
      <c r="A6" s="1" t="s">
        <v>495</v>
      </c>
      <c r="B6" s="1" t="s">
        <v>604</v>
      </c>
      <c r="C6" s="1" t="s">
        <v>265</v>
      </c>
      <c r="D6" s="2" t="s">
        <v>570</v>
      </c>
      <c r="E6" s="2" t="s">
        <v>570</v>
      </c>
      <c r="F6" s="2" t="s">
        <v>570</v>
      </c>
      <c r="G6" s="2" t="s">
        <v>570</v>
      </c>
      <c r="H6" s="2" t="s">
        <v>570</v>
      </c>
      <c r="I6" s="2" t="s">
        <v>570</v>
      </c>
      <c r="J6" s="2" t="s">
        <v>570</v>
      </c>
      <c r="K6" s="2" t="s">
        <v>570</v>
      </c>
      <c r="L6" s="2" t="s">
        <v>570</v>
      </c>
      <c r="M6" s="2" t="s">
        <v>570</v>
      </c>
      <c r="N6" s="2" t="s">
        <v>570</v>
      </c>
      <c r="O6" s="1">
        <v>2000</v>
      </c>
      <c r="P6" s="2" t="s">
        <v>570</v>
      </c>
      <c r="Q6" s="2" t="s">
        <v>570</v>
      </c>
      <c r="R6" s="2" t="s">
        <v>55</v>
      </c>
      <c r="S6" s="1" t="s">
        <v>570</v>
      </c>
      <c r="T6" s="1" t="s">
        <v>54</v>
      </c>
      <c r="U6" s="1" t="s">
        <v>570</v>
      </c>
      <c r="V6" s="1" t="s">
        <v>736</v>
      </c>
      <c r="W6" s="2" t="s">
        <v>720</v>
      </c>
      <c r="X6" s="1" t="s">
        <v>131</v>
      </c>
      <c r="Y6" s="2" t="s">
        <v>1001</v>
      </c>
      <c r="Z6" s="1" t="s">
        <v>570</v>
      </c>
      <c r="AA6" s="1" t="s">
        <v>80</v>
      </c>
      <c r="AB6" s="1" t="s">
        <v>570</v>
      </c>
      <c r="AC6" s="2">
        <f t="shared" si="0"/>
        <v>10</v>
      </c>
      <c r="AD6" s="2">
        <f t="shared" si="0"/>
        <v>10</v>
      </c>
      <c r="AE6" s="1" t="s">
        <v>570</v>
      </c>
      <c r="AF6" s="1" t="s">
        <v>570</v>
      </c>
      <c r="AG6" s="1" t="s">
        <v>570</v>
      </c>
      <c r="AH6" s="1" t="s">
        <v>570</v>
      </c>
      <c r="AI6" s="1" t="s">
        <v>570</v>
      </c>
      <c r="AJ6" s="1" t="s">
        <v>570</v>
      </c>
      <c r="AK6" s="1" t="s">
        <v>69</v>
      </c>
      <c r="AL6" s="1" t="s">
        <v>570</v>
      </c>
      <c r="AM6" s="1" t="s">
        <v>570</v>
      </c>
      <c r="AN6" s="1" t="s">
        <v>570</v>
      </c>
      <c r="AO6" s="1" t="s">
        <v>570</v>
      </c>
      <c r="AP6" s="1" t="s">
        <v>570</v>
      </c>
      <c r="AQ6" s="1" t="s">
        <v>570</v>
      </c>
      <c r="AR6" s="1" t="s">
        <v>570</v>
      </c>
      <c r="AS6" s="1" t="s">
        <v>668</v>
      </c>
      <c r="AT6" s="1">
        <f>77.6/1000</f>
        <v>7.7599999999999988E-2</v>
      </c>
      <c r="AU6" s="1" t="s">
        <v>570</v>
      </c>
      <c r="AV6" s="1">
        <v>84.997272231314795</v>
      </c>
      <c r="AW6" s="1">
        <f>112.2/1000</f>
        <v>0.11220000000000001</v>
      </c>
      <c r="AX6" s="1" t="s">
        <v>570</v>
      </c>
      <c r="AY6" s="1">
        <v>84.997272231314795</v>
      </c>
      <c r="AZ6" s="1" t="s">
        <v>457</v>
      </c>
      <c r="BA6" s="13">
        <v>155.80000000000001</v>
      </c>
    </row>
    <row r="7" spans="1:53" ht="12" customHeight="1">
      <c r="A7" s="1" t="s">
        <v>495</v>
      </c>
      <c r="B7" s="1" t="s">
        <v>604</v>
      </c>
      <c r="C7" s="1" t="s">
        <v>265</v>
      </c>
      <c r="D7" s="2" t="s">
        <v>570</v>
      </c>
      <c r="E7" s="2" t="s">
        <v>570</v>
      </c>
      <c r="F7" s="2" t="s">
        <v>570</v>
      </c>
      <c r="G7" s="2" t="s">
        <v>570</v>
      </c>
      <c r="H7" s="2" t="s">
        <v>570</v>
      </c>
      <c r="I7" s="2" t="s">
        <v>570</v>
      </c>
      <c r="J7" s="2" t="s">
        <v>570</v>
      </c>
      <c r="K7" s="2" t="s">
        <v>570</v>
      </c>
      <c r="L7" s="2" t="s">
        <v>570</v>
      </c>
      <c r="M7" s="2" t="s">
        <v>570</v>
      </c>
      <c r="N7" s="2" t="s">
        <v>570</v>
      </c>
      <c r="O7" s="1">
        <v>2000</v>
      </c>
      <c r="P7" s="2" t="s">
        <v>570</v>
      </c>
      <c r="Q7" s="2" t="s">
        <v>570</v>
      </c>
      <c r="R7" s="2" t="s">
        <v>55</v>
      </c>
      <c r="S7" s="1" t="s">
        <v>570</v>
      </c>
      <c r="T7" s="1" t="s">
        <v>70</v>
      </c>
      <c r="U7" s="1" t="s">
        <v>570</v>
      </c>
      <c r="V7" s="1" t="s">
        <v>736</v>
      </c>
      <c r="W7" s="2" t="s">
        <v>720</v>
      </c>
      <c r="X7" s="1" t="s">
        <v>131</v>
      </c>
      <c r="Y7" s="2" t="s">
        <v>1001</v>
      </c>
      <c r="Z7" s="1" t="s">
        <v>570</v>
      </c>
      <c r="AA7" s="1" t="s">
        <v>71</v>
      </c>
      <c r="AB7" s="1" t="s">
        <v>570</v>
      </c>
      <c r="AC7" s="2">
        <f t="shared" si="0"/>
        <v>10</v>
      </c>
      <c r="AD7" s="2">
        <f t="shared" si="0"/>
        <v>10</v>
      </c>
      <c r="AE7" s="1" t="s">
        <v>570</v>
      </c>
      <c r="AF7" s="1" t="s">
        <v>570</v>
      </c>
      <c r="AG7" s="1" t="s">
        <v>570</v>
      </c>
      <c r="AH7" s="1" t="s">
        <v>570</v>
      </c>
      <c r="AI7" s="1" t="s">
        <v>570</v>
      </c>
      <c r="AJ7" s="1" t="s">
        <v>570</v>
      </c>
      <c r="AK7" s="1" t="s">
        <v>69</v>
      </c>
      <c r="AL7" s="1" t="s">
        <v>570</v>
      </c>
      <c r="AM7" s="1" t="s">
        <v>570</v>
      </c>
      <c r="AN7" s="1" t="s">
        <v>570</v>
      </c>
      <c r="AO7" s="1" t="s">
        <v>570</v>
      </c>
      <c r="AP7" s="1" t="s">
        <v>570</v>
      </c>
      <c r="AQ7" s="1" t="s">
        <v>570</v>
      </c>
      <c r="AR7" s="1" t="s">
        <v>570</v>
      </c>
      <c r="AS7" s="1" t="s">
        <v>668</v>
      </c>
      <c r="AT7" s="1">
        <f>27.9/1000</f>
        <v>2.7899999999999998E-2</v>
      </c>
      <c r="AU7" s="1" t="s">
        <v>570</v>
      </c>
      <c r="AV7" s="1">
        <v>84.997272231314795</v>
      </c>
      <c r="AW7" s="1">
        <f>146.5/1000</f>
        <v>0.14649999999999999</v>
      </c>
      <c r="AX7" s="1" t="s">
        <v>570</v>
      </c>
      <c r="AY7" s="1">
        <v>84.997272231314795</v>
      </c>
      <c r="AZ7" s="1" t="s">
        <v>457</v>
      </c>
      <c r="BA7" s="13">
        <v>155.80000000000001</v>
      </c>
    </row>
    <row r="8" spans="1:53" ht="12" customHeight="1">
      <c r="A8" s="1" t="s">
        <v>495</v>
      </c>
      <c r="B8" s="1" t="s">
        <v>604</v>
      </c>
      <c r="C8" s="1" t="s">
        <v>265</v>
      </c>
      <c r="D8" s="2" t="s">
        <v>570</v>
      </c>
      <c r="E8" s="2" t="s">
        <v>570</v>
      </c>
      <c r="F8" s="2" t="s">
        <v>570</v>
      </c>
      <c r="G8" s="2" t="s">
        <v>570</v>
      </c>
      <c r="H8" s="2" t="s">
        <v>570</v>
      </c>
      <c r="I8" s="2" t="s">
        <v>570</v>
      </c>
      <c r="J8" s="2" t="s">
        <v>570</v>
      </c>
      <c r="K8" s="2" t="s">
        <v>570</v>
      </c>
      <c r="L8" s="2" t="s">
        <v>570</v>
      </c>
      <c r="M8" s="2" t="s">
        <v>570</v>
      </c>
      <c r="N8" s="2" t="s">
        <v>570</v>
      </c>
      <c r="O8" s="1">
        <v>2000</v>
      </c>
      <c r="P8" s="2" t="s">
        <v>570</v>
      </c>
      <c r="Q8" s="2" t="s">
        <v>570</v>
      </c>
      <c r="R8" s="2" t="s">
        <v>55</v>
      </c>
      <c r="S8" s="1" t="s">
        <v>570</v>
      </c>
      <c r="T8" s="1" t="s">
        <v>51</v>
      </c>
      <c r="U8" s="1" t="s">
        <v>570</v>
      </c>
      <c r="V8" s="1" t="s">
        <v>824</v>
      </c>
      <c r="W8" s="1" t="s">
        <v>1005</v>
      </c>
      <c r="X8" s="1" t="s">
        <v>1003</v>
      </c>
      <c r="Y8" s="1" t="s">
        <v>1002</v>
      </c>
      <c r="Z8" s="1" t="s">
        <v>570</v>
      </c>
      <c r="AA8" s="1" t="s">
        <v>52</v>
      </c>
      <c r="AB8" s="1" t="s">
        <v>570</v>
      </c>
      <c r="AC8" s="2">
        <f t="shared" si="0"/>
        <v>10</v>
      </c>
      <c r="AD8" s="2">
        <f t="shared" si="0"/>
        <v>10</v>
      </c>
      <c r="AE8" s="1" t="s">
        <v>570</v>
      </c>
      <c r="AF8" s="1" t="s">
        <v>570</v>
      </c>
      <c r="AG8" s="1" t="s">
        <v>570</v>
      </c>
      <c r="AH8" s="1" t="s">
        <v>570</v>
      </c>
      <c r="AI8" s="1" t="s">
        <v>570</v>
      </c>
      <c r="AJ8" s="1" t="s">
        <v>570</v>
      </c>
      <c r="AK8" s="1" t="s">
        <v>313</v>
      </c>
      <c r="AL8" s="1" t="s">
        <v>570</v>
      </c>
      <c r="AM8" s="1" t="s">
        <v>570</v>
      </c>
      <c r="AN8" s="1" t="s">
        <v>570</v>
      </c>
      <c r="AO8" s="1" t="s">
        <v>570</v>
      </c>
      <c r="AP8" s="1" t="s">
        <v>570</v>
      </c>
      <c r="AQ8" s="1" t="s">
        <v>570</v>
      </c>
      <c r="AR8" s="1" t="s">
        <v>570</v>
      </c>
      <c r="AS8" s="1" t="s">
        <v>668</v>
      </c>
      <c r="AT8" s="1">
        <f>127.6/1000</f>
        <v>0.12759999999999999</v>
      </c>
      <c r="AU8" s="1" t="s">
        <v>570</v>
      </c>
      <c r="AV8" s="1">
        <v>84.997272231314795</v>
      </c>
      <c r="AW8" s="1">
        <f>345.9/1000</f>
        <v>0.34589999999999999</v>
      </c>
      <c r="AX8" s="1" t="s">
        <v>570</v>
      </c>
      <c r="AY8" s="1">
        <v>84.997272231314795</v>
      </c>
      <c r="AZ8" s="1" t="s">
        <v>632</v>
      </c>
      <c r="BA8" s="13">
        <v>155.80000000000001</v>
      </c>
    </row>
    <row r="9" spans="1:53" ht="12" customHeight="1">
      <c r="A9" s="1" t="s">
        <v>495</v>
      </c>
      <c r="B9" s="1" t="s">
        <v>604</v>
      </c>
      <c r="C9" s="1" t="s">
        <v>265</v>
      </c>
      <c r="D9" s="2" t="s">
        <v>570</v>
      </c>
      <c r="E9" s="2" t="s">
        <v>570</v>
      </c>
      <c r="F9" s="2" t="s">
        <v>570</v>
      </c>
      <c r="G9" s="2" t="s">
        <v>570</v>
      </c>
      <c r="H9" s="2" t="s">
        <v>570</v>
      </c>
      <c r="I9" s="2" t="s">
        <v>570</v>
      </c>
      <c r="J9" s="2" t="s">
        <v>570</v>
      </c>
      <c r="K9" s="2" t="s">
        <v>570</v>
      </c>
      <c r="L9" s="2" t="s">
        <v>570</v>
      </c>
      <c r="M9" s="2" t="s">
        <v>570</v>
      </c>
      <c r="N9" s="2" t="s">
        <v>570</v>
      </c>
      <c r="O9" s="1">
        <v>2000</v>
      </c>
      <c r="P9" s="2" t="s">
        <v>570</v>
      </c>
      <c r="Q9" s="2" t="s">
        <v>570</v>
      </c>
      <c r="R9" s="2" t="s">
        <v>55</v>
      </c>
      <c r="S9" s="1" t="s">
        <v>570</v>
      </c>
      <c r="T9" s="1" t="s">
        <v>53</v>
      </c>
      <c r="U9" s="1" t="s">
        <v>570</v>
      </c>
      <c r="V9" s="1" t="s">
        <v>824</v>
      </c>
      <c r="W9" s="1" t="s">
        <v>1005</v>
      </c>
      <c r="X9" s="1" t="s">
        <v>1003</v>
      </c>
      <c r="Y9" s="1" t="s">
        <v>1002</v>
      </c>
      <c r="Z9" s="1" t="s">
        <v>570</v>
      </c>
      <c r="AA9" s="1" t="s">
        <v>50</v>
      </c>
      <c r="AB9" s="1" t="s">
        <v>570</v>
      </c>
      <c r="AC9" s="2">
        <f t="shared" si="0"/>
        <v>10</v>
      </c>
      <c r="AD9" s="2">
        <f t="shared" si="0"/>
        <v>10</v>
      </c>
      <c r="AE9" s="1" t="s">
        <v>570</v>
      </c>
      <c r="AF9" s="1" t="s">
        <v>570</v>
      </c>
      <c r="AG9" s="1" t="s">
        <v>570</v>
      </c>
      <c r="AH9" s="1" t="s">
        <v>570</v>
      </c>
      <c r="AI9" s="1" t="s">
        <v>570</v>
      </c>
      <c r="AJ9" s="1" t="s">
        <v>570</v>
      </c>
      <c r="AK9" s="1" t="s">
        <v>313</v>
      </c>
      <c r="AL9" s="1" t="s">
        <v>570</v>
      </c>
      <c r="AM9" s="1" t="s">
        <v>570</v>
      </c>
      <c r="AN9" s="1" t="s">
        <v>570</v>
      </c>
      <c r="AO9" s="1" t="s">
        <v>570</v>
      </c>
      <c r="AP9" s="1" t="s">
        <v>570</v>
      </c>
      <c r="AQ9" s="1" t="s">
        <v>570</v>
      </c>
      <c r="AR9" s="1" t="s">
        <v>570</v>
      </c>
      <c r="AS9" s="1" t="s">
        <v>668</v>
      </c>
      <c r="AT9" s="1">
        <f>134/1000</f>
        <v>0.13400000000000001</v>
      </c>
      <c r="AU9" s="1" t="s">
        <v>570</v>
      </c>
      <c r="AV9" s="1">
        <v>84.997272231314795</v>
      </c>
      <c r="AW9" s="1">
        <f>285.3/1000</f>
        <v>0.2853</v>
      </c>
      <c r="AX9" s="1" t="s">
        <v>570</v>
      </c>
      <c r="AY9" s="1">
        <v>84.997272231314795</v>
      </c>
      <c r="AZ9" s="1" t="s">
        <v>632</v>
      </c>
      <c r="BA9" s="13">
        <v>155.80000000000001</v>
      </c>
    </row>
    <row r="10" spans="1:53" ht="12" customHeight="1">
      <c r="A10" s="1" t="s">
        <v>495</v>
      </c>
      <c r="B10" s="1" t="s">
        <v>604</v>
      </c>
      <c r="C10" s="1" t="s">
        <v>265</v>
      </c>
      <c r="D10" s="2" t="s">
        <v>570</v>
      </c>
      <c r="E10" s="2" t="s">
        <v>570</v>
      </c>
      <c r="F10" s="2" t="s">
        <v>570</v>
      </c>
      <c r="G10" s="2" t="s">
        <v>570</v>
      </c>
      <c r="H10" s="2" t="s">
        <v>570</v>
      </c>
      <c r="I10" s="2" t="s">
        <v>570</v>
      </c>
      <c r="J10" s="2" t="s">
        <v>570</v>
      </c>
      <c r="K10" s="2" t="s">
        <v>570</v>
      </c>
      <c r="L10" s="2" t="s">
        <v>570</v>
      </c>
      <c r="M10" s="2" t="s">
        <v>570</v>
      </c>
      <c r="N10" s="2" t="s">
        <v>570</v>
      </c>
      <c r="O10" s="1">
        <v>2000</v>
      </c>
      <c r="P10" s="2" t="s">
        <v>570</v>
      </c>
      <c r="Q10" s="2" t="s">
        <v>570</v>
      </c>
      <c r="R10" s="2" t="s">
        <v>55</v>
      </c>
      <c r="S10" s="1" t="s">
        <v>570</v>
      </c>
      <c r="T10" s="1" t="s">
        <v>54</v>
      </c>
      <c r="U10" s="1" t="s">
        <v>570</v>
      </c>
      <c r="V10" s="1" t="s">
        <v>736</v>
      </c>
      <c r="W10" s="2" t="s">
        <v>720</v>
      </c>
      <c r="X10" s="1" t="s">
        <v>131</v>
      </c>
      <c r="Y10" s="2" t="s">
        <v>1001</v>
      </c>
      <c r="Z10" s="1" t="s">
        <v>570</v>
      </c>
      <c r="AA10" s="1" t="s">
        <v>80</v>
      </c>
      <c r="AB10" s="1" t="s">
        <v>570</v>
      </c>
      <c r="AC10" s="2">
        <f t="shared" si="0"/>
        <v>10</v>
      </c>
      <c r="AD10" s="2">
        <f t="shared" si="0"/>
        <v>10</v>
      </c>
      <c r="AE10" s="1" t="s">
        <v>570</v>
      </c>
      <c r="AF10" s="1" t="s">
        <v>570</v>
      </c>
      <c r="AG10" s="1" t="s">
        <v>570</v>
      </c>
      <c r="AH10" s="1" t="s">
        <v>570</v>
      </c>
      <c r="AI10" s="1" t="s">
        <v>570</v>
      </c>
      <c r="AJ10" s="1" t="s">
        <v>570</v>
      </c>
      <c r="AK10" s="1" t="s">
        <v>313</v>
      </c>
      <c r="AL10" s="1" t="s">
        <v>570</v>
      </c>
      <c r="AM10" s="1" t="s">
        <v>570</v>
      </c>
      <c r="AN10" s="1" t="s">
        <v>570</v>
      </c>
      <c r="AO10" s="1" t="s">
        <v>570</v>
      </c>
      <c r="AP10" s="1" t="s">
        <v>570</v>
      </c>
      <c r="AQ10" s="1" t="s">
        <v>570</v>
      </c>
      <c r="AR10" s="1" t="s">
        <v>570</v>
      </c>
      <c r="AS10" s="1" t="s">
        <v>668</v>
      </c>
      <c r="AT10" s="1">
        <f>218.8/1000</f>
        <v>0.21880000000000002</v>
      </c>
      <c r="AU10" s="1" t="s">
        <v>570</v>
      </c>
      <c r="AV10" s="1">
        <v>84.997272231314795</v>
      </c>
      <c r="AW10" s="1">
        <f>539.7/1000</f>
        <v>0.53970000000000007</v>
      </c>
      <c r="AX10" s="1" t="s">
        <v>570</v>
      </c>
      <c r="AY10" s="1">
        <v>84.997272231314795</v>
      </c>
      <c r="AZ10" s="1" t="s">
        <v>632</v>
      </c>
      <c r="BA10" s="13">
        <v>155.80000000000001</v>
      </c>
    </row>
    <row r="11" spans="1:53" ht="12" customHeight="1">
      <c r="A11" s="6" t="s">
        <v>495</v>
      </c>
      <c r="B11" s="6" t="s">
        <v>604</v>
      </c>
      <c r="C11" s="6" t="s">
        <v>265</v>
      </c>
      <c r="D11" s="6" t="s">
        <v>570</v>
      </c>
      <c r="E11" s="6" t="s">
        <v>570</v>
      </c>
      <c r="F11" s="6" t="s">
        <v>570</v>
      </c>
      <c r="G11" s="6" t="s">
        <v>570</v>
      </c>
      <c r="H11" s="6" t="s">
        <v>570</v>
      </c>
      <c r="I11" s="6" t="s">
        <v>570</v>
      </c>
      <c r="J11" s="6" t="s">
        <v>570</v>
      </c>
      <c r="K11" s="6" t="s">
        <v>570</v>
      </c>
      <c r="L11" s="6" t="s">
        <v>570</v>
      </c>
      <c r="M11" s="6" t="s">
        <v>570</v>
      </c>
      <c r="N11" s="6" t="s">
        <v>570</v>
      </c>
      <c r="O11" s="6">
        <v>2000</v>
      </c>
      <c r="P11" s="6" t="s">
        <v>570</v>
      </c>
      <c r="Q11" s="6" t="s">
        <v>570</v>
      </c>
      <c r="R11" s="6" t="s">
        <v>55</v>
      </c>
      <c r="S11" s="6" t="s">
        <v>570</v>
      </c>
      <c r="T11" s="6" t="s">
        <v>70</v>
      </c>
      <c r="U11" s="6" t="s">
        <v>570</v>
      </c>
      <c r="V11" s="6" t="s">
        <v>736</v>
      </c>
      <c r="W11" s="2" t="s">
        <v>720</v>
      </c>
      <c r="X11" s="1" t="s">
        <v>131</v>
      </c>
      <c r="Y11" s="2" t="s">
        <v>1001</v>
      </c>
      <c r="Z11" s="6" t="s">
        <v>570</v>
      </c>
      <c r="AA11" s="6" t="s">
        <v>71</v>
      </c>
      <c r="AB11" s="6" t="s">
        <v>570</v>
      </c>
      <c r="AC11" s="2">
        <f t="shared" si="0"/>
        <v>10</v>
      </c>
      <c r="AD11" s="2">
        <f t="shared" si="0"/>
        <v>10</v>
      </c>
      <c r="AE11" s="6" t="s">
        <v>570</v>
      </c>
      <c r="AF11" s="6" t="s">
        <v>570</v>
      </c>
      <c r="AG11" s="6" t="s">
        <v>570</v>
      </c>
      <c r="AH11" s="6" t="s">
        <v>570</v>
      </c>
      <c r="AI11" s="6" t="s">
        <v>570</v>
      </c>
      <c r="AJ11" s="6" t="s">
        <v>570</v>
      </c>
      <c r="AK11" s="6" t="s">
        <v>313</v>
      </c>
      <c r="AL11" s="6" t="s">
        <v>570</v>
      </c>
      <c r="AM11" s="6" t="s">
        <v>570</v>
      </c>
      <c r="AN11" s="6" t="s">
        <v>570</v>
      </c>
      <c r="AO11" s="6" t="s">
        <v>570</v>
      </c>
      <c r="AP11" s="6" t="s">
        <v>570</v>
      </c>
      <c r="AQ11" s="6" t="s">
        <v>570</v>
      </c>
      <c r="AR11" s="6" t="s">
        <v>570</v>
      </c>
      <c r="AS11" s="6" t="s">
        <v>668</v>
      </c>
      <c r="AT11" s="6">
        <f>133.5/1000</f>
        <v>0.13350000000000001</v>
      </c>
      <c r="AU11" s="6" t="s">
        <v>570</v>
      </c>
      <c r="AV11" s="6">
        <v>84.997272231314795</v>
      </c>
      <c r="AW11" s="6">
        <f>175.8/1000</f>
        <v>0.17580000000000001</v>
      </c>
      <c r="AX11" s="6" t="s">
        <v>570</v>
      </c>
      <c r="AY11" s="6">
        <v>84.997272231314795</v>
      </c>
      <c r="AZ11" s="6" t="s">
        <v>632</v>
      </c>
      <c r="BA11" s="13">
        <v>155.80000000000001</v>
      </c>
    </row>
    <row r="12" spans="1:53" ht="12" customHeight="1">
      <c r="A12" s="4" t="s">
        <v>711</v>
      </c>
      <c r="B12" s="4" t="s">
        <v>604</v>
      </c>
      <c r="C12" s="4" t="s">
        <v>557</v>
      </c>
      <c r="D12" s="4" t="s">
        <v>721</v>
      </c>
      <c r="E12" s="4" t="s">
        <v>722</v>
      </c>
      <c r="F12" s="4" t="s">
        <v>570</v>
      </c>
      <c r="G12" s="4" t="s">
        <v>570</v>
      </c>
      <c r="H12" s="4" t="s">
        <v>570</v>
      </c>
      <c r="I12" s="4" t="s">
        <v>570</v>
      </c>
      <c r="J12" s="4" t="s">
        <v>570</v>
      </c>
      <c r="K12" s="4" t="s">
        <v>570</v>
      </c>
      <c r="L12" s="4" t="s">
        <v>570</v>
      </c>
      <c r="M12" s="4" t="s">
        <v>570</v>
      </c>
      <c r="N12" s="4" t="s">
        <v>570</v>
      </c>
      <c r="O12" s="4">
        <v>1996</v>
      </c>
      <c r="P12" s="4" t="s">
        <v>570</v>
      </c>
      <c r="Q12" s="4" t="s">
        <v>570</v>
      </c>
      <c r="R12" s="4" t="s">
        <v>55</v>
      </c>
      <c r="S12" s="4" t="s">
        <v>963</v>
      </c>
      <c r="T12" s="4" t="s">
        <v>753</v>
      </c>
      <c r="U12" s="4"/>
      <c r="V12" s="4" t="s">
        <v>723</v>
      </c>
      <c r="W12" s="4" t="s">
        <v>1004</v>
      </c>
      <c r="X12" s="4" t="s">
        <v>1003</v>
      </c>
      <c r="Y12" s="4" t="s">
        <v>1002</v>
      </c>
      <c r="Z12" s="4"/>
      <c r="AA12" s="4" t="s">
        <v>754</v>
      </c>
      <c r="AB12" s="4" t="s">
        <v>570</v>
      </c>
      <c r="AC12" s="4">
        <v>17</v>
      </c>
      <c r="AD12" s="4">
        <v>17</v>
      </c>
      <c r="AE12" s="4" t="s">
        <v>570</v>
      </c>
      <c r="AF12" s="4" t="s">
        <v>570</v>
      </c>
      <c r="AG12" s="4" t="s">
        <v>570</v>
      </c>
      <c r="AH12" s="4" t="s">
        <v>570</v>
      </c>
      <c r="AI12" s="4" t="s">
        <v>570</v>
      </c>
      <c r="AJ12" s="4" t="s">
        <v>570</v>
      </c>
      <c r="AK12" s="4" t="s">
        <v>570</v>
      </c>
      <c r="AL12" s="4" t="s">
        <v>570</v>
      </c>
      <c r="AM12" s="4" t="s">
        <v>570</v>
      </c>
      <c r="AN12" s="4" t="s">
        <v>570</v>
      </c>
      <c r="AO12" s="4" t="s">
        <v>570</v>
      </c>
      <c r="AP12" s="4" t="s">
        <v>570</v>
      </c>
      <c r="AQ12" s="4" t="s">
        <v>570</v>
      </c>
      <c r="AR12" s="4" t="s">
        <v>570</v>
      </c>
      <c r="AS12" s="4" t="s">
        <v>667</v>
      </c>
      <c r="AT12" s="4">
        <f>0.45/1000</f>
        <v>4.4999999999999999E-4</v>
      </c>
      <c r="AU12" s="4" t="s">
        <v>570</v>
      </c>
      <c r="AV12" s="4"/>
      <c r="AW12" s="4">
        <f>1.25/1000</f>
        <v>1.25E-3</v>
      </c>
      <c r="AX12" s="4" t="s">
        <v>570</v>
      </c>
      <c r="AY12" s="4"/>
      <c r="AZ12" s="4">
        <v>1E-4</v>
      </c>
      <c r="BA12" s="4"/>
    </row>
    <row r="13" spans="1:53" ht="12" customHeight="1">
      <c r="A13" s="1" t="s">
        <v>711</v>
      </c>
      <c r="B13" s="1" t="s">
        <v>604</v>
      </c>
      <c r="C13" s="1" t="s">
        <v>557</v>
      </c>
      <c r="D13" s="2" t="s">
        <v>721</v>
      </c>
      <c r="E13" s="2" t="s">
        <v>722</v>
      </c>
      <c r="F13" s="2" t="s">
        <v>570</v>
      </c>
      <c r="G13" s="2" t="s">
        <v>570</v>
      </c>
      <c r="H13" s="2" t="s">
        <v>570</v>
      </c>
      <c r="I13" s="2" t="s">
        <v>570</v>
      </c>
      <c r="J13" s="2" t="s">
        <v>570</v>
      </c>
      <c r="K13" s="2" t="s">
        <v>570</v>
      </c>
      <c r="L13" s="2" t="s">
        <v>570</v>
      </c>
      <c r="M13" s="2" t="s">
        <v>570</v>
      </c>
      <c r="N13" s="2" t="s">
        <v>570</v>
      </c>
      <c r="O13" s="1">
        <v>1997</v>
      </c>
      <c r="P13" s="2" t="s">
        <v>570</v>
      </c>
      <c r="Q13" s="2" t="s">
        <v>570</v>
      </c>
      <c r="R13" s="2" t="s">
        <v>55</v>
      </c>
      <c r="S13" s="1" t="s">
        <v>963</v>
      </c>
      <c r="T13" s="1" t="s">
        <v>755</v>
      </c>
      <c r="V13" s="2" t="s">
        <v>723</v>
      </c>
      <c r="W13" s="2" t="s">
        <v>1004</v>
      </c>
      <c r="X13" s="2" t="s">
        <v>1003</v>
      </c>
      <c r="Y13" s="2" t="s">
        <v>1002</v>
      </c>
      <c r="AA13" s="1" t="s">
        <v>756</v>
      </c>
      <c r="AB13" s="2" t="s">
        <v>570</v>
      </c>
      <c r="AC13" s="1">
        <v>27</v>
      </c>
      <c r="AD13" s="1">
        <v>27</v>
      </c>
      <c r="AE13" s="2" t="s">
        <v>570</v>
      </c>
      <c r="AF13" s="2" t="s">
        <v>570</v>
      </c>
      <c r="AG13" s="2" t="s">
        <v>570</v>
      </c>
      <c r="AH13" s="2" t="s">
        <v>570</v>
      </c>
      <c r="AI13" s="2" t="s">
        <v>570</v>
      </c>
      <c r="AJ13" s="2" t="s">
        <v>570</v>
      </c>
      <c r="AK13" s="2" t="s">
        <v>570</v>
      </c>
      <c r="AL13" s="2" t="s">
        <v>570</v>
      </c>
      <c r="AM13" s="2" t="s">
        <v>570</v>
      </c>
      <c r="AN13" s="2" t="s">
        <v>570</v>
      </c>
      <c r="AO13" s="2" t="s">
        <v>570</v>
      </c>
      <c r="AP13" s="2" t="s">
        <v>570</v>
      </c>
      <c r="AQ13" s="2" t="s">
        <v>570</v>
      </c>
      <c r="AR13" s="2" t="s">
        <v>570</v>
      </c>
      <c r="AS13" s="2" t="s">
        <v>667</v>
      </c>
      <c r="AT13" s="1">
        <f>0.36/1000</f>
        <v>3.5999999999999997E-4</v>
      </c>
      <c r="AU13" s="1" t="s">
        <v>570</v>
      </c>
      <c r="AW13" s="1">
        <f>0.51/1000</f>
        <v>5.1000000000000004E-4</v>
      </c>
      <c r="AX13" s="1" t="s">
        <v>570</v>
      </c>
      <c r="AZ13" s="1">
        <v>0.02</v>
      </c>
    </row>
    <row r="14" spans="1:53" ht="12" customHeight="1">
      <c r="A14" s="1" t="s">
        <v>711</v>
      </c>
      <c r="B14" s="1" t="s">
        <v>604</v>
      </c>
      <c r="C14" s="1" t="s">
        <v>557</v>
      </c>
      <c r="D14" s="2" t="s">
        <v>721</v>
      </c>
      <c r="E14" s="2" t="s">
        <v>722</v>
      </c>
      <c r="F14" s="1" t="s">
        <v>570</v>
      </c>
      <c r="G14" s="1" t="s">
        <v>570</v>
      </c>
      <c r="H14" s="1" t="s">
        <v>570</v>
      </c>
      <c r="I14" s="1" t="s">
        <v>570</v>
      </c>
      <c r="J14" s="1" t="s">
        <v>570</v>
      </c>
      <c r="K14" s="1" t="s">
        <v>570</v>
      </c>
      <c r="L14" s="1" t="s">
        <v>570</v>
      </c>
      <c r="M14" s="1" t="s">
        <v>570</v>
      </c>
      <c r="N14" s="1" t="s">
        <v>570</v>
      </c>
      <c r="O14" s="1">
        <v>1998</v>
      </c>
      <c r="P14" s="1" t="s">
        <v>570</v>
      </c>
      <c r="Q14" s="1" t="s">
        <v>570</v>
      </c>
      <c r="R14" s="1" t="s">
        <v>55</v>
      </c>
      <c r="S14" s="1" t="s">
        <v>963</v>
      </c>
      <c r="T14" s="1" t="s">
        <v>757</v>
      </c>
      <c r="V14" s="2" t="s">
        <v>723</v>
      </c>
      <c r="W14" s="2" t="s">
        <v>1004</v>
      </c>
      <c r="X14" s="2" t="s">
        <v>1003</v>
      </c>
      <c r="Y14" s="2" t="s">
        <v>1002</v>
      </c>
      <c r="AA14" s="1" t="s">
        <v>139</v>
      </c>
      <c r="AB14" s="1" t="s">
        <v>570</v>
      </c>
      <c r="AC14" s="1">
        <v>31</v>
      </c>
      <c r="AD14" s="1">
        <v>31</v>
      </c>
      <c r="AE14" s="1" t="s">
        <v>570</v>
      </c>
      <c r="AF14" s="1" t="s">
        <v>570</v>
      </c>
      <c r="AG14" s="1" t="s">
        <v>570</v>
      </c>
      <c r="AH14" s="1" t="s">
        <v>570</v>
      </c>
      <c r="AI14" s="1" t="s">
        <v>570</v>
      </c>
      <c r="AJ14" s="1" t="s">
        <v>570</v>
      </c>
      <c r="AK14" s="1" t="s">
        <v>570</v>
      </c>
      <c r="AL14" s="1" t="s">
        <v>570</v>
      </c>
      <c r="AM14" s="1" t="s">
        <v>570</v>
      </c>
      <c r="AN14" s="1" t="s">
        <v>570</v>
      </c>
      <c r="AO14" s="1" t="s">
        <v>570</v>
      </c>
      <c r="AP14" s="1" t="s">
        <v>570</v>
      </c>
      <c r="AQ14" s="1" t="s">
        <v>570</v>
      </c>
      <c r="AR14" s="1" t="s">
        <v>570</v>
      </c>
      <c r="AS14" s="1" t="s">
        <v>667</v>
      </c>
      <c r="AT14" s="1">
        <f>0.69/1000</f>
        <v>6.8999999999999997E-4</v>
      </c>
      <c r="AU14" s="1" t="s">
        <v>570</v>
      </c>
      <c r="AW14" s="1">
        <f>1.15/1000</f>
        <v>1.15E-3</v>
      </c>
      <c r="AX14" s="1" t="s">
        <v>570</v>
      </c>
      <c r="AZ14" s="1">
        <v>1.9E-3</v>
      </c>
    </row>
    <row r="15" spans="1:53" ht="12" customHeight="1">
      <c r="A15" s="2" t="s">
        <v>711</v>
      </c>
      <c r="B15" s="2" t="s">
        <v>604</v>
      </c>
      <c r="C15" s="2" t="s">
        <v>557</v>
      </c>
      <c r="D15" s="2" t="s">
        <v>721</v>
      </c>
      <c r="E15" s="2" t="s">
        <v>722</v>
      </c>
      <c r="F15" s="2" t="s">
        <v>570</v>
      </c>
      <c r="G15" s="2" t="s">
        <v>570</v>
      </c>
      <c r="H15" s="2" t="s">
        <v>570</v>
      </c>
      <c r="I15" s="2" t="s">
        <v>570</v>
      </c>
      <c r="J15" s="2" t="s">
        <v>570</v>
      </c>
      <c r="K15" s="2" t="s">
        <v>570</v>
      </c>
      <c r="L15" s="2" t="s">
        <v>570</v>
      </c>
      <c r="M15" s="2" t="s">
        <v>570</v>
      </c>
      <c r="N15" s="2" t="s">
        <v>570</v>
      </c>
      <c r="O15" s="2">
        <v>1999</v>
      </c>
      <c r="P15" s="2" t="s">
        <v>570</v>
      </c>
      <c r="Q15" s="2" t="s">
        <v>570</v>
      </c>
      <c r="R15" s="2" t="s">
        <v>55</v>
      </c>
      <c r="S15" s="2" t="s">
        <v>963</v>
      </c>
      <c r="T15" s="2" t="s">
        <v>755</v>
      </c>
      <c r="U15" s="2"/>
      <c r="V15" s="2" t="s">
        <v>723</v>
      </c>
      <c r="W15" s="6" t="s">
        <v>1004</v>
      </c>
      <c r="X15" s="6" t="s">
        <v>1003</v>
      </c>
      <c r="Y15" s="6" t="s">
        <v>1002</v>
      </c>
      <c r="Z15" s="2"/>
      <c r="AA15" s="2" t="s">
        <v>756</v>
      </c>
      <c r="AB15" s="2" t="s">
        <v>570</v>
      </c>
      <c r="AC15" s="2">
        <v>27</v>
      </c>
      <c r="AD15" s="2">
        <v>27</v>
      </c>
      <c r="AE15" s="2" t="s">
        <v>570</v>
      </c>
      <c r="AF15" s="2" t="s">
        <v>570</v>
      </c>
      <c r="AG15" s="2" t="s">
        <v>570</v>
      </c>
      <c r="AH15" s="2" t="s">
        <v>570</v>
      </c>
      <c r="AI15" s="2" t="s">
        <v>570</v>
      </c>
      <c r="AJ15" s="2" t="s">
        <v>570</v>
      </c>
      <c r="AK15" s="2" t="s">
        <v>570</v>
      </c>
      <c r="AL15" s="2" t="s">
        <v>570</v>
      </c>
      <c r="AM15" s="2" t="s">
        <v>570</v>
      </c>
      <c r="AN15" s="2" t="s">
        <v>570</v>
      </c>
      <c r="AO15" s="2" t="s">
        <v>570</v>
      </c>
      <c r="AP15" s="2" t="s">
        <v>570</v>
      </c>
      <c r="AQ15" s="2" t="s">
        <v>570</v>
      </c>
      <c r="AR15" s="2" t="s">
        <v>570</v>
      </c>
      <c r="AS15" s="2" t="s">
        <v>667</v>
      </c>
      <c r="AT15" s="2">
        <f>1.06/1000</f>
        <v>1.06E-3</v>
      </c>
      <c r="AU15" s="2" t="s">
        <v>570</v>
      </c>
      <c r="AV15" s="2"/>
      <c r="AW15" s="2">
        <f>1.19/1000</f>
        <v>1.1899999999999999E-3</v>
      </c>
      <c r="AX15" s="2" t="s">
        <v>570</v>
      </c>
      <c r="AY15" s="2"/>
      <c r="AZ15" s="2">
        <v>0.51</v>
      </c>
      <c r="BA15" s="2"/>
    </row>
    <row r="16" spans="1:53" ht="20.399999999999999">
      <c r="A16" s="4" t="s">
        <v>216</v>
      </c>
      <c r="B16" s="4" t="s">
        <v>604</v>
      </c>
      <c r="C16" s="4" t="s">
        <v>217</v>
      </c>
      <c r="D16" s="4" t="s">
        <v>570</v>
      </c>
      <c r="E16" s="4" t="s">
        <v>570</v>
      </c>
      <c r="F16" s="4" t="s">
        <v>570</v>
      </c>
      <c r="G16" s="4" t="s">
        <v>570</v>
      </c>
      <c r="H16" s="4" t="s">
        <v>570</v>
      </c>
      <c r="I16" s="4" t="s">
        <v>570</v>
      </c>
      <c r="J16" s="4" t="s">
        <v>570</v>
      </c>
      <c r="K16" s="4" t="s">
        <v>570</v>
      </c>
      <c r="L16" s="4" t="s">
        <v>570</v>
      </c>
      <c r="M16" s="4" t="s">
        <v>570</v>
      </c>
      <c r="N16" s="4" t="s">
        <v>570</v>
      </c>
      <c r="O16" s="4" t="s">
        <v>724</v>
      </c>
      <c r="P16" s="4" t="s">
        <v>570</v>
      </c>
      <c r="Q16" s="4" t="s">
        <v>570</v>
      </c>
      <c r="R16" s="4" t="s">
        <v>55</v>
      </c>
      <c r="S16" s="4" t="s">
        <v>570</v>
      </c>
      <c r="T16" s="16" t="s">
        <v>498</v>
      </c>
      <c r="U16" s="4" t="s">
        <v>570</v>
      </c>
      <c r="V16" s="4" t="s">
        <v>499</v>
      </c>
      <c r="W16" s="2" t="s">
        <v>569</v>
      </c>
      <c r="X16" s="2" t="s">
        <v>131</v>
      </c>
      <c r="Y16" s="4" t="s">
        <v>1001</v>
      </c>
      <c r="Z16" s="4" t="s">
        <v>570</v>
      </c>
      <c r="AA16" s="14" t="s">
        <v>662</v>
      </c>
      <c r="AB16" s="4" t="s">
        <v>570</v>
      </c>
      <c r="AC16" s="4">
        <f t="shared" ref="AC16:AD23" si="1">2*5</f>
        <v>10</v>
      </c>
      <c r="AD16" s="4">
        <f t="shared" si="1"/>
        <v>10</v>
      </c>
      <c r="AE16" s="4" t="s">
        <v>570</v>
      </c>
      <c r="AF16" s="4" t="s">
        <v>570</v>
      </c>
      <c r="AG16" s="4" t="s">
        <v>570</v>
      </c>
      <c r="AH16" s="4" t="s">
        <v>570</v>
      </c>
      <c r="AI16" s="4" t="s">
        <v>570</v>
      </c>
      <c r="AJ16" s="4" t="s">
        <v>570</v>
      </c>
      <c r="AK16" s="4" t="s">
        <v>570</v>
      </c>
      <c r="AL16" s="4" t="s">
        <v>570</v>
      </c>
      <c r="AM16" s="4" t="s">
        <v>570</v>
      </c>
      <c r="AN16" s="4" t="s">
        <v>570</v>
      </c>
      <c r="AO16" s="4" t="s">
        <v>570</v>
      </c>
      <c r="AP16" s="4" t="s">
        <v>570</v>
      </c>
      <c r="AQ16" s="4" t="s">
        <v>570</v>
      </c>
      <c r="AR16" s="4" t="s">
        <v>570</v>
      </c>
      <c r="AS16" s="4" t="s">
        <v>667</v>
      </c>
      <c r="AT16" s="4">
        <f>69.5/1000</f>
        <v>6.9500000000000006E-2</v>
      </c>
      <c r="AU16" s="4"/>
      <c r="AV16" s="4"/>
      <c r="AW16" s="4">
        <f>138.3/1000</f>
        <v>0.13830000000000001</v>
      </c>
      <c r="AX16" s="4"/>
      <c r="AY16" s="4"/>
      <c r="AZ16" s="5">
        <v>0.05</v>
      </c>
      <c r="BA16" s="17"/>
    </row>
    <row r="17" spans="1:53" s="2" customFormat="1" ht="20.399999999999999">
      <c r="A17" s="2" t="s">
        <v>216</v>
      </c>
      <c r="B17" s="2" t="s">
        <v>604</v>
      </c>
      <c r="C17" s="2" t="s">
        <v>217</v>
      </c>
      <c r="D17" s="2" t="s">
        <v>570</v>
      </c>
      <c r="E17" s="2" t="s">
        <v>570</v>
      </c>
      <c r="F17" s="2" t="s">
        <v>570</v>
      </c>
      <c r="G17" s="2" t="s">
        <v>570</v>
      </c>
      <c r="H17" s="2" t="s">
        <v>570</v>
      </c>
      <c r="I17" s="2" t="s">
        <v>570</v>
      </c>
      <c r="J17" s="2" t="s">
        <v>570</v>
      </c>
      <c r="K17" s="2" t="s">
        <v>570</v>
      </c>
      <c r="L17" s="2" t="s">
        <v>570</v>
      </c>
      <c r="M17" s="2" t="s">
        <v>570</v>
      </c>
      <c r="N17" s="2" t="s">
        <v>570</v>
      </c>
      <c r="O17" s="2" t="s">
        <v>663</v>
      </c>
      <c r="P17" s="2" t="s">
        <v>570</v>
      </c>
      <c r="Q17" s="2" t="s">
        <v>570</v>
      </c>
      <c r="R17" s="2" t="s">
        <v>55</v>
      </c>
      <c r="S17" s="2" t="s">
        <v>570</v>
      </c>
      <c r="T17" s="18" t="s">
        <v>498</v>
      </c>
      <c r="U17" s="2" t="s">
        <v>570</v>
      </c>
      <c r="V17" s="2" t="s">
        <v>499</v>
      </c>
      <c r="W17" s="2" t="s">
        <v>569</v>
      </c>
      <c r="X17" s="1" t="s">
        <v>131</v>
      </c>
      <c r="Y17" s="2" t="s">
        <v>1001</v>
      </c>
      <c r="Z17" s="2" t="s">
        <v>570</v>
      </c>
      <c r="AA17" s="19" t="s">
        <v>664</v>
      </c>
      <c r="AB17" s="2" t="s">
        <v>570</v>
      </c>
      <c r="AC17" s="2">
        <f t="shared" si="1"/>
        <v>10</v>
      </c>
      <c r="AD17" s="2">
        <f t="shared" si="1"/>
        <v>10</v>
      </c>
      <c r="AE17" s="2" t="s">
        <v>570</v>
      </c>
      <c r="AF17" s="2" t="s">
        <v>570</v>
      </c>
      <c r="AG17" s="2" t="s">
        <v>570</v>
      </c>
      <c r="AH17" s="2" t="s">
        <v>570</v>
      </c>
      <c r="AI17" s="2" t="s">
        <v>570</v>
      </c>
      <c r="AJ17" s="2" t="s">
        <v>570</v>
      </c>
      <c r="AK17" s="2" t="s">
        <v>570</v>
      </c>
      <c r="AL17" s="2" t="s">
        <v>570</v>
      </c>
      <c r="AM17" s="2" t="s">
        <v>570</v>
      </c>
      <c r="AN17" s="2" t="s">
        <v>570</v>
      </c>
      <c r="AO17" s="2" t="s">
        <v>570</v>
      </c>
      <c r="AP17" s="2" t="s">
        <v>570</v>
      </c>
      <c r="AQ17" s="2" t="s">
        <v>570</v>
      </c>
      <c r="AR17" s="2" t="s">
        <v>570</v>
      </c>
      <c r="AS17" s="2" t="s">
        <v>667</v>
      </c>
      <c r="AT17" s="2">
        <f>716.7/1000</f>
        <v>0.7167</v>
      </c>
      <c r="AW17" s="2">
        <f>867.5/1000</f>
        <v>0.86750000000000005</v>
      </c>
      <c r="AZ17" s="7">
        <v>0.05</v>
      </c>
      <c r="BA17" s="20"/>
    </row>
    <row r="18" spans="1:53" ht="20.399999999999999">
      <c r="A18" s="2" t="s">
        <v>216</v>
      </c>
      <c r="B18" s="2" t="s">
        <v>604</v>
      </c>
      <c r="C18" s="2" t="s">
        <v>217</v>
      </c>
      <c r="D18" s="2" t="s">
        <v>570</v>
      </c>
      <c r="E18" s="2" t="s">
        <v>570</v>
      </c>
      <c r="F18" s="2" t="s">
        <v>570</v>
      </c>
      <c r="G18" s="2" t="s">
        <v>570</v>
      </c>
      <c r="H18" s="2" t="s">
        <v>570</v>
      </c>
      <c r="I18" s="2" t="s">
        <v>570</v>
      </c>
      <c r="J18" s="2" t="s">
        <v>570</v>
      </c>
      <c r="K18" s="2" t="s">
        <v>570</v>
      </c>
      <c r="L18" s="2" t="s">
        <v>570</v>
      </c>
      <c r="M18" s="2" t="s">
        <v>570</v>
      </c>
      <c r="N18" s="2" t="s">
        <v>570</v>
      </c>
      <c r="O18" s="2" t="s">
        <v>724</v>
      </c>
      <c r="P18" s="2" t="s">
        <v>570</v>
      </c>
      <c r="Q18" s="2" t="s">
        <v>570</v>
      </c>
      <c r="R18" s="2" t="s">
        <v>55</v>
      </c>
      <c r="S18" s="2" t="s">
        <v>570</v>
      </c>
      <c r="T18" s="18" t="s">
        <v>498</v>
      </c>
      <c r="U18" s="2" t="s">
        <v>570</v>
      </c>
      <c r="V18" s="2" t="s">
        <v>499</v>
      </c>
      <c r="W18" s="2" t="s">
        <v>569</v>
      </c>
      <c r="X18" s="1" t="s">
        <v>131</v>
      </c>
      <c r="Y18" s="2" t="s">
        <v>1001</v>
      </c>
      <c r="Z18" s="2" t="s">
        <v>570</v>
      </c>
      <c r="AA18" s="19" t="s">
        <v>662</v>
      </c>
      <c r="AB18" s="2" t="s">
        <v>570</v>
      </c>
      <c r="AC18" s="2">
        <f t="shared" si="1"/>
        <v>10</v>
      </c>
      <c r="AD18" s="2">
        <f t="shared" si="1"/>
        <v>10</v>
      </c>
      <c r="AE18" s="2" t="s">
        <v>570</v>
      </c>
      <c r="AF18" s="2" t="s">
        <v>570</v>
      </c>
      <c r="AG18" s="2" t="s">
        <v>570</v>
      </c>
      <c r="AH18" s="2" t="s">
        <v>570</v>
      </c>
      <c r="AI18" s="2" t="s">
        <v>570</v>
      </c>
      <c r="AJ18" s="2" t="s">
        <v>570</v>
      </c>
      <c r="AK18" s="2" t="s">
        <v>570</v>
      </c>
      <c r="AL18" s="2" t="s">
        <v>570</v>
      </c>
      <c r="AM18" s="2" t="s">
        <v>570</v>
      </c>
      <c r="AN18" s="2" t="s">
        <v>570</v>
      </c>
      <c r="AO18" s="2" t="s">
        <v>570</v>
      </c>
      <c r="AP18" s="2" t="s">
        <v>570</v>
      </c>
      <c r="AQ18" s="2" t="s">
        <v>570</v>
      </c>
      <c r="AR18" s="2" t="s">
        <v>570</v>
      </c>
      <c r="AS18" s="2" t="s">
        <v>672</v>
      </c>
      <c r="AT18" s="2">
        <f>19.3/1000</f>
        <v>1.9300000000000001E-2</v>
      </c>
      <c r="AU18" s="2"/>
      <c r="AV18" s="2"/>
      <c r="AW18" s="2">
        <f>21/1000</f>
        <v>2.1000000000000001E-2</v>
      </c>
      <c r="AX18" s="2"/>
      <c r="AY18" s="2"/>
      <c r="AZ18" s="7">
        <v>0.06</v>
      </c>
      <c r="BA18" s="2"/>
    </row>
    <row r="19" spans="1:53" s="65" customFormat="1" ht="20.399999999999999">
      <c r="A19" s="2" t="s">
        <v>216</v>
      </c>
      <c r="B19" s="2" t="s">
        <v>604</v>
      </c>
      <c r="C19" s="2" t="s">
        <v>217</v>
      </c>
      <c r="D19" s="2" t="s">
        <v>570</v>
      </c>
      <c r="E19" s="2" t="s">
        <v>570</v>
      </c>
      <c r="F19" s="2" t="s">
        <v>570</v>
      </c>
      <c r="G19" s="2" t="s">
        <v>570</v>
      </c>
      <c r="H19" s="2" t="s">
        <v>570</v>
      </c>
      <c r="I19" s="2" t="s">
        <v>570</v>
      </c>
      <c r="J19" s="2" t="s">
        <v>570</v>
      </c>
      <c r="K19" s="2" t="s">
        <v>570</v>
      </c>
      <c r="L19" s="2" t="s">
        <v>570</v>
      </c>
      <c r="M19" s="2" t="s">
        <v>570</v>
      </c>
      <c r="N19" s="2" t="s">
        <v>570</v>
      </c>
      <c r="O19" s="2" t="s">
        <v>663</v>
      </c>
      <c r="P19" s="2" t="s">
        <v>570</v>
      </c>
      <c r="Q19" s="2" t="s">
        <v>570</v>
      </c>
      <c r="R19" s="2" t="s">
        <v>55</v>
      </c>
      <c r="S19" s="2" t="s">
        <v>570</v>
      </c>
      <c r="T19" s="18" t="s">
        <v>498</v>
      </c>
      <c r="U19" s="2" t="s">
        <v>570</v>
      </c>
      <c r="V19" s="2" t="s">
        <v>499</v>
      </c>
      <c r="W19" s="2" t="s">
        <v>569</v>
      </c>
      <c r="X19" s="1" t="s">
        <v>131</v>
      </c>
      <c r="Y19" s="2" t="s">
        <v>1001</v>
      </c>
      <c r="Z19" s="2" t="s">
        <v>570</v>
      </c>
      <c r="AA19" s="19" t="s">
        <v>664</v>
      </c>
      <c r="AB19" s="2" t="s">
        <v>570</v>
      </c>
      <c r="AC19" s="2">
        <f t="shared" si="1"/>
        <v>10</v>
      </c>
      <c r="AD19" s="2">
        <f t="shared" si="1"/>
        <v>10</v>
      </c>
      <c r="AE19" s="2" t="s">
        <v>570</v>
      </c>
      <c r="AF19" s="2" t="s">
        <v>570</v>
      </c>
      <c r="AG19" s="2" t="s">
        <v>570</v>
      </c>
      <c r="AH19" s="2" t="s">
        <v>570</v>
      </c>
      <c r="AI19" s="2" t="s">
        <v>570</v>
      </c>
      <c r="AJ19" s="2" t="s">
        <v>570</v>
      </c>
      <c r="AK19" s="2" t="s">
        <v>570</v>
      </c>
      <c r="AL19" s="2" t="s">
        <v>570</v>
      </c>
      <c r="AM19" s="2" t="s">
        <v>570</v>
      </c>
      <c r="AN19" s="2" t="s">
        <v>570</v>
      </c>
      <c r="AO19" s="2" t="s">
        <v>570</v>
      </c>
      <c r="AP19" s="2" t="s">
        <v>570</v>
      </c>
      <c r="AQ19" s="2" t="s">
        <v>570</v>
      </c>
      <c r="AR19" s="2" t="s">
        <v>570</v>
      </c>
      <c r="AS19" s="2" t="s">
        <v>672</v>
      </c>
      <c r="AT19" s="2">
        <f>7.7/1000</f>
        <v>7.7000000000000002E-3</v>
      </c>
      <c r="AU19" s="46"/>
      <c r="AV19" s="46"/>
      <c r="AW19" s="2">
        <f>36.8/1000</f>
        <v>3.6799999999999999E-2</v>
      </c>
      <c r="AX19" s="46"/>
      <c r="AY19" s="46"/>
      <c r="AZ19" s="7">
        <v>0.05</v>
      </c>
      <c r="BA19" s="46"/>
    </row>
    <row r="20" spans="1:53" ht="20.399999999999999">
      <c r="A20" s="2" t="s">
        <v>216</v>
      </c>
      <c r="B20" s="2" t="s">
        <v>604</v>
      </c>
      <c r="C20" s="2" t="s">
        <v>217</v>
      </c>
      <c r="D20" s="2" t="s">
        <v>570</v>
      </c>
      <c r="E20" s="2" t="s">
        <v>570</v>
      </c>
      <c r="F20" s="2" t="s">
        <v>570</v>
      </c>
      <c r="G20" s="2" t="s">
        <v>570</v>
      </c>
      <c r="H20" s="2" t="s">
        <v>570</v>
      </c>
      <c r="I20" s="2" t="s">
        <v>570</v>
      </c>
      <c r="J20" s="2" t="s">
        <v>570</v>
      </c>
      <c r="K20" s="2" t="s">
        <v>570</v>
      </c>
      <c r="L20" s="2" t="s">
        <v>570</v>
      </c>
      <c r="M20" s="2" t="s">
        <v>570</v>
      </c>
      <c r="N20" s="2" t="s">
        <v>570</v>
      </c>
      <c r="O20" s="2" t="s">
        <v>724</v>
      </c>
      <c r="P20" s="2" t="s">
        <v>570</v>
      </c>
      <c r="Q20" s="2" t="s">
        <v>570</v>
      </c>
      <c r="R20" s="2" t="s">
        <v>55</v>
      </c>
      <c r="S20" s="2" t="s">
        <v>570</v>
      </c>
      <c r="T20" s="18" t="s">
        <v>498</v>
      </c>
      <c r="U20" s="2" t="s">
        <v>570</v>
      </c>
      <c r="V20" s="2" t="s">
        <v>499</v>
      </c>
      <c r="W20" s="2" t="s">
        <v>569</v>
      </c>
      <c r="X20" s="1" t="s">
        <v>131</v>
      </c>
      <c r="Y20" s="2" t="s">
        <v>1001</v>
      </c>
      <c r="Z20" s="2" t="s">
        <v>570</v>
      </c>
      <c r="AA20" s="19" t="s">
        <v>662</v>
      </c>
      <c r="AB20" s="2" t="s">
        <v>570</v>
      </c>
      <c r="AC20" s="2">
        <f t="shared" si="1"/>
        <v>10</v>
      </c>
      <c r="AD20" s="2">
        <f t="shared" si="1"/>
        <v>10</v>
      </c>
      <c r="AE20" s="2" t="s">
        <v>570</v>
      </c>
      <c r="AF20" s="2" t="s">
        <v>570</v>
      </c>
      <c r="AG20" s="2" t="s">
        <v>570</v>
      </c>
      <c r="AH20" s="2" t="s">
        <v>570</v>
      </c>
      <c r="AI20" s="2" t="s">
        <v>570</v>
      </c>
      <c r="AJ20" s="2" t="s">
        <v>570</v>
      </c>
      <c r="AK20" s="2" t="s">
        <v>570</v>
      </c>
      <c r="AL20" s="2" t="s">
        <v>570</v>
      </c>
      <c r="AM20" s="2" t="s">
        <v>570</v>
      </c>
      <c r="AN20" s="2" t="s">
        <v>570</v>
      </c>
      <c r="AO20" s="2" t="s">
        <v>570</v>
      </c>
      <c r="AP20" s="2" t="s">
        <v>570</v>
      </c>
      <c r="AQ20" s="2" t="s">
        <v>570</v>
      </c>
      <c r="AR20" s="2" t="s">
        <v>570</v>
      </c>
      <c r="AS20" s="2" t="s">
        <v>673</v>
      </c>
      <c r="AT20" s="2">
        <f>4.8/1000</f>
        <v>4.7999999999999996E-3</v>
      </c>
      <c r="AU20" s="2"/>
      <c r="AV20" s="2"/>
      <c r="AW20" s="2">
        <f>19.5/1000</f>
        <v>1.95E-2</v>
      </c>
      <c r="AX20" s="2"/>
      <c r="AY20" s="2"/>
      <c r="AZ20" s="7">
        <v>0.05</v>
      </c>
      <c r="BA20" s="2"/>
    </row>
    <row r="21" spans="1:53" ht="20.399999999999999">
      <c r="A21" s="2" t="s">
        <v>216</v>
      </c>
      <c r="B21" s="2" t="s">
        <v>604</v>
      </c>
      <c r="C21" s="2" t="s">
        <v>217</v>
      </c>
      <c r="D21" s="2" t="s">
        <v>570</v>
      </c>
      <c r="E21" s="2" t="s">
        <v>570</v>
      </c>
      <c r="F21" s="2" t="s">
        <v>570</v>
      </c>
      <c r="G21" s="2" t="s">
        <v>570</v>
      </c>
      <c r="H21" s="2" t="s">
        <v>570</v>
      </c>
      <c r="I21" s="2" t="s">
        <v>570</v>
      </c>
      <c r="J21" s="2" t="s">
        <v>570</v>
      </c>
      <c r="K21" s="2" t="s">
        <v>570</v>
      </c>
      <c r="L21" s="2" t="s">
        <v>570</v>
      </c>
      <c r="M21" s="2" t="s">
        <v>570</v>
      </c>
      <c r="N21" s="2" t="s">
        <v>570</v>
      </c>
      <c r="O21" s="2" t="s">
        <v>663</v>
      </c>
      <c r="P21" s="2" t="s">
        <v>570</v>
      </c>
      <c r="Q21" s="2" t="s">
        <v>570</v>
      </c>
      <c r="R21" s="2" t="s">
        <v>55</v>
      </c>
      <c r="S21" s="2" t="s">
        <v>570</v>
      </c>
      <c r="T21" s="18" t="s">
        <v>498</v>
      </c>
      <c r="U21" s="2" t="s">
        <v>570</v>
      </c>
      <c r="V21" s="2" t="s">
        <v>499</v>
      </c>
      <c r="W21" s="2" t="s">
        <v>569</v>
      </c>
      <c r="X21" s="1" t="s">
        <v>131</v>
      </c>
      <c r="Y21" s="2" t="s">
        <v>1001</v>
      </c>
      <c r="Z21" s="2" t="s">
        <v>570</v>
      </c>
      <c r="AA21" s="19" t="s">
        <v>664</v>
      </c>
      <c r="AB21" s="2" t="s">
        <v>570</v>
      </c>
      <c r="AC21" s="2">
        <f t="shared" si="1"/>
        <v>10</v>
      </c>
      <c r="AD21" s="2">
        <f t="shared" si="1"/>
        <v>10</v>
      </c>
      <c r="AE21" s="2" t="s">
        <v>570</v>
      </c>
      <c r="AF21" s="2" t="s">
        <v>570</v>
      </c>
      <c r="AG21" s="2" t="s">
        <v>570</v>
      </c>
      <c r="AH21" s="2" t="s">
        <v>570</v>
      </c>
      <c r="AI21" s="2" t="s">
        <v>570</v>
      </c>
      <c r="AJ21" s="2" t="s">
        <v>570</v>
      </c>
      <c r="AK21" s="2" t="s">
        <v>570</v>
      </c>
      <c r="AL21" s="2" t="s">
        <v>570</v>
      </c>
      <c r="AM21" s="2" t="s">
        <v>570</v>
      </c>
      <c r="AN21" s="2" t="s">
        <v>570</v>
      </c>
      <c r="AO21" s="2" t="s">
        <v>570</v>
      </c>
      <c r="AP21" s="2" t="s">
        <v>570</v>
      </c>
      <c r="AQ21" s="2" t="s">
        <v>570</v>
      </c>
      <c r="AR21" s="2" t="s">
        <v>570</v>
      </c>
      <c r="AS21" s="2" t="s">
        <v>673</v>
      </c>
      <c r="AT21" s="2">
        <f>247.5/1000</f>
        <v>0.2475</v>
      </c>
      <c r="AU21" s="2"/>
      <c r="AV21" s="2"/>
      <c r="AW21" s="2">
        <f>262/1000</f>
        <v>0.26200000000000001</v>
      </c>
      <c r="AX21" s="2"/>
      <c r="AY21" s="2"/>
      <c r="AZ21" s="7">
        <v>0.06</v>
      </c>
      <c r="BA21" s="2"/>
    </row>
    <row r="22" spans="1:53" ht="20.399999999999999">
      <c r="A22" s="2" t="s">
        <v>216</v>
      </c>
      <c r="B22" s="2" t="s">
        <v>604</v>
      </c>
      <c r="C22" s="2" t="s">
        <v>217</v>
      </c>
      <c r="D22" s="2" t="s">
        <v>570</v>
      </c>
      <c r="E22" s="2" t="s">
        <v>570</v>
      </c>
      <c r="F22" s="2" t="s">
        <v>570</v>
      </c>
      <c r="G22" s="2" t="s">
        <v>570</v>
      </c>
      <c r="H22" s="2" t="s">
        <v>570</v>
      </c>
      <c r="I22" s="2" t="s">
        <v>570</v>
      </c>
      <c r="J22" s="2" t="s">
        <v>570</v>
      </c>
      <c r="K22" s="2" t="s">
        <v>570</v>
      </c>
      <c r="L22" s="2" t="s">
        <v>570</v>
      </c>
      <c r="M22" s="2" t="s">
        <v>570</v>
      </c>
      <c r="N22" s="2" t="s">
        <v>570</v>
      </c>
      <c r="O22" s="2" t="s">
        <v>724</v>
      </c>
      <c r="P22" s="2" t="s">
        <v>570</v>
      </c>
      <c r="Q22" s="2" t="s">
        <v>570</v>
      </c>
      <c r="R22" s="2" t="s">
        <v>55</v>
      </c>
      <c r="S22" s="2" t="s">
        <v>570</v>
      </c>
      <c r="T22" s="18" t="s">
        <v>498</v>
      </c>
      <c r="U22" s="2" t="s">
        <v>570</v>
      </c>
      <c r="V22" s="2" t="s">
        <v>499</v>
      </c>
      <c r="W22" s="2" t="s">
        <v>569</v>
      </c>
      <c r="X22" s="1" t="s">
        <v>131</v>
      </c>
      <c r="Y22" s="2" t="s">
        <v>1001</v>
      </c>
      <c r="Z22" s="2" t="s">
        <v>570</v>
      </c>
      <c r="AA22" s="19" t="s">
        <v>662</v>
      </c>
      <c r="AB22" s="2" t="s">
        <v>570</v>
      </c>
      <c r="AC22" s="2">
        <f t="shared" si="1"/>
        <v>10</v>
      </c>
      <c r="AD22" s="2">
        <f t="shared" si="1"/>
        <v>10</v>
      </c>
      <c r="AE22" s="2" t="s">
        <v>570</v>
      </c>
      <c r="AF22" s="2" t="s">
        <v>570</v>
      </c>
      <c r="AG22" s="2" t="s">
        <v>570</v>
      </c>
      <c r="AH22" s="2" t="s">
        <v>570</v>
      </c>
      <c r="AI22" s="2" t="s">
        <v>570</v>
      </c>
      <c r="AJ22" s="2" t="s">
        <v>570</v>
      </c>
      <c r="AK22" s="2" t="s">
        <v>570</v>
      </c>
      <c r="AL22" s="2" t="s">
        <v>570</v>
      </c>
      <c r="AM22" s="2" t="s">
        <v>570</v>
      </c>
      <c r="AN22" s="2" t="s">
        <v>570</v>
      </c>
      <c r="AO22" s="2" t="s">
        <v>570</v>
      </c>
      <c r="AP22" s="2" t="s">
        <v>570</v>
      </c>
      <c r="AQ22" s="2" t="s">
        <v>570</v>
      </c>
      <c r="AR22" s="2" t="s">
        <v>570</v>
      </c>
      <c r="AS22" s="2" t="s">
        <v>79</v>
      </c>
      <c r="AT22" s="2">
        <f>3.8/1000</f>
        <v>3.8E-3</v>
      </c>
      <c r="AU22" s="2"/>
      <c r="AV22" s="2"/>
      <c r="AW22" s="2">
        <f>5/1000</f>
        <v>5.0000000000000001E-3</v>
      </c>
      <c r="AX22" s="2"/>
      <c r="AY22" s="2"/>
      <c r="AZ22" s="7">
        <v>0.05</v>
      </c>
      <c r="BA22" s="2"/>
    </row>
    <row r="23" spans="1:53" ht="20.399999999999999">
      <c r="A23" s="6" t="s">
        <v>216</v>
      </c>
      <c r="B23" s="6" t="s">
        <v>604</v>
      </c>
      <c r="C23" s="6" t="s">
        <v>217</v>
      </c>
      <c r="D23" s="6" t="s">
        <v>570</v>
      </c>
      <c r="E23" s="6" t="s">
        <v>570</v>
      </c>
      <c r="F23" s="6" t="s">
        <v>570</v>
      </c>
      <c r="G23" s="6" t="s">
        <v>570</v>
      </c>
      <c r="H23" s="6" t="s">
        <v>570</v>
      </c>
      <c r="I23" s="6" t="s">
        <v>570</v>
      </c>
      <c r="J23" s="6" t="s">
        <v>570</v>
      </c>
      <c r="K23" s="6" t="s">
        <v>570</v>
      </c>
      <c r="L23" s="6" t="s">
        <v>570</v>
      </c>
      <c r="M23" s="6" t="s">
        <v>570</v>
      </c>
      <c r="N23" s="6" t="s">
        <v>570</v>
      </c>
      <c r="O23" s="6" t="s">
        <v>663</v>
      </c>
      <c r="P23" s="6" t="s">
        <v>570</v>
      </c>
      <c r="Q23" s="6" t="s">
        <v>570</v>
      </c>
      <c r="R23" s="6" t="s">
        <v>55</v>
      </c>
      <c r="S23" s="6" t="s">
        <v>570</v>
      </c>
      <c r="T23" s="21" t="s">
        <v>498</v>
      </c>
      <c r="U23" s="6" t="s">
        <v>570</v>
      </c>
      <c r="V23" s="6" t="s">
        <v>499</v>
      </c>
      <c r="W23" s="6" t="s">
        <v>569</v>
      </c>
      <c r="X23" s="6" t="s">
        <v>131</v>
      </c>
      <c r="Y23" s="6" t="s">
        <v>1001</v>
      </c>
      <c r="Z23" s="6" t="s">
        <v>570</v>
      </c>
      <c r="AA23" s="15" t="s">
        <v>664</v>
      </c>
      <c r="AB23" s="6" t="s">
        <v>570</v>
      </c>
      <c r="AC23" s="6">
        <f t="shared" si="1"/>
        <v>10</v>
      </c>
      <c r="AD23" s="6">
        <f t="shared" si="1"/>
        <v>10</v>
      </c>
      <c r="AE23" s="6" t="s">
        <v>570</v>
      </c>
      <c r="AF23" s="6" t="s">
        <v>570</v>
      </c>
      <c r="AG23" s="6" t="s">
        <v>570</v>
      </c>
      <c r="AH23" s="6" t="s">
        <v>570</v>
      </c>
      <c r="AI23" s="6" t="s">
        <v>570</v>
      </c>
      <c r="AJ23" s="6" t="s">
        <v>570</v>
      </c>
      <c r="AK23" s="6" t="s">
        <v>570</v>
      </c>
      <c r="AL23" s="6" t="s">
        <v>570</v>
      </c>
      <c r="AM23" s="6" t="s">
        <v>570</v>
      </c>
      <c r="AN23" s="6" t="s">
        <v>570</v>
      </c>
      <c r="AO23" s="6" t="s">
        <v>570</v>
      </c>
      <c r="AP23" s="6" t="s">
        <v>570</v>
      </c>
      <c r="AQ23" s="6" t="s">
        <v>570</v>
      </c>
      <c r="AR23" s="6" t="s">
        <v>570</v>
      </c>
      <c r="AS23" s="6" t="s">
        <v>79</v>
      </c>
      <c r="AT23" s="6">
        <f>78.5/1000</f>
        <v>7.85E-2</v>
      </c>
      <c r="AU23" s="6"/>
      <c r="AV23" s="6"/>
      <c r="AW23" s="6">
        <f>85.6/1000</f>
        <v>8.5599999999999996E-2</v>
      </c>
      <c r="AX23" s="6"/>
      <c r="AY23" s="6"/>
      <c r="AZ23" s="8">
        <v>0.06</v>
      </c>
      <c r="BA23" s="6"/>
    </row>
  </sheetData>
  <phoneticPr fontId="1" type="noConversion"/>
  <pageMargins left="0.75" right="0.75" top="1" bottom="1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018"/>
  <sheetViews>
    <sheetView zoomScale="125" zoomScaleNormal="125" zoomScalePageLayoutView="125" workbookViewId="0">
      <pane xSplit="1" ySplit="1" topLeftCell="U6" activePane="bottomRight" state="frozen"/>
      <selection pane="topRight" activeCell="B1" sqref="B1"/>
      <selection pane="bottomLeft" activeCell="A2" sqref="A2"/>
      <selection pane="bottomRight" activeCell="X11" sqref="X11:Y11"/>
    </sheetView>
  </sheetViews>
  <sheetFormatPr defaultColWidth="8.33203125" defaultRowHeight="13.2"/>
  <cols>
    <col min="1" max="1" width="10.77734375" style="1" customWidth="1"/>
    <col min="2" max="2" width="6.33203125" style="1" customWidth="1"/>
    <col min="3" max="3" width="78" style="1" customWidth="1"/>
    <col min="4" max="4" width="13.77734375" style="1" customWidth="1"/>
    <col min="5" max="5" width="11.44140625" style="1" customWidth="1"/>
    <col min="6" max="9" width="13.77734375" style="1" customWidth="1"/>
    <col min="10" max="10" width="9" style="1" customWidth="1"/>
    <col min="11" max="11" width="10.109375" style="1" customWidth="1"/>
    <col min="12" max="12" width="9.77734375" style="1" customWidth="1"/>
    <col min="13" max="13" width="8.44140625" style="1" customWidth="1"/>
    <col min="14" max="14" width="14.44140625" style="1" customWidth="1"/>
    <col min="15" max="15" width="12.77734375" style="1" customWidth="1"/>
    <col min="16" max="16" width="10.109375" style="1" customWidth="1"/>
    <col min="17" max="17" width="28.77734375" style="1" customWidth="1"/>
    <col min="18" max="18" width="42.44140625" style="1" customWidth="1"/>
    <col min="19" max="19" width="20" style="1" customWidth="1"/>
    <col min="20" max="20" width="40.6640625" style="1" customWidth="1"/>
    <col min="21" max="21" width="13.33203125" style="1" customWidth="1"/>
    <col min="22" max="22" width="28.33203125" style="1" customWidth="1"/>
    <col min="23" max="23" width="27.6640625" style="1" bestFit="1" customWidth="1"/>
    <col min="24" max="24" width="19.77734375" style="1" customWidth="1"/>
    <col min="25" max="25" width="36.33203125" style="1" bestFit="1" customWidth="1"/>
    <col min="26" max="26" width="12.44140625" style="1" customWidth="1"/>
    <col min="27" max="27" width="27.109375" style="1" customWidth="1"/>
    <col min="28" max="28" width="15" style="1" customWidth="1"/>
    <col min="29" max="30" width="7.77734375" style="1" customWidth="1"/>
    <col min="31" max="31" width="17.44140625" style="1" customWidth="1"/>
    <col min="32" max="34" width="10.6640625" style="1" customWidth="1"/>
    <col min="35" max="35" width="10.33203125" style="1" customWidth="1"/>
    <col min="36" max="36" width="12.109375" style="1" customWidth="1"/>
    <col min="37" max="37" width="19" style="1" customWidth="1"/>
    <col min="38" max="38" width="10.77734375" style="1" customWidth="1"/>
    <col min="39" max="39" width="15.33203125" style="1" customWidth="1"/>
    <col min="40" max="41" width="10.77734375" style="1" customWidth="1"/>
    <col min="42" max="42" width="14.77734375" style="1" customWidth="1"/>
    <col min="43" max="44" width="10.77734375" style="1" customWidth="1"/>
    <col min="45" max="46" width="10.6640625" style="1" customWidth="1"/>
    <col min="47" max="47" width="9.109375" style="65" customWidth="1"/>
    <col min="48" max="49" width="10.6640625" style="1" customWidth="1"/>
    <col min="50" max="50" width="13.6640625" style="65" bestFit="1" customWidth="1"/>
    <col min="51" max="56" width="10.6640625" style="1" customWidth="1"/>
    <col min="57" max="57" width="7.109375" style="1" customWidth="1"/>
    <col min="58" max="58" width="6.77734375" style="1" customWidth="1"/>
    <col min="59" max="59" width="7.109375" style="1" customWidth="1"/>
    <col min="60" max="61" width="6.6640625" style="1" customWidth="1"/>
    <col min="62" max="16384" width="8.33203125" style="1"/>
  </cols>
  <sheetData>
    <row r="1" spans="1:61" s="3" customFormat="1" ht="66" customHeight="1">
      <c r="A1" s="62" t="s">
        <v>836</v>
      </c>
      <c r="B1" s="10" t="s">
        <v>87</v>
      </c>
      <c r="C1" s="10" t="s">
        <v>88</v>
      </c>
      <c r="D1" s="10" t="s">
        <v>520</v>
      </c>
      <c r="E1" s="10" t="s">
        <v>521</v>
      </c>
      <c r="F1" s="10" t="s">
        <v>89</v>
      </c>
      <c r="G1" s="10" t="s">
        <v>90</v>
      </c>
      <c r="H1" s="10" t="s">
        <v>91</v>
      </c>
      <c r="I1" s="10" t="s">
        <v>92</v>
      </c>
      <c r="J1" s="10" t="s">
        <v>522</v>
      </c>
      <c r="K1" s="62" t="s">
        <v>109</v>
      </c>
      <c r="L1" s="62" t="s">
        <v>110</v>
      </c>
      <c r="M1" s="10" t="s">
        <v>267</v>
      </c>
      <c r="N1" s="10" t="s">
        <v>268</v>
      </c>
      <c r="O1" s="10" t="s">
        <v>269</v>
      </c>
      <c r="P1" s="10" t="s">
        <v>270</v>
      </c>
      <c r="Q1" s="62" t="s">
        <v>275</v>
      </c>
      <c r="R1" s="10" t="s">
        <v>276</v>
      </c>
      <c r="S1" s="10" t="s">
        <v>277</v>
      </c>
      <c r="T1" s="10" t="s">
        <v>85</v>
      </c>
      <c r="U1" s="70" t="s">
        <v>173</v>
      </c>
      <c r="V1" s="10" t="s">
        <v>280</v>
      </c>
      <c r="W1" s="62" t="s">
        <v>462</v>
      </c>
      <c r="X1" s="62" t="s">
        <v>15</v>
      </c>
      <c r="Y1" s="71" t="s">
        <v>807</v>
      </c>
      <c r="Z1" s="10" t="s">
        <v>465</v>
      </c>
      <c r="AA1" s="10" t="s">
        <v>466</v>
      </c>
      <c r="AB1" s="10" t="s">
        <v>467</v>
      </c>
      <c r="AC1" s="62" t="s">
        <v>252</v>
      </c>
      <c r="AD1" s="62" t="s">
        <v>253</v>
      </c>
      <c r="AE1" s="62" t="s">
        <v>254</v>
      </c>
      <c r="AF1" s="62" t="s">
        <v>255</v>
      </c>
      <c r="AG1" s="62" t="s">
        <v>256</v>
      </c>
      <c r="AH1" s="62" t="s">
        <v>257</v>
      </c>
      <c r="AI1" s="62" t="s">
        <v>258</v>
      </c>
      <c r="AJ1" s="62" t="s">
        <v>259</v>
      </c>
      <c r="AK1" s="62" t="s">
        <v>260</v>
      </c>
      <c r="AL1" s="62" t="s">
        <v>261</v>
      </c>
      <c r="AM1" s="62" t="s">
        <v>262</v>
      </c>
      <c r="AN1" s="62" t="s">
        <v>263</v>
      </c>
      <c r="AO1" s="62" t="s">
        <v>264</v>
      </c>
      <c r="AP1" s="62" t="s">
        <v>117</v>
      </c>
      <c r="AQ1" s="62" t="s">
        <v>118</v>
      </c>
      <c r="AR1" s="62" t="s">
        <v>348</v>
      </c>
      <c r="AS1" s="62" t="s">
        <v>456</v>
      </c>
      <c r="AT1" s="62" t="s">
        <v>659</v>
      </c>
      <c r="AU1" s="62" t="s">
        <v>342</v>
      </c>
      <c r="AV1" s="62" t="s">
        <v>41</v>
      </c>
      <c r="AW1" s="62" t="s">
        <v>639</v>
      </c>
      <c r="AX1" s="62" t="s">
        <v>343</v>
      </c>
      <c r="AY1" s="62" t="s">
        <v>677</v>
      </c>
      <c r="AZ1" s="62" t="s">
        <v>640</v>
      </c>
      <c r="BA1" s="62" t="s">
        <v>659</v>
      </c>
      <c r="BB1" s="62" t="s">
        <v>42</v>
      </c>
      <c r="BC1" s="62" t="s">
        <v>639</v>
      </c>
      <c r="BD1" s="62" t="s">
        <v>677</v>
      </c>
      <c r="BE1" s="62" t="s">
        <v>43</v>
      </c>
      <c r="BF1" s="62" t="s">
        <v>44</v>
      </c>
      <c r="BG1" s="62" t="s">
        <v>45</v>
      </c>
      <c r="BH1" s="62" t="s">
        <v>46</v>
      </c>
      <c r="BI1" s="32" t="s">
        <v>677</v>
      </c>
    </row>
    <row r="2" spans="1:61" ht="40.799999999999997">
      <c r="A2" s="1" t="s">
        <v>47</v>
      </c>
      <c r="B2" s="1" t="s">
        <v>508</v>
      </c>
      <c r="C2" s="22" t="s">
        <v>419</v>
      </c>
      <c r="D2" s="1" t="s">
        <v>48</v>
      </c>
      <c r="E2" s="1" t="s">
        <v>181</v>
      </c>
      <c r="F2" s="1" t="s">
        <v>570</v>
      </c>
      <c r="G2" s="1" t="s">
        <v>570</v>
      </c>
      <c r="H2" s="1" t="s">
        <v>570</v>
      </c>
      <c r="I2" s="1" t="s">
        <v>570</v>
      </c>
      <c r="J2" s="23" t="s">
        <v>570</v>
      </c>
      <c r="K2" s="23" t="s">
        <v>570</v>
      </c>
      <c r="L2" s="23" t="s">
        <v>570</v>
      </c>
      <c r="M2" s="23" t="s">
        <v>570</v>
      </c>
      <c r="N2" s="23" t="s">
        <v>570</v>
      </c>
      <c r="O2" s="1" t="s">
        <v>182</v>
      </c>
      <c r="P2" s="1" t="s">
        <v>570</v>
      </c>
      <c r="Q2" s="1" t="s">
        <v>570</v>
      </c>
      <c r="R2" s="24" t="s">
        <v>183</v>
      </c>
      <c r="S2" s="24" t="s">
        <v>288</v>
      </c>
      <c r="T2" s="24"/>
      <c r="U2" s="1" t="s">
        <v>184</v>
      </c>
      <c r="V2" s="25" t="s">
        <v>185</v>
      </c>
      <c r="W2" s="1" t="s">
        <v>1007</v>
      </c>
      <c r="X2" s="1" t="s">
        <v>14</v>
      </c>
      <c r="Y2" s="1" t="s">
        <v>1006</v>
      </c>
      <c r="Z2" s="1">
        <v>113</v>
      </c>
      <c r="AA2" s="1" t="s">
        <v>318</v>
      </c>
      <c r="AB2" s="1" t="s">
        <v>570</v>
      </c>
      <c r="AC2" s="1">
        <v>6</v>
      </c>
      <c r="AD2" s="1">
        <v>6</v>
      </c>
      <c r="AF2" s="1" t="s">
        <v>570</v>
      </c>
      <c r="AG2" s="1" t="s">
        <v>570</v>
      </c>
      <c r="AH2" s="1" t="s">
        <v>570</v>
      </c>
      <c r="AI2" s="24" t="s">
        <v>319</v>
      </c>
      <c r="AJ2" s="1" t="s">
        <v>570</v>
      </c>
      <c r="AK2" s="1" t="s">
        <v>570</v>
      </c>
      <c r="AL2" s="1" t="s">
        <v>570</v>
      </c>
      <c r="AM2" s="1" t="s">
        <v>570</v>
      </c>
      <c r="AN2" s="1" t="s">
        <v>570</v>
      </c>
      <c r="AO2" s="1" t="s">
        <v>570</v>
      </c>
      <c r="AP2" s="1" t="s">
        <v>570</v>
      </c>
      <c r="AQ2" s="1" t="s">
        <v>570</v>
      </c>
      <c r="AR2" s="1" t="s">
        <v>570</v>
      </c>
      <c r="AS2" s="1" t="s">
        <v>570</v>
      </c>
      <c r="AT2" s="1" t="s">
        <v>570</v>
      </c>
      <c r="AU2" s="1" t="s">
        <v>570</v>
      </c>
      <c r="AV2" s="1" t="s">
        <v>570</v>
      </c>
      <c r="AW2" s="1" t="s">
        <v>570</v>
      </c>
      <c r="AX2" s="1" t="s">
        <v>570</v>
      </c>
      <c r="AY2" s="1" t="s">
        <v>570</v>
      </c>
      <c r="AZ2" s="1" t="s">
        <v>570</v>
      </c>
      <c r="BA2" s="1" t="s">
        <v>570</v>
      </c>
      <c r="BB2" s="1" t="s">
        <v>570</v>
      </c>
      <c r="BC2" s="1" t="s">
        <v>570</v>
      </c>
      <c r="BD2" s="1" t="s">
        <v>570</v>
      </c>
      <c r="BE2" s="1">
        <v>5.78</v>
      </c>
      <c r="BF2" s="1">
        <v>0.43</v>
      </c>
      <c r="BG2" s="1">
        <v>4.9800000000000004</v>
      </c>
      <c r="BH2" s="1">
        <v>0.35</v>
      </c>
      <c r="BI2" s="1" t="s">
        <v>570</v>
      </c>
    </row>
    <row r="3" spans="1:61" ht="40.799999999999997">
      <c r="A3" s="1" t="s">
        <v>47</v>
      </c>
      <c r="B3" s="1" t="s">
        <v>508</v>
      </c>
      <c r="C3" s="22" t="s">
        <v>419</v>
      </c>
      <c r="D3" s="1" t="s">
        <v>48</v>
      </c>
      <c r="E3" s="1" t="s">
        <v>181</v>
      </c>
      <c r="F3" s="1" t="s">
        <v>570</v>
      </c>
      <c r="G3" s="1" t="s">
        <v>570</v>
      </c>
      <c r="H3" s="1" t="s">
        <v>570</v>
      </c>
      <c r="I3" s="1" t="s">
        <v>570</v>
      </c>
      <c r="J3" s="23" t="s">
        <v>570</v>
      </c>
      <c r="K3" s="23" t="s">
        <v>570</v>
      </c>
      <c r="L3" s="23" t="s">
        <v>570</v>
      </c>
      <c r="M3" s="23" t="s">
        <v>570</v>
      </c>
      <c r="N3" s="23" t="s">
        <v>570</v>
      </c>
      <c r="O3" s="1" t="s">
        <v>320</v>
      </c>
      <c r="P3" s="1" t="s">
        <v>570</v>
      </c>
      <c r="Q3" s="1" t="s">
        <v>570</v>
      </c>
      <c r="R3" s="24" t="s">
        <v>183</v>
      </c>
      <c r="S3" s="24" t="s">
        <v>288</v>
      </c>
      <c r="T3" s="24"/>
      <c r="U3" s="1" t="s">
        <v>184</v>
      </c>
      <c r="V3" s="25" t="s">
        <v>185</v>
      </c>
      <c r="W3" s="1" t="s">
        <v>317</v>
      </c>
      <c r="X3" s="1" t="s">
        <v>14</v>
      </c>
      <c r="Y3" s="1" t="s">
        <v>1006</v>
      </c>
      <c r="Z3" s="1">
        <v>113</v>
      </c>
      <c r="AA3" s="1" t="s">
        <v>318</v>
      </c>
      <c r="AB3" s="1" t="s">
        <v>570</v>
      </c>
      <c r="AC3" s="1">
        <v>6</v>
      </c>
      <c r="AD3" s="1">
        <v>6</v>
      </c>
      <c r="AF3" s="1" t="s">
        <v>570</v>
      </c>
      <c r="AG3" s="1" t="s">
        <v>570</v>
      </c>
      <c r="AH3" s="1" t="s">
        <v>570</v>
      </c>
      <c r="AI3" s="24" t="s">
        <v>319</v>
      </c>
      <c r="AJ3" s="1" t="s">
        <v>570</v>
      </c>
      <c r="AK3" s="1" t="s">
        <v>570</v>
      </c>
      <c r="AL3" s="1" t="s">
        <v>570</v>
      </c>
      <c r="AM3" s="1" t="s">
        <v>570</v>
      </c>
      <c r="AN3" s="1" t="s">
        <v>570</v>
      </c>
      <c r="AO3" s="1" t="s">
        <v>570</v>
      </c>
      <c r="AP3" s="1" t="s">
        <v>570</v>
      </c>
      <c r="AQ3" s="1" t="s">
        <v>570</v>
      </c>
      <c r="AR3" s="1" t="s">
        <v>570</v>
      </c>
      <c r="AS3" s="1" t="s">
        <v>570</v>
      </c>
      <c r="AT3" s="1" t="s">
        <v>570</v>
      </c>
      <c r="AU3" s="1" t="s">
        <v>570</v>
      </c>
      <c r="AV3" s="1" t="s">
        <v>570</v>
      </c>
      <c r="AW3" s="1" t="s">
        <v>570</v>
      </c>
      <c r="AX3" s="1" t="s">
        <v>570</v>
      </c>
      <c r="AY3" s="1" t="s">
        <v>570</v>
      </c>
      <c r="AZ3" s="1" t="s">
        <v>570</v>
      </c>
      <c r="BA3" s="1" t="s">
        <v>570</v>
      </c>
      <c r="BB3" s="1" t="s">
        <v>570</v>
      </c>
      <c r="BC3" s="1" t="s">
        <v>570</v>
      </c>
      <c r="BD3" s="1" t="s">
        <v>570</v>
      </c>
      <c r="BE3" s="1">
        <v>10.06</v>
      </c>
      <c r="BF3" s="1">
        <v>0.43</v>
      </c>
      <c r="BG3" s="1">
        <v>7.07</v>
      </c>
      <c r="BH3" s="1">
        <v>0.26</v>
      </c>
      <c r="BI3" s="1" t="s">
        <v>570</v>
      </c>
    </row>
    <row r="4" spans="1:61" ht="51">
      <c r="A4" s="1" t="s">
        <v>47</v>
      </c>
      <c r="B4" s="1" t="s">
        <v>508</v>
      </c>
      <c r="C4" s="22" t="s">
        <v>419</v>
      </c>
      <c r="D4" s="1" t="s">
        <v>48</v>
      </c>
      <c r="E4" s="1" t="s">
        <v>181</v>
      </c>
      <c r="F4" s="1" t="s">
        <v>570</v>
      </c>
      <c r="G4" s="1" t="s">
        <v>570</v>
      </c>
      <c r="H4" s="1" t="s">
        <v>570</v>
      </c>
      <c r="I4" s="1" t="s">
        <v>570</v>
      </c>
      <c r="J4" s="23" t="s">
        <v>570</v>
      </c>
      <c r="K4" s="23" t="s">
        <v>570</v>
      </c>
      <c r="L4" s="23" t="s">
        <v>570</v>
      </c>
      <c r="M4" s="23" t="s">
        <v>570</v>
      </c>
      <c r="N4" s="23" t="s">
        <v>570</v>
      </c>
      <c r="O4" s="1" t="s">
        <v>182</v>
      </c>
      <c r="P4" s="1" t="s">
        <v>570</v>
      </c>
      <c r="Q4" s="1" t="s">
        <v>570</v>
      </c>
      <c r="R4" s="24" t="s">
        <v>183</v>
      </c>
      <c r="S4" s="24" t="s">
        <v>288</v>
      </c>
      <c r="T4" s="24"/>
      <c r="U4" s="1" t="s">
        <v>184</v>
      </c>
      <c r="V4" s="25" t="s">
        <v>185</v>
      </c>
      <c r="W4" s="1" t="s">
        <v>317</v>
      </c>
      <c r="X4" s="1" t="s">
        <v>14</v>
      </c>
      <c r="Y4" s="1" t="s">
        <v>1006</v>
      </c>
      <c r="Z4" s="1">
        <v>113</v>
      </c>
      <c r="AA4" s="1" t="s">
        <v>318</v>
      </c>
      <c r="AB4" s="1" t="s">
        <v>570</v>
      </c>
      <c r="AC4" s="1">
        <v>6</v>
      </c>
      <c r="AD4" s="1">
        <v>6</v>
      </c>
      <c r="AF4" s="1" t="s">
        <v>570</v>
      </c>
      <c r="AG4" s="1" t="s">
        <v>570</v>
      </c>
      <c r="AH4" s="1" t="s">
        <v>570</v>
      </c>
      <c r="AI4" s="24" t="s">
        <v>186</v>
      </c>
      <c r="AJ4" s="1" t="s">
        <v>570</v>
      </c>
      <c r="AK4" s="1" t="s">
        <v>570</v>
      </c>
      <c r="AL4" s="1" t="s">
        <v>570</v>
      </c>
      <c r="AM4" s="1" t="s">
        <v>570</v>
      </c>
      <c r="AN4" s="1" t="s">
        <v>570</v>
      </c>
      <c r="AO4" s="1" t="s">
        <v>570</v>
      </c>
      <c r="AP4" s="1" t="s">
        <v>570</v>
      </c>
      <c r="AQ4" s="1" t="s">
        <v>570</v>
      </c>
      <c r="AR4" s="1" t="s">
        <v>570</v>
      </c>
      <c r="AS4" s="1" t="s">
        <v>570</v>
      </c>
      <c r="AT4" s="1" t="s">
        <v>570</v>
      </c>
      <c r="AU4" s="1" t="s">
        <v>570</v>
      </c>
      <c r="AV4" s="1" t="s">
        <v>570</v>
      </c>
      <c r="AW4" s="1" t="s">
        <v>570</v>
      </c>
      <c r="AX4" s="1" t="s">
        <v>570</v>
      </c>
      <c r="AY4" s="1" t="s">
        <v>570</v>
      </c>
      <c r="AZ4" s="1" t="s">
        <v>570</v>
      </c>
      <c r="BA4" s="1" t="s">
        <v>570</v>
      </c>
      <c r="BB4" s="1" t="s">
        <v>570</v>
      </c>
      <c r="BC4" s="1" t="s">
        <v>570</v>
      </c>
      <c r="BD4" s="1" t="s">
        <v>570</v>
      </c>
      <c r="BE4" s="1">
        <v>4.8600000000000003</v>
      </c>
      <c r="BF4" s="1">
        <v>0.43</v>
      </c>
      <c r="BG4" s="1">
        <v>5.16</v>
      </c>
      <c r="BH4" s="1">
        <v>0.34</v>
      </c>
      <c r="BI4" s="1" t="s">
        <v>570</v>
      </c>
    </row>
    <row r="5" spans="1:61" ht="51">
      <c r="A5" s="1" t="s">
        <v>47</v>
      </c>
      <c r="B5" s="1" t="s">
        <v>508</v>
      </c>
      <c r="C5" s="22" t="s">
        <v>419</v>
      </c>
      <c r="D5" s="1" t="s">
        <v>48</v>
      </c>
      <c r="E5" s="1" t="s">
        <v>181</v>
      </c>
      <c r="F5" s="1" t="s">
        <v>570</v>
      </c>
      <c r="G5" s="1" t="s">
        <v>570</v>
      </c>
      <c r="H5" s="1" t="s">
        <v>570</v>
      </c>
      <c r="I5" s="1" t="s">
        <v>570</v>
      </c>
      <c r="J5" s="23" t="s">
        <v>570</v>
      </c>
      <c r="K5" s="23" t="s">
        <v>570</v>
      </c>
      <c r="L5" s="23" t="s">
        <v>570</v>
      </c>
      <c r="M5" s="23" t="s">
        <v>570</v>
      </c>
      <c r="N5" s="23" t="s">
        <v>570</v>
      </c>
      <c r="O5" s="1" t="s">
        <v>320</v>
      </c>
      <c r="P5" s="1" t="s">
        <v>570</v>
      </c>
      <c r="Q5" s="1" t="s">
        <v>570</v>
      </c>
      <c r="R5" s="24" t="s">
        <v>183</v>
      </c>
      <c r="S5" s="24" t="s">
        <v>288</v>
      </c>
      <c r="T5" s="24"/>
      <c r="U5" s="1" t="s">
        <v>184</v>
      </c>
      <c r="V5" s="25" t="s">
        <v>185</v>
      </c>
      <c r="W5" s="1" t="s">
        <v>317</v>
      </c>
      <c r="X5" s="1" t="s">
        <v>14</v>
      </c>
      <c r="Y5" s="1" t="s">
        <v>1006</v>
      </c>
      <c r="Z5" s="1">
        <v>113</v>
      </c>
      <c r="AA5" s="1" t="s">
        <v>318</v>
      </c>
      <c r="AB5" s="1" t="s">
        <v>570</v>
      </c>
      <c r="AC5" s="1">
        <v>6</v>
      </c>
      <c r="AD5" s="1">
        <v>6</v>
      </c>
      <c r="AF5" s="1" t="s">
        <v>570</v>
      </c>
      <c r="AG5" s="1" t="s">
        <v>570</v>
      </c>
      <c r="AH5" s="1" t="s">
        <v>570</v>
      </c>
      <c r="AI5" s="24" t="s">
        <v>186</v>
      </c>
      <c r="AJ5" s="1" t="s">
        <v>570</v>
      </c>
      <c r="AK5" s="1" t="s">
        <v>570</v>
      </c>
      <c r="AL5" s="1" t="s">
        <v>570</v>
      </c>
      <c r="AM5" s="1" t="s">
        <v>570</v>
      </c>
      <c r="AN5" s="1" t="s">
        <v>570</v>
      </c>
      <c r="AO5" s="1" t="s">
        <v>570</v>
      </c>
      <c r="AP5" s="1" t="s">
        <v>570</v>
      </c>
      <c r="AQ5" s="1" t="s">
        <v>570</v>
      </c>
      <c r="AR5" s="1" t="s">
        <v>570</v>
      </c>
      <c r="AS5" s="1" t="s">
        <v>570</v>
      </c>
      <c r="AT5" s="1" t="s">
        <v>570</v>
      </c>
      <c r="AU5" s="1" t="s">
        <v>570</v>
      </c>
      <c r="AV5" s="1" t="s">
        <v>570</v>
      </c>
      <c r="AW5" s="1" t="s">
        <v>570</v>
      </c>
      <c r="AX5" s="1" t="s">
        <v>570</v>
      </c>
      <c r="AY5" s="1" t="s">
        <v>570</v>
      </c>
      <c r="AZ5" s="1" t="s">
        <v>570</v>
      </c>
      <c r="BA5" s="1" t="s">
        <v>570</v>
      </c>
      <c r="BB5" s="1" t="s">
        <v>570</v>
      </c>
      <c r="BC5" s="1" t="s">
        <v>570</v>
      </c>
      <c r="BD5" s="1" t="s">
        <v>570</v>
      </c>
      <c r="BE5" s="1">
        <v>2.92</v>
      </c>
      <c r="BF5" s="1">
        <v>0.42</v>
      </c>
      <c r="BG5" s="1">
        <v>3.09</v>
      </c>
      <c r="BH5" s="1">
        <v>0.28999999999999998</v>
      </c>
      <c r="BI5" s="1" t="s">
        <v>570</v>
      </c>
    </row>
    <row r="6" spans="1:61" ht="51">
      <c r="A6" s="1" t="s">
        <v>47</v>
      </c>
      <c r="B6" s="1" t="s">
        <v>508</v>
      </c>
      <c r="C6" s="22" t="s">
        <v>419</v>
      </c>
      <c r="D6" s="1" t="s">
        <v>48</v>
      </c>
      <c r="E6" s="1" t="s">
        <v>181</v>
      </c>
      <c r="F6" s="1" t="s">
        <v>570</v>
      </c>
      <c r="G6" s="1" t="s">
        <v>570</v>
      </c>
      <c r="H6" s="1" t="s">
        <v>570</v>
      </c>
      <c r="I6" s="1" t="s">
        <v>570</v>
      </c>
      <c r="J6" s="23" t="s">
        <v>570</v>
      </c>
      <c r="K6" s="23" t="s">
        <v>570</v>
      </c>
      <c r="L6" s="23" t="s">
        <v>570</v>
      </c>
      <c r="M6" s="23" t="s">
        <v>570</v>
      </c>
      <c r="N6" s="23" t="s">
        <v>570</v>
      </c>
      <c r="O6" s="1" t="s">
        <v>182</v>
      </c>
      <c r="P6" s="1" t="s">
        <v>570</v>
      </c>
      <c r="Q6" s="1" t="s">
        <v>570</v>
      </c>
      <c r="R6" s="24" t="s">
        <v>183</v>
      </c>
      <c r="S6" s="24" t="s">
        <v>288</v>
      </c>
      <c r="T6" s="24"/>
      <c r="U6" s="1" t="s">
        <v>184</v>
      </c>
      <c r="V6" s="25" t="s">
        <v>185</v>
      </c>
      <c r="W6" s="1" t="s">
        <v>317</v>
      </c>
      <c r="X6" s="1" t="s">
        <v>14</v>
      </c>
      <c r="Y6" s="1" t="s">
        <v>1006</v>
      </c>
      <c r="Z6" s="1">
        <v>113</v>
      </c>
      <c r="AA6" s="1" t="s">
        <v>318</v>
      </c>
      <c r="AB6" s="1" t="s">
        <v>570</v>
      </c>
      <c r="AC6" s="1">
        <v>6</v>
      </c>
      <c r="AD6" s="1">
        <v>6</v>
      </c>
      <c r="AF6" s="1" t="s">
        <v>570</v>
      </c>
      <c r="AG6" s="1" t="s">
        <v>570</v>
      </c>
      <c r="AH6" s="1" t="s">
        <v>570</v>
      </c>
      <c r="AI6" s="24" t="s">
        <v>765</v>
      </c>
      <c r="AJ6" s="1" t="s">
        <v>570</v>
      </c>
      <c r="AK6" s="1" t="s">
        <v>570</v>
      </c>
      <c r="AL6" s="1" t="s">
        <v>570</v>
      </c>
      <c r="AM6" s="1" t="s">
        <v>570</v>
      </c>
      <c r="AN6" s="1" t="s">
        <v>570</v>
      </c>
      <c r="AO6" s="1" t="s">
        <v>570</v>
      </c>
      <c r="AP6" s="1" t="s">
        <v>570</v>
      </c>
      <c r="AQ6" s="1" t="s">
        <v>570</v>
      </c>
      <c r="AR6" s="1" t="s">
        <v>570</v>
      </c>
      <c r="AS6" s="1" t="s">
        <v>570</v>
      </c>
      <c r="AT6" s="1" t="s">
        <v>570</v>
      </c>
      <c r="AU6" s="1" t="s">
        <v>570</v>
      </c>
      <c r="AV6" s="1" t="s">
        <v>570</v>
      </c>
      <c r="AW6" s="1" t="s">
        <v>570</v>
      </c>
      <c r="AX6" s="1" t="s">
        <v>570</v>
      </c>
      <c r="AY6" s="1" t="s">
        <v>570</v>
      </c>
      <c r="AZ6" s="1" t="s">
        <v>570</v>
      </c>
      <c r="BA6" s="1" t="s">
        <v>570</v>
      </c>
      <c r="BB6" s="1" t="s">
        <v>570</v>
      </c>
      <c r="BC6" s="1" t="s">
        <v>570</v>
      </c>
      <c r="BD6" s="1" t="s">
        <v>570</v>
      </c>
      <c r="BE6" s="1">
        <v>6.39</v>
      </c>
      <c r="BF6" s="1">
        <v>0.34</v>
      </c>
      <c r="BG6" s="1">
        <v>4.5</v>
      </c>
      <c r="BH6" s="1">
        <v>0.38</v>
      </c>
      <c r="BI6" s="1" t="s">
        <v>570</v>
      </c>
    </row>
    <row r="7" spans="1:61" ht="51">
      <c r="A7" s="1" t="s">
        <v>47</v>
      </c>
      <c r="B7" s="1" t="s">
        <v>508</v>
      </c>
      <c r="C7" s="22" t="s">
        <v>419</v>
      </c>
      <c r="D7" s="1" t="s">
        <v>48</v>
      </c>
      <c r="E7" s="1" t="s">
        <v>181</v>
      </c>
      <c r="F7" s="1" t="s">
        <v>570</v>
      </c>
      <c r="G7" s="1" t="s">
        <v>570</v>
      </c>
      <c r="H7" s="1" t="s">
        <v>570</v>
      </c>
      <c r="I7" s="1" t="s">
        <v>570</v>
      </c>
      <c r="J7" s="23" t="s">
        <v>570</v>
      </c>
      <c r="K7" s="23" t="s">
        <v>570</v>
      </c>
      <c r="L7" s="23" t="s">
        <v>570</v>
      </c>
      <c r="M7" s="23" t="s">
        <v>570</v>
      </c>
      <c r="N7" s="23" t="s">
        <v>570</v>
      </c>
      <c r="O7" s="1" t="s">
        <v>320</v>
      </c>
      <c r="P7" s="1" t="s">
        <v>570</v>
      </c>
      <c r="Q7" s="1" t="s">
        <v>570</v>
      </c>
      <c r="R7" s="24" t="s">
        <v>183</v>
      </c>
      <c r="S7" s="24" t="s">
        <v>288</v>
      </c>
      <c r="T7" s="24"/>
      <c r="U7" s="1" t="s">
        <v>184</v>
      </c>
      <c r="V7" s="25" t="s">
        <v>185</v>
      </c>
      <c r="W7" s="1" t="s">
        <v>317</v>
      </c>
      <c r="X7" s="1" t="s">
        <v>14</v>
      </c>
      <c r="Y7" s="1" t="s">
        <v>1006</v>
      </c>
      <c r="Z7" s="1">
        <v>113</v>
      </c>
      <c r="AA7" s="1" t="s">
        <v>318</v>
      </c>
      <c r="AB7" s="1" t="s">
        <v>570</v>
      </c>
      <c r="AC7" s="1">
        <v>6</v>
      </c>
      <c r="AD7" s="1">
        <v>6</v>
      </c>
      <c r="AF7" s="1" t="s">
        <v>570</v>
      </c>
      <c r="AG7" s="1" t="s">
        <v>570</v>
      </c>
      <c r="AH7" s="1" t="s">
        <v>570</v>
      </c>
      <c r="AI7" s="24" t="s">
        <v>765</v>
      </c>
      <c r="AJ7" s="1" t="s">
        <v>570</v>
      </c>
      <c r="AK7" s="1" t="s">
        <v>570</v>
      </c>
      <c r="AL7" s="1" t="s">
        <v>570</v>
      </c>
      <c r="AM7" s="1" t="s">
        <v>570</v>
      </c>
      <c r="AN7" s="1" t="s">
        <v>570</v>
      </c>
      <c r="AO7" s="1" t="s">
        <v>570</v>
      </c>
      <c r="AP7" s="1" t="s">
        <v>570</v>
      </c>
      <c r="AQ7" s="1" t="s">
        <v>570</v>
      </c>
      <c r="AR7" s="1" t="s">
        <v>570</v>
      </c>
      <c r="AS7" s="1" t="s">
        <v>570</v>
      </c>
      <c r="AT7" s="1" t="s">
        <v>570</v>
      </c>
      <c r="AU7" s="1" t="s">
        <v>570</v>
      </c>
      <c r="AV7" s="1" t="s">
        <v>570</v>
      </c>
      <c r="AW7" s="1" t="s">
        <v>570</v>
      </c>
      <c r="AX7" s="1" t="s">
        <v>570</v>
      </c>
      <c r="AY7" s="1" t="s">
        <v>570</v>
      </c>
      <c r="AZ7" s="1" t="s">
        <v>570</v>
      </c>
      <c r="BA7" s="1" t="s">
        <v>570</v>
      </c>
      <c r="BB7" s="1" t="s">
        <v>570</v>
      </c>
      <c r="BC7" s="1" t="s">
        <v>570</v>
      </c>
      <c r="BD7" s="1" t="s">
        <v>570</v>
      </c>
      <c r="BE7" s="1">
        <v>1.39</v>
      </c>
      <c r="BF7" s="1">
        <v>0.51</v>
      </c>
      <c r="BG7" s="1">
        <v>1.03</v>
      </c>
      <c r="BH7" s="1">
        <v>0.36</v>
      </c>
      <c r="BI7" s="1" t="s">
        <v>570</v>
      </c>
    </row>
    <row r="8" spans="1:61" ht="40.799999999999997">
      <c r="A8" s="1" t="s">
        <v>47</v>
      </c>
      <c r="B8" s="1" t="s">
        <v>508</v>
      </c>
      <c r="C8" s="22" t="s">
        <v>419</v>
      </c>
      <c r="D8" s="1" t="s">
        <v>48</v>
      </c>
      <c r="E8" s="1" t="s">
        <v>181</v>
      </c>
      <c r="F8" s="1" t="s">
        <v>570</v>
      </c>
      <c r="G8" s="1" t="s">
        <v>570</v>
      </c>
      <c r="H8" s="1" t="s">
        <v>570</v>
      </c>
      <c r="I8" s="1" t="s">
        <v>570</v>
      </c>
      <c r="J8" s="23" t="s">
        <v>570</v>
      </c>
      <c r="K8" s="23" t="s">
        <v>570</v>
      </c>
      <c r="L8" s="23" t="s">
        <v>570</v>
      </c>
      <c r="M8" s="23" t="s">
        <v>570</v>
      </c>
      <c r="N8" s="23" t="s">
        <v>570</v>
      </c>
      <c r="O8" s="1">
        <v>2012</v>
      </c>
      <c r="P8" s="1" t="s">
        <v>570</v>
      </c>
      <c r="Q8" s="1" t="s">
        <v>570</v>
      </c>
      <c r="R8" s="24" t="s">
        <v>183</v>
      </c>
      <c r="S8" s="24" t="s">
        <v>288</v>
      </c>
      <c r="T8" s="24"/>
      <c r="U8" s="1" t="s">
        <v>184</v>
      </c>
      <c r="V8" s="25" t="s">
        <v>185</v>
      </c>
      <c r="W8" s="1" t="s">
        <v>317</v>
      </c>
      <c r="X8" s="1" t="s">
        <v>14</v>
      </c>
      <c r="Y8" s="1" t="s">
        <v>1006</v>
      </c>
      <c r="Z8" s="1">
        <v>113</v>
      </c>
      <c r="AA8" s="1" t="s">
        <v>318</v>
      </c>
      <c r="AB8" s="1" t="s">
        <v>570</v>
      </c>
      <c r="AC8" s="1">
        <v>8</v>
      </c>
      <c r="AD8" s="1">
        <v>8</v>
      </c>
      <c r="AF8" s="1" t="s">
        <v>570</v>
      </c>
      <c r="AG8" s="1" t="s">
        <v>570</v>
      </c>
      <c r="AH8" s="1" t="s">
        <v>570</v>
      </c>
      <c r="AI8" s="24" t="s">
        <v>319</v>
      </c>
      <c r="AJ8" s="1" t="s">
        <v>570</v>
      </c>
      <c r="AK8" s="1" t="s">
        <v>570</v>
      </c>
      <c r="AL8" s="1" t="s">
        <v>570</v>
      </c>
      <c r="AM8" s="1" t="s">
        <v>570</v>
      </c>
      <c r="AN8" s="1" t="s">
        <v>570</v>
      </c>
      <c r="AO8" s="1" t="s">
        <v>570</v>
      </c>
      <c r="AP8" s="1" t="s">
        <v>570</v>
      </c>
      <c r="AQ8" s="1" t="s">
        <v>570</v>
      </c>
      <c r="AR8" s="1" t="s">
        <v>570</v>
      </c>
      <c r="AS8" s="1" t="s">
        <v>570</v>
      </c>
      <c r="AT8" s="1" t="s">
        <v>570</v>
      </c>
      <c r="AU8" s="1" t="s">
        <v>570</v>
      </c>
      <c r="AV8" s="1" t="s">
        <v>570</v>
      </c>
      <c r="AW8" s="1" t="s">
        <v>570</v>
      </c>
      <c r="AX8" s="1" t="s">
        <v>570</v>
      </c>
      <c r="AY8" s="1" t="s">
        <v>570</v>
      </c>
      <c r="AZ8" s="1" t="s">
        <v>570</v>
      </c>
      <c r="BA8" s="1" t="s">
        <v>570</v>
      </c>
      <c r="BB8" s="1" t="s">
        <v>570</v>
      </c>
      <c r="BC8" s="1" t="s">
        <v>570</v>
      </c>
      <c r="BD8" s="1" t="s">
        <v>570</v>
      </c>
      <c r="BE8" s="1">
        <v>135.37</v>
      </c>
      <c r="BF8" s="1">
        <v>8.8699999999999992</v>
      </c>
      <c r="BG8" s="1">
        <v>56.78</v>
      </c>
      <c r="BH8" s="1">
        <v>5.32</v>
      </c>
      <c r="BI8" s="1" t="s">
        <v>570</v>
      </c>
    </row>
    <row r="9" spans="1:61" ht="51">
      <c r="A9" s="1" t="s">
        <v>47</v>
      </c>
      <c r="B9" s="1" t="s">
        <v>508</v>
      </c>
      <c r="C9" s="22" t="s">
        <v>419</v>
      </c>
      <c r="D9" s="1" t="s">
        <v>48</v>
      </c>
      <c r="E9" s="1" t="s">
        <v>181</v>
      </c>
      <c r="F9" s="1" t="s">
        <v>570</v>
      </c>
      <c r="G9" s="1" t="s">
        <v>570</v>
      </c>
      <c r="H9" s="1" t="s">
        <v>570</v>
      </c>
      <c r="I9" s="1" t="s">
        <v>570</v>
      </c>
      <c r="J9" s="23" t="s">
        <v>570</v>
      </c>
      <c r="K9" s="23" t="s">
        <v>570</v>
      </c>
      <c r="L9" s="23" t="s">
        <v>570</v>
      </c>
      <c r="M9" s="23" t="s">
        <v>570</v>
      </c>
      <c r="N9" s="23" t="s">
        <v>570</v>
      </c>
      <c r="O9" s="1">
        <v>2012</v>
      </c>
      <c r="P9" s="1" t="s">
        <v>570</v>
      </c>
      <c r="Q9" s="1" t="s">
        <v>570</v>
      </c>
      <c r="R9" s="24" t="s">
        <v>183</v>
      </c>
      <c r="S9" s="24" t="s">
        <v>288</v>
      </c>
      <c r="T9" s="24"/>
      <c r="U9" s="1" t="s">
        <v>184</v>
      </c>
      <c r="V9" s="25" t="s">
        <v>185</v>
      </c>
      <c r="W9" s="1" t="s">
        <v>317</v>
      </c>
      <c r="X9" s="1" t="s">
        <v>14</v>
      </c>
      <c r="Y9" s="1" t="s">
        <v>1006</v>
      </c>
      <c r="Z9" s="1">
        <v>113</v>
      </c>
      <c r="AA9" s="1" t="s">
        <v>318</v>
      </c>
      <c r="AB9" s="1" t="s">
        <v>570</v>
      </c>
      <c r="AC9" s="1">
        <v>8</v>
      </c>
      <c r="AD9" s="1">
        <v>8</v>
      </c>
      <c r="AF9" s="1" t="s">
        <v>570</v>
      </c>
      <c r="AG9" s="1" t="s">
        <v>570</v>
      </c>
      <c r="AH9" s="1" t="s">
        <v>570</v>
      </c>
      <c r="AI9" s="24" t="s">
        <v>186</v>
      </c>
      <c r="AJ9" s="1" t="s">
        <v>570</v>
      </c>
      <c r="AK9" s="1" t="s">
        <v>570</v>
      </c>
      <c r="AL9" s="1" t="s">
        <v>570</v>
      </c>
      <c r="AM9" s="1" t="s">
        <v>570</v>
      </c>
      <c r="AN9" s="1" t="s">
        <v>570</v>
      </c>
      <c r="AO9" s="1" t="s">
        <v>570</v>
      </c>
      <c r="AP9" s="1" t="s">
        <v>570</v>
      </c>
      <c r="AQ9" s="1" t="s">
        <v>570</v>
      </c>
      <c r="AR9" s="1" t="s">
        <v>570</v>
      </c>
      <c r="AS9" s="1" t="s">
        <v>570</v>
      </c>
      <c r="AT9" s="1" t="s">
        <v>570</v>
      </c>
      <c r="AU9" s="1" t="s">
        <v>570</v>
      </c>
      <c r="AV9" s="1" t="s">
        <v>570</v>
      </c>
      <c r="AW9" s="1" t="s">
        <v>570</v>
      </c>
      <c r="AX9" s="1" t="s">
        <v>570</v>
      </c>
      <c r="AY9" s="1" t="s">
        <v>570</v>
      </c>
      <c r="AZ9" s="1" t="s">
        <v>570</v>
      </c>
      <c r="BA9" s="1" t="s">
        <v>570</v>
      </c>
      <c r="BB9" s="1" t="s">
        <v>570</v>
      </c>
      <c r="BC9" s="1" t="s">
        <v>570</v>
      </c>
      <c r="BD9" s="1" t="s">
        <v>570</v>
      </c>
      <c r="BE9" s="1">
        <v>7.76</v>
      </c>
      <c r="BF9" s="1">
        <v>3.93</v>
      </c>
      <c r="BG9" s="1">
        <v>5.69</v>
      </c>
      <c r="BH9" s="1">
        <v>2.99</v>
      </c>
      <c r="BI9" s="1" t="s">
        <v>570</v>
      </c>
    </row>
    <row r="10" spans="1:61" ht="51">
      <c r="A10" s="6" t="s">
        <v>47</v>
      </c>
      <c r="B10" s="6" t="s">
        <v>508</v>
      </c>
      <c r="C10" s="33" t="s">
        <v>419</v>
      </c>
      <c r="D10" s="6" t="s">
        <v>48</v>
      </c>
      <c r="E10" s="6" t="s">
        <v>181</v>
      </c>
      <c r="F10" s="6" t="s">
        <v>570</v>
      </c>
      <c r="G10" s="6" t="s">
        <v>570</v>
      </c>
      <c r="H10" s="6" t="s">
        <v>570</v>
      </c>
      <c r="I10" s="6" t="s">
        <v>570</v>
      </c>
      <c r="J10" s="34" t="s">
        <v>570</v>
      </c>
      <c r="K10" s="34" t="s">
        <v>570</v>
      </c>
      <c r="L10" s="34" t="s">
        <v>570</v>
      </c>
      <c r="M10" s="34" t="s">
        <v>570</v>
      </c>
      <c r="N10" s="34" t="s">
        <v>570</v>
      </c>
      <c r="O10" s="6">
        <v>2012</v>
      </c>
      <c r="P10" s="6" t="s">
        <v>570</v>
      </c>
      <c r="Q10" s="6" t="s">
        <v>570</v>
      </c>
      <c r="R10" s="15" t="s">
        <v>183</v>
      </c>
      <c r="S10" s="15" t="s">
        <v>288</v>
      </c>
      <c r="T10" s="15"/>
      <c r="U10" s="6" t="s">
        <v>184</v>
      </c>
      <c r="V10" s="21" t="s">
        <v>185</v>
      </c>
      <c r="W10" s="6" t="s">
        <v>341</v>
      </c>
      <c r="X10" s="6" t="s">
        <v>14</v>
      </c>
      <c r="Y10" s="6" t="s">
        <v>1006</v>
      </c>
      <c r="Z10" s="6">
        <v>113</v>
      </c>
      <c r="AA10" s="6" t="s">
        <v>318</v>
      </c>
      <c r="AB10" s="6" t="s">
        <v>570</v>
      </c>
      <c r="AC10" s="6">
        <v>8</v>
      </c>
      <c r="AD10" s="6">
        <v>8</v>
      </c>
      <c r="AE10" s="6"/>
      <c r="AF10" s="6" t="s">
        <v>570</v>
      </c>
      <c r="AG10" s="6" t="s">
        <v>570</v>
      </c>
      <c r="AH10" s="6" t="s">
        <v>570</v>
      </c>
      <c r="AI10" s="15" t="s">
        <v>765</v>
      </c>
      <c r="AJ10" s="6" t="s">
        <v>570</v>
      </c>
      <c r="AK10" s="6" t="s">
        <v>570</v>
      </c>
      <c r="AL10" s="6" t="s">
        <v>570</v>
      </c>
      <c r="AM10" s="6" t="s">
        <v>570</v>
      </c>
      <c r="AN10" s="6" t="s">
        <v>570</v>
      </c>
      <c r="AO10" s="6" t="s">
        <v>570</v>
      </c>
      <c r="AP10" s="6" t="s">
        <v>570</v>
      </c>
      <c r="AQ10" s="6" t="s">
        <v>570</v>
      </c>
      <c r="AR10" s="6" t="s">
        <v>570</v>
      </c>
      <c r="AS10" s="6" t="s">
        <v>570</v>
      </c>
      <c r="AT10" s="6" t="s">
        <v>570</v>
      </c>
      <c r="AU10" s="6" t="s">
        <v>570</v>
      </c>
      <c r="AV10" s="6" t="s">
        <v>570</v>
      </c>
      <c r="AW10" s="6" t="s">
        <v>570</v>
      </c>
      <c r="AX10" s="6" t="s">
        <v>570</v>
      </c>
      <c r="AY10" s="6" t="s">
        <v>570</v>
      </c>
      <c r="AZ10" s="6" t="s">
        <v>570</v>
      </c>
      <c r="BA10" s="6" t="s">
        <v>570</v>
      </c>
      <c r="BB10" s="6" t="s">
        <v>570</v>
      </c>
      <c r="BC10" s="6" t="s">
        <v>570</v>
      </c>
      <c r="BD10" s="6" t="s">
        <v>570</v>
      </c>
      <c r="BE10" s="6">
        <v>17.89</v>
      </c>
      <c r="BF10" s="6">
        <v>6.82</v>
      </c>
      <c r="BG10" s="6">
        <v>7.47</v>
      </c>
      <c r="BH10" s="6">
        <v>1.88</v>
      </c>
      <c r="BI10" s="6" t="s">
        <v>570</v>
      </c>
    </row>
    <row r="11" spans="1:61" ht="10.199999999999999">
      <c r="A11" s="6" t="s">
        <v>603</v>
      </c>
      <c r="B11" s="6" t="s">
        <v>604</v>
      </c>
      <c r="C11" s="6" t="s">
        <v>278</v>
      </c>
      <c r="D11" s="6" t="s">
        <v>768</v>
      </c>
      <c r="E11" s="6" t="s">
        <v>769</v>
      </c>
      <c r="F11" s="6" t="s">
        <v>570</v>
      </c>
      <c r="G11" s="6" t="s">
        <v>570</v>
      </c>
      <c r="H11" s="6" t="s">
        <v>570</v>
      </c>
      <c r="I11" s="6" t="s">
        <v>570</v>
      </c>
      <c r="J11" s="6" t="s">
        <v>570</v>
      </c>
      <c r="K11" s="6" t="s">
        <v>570</v>
      </c>
      <c r="L11" s="6" t="s">
        <v>570</v>
      </c>
      <c r="M11" s="6" t="s">
        <v>570</v>
      </c>
      <c r="N11" s="6" t="s">
        <v>570</v>
      </c>
      <c r="O11" s="9">
        <v>2006</v>
      </c>
      <c r="P11" s="6" t="s">
        <v>570</v>
      </c>
      <c r="Q11" s="6" t="s">
        <v>570</v>
      </c>
      <c r="R11" s="6" t="s">
        <v>55</v>
      </c>
      <c r="S11" s="6" t="s">
        <v>570</v>
      </c>
      <c r="T11" s="6" t="s">
        <v>570</v>
      </c>
      <c r="U11" s="9" t="s">
        <v>605</v>
      </c>
      <c r="V11" s="9" t="s">
        <v>736</v>
      </c>
      <c r="W11" s="6" t="s">
        <v>609</v>
      </c>
      <c r="X11" s="9" t="s">
        <v>131</v>
      </c>
      <c r="Y11" s="9" t="s">
        <v>1001</v>
      </c>
      <c r="Z11" s="9" t="s">
        <v>570</v>
      </c>
      <c r="AA11" s="9" t="s">
        <v>606</v>
      </c>
      <c r="AB11" s="9" t="s">
        <v>570</v>
      </c>
      <c r="AC11" s="9">
        <v>5</v>
      </c>
      <c r="AD11" s="9">
        <v>5</v>
      </c>
      <c r="AE11" s="6" t="s">
        <v>570</v>
      </c>
      <c r="AF11" s="6" t="s">
        <v>570</v>
      </c>
      <c r="AG11" s="6" t="s">
        <v>570</v>
      </c>
      <c r="AH11" s="6" t="s">
        <v>570</v>
      </c>
      <c r="AI11" s="9" t="s">
        <v>570</v>
      </c>
      <c r="AJ11" s="9" t="s">
        <v>570</v>
      </c>
      <c r="AK11" s="9" t="s">
        <v>570</v>
      </c>
      <c r="AL11" s="9" t="s">
        <v>570</v>
      </c>
      <c r="AM11" s="9" t="s">
        <v>570</v>
      </c>
      <c r="AN11" s="9" t="s">
        <v>570</v>
      </c>
      <c r="AO11" s="9" t="s">
        <v>570</v>
      </c>
      <c r="AP11" s="9" t="s">
        <v>570</v>
      </c>
      <c r="AQ11" s="9" t="s">
        <v>570</v>
      </c>
      <c r="AR11" s="9" t="s">
        <v>570</v>
      </c>
      <c r="AS11" s="9">
        <v>104</v>
      </c>
      <c r="AT11" s="9">
        <v>30</v>
      </c>
      <c r="AU11" s="9">
        <f>AT11*SQRT(AC11)</f>
        <v>67.082039324993701</v>
      </c>
      <c r="AV11" s="9">
        <v>200</v>
      </c>
      <c r="AW11" s="9">
        <v>53.8</v>
      </c>
      <c r="AX11" s="9">
        <f>AW11*SQRT(AD11)</f>
        <v>120.30045718948868</v>
      </c>
      <c r="AY11" s="9">
        <v>3.9E-2</v>
      </c>
      <c r="AZ11" s="9">
        <v>4.9000000000000004</v>
      </c>
      <c r="BA11" s="9">
        <v>1.4</v>
      </c>
      <c r="BB11" s="9">
        <v>10.8</v>
      </c>
      <c r="BC11" s="9">
        <v>8.4</v>
      </c>
      <c r="BD11" s="9">
        <v>0.10199999999999999</v>
      </c>
      <c r="BE11" s="9" t="s">
        <v>570</v>
      </c>
      <c r="BF11" s="9" t="s">
        <v>570</v>
      </c>
      <c r="BG11" s="9" t="s">
        <v>570</v>
      </c>
      <c r="BH11" s="9" t="s">
        <v>570</v>
      </c>
      <c r="BI11" s="9" t="s">
        <v>570</v>
      </c>
    </row>
    <row r="12" spans="1:61">
      <c r="AP12" s="65"/>
      <c r="AQ12" s="65"/>
      <c r="AU12" s="1"/>
      <c r="AX12" s="1"/>
      <c r="BI12" s="2"/>
    </row>
    <row r="13" spans="1:61">
      <c r="C13" s="65"/>
      <c r="AP13" s="65"/>
      <c r="AQ13" s="65"/>
      <c r="AU13" s="1"/>
      <c r="AX13" s="1"/>
      <c r="BI13" s="2"/>
    </row>
    <row r="14" spans="1:61">
      <c r="AP14" s="65"/>
      <c r="AQ14" s="65"/>
      <c r="AU14" s="1"/>
      <c r="AX14" s="1"/>
      <c r="BI14" s="2"/>
    </row>
    <row r="15" spans="1:61">
      <c r="AP15" s="65"/>
      <c r="AQ15" s="65"/>
      <c r="AU15" s="1"/>
      <c r="AX15" s="1"/>
      <c r="BI15" s="2"/>
    </row>
    <row r="16" spans="1:61" ht="10.199999999999999">
      <c r="AU16" s="1"/>
      <c r="AX16" s="1"/>
      <c r="BI16" s="2"/>
    </row>
    <row r="17" spans="47:61" ht="10.199999999999999">
      <c r="AU17" s="1"/>
      <c r="AX17" s="1"/>
      <c r="BI17" s="2"/>
    </row>
    <row r="18" spans="47:61" ht="10.199999999999999">
      <c r="AU18" s="1"/>
      <c r="AX18" s="1"/>
      <c r="BI18" s="2"/>
    </row>
    <row r="19" spans="47:61" ht="10.199999999999999">
      <c r="AU19" s="1"/>
      <c r="AX19" s="1"/>
      <c r="BI19" s="2"/>
    </row>
    <row r="20" spans="47:61" ht="10.199999999999999">
      <c r="AU20" s="1"/>
      <c r="AX20" s="1"/>
      <c r="BI20" s="2"/>
    </row>
    <row r="21" spans="47:61" ht="10.199999999999999">
      <c r="AU21" s="1"/>
      <c r="AX21" s="1"/>
      <c r="BI21" s="2"/>
    </row>
    <row r="22" spans="47:61" ht="10.199999999999999">
      <c r="AU22" s="1"/>
      <c r="AX22" s="1"/>
      <c r="BI22" s="2"/>
    </row>
    <row r="23" spans="47:61" ht="10.199999999999999">
      <c r="AU23" s="1"/>
      <c r="AX23" s="1"/>
      <c r="BI23" s="2"/>
    </row>
    <row r="24" spans="47:61" ht="10.199999999999999">
      <c r="AU24" s="1"/>
      <c r="AX24" s="1"/>
      <c r="BI24" s="2"/>
    </row>
    <row r="25" spans="47:61" ht="10.199999999999999">
      <c r="AU25" s="1"/>
      <c r="AX25" s="1"/>
      <c r="BI25" s="2"/>
    </row>
    <row r="26" spans="47:61" ht="10.199999999999999">
      <c r="AU26" s="1"/>
      <c r="AX26" s="1"/>
      <c r="BI26" s="2"/>
    </row>
    <row r="27" spans="47:61" ht="10.199999999999999">
      <c r="AU27" s="1"/>
      <c r="AX27" s="1"/>
      <c r="BI27" s="2"/>
    </row>
    <row r="28" spans="47:61" ht="10.199999999999999">
      <c r="AU28" s="1"/>
      <c r="AX28" s="1"/>
      <c r="BI28" s="2"/>
    </row>
    <row r="29" spans="47:61" ht="10.199999999999999">
      <c r="AU29" s="1"/>
      <c r="AX29" s="1"/>
      <c r="BI29" s="2"/>
    </row>
    <row r="30" spans="47:61" ht="10.199999999999999">
      <c r="AU30" s="1"/>
      <c r="AX30" s="1"/>
      <c r="BI30" s="2"/>
    </row>
    <row r="31" spans="47:61" ht="10.199999999999999">
      <c r="AU31" s="1"/>
      <c r="AX31" s="1"/>
      <c r="BI31" s="2"/>
    </row>
    <row r="32" spans="47:61" ht="10.199999999999999">
      <c r="AU32" s="1"/>
      <c r="AX32" s="1"/>
      <c r="BI32" s="2"/>
    </row>
    <row r="33" spans="47:61" ht="10.199999999999999">
      <c r="AU33" s="1"/>
      <c r="AX33" s="1"/>
      <c r="BI33" s="2"/>
    </row>
    <row r="34" spans="47:61" ht="10.199999999999999">
      <c r="AU34" s="1"/>
      <c r="AX34" s="1"/>
      <c r="BI34" s="2"/>
    </row>
    <row r="35" spans="47:61" ht="10.199999999999999">
      <c r="AU35" s="1"/>
      <c r="AX35" s="1"/>
      <c r="BI35" s="2"/>
    </row>
    <row r="36" spans="47:61" ht="10.199999999999999">
      <c r="AU36" s="1"/>
      <c r="AX36" s="1"/>
      <c r="BI36" s="2"/>
    </row>
    <row r="37" spans="47:61" ht="10.199999999999999">
      <c r="AU37" s="1"/>
      <c r="AX37" s="1"/>
      <c r="BI37" s="2"/>
    </row>
    <row r="38" spans="47:61" ht="10.199999999999999">
      <c r="AU38" s="1"/>
      <c r="AX38" s="1"/>
      <c r="BI38" s="2"/>
    </row>
    <row r="39" spans="47:61" ht="10.199999999999999">
      <c r="AU39" s="1"/>
      <c r="AX39" s="1"/>
      <c r="BI39" s="2"/>
    </row>
    <row r="40" spans="47:61" ht="10.199999999999999">
      <c r="AU40" s="1"/>
      <c r="AX40" s="1"/>
      <c r="BI40" s="2"/>
    </row>
    <row r="41" spans="47:61" ht="10.199999999999999">
      <c r="AU41" s="1"/>
      <c r="AX41" s="1"/>
      <c r="BI41" s="2"/>
    </row>
    <row r="42" spans="47:61" ht="10.199999999999999">
      <c r="AU42" s="1"/>
      <c r="AX42" s="1"/>
      <c r="BI42" s="2"/>
    </row>
    <row r="43" spans="47:61" ht="10.199999999999999">
      <c r="AU43" s="1"/>
      <c r="AX43" s="1"/>
      <c r="BI43" s="2"/>
    </row>
    <row r="44" spans="47:61" ht="10.199999999999999">
      <c r="AU44" s="1"/>
      <c r="AX44" s="1"/>
      <c r="BI44" s="2"/>
    </row>
    <row r="45" spans="47:61" ht="10.199999999999999">
      <c r="AU45" s="1"/>
      <c r="AX45" s="1"/>
      <c r="BI45" s="2"/>
    </row>
    <row r="46" spans="47:61" ht="10.199999999999999">
      <c r="AU46" s="1"/>
      <c r="AX46" s="1"/>
      <c r="BI46" s="2"/>
    </row>
    <row r="47" spans="47:61" ht="10.199999999999999">
      <c r="AU47" s="1"/>
      <c r="AX47" s="1"/>
      <c r="BI47" s="2"/>
    </row>
    <row r="48" spans="47:61" ht="10.199999999999999">
      <c r="AU48" s="1"/>
      <c r="AX48" s="1"/>
      <c r="BI48" s="2"/>
    </row>
    <row r="49" spans="47:61" ht="10.199999999999999">
      <c r="AU49" s="1"/>
      <c r="AX49" s="1"/>
      <c r="BI49" s="2"/>
    </row>
    <row r="50" spans="47:61" ht="10.199999999999999">
      <c r="AU50" s="1"/>
      <c r="AX50" s="1"/>
      <c r="BI50" s="2"/>
    </row>
    <row r="51" spans="47:61" ht="10.199999999999999">
      <c r="AU51" s="1"/>
      <c r="AX51" s="1"/>
      <c r="BI51" s="2"/>
    </row>
    <row r="52" spans="47:61" ht="10.199999999999999">
      <c r="AU52" s="1"/>
      <c r="AX52" s="1"/>
      <c r="BI52" s="2"/>
    </row>
    <row r="53" spans="47:61" ht="10.199999999999999">
      <c r="AU53" s="1"/>
      <c r="AX53" s="1"/>
      <c r="BI53" s="2"/>
    </row>
    <row r="54" spans="47:61" ht="10.199999999999999">
      <c r="AU54" s="1"/>
      <c r="AX54" s="1"/>
      <c r="BI54" s="2"/>
    </row>
    <row r="55" spans="47:61" ht="10.199999999999999">
      <c r="AU55" s="1"/>
      <c r="AX55" s="1"/>
      <c r="BI55" s="2"/>
    </row>
    <row r="56" spans="47:61" ht="10.199999999999999">
      <c r="AU56" s="1"/>
      <c r="AX56" s="1"/>
      <c r="BI56" s="2"/>
    </row>
    <row r="57" spans="47:61" ht="10.199999999999999">
      <c r="AU57" s="1"/>
      <c r="AX57" s="1"/>
      <c r="BI57" s="2"/>
    </row>
    <row r="58" spans="47:61" ht="10.199999999999999">
      <c r="AU58" s="1"/>
      <c r="AX58" s="1"/>
      <c r="BI58" s="2"/>
    </row>
    <row r="59" spans="47:61" ht="10.199999999999999">
      <c r="AU59" s="1"/>
      <c r="AX59" s="1"/>
      <c r="BI59" s="2"/>
    </row>
    <row r="60" spans="47:61" ht="10.199999999999999">
      <c r="AU60" s="1"/>
      <c r="AX60" s="1"/>
      <c r="BI60" s="2"/>
    </row>
    <row r="61" spans="47:61" ht="10.199999999999999">
      <c r="AU61" s="1"/>
      <c r="AX61" s="1"/>
      <c r="BI61" s="2"/>
    </row>
    <row r="62" spans="47:61" ht="10.199999999999999">
      <c r="AU62" s="1"/>
      <c r="AX62" s="1"/>
      <c r="BI62" s="2"/>
    </row>
    <row r="63" spans="47:61" ht="10.199999999999999">
      <c r="AU63" s="1"/>
      <c r="AX63" s="1"/>
      <c r="BI63" s="2"/>
    </row>
    <row r="64" spans="47:61" ht="10.199999999999999">
      <c r="AU64" s="1"/>
      <c r="AX64" s="1"/>
      <c r="BI64" s="2"/>
    </row>
    <row r="65" spans="47:61" ht="10.199999999999999">
      <c r="AU65" s="1"/>
      <c r="AX65" s="1"/>
      <c r="BI65" s="2"/>
    </row>
    <row r="66" spans="47:61" ht="10.199999999999999">
      <c r="AU66" s="1"/>
      <c r="AX66" s="1"/>
      <c r="BI66" s="2"/>
    </row>
    <row r="67" spans="47:61" ht="10.199999999999999">
      <c r="AU67" s="1"/>
      <c r="AX67" s="1"/>
      <c r="BI67" s="2"/>
    </row>
    <row r="68" spans="47:61" ht="10.199999999999999">
      <c r="AU68" s="1"/>
      <c r="AX68" s="1"/>
      <c r="BI68" s="2"/>
    </row>
    <row r="69" spans="47:61" ht="10.199999999999999">
      <c r="AU69" s="1"/>
      <c r="AX69" s="1"/>
      <c r="BI69" s="2"/>
    </row>
    <row r="70" spans="47:61" ht="10.199999999999999">
      <c r="AU70" s="1"/>
      <c r="AX70" s="1"/>
      <c r="BI70" s="2"/>
    </row>
    <row r="71" spans="47:61" ht="10.199999999999999">
      <c r="AU71" s="1"/>
      <c r="AX71" s="1"/>
      <c r="BI71" s="2"/>
    </row>
    <row r="72" spans="47:61" ht="10.199999999999999">
      <c r="AU72" s="1"/>
      <c r="AX72" s="1"/>
      <c r="BI72" s="2"/>
    </row>
    <row r="73" spans="47:61" ht="10.199999999999999">
      <c r="AU73" s="1"/>
      <c r="AX73" s="1"/>
      <c r="BI73" s="2"/>
    </row>
    <row r="74" spans="47:61" ht="10.199999999999999">
      <c r="AU74" s="1"/>
      <c r="AX74" s="1"/>
      <c r="BI74" s="2"/>
    </row>
    <row r="75" spans="47:61" ht="10.199999999999999">
      <c r="AU75" s="1"/>
      <c r="AX75" s="1"/>
      <c r="BI75" s="2"/>
    </row>
    <row r="76" spans="47:61" ht="10.199999999999999">
      <c r="AU76" s="1"/>
      <c r="AX76" s="1"/>
      <c r="BI76" s="2"/>
    </row>
    <row r="77" spans="47:61" ht="10.199999999999999">
      <c r="AU77" s="1"/>
      <c r="AX77" s="1"/>
      <c r="BI77" s="2"/>
    </row>
    <row r="78" spans="47:61" ht="10.199999999999999">
      <c r="AU78" s="1"/>
      <c r="AX78" s="1"/>
      <c r="BI78" s="2"/>
    </row>
    <row r="79" spans="47:61" ht="10.199999999999999">
      <c r="AU79" s="1"/>
      <c r="AX79" s="1"/>
      <c r="BI79" s="2"/>
    </row>
    <row r="80" spans="47:61" ht="10.199999999999999">
      <c r="AU80" s="1"/>
      <c r="AX80" s="1"/>
      <c r="BI80" s="2"/>
    </row>
    <row r="81" spans="47:61" ht="10.199999999999999">
      <c r="AU81" s="1"/>
      <c r="AX81" s="1"/>
      <c r="BI81" s="2"/>
    </row>
    <row r="82" spans="47:61" ht="10.199999999999999">
      <c r="AU82" s="1"/>
      <c r="AX82" s="1"/>
      <c r="BI82" s="2"/>
    </row>
    <row r="83" spans="47:61" ht="10.199999999999999">
      <c r="AU83" s="1"/>
      <c r="AX83" s="1"/>
      <c r="BI83" s="2"/>
    </row>
    <row r="84" spans="47:61" ht="10.199999999999999">
      <c r="AU84" s="1"/>
      <c r="AX84" s="1"/>
      <c r="BI84" s="2"/>
    </row>
    <row r="85" spans="47:61" ht="10.199999999999999">
      <c r="AU85" s="1"/>
      <c r="AX85" s="1"/>
      <c r="BI85" s="2"/>
    </row>
    <row r="86" spans="47:61" ht="10.199999999999999">
      <c r="AU86" s="1"/>
      <c r="AX86" s="1"/>
      <c r="BI86" s="2"/>
    </row>
    <row r="87" spans="47:61" ht="10.199999999999999">
      <c r="AU87" s="1"/>
      <c r="AX87" s="1"/>
      <c r="BI87" s="2"/>
    </row>
    <row r="88" spans="47:61" ht="10.199999999999999">
      <c r="AU88" s="1"/>
      <c r="AX88" s="1"/>
      <c r="BI88" s="2"/>
    </row>
    <row r="89" spans="47:61" ht="10.199999999999999">
      <c r="AU89" s="1"/>
      <c r="AX89" s="1"/>
      <c r="BI89" s="2"/>
    </row>
    <row r="90" spans="47:61" ht="10.199999999999999">
      <c r="AU90" s="1"/>
      <c r="AX90" s="1"/>
      <c r="BI90" s="2"/>
    </row>
    <row r="91" spans="47:61" ht="10.199999999999999">
      <c r="AU91" s="1"/>
      <c r="AX91" s="1"/>
      <c r="BI91" s="2"/>
    </row>
    <row r="92" spans="47:61" ht="10.199999999999999">
      <c r="AU92" s="1"/>
      <c r="AX92" s="1"/>
      <c r="BI92" s="2"/>
    </row>
    <row r="93" spans="47:61" ht="10.199999999999999">
      <c r="AU93" s="1"/>
      <c r="AX93" s="1"/>
      <c r="BI93" s="2"/>
    </row>
    <row r="94" spans="47:61" ht="10.199999999999999">
      <c r="AU94" s="1"/>
      <c r="AX94" s="1"/>
      <c r="BI94" s="2"/>
    </row>
    <row r="95" spans="47:61" ht="10.199999999999999">
      <c r="AU95" s="1"/>
      <c r="AX95" s="1"/>
      <c r="BI95" s="2"/>
    </row>
    <row r="96" spans="47:61" ht="10.199999999999999">
      <c r="AU96" s="1"/>
      <c r="AX96" s="1"/>
      <c r="BI96" s="2"/>
    </row>
    <row r="97" spans="47:61" ht="10.199999999999999">
      <c r="AU97" s="1"/>
      <c r="AX97" s="1"/>
      <c r="BI97" s="2"/>
    </row>
    <row r="98" spans="47:61" ht="10.199999999999999">
      <c r="AU98" s="1"/>
      <c r="AX98" s="1"/>
      <c r="BI98" s="2"/>
    </row>
    <row r="99" spans="47:61" ht="10.199999999999999">
      <c r="AU99" s="1"/>
      <c r="AX99" s="1"/>
      <c r="BI99" s="2"/>
    </row>
    <row r="100" spans="47:61" ht="10.199999999999999">
      <c r="AU100" s="1"/>
      <c r="AX100" s="1"/>
      <c r="BI100" s="2"/>
    </row>
    <row r="101" spans="47:61" ht="10.199999999999999">
      <c r="AU101" s="1"/>
      <c r="AX101" s="1"/>
      <c r="BI101" s="2"/>
    </row>
    <row r="102" spans="47:61" ht="10.199999999999999">
      <c r="AU102" s="1"/>
      <c r="AX102" s="1"/>
      <c r="BI102" s="2"/>
    </row>
    <row r="103" spans="47:61" ht="10.199999999999999">
      <c r="AU103" s="1"/>
      <c r="AX103" s="1"/>
      <c r="BI103" s="2"/>
    </row>
    <row r="104" spans="47:61" ht="10.199999999999999">
      <c r="AU104" s="1"/>
      <c r="AX104" s="1"/>
      <c r="BI104" s="2"/>
    </row>
    <row r="105" spans="47:61" ht="10.199999999999999">
      <c r="AU105" s="1"/>
      <c r="AX105" s="1"/>
      <c r="BI105" s="2"/>
    </row>
    <row r="106" spans="47:61" ht="10.199999999999999">
      <c r="AU106" s="1"/>
      <c r="AX106" s="1"/>
      <c r="BI106" s="2"/>
    </row>
    <row r="107" spans="47:61" ht="10.199999999999999">
      <c r="AU107" s="1"/>
      <c r="AX107" s="1"/>
      <c r="BI107" s="2"/>
    </row>
    <row r="108" spans="47:61" ht="10.199999999999999">
      <c r="AU108" s="1"/>
      <c r="AX108" s="1"/>
      <c r="BI108" s="2"/>
    </row>
    <row r="109" spans="47:61" ht="10.199999999999999">
      <c r="AU109" s="1"/>
      <c r="AX109" s="1"/>
      <c r="BI109" s="2"/>
    </row>
    <row r="110" spans="47:61" ht="10.199999999999999">
      <c r="AU110" s="1"/>
      <c r="AX110" s="1"/>
      <c r="BI110" s="2"/>
    </row>
    <row r="111" spans="47:61" ht="10.199999999999999">
      <c r="AU111" s="1"/>
      <c r="AX111" s="1"/>
      <c r="BI111" s="2"/>
    </row>
    <row r="112" spans="47:61" ht="10.199999999999999">
      <c r="AU112" s="1"/>
      <c r="AX112" s="1"/>
      <c r="BI112" s="2"/>
    </row>
    <row r="113" spans="47:61" ht="10.199999999999999">
      <c r="AU113" s="1"/>
      <c r="AX113" s="1"/>
      <c r="BI113" s="2"/>
    </row>
    <row r="114" spans="47:61" ht="10.199999999999999">
      <c r="AU114" s="1"/>
      <c r="AX114" s="1"/>
      <c r="BI114" s="2"/>
    </row>
    <row r="115" spans="47:61" ht="10.199999999999999">
      <c r="AU115" s="1"/>
      <c r="AX115" s="1"/>
      <c r="BI115" s="2"/>
    </row>
    <row r="116" spans="47:61" ht="10.199999999999999">
      <c r="AU116" s="1"/>
      <c r="AX116" s="1"/>
      <c r="BI116" s="2"/>
    </row>
    <row r="117" spans="47:61" ht="10.199999999999999">
      <c r="AU117" s="1"/>
      <c r="AX117" s="1"/>
      <c r="BI117" s="2"/>
    </row>
    <row r="118" spans="47:61" ht="10.199999999999999">
      <c r="AU118" s="1"/>
      <c r="AX118" s="1"/>
      <c r="BI118" s="2"/>
    </row>
    <row r="119" spans="47:61" ht="10.199999999999999">
      <c r="AU119" s="1"/>
      <c r="AX119" s="1"/>
      <c r="BI119" s="2"/>
    </row>
    <row r="120" spans="47:61" ht="10.199999999999999">
      <c r="AU120" s="1"/>
      <c r="AX120" s="1"/>
      <c r="BI120" s="2"/>
    </row>
    <row r="121" spans="47:61" ht="10.199999999999999">
      <c r="AU121" s="1"/>
      <c r="AX121" s="1"/>
      <c r="BI121" s="2"/>
    </row>
    <row r="122" spans="47:61" ht="10.199999999999999">
      <c r="AU122" s="1"/>
      <c r="AX122" s="1"/>
      <c r="BI122" s="2"/>
    </row>
    <row r="123" spans="47:61" ht="10.199999999999999">
      <c r="AU123" s="1"/>
      <c r="AX123" s="1"/>
      <c r="BI123" s="2"/>
    </row>
    <row r="124" spans="47:61" ht="10.199999999999999">
      <c r="AU124" s="1"/>
      <c r="AX124" s="1"/>
      <c r="BI124" s="2"/>
    </row>
    <row r="125" spans="47:61" ht="10.199999999999999">
      <c r="AU125" s="1"/>
      <c r="AX125" s="1"/>
      <c r="BI125" s="2"/>
    </row>
    <row r="126" spans="47:61" ht="10.199999999999999">
      <c r="AU126" s="1"/>
      <c r="AX126" s="1"/>
      <c r="BI126" s="2"/>
    </row>
    <row r="127" spans="47:61" ht="10.199999999999999">
      <c r="AU127" s="1"/>
      <c r="AX127" s="1"/>
      <c r="BI127" s="2"/>
    </row>
    <row r="128" spans="47:61" ht="10.199999999999999">
      <c r="AU128" s="1"/>
      <c r="AX128" s="1"/>
      <c r="BI128" s="2"/>
    </row>
    <row r="129" spans="47:61" ht="10.199999999999999">
      <c r="AU129" s="1"/>
      <c r="AX129" s="1"/>
      <c r="BI129" s="2"/>
    </row>
    <row r="130" spans="47:61" ht="10.199999999999999">
      <c r="AU130" s="1"/>
      <c r="AX130" s="1"/>
      <c r="BI130" s="2"/>
    </row>
    <row r="131" spans="47:61" ht="10.199999999999999">
      <c r="AU131" s="1"/>
      <c r="AX131" s="1"/>
      <c r="BI131" s="2"/>
    </row>
    <row r="132" spans="47:61" ht="10.199999999999999">
      <c r="AU132" s="1"/>
      <c r="AX132" s="1"/>
      <c r="BI132" s="2"/>
    </row>
    <row r="133" spans="47:61" ht="10.199999999999999">
      <c r="AU133" s="1"/>
      <c r="AX133" s="1"/>
      <c r="BI133" s="2"/>
    </row>
    <row r="134" spans="47:61" ht="10.199999999999999">
      <c r="AU134" s="1"/>
      <c r="AX134" s="1"/>
      <c r="BI134" s="2"/>
    </row>
    <row r="135" spans="47:61" ht="10.199999999999999">
      <c r="AU135" s="1"/>
      <c r="AX135" s="1"/>
      <c r="BI135" s="2"/>
    </row>
    <row r="136" spans="47:61" ht="10.199999999999999">
      <c r="AU136" s="1"/>
      <c r="AX136" s="1"/>
      <c r="BI136" s="2"/>
    </row>
    <row r="137" spans="47:61" ht="10.199999999999999">
      <c r="AU137" s="1"/>
      <c r="AX137" s="1"/>
      <c r="BI137" s="2"/>
    </row>
    <row r="138" spans="47:61" ht="10.199999999999999">
      <c r="AU138" s="1"/>
      <c r="AX138" s="1"/>
      <c r="BI138" s="2"/>
    </row>
    <row r="139" spans="47:61" ht="10.199999999999999">
      <c r="AU139" s="1"/>
      <c r="AX139" s="1"/>
      <c r="BI139" s="2"/>
    </row>
    <row r="140" spans="47:61" ht="10.199999999999999">
      <c r="AU140" s="1"/>
      <c r="AX140" s="1"/>
      <c r="BI140" s="2"/>
    </row>
    <row r="141" spans="47:61" ht="10.199999999999999">
      <c r="AU141" s="1"/>
      <c r="AX141" s="1"/>
      <c r="BI141" s="2"/>
    </row>
    <row r="142" spans="47:61" ht="10.199999999999999">
      <c r="AU142" s="1"/>
      <c r="AX142" s="1"/>
      <c r="BI142" s="2"/>
    </row>
    <row r="143" spans="47:61" ht="10.199999999999999">
      <c r="AU143" s="1"/>
      <c r="AX143" s="1"/>
      <c r="BI143" s="2"/>
    </row>
    <row r="144" spans="47:61" ht="10.199999999999999">
      <c r="AU144" s="1"/>
      <c r="AX144" s="1"/>
      <c r="BI144" s="2"/>
    </row>
    <row r="145" spans="47:61" ht="10.199999999999999">
      <c r="AU145" s="1"/>
      <c r="AX145" s="1"/>
      <c r="BI145" s="2"/>
    </row>
    <row r="146" spans="47:61" ht="10.199999999999999">
      <c r="AU146" s="1"/>
      <c r="AX146" s="1"/>
      <c r="BI146" s="2"/>
    </row>
    <row r="147" spans="47:61" ht="10.199999999999999">
      <c r="AU147" s="1"/>
      <c r="AX147" s="1"/>
      <c r="BI147" s="2"/>
    </row>
    <row r="148" spans="47:61" ht="10.199999999999999">
      <c r="AU148" s="1"/>
      <c r="AX148" s="1"/>
      <c r="BI148" s="2"/>
    </row>
    <row r="149" spans="47:61" ht="10.199999999999999">
      <c r="AU149" s="1"/>
      <c r="AX149" s="1"/>
      <c r="BI149" s="2"/>
    </row>
    <row r="150" spans="47:61" ht="10.199999999999999">
      <c r="AU150" s="1"/>
      <c r="AX150" s="1"/>
      <c r="BI150" s="2"/>
    </row>
    <row r="151" spans="47:61" ht="10.199999999999999">
      <c r="AU151" s="1"/>
      <c r="AX151" s="1"/>
      <c r="BI151" s="2"/>
    </row>
    <row r="152" spans="47:61" ht="10.199999999999999">
      <c r="AU152" s="1"/>
      <c r="AX152" s="1"/>
      <c r="BI152" s="2"/>
    </row>
    <row r="153" spans="47:61" ht="10.199999999999999">
      <c r="AU153" s="1"/>
      <c r="AX153" s="1"/>
      <c r="BI153" s="2"/>
    </row>
    <row r="154" spans="47:61" ht="10.199999999999999">
      <c r="AU154" s="1"/>
      <c r="AX154" s="1"/>
      <c r="BI154" s="2"/>
    </row>
    <row r="155" spans="47:61" ht="10.199999999999999">
      <c r="AU155" s="1"/>
      <c r="AX155" s="1"/>
      <c r="BI155" s="2"/>
    </row>
    <row r="156" spans="47:61" ht="10.199999999999999">
      <c r="AU156" s="1"/>
      <c r="AX156" s="1"/>
      <c r="BI156" s="2"/>
    </row>
    <row r="157" spans="47:61" ht="10.199999999999999">
      <c r="AU157" s="1"/>
      <c r="AX157" s="1"/>
      <c r="BI157" s="2"/>
    </row>
    <row r="158" spans="47:61" ht="10.199999999999999">
      <c r="AU158" s="1"/>
      <c r="AX158" s="1"/>
      <c r="BI158" s="2"/>
    </row>
    <row r="159" spans="47:61" ht="10.199999999999999">
      <c r="AU159" s="1"/>
      <c r="AX159" s="1"/>
      <c r="BI159" s="2"/>
    </row>
    <row r="160" spans="47:61" ht="10.199999999999999">
      <c r="AU160" s="1"/>
      <c r="AX160" s="1"/>
      <c r="BI160" s="2"/>
    </row>
    <row r="161" spans="47:61" ht="10.199999999999999">
      <c r="AU161" s="1"/>
      <c r="AX161" s="1"/>
      <c r="BI161" s="2"/>
    </row>
    <row r="162" spans="47:61" ht="10.199999999999999">
      <c r="AU162" s="1"/>
      <c r="AX162" s="1"/>
      <c r="BI162" s="2"/>
    </row>
    <row r="163" spans="47:61" ht="10.199999999999999">
      <c r="AU163" s="1"/>
      <c r="AX163" s="1"/>
      <c r="BI163" s="2"/>
    </row>
    <row r="164" spans="47:61" ht="10.199999999999999">
      <c r="AU164" s="1"/>
      <c r="AX164" s="1"/>
      <c r="BI164" s="2"/>
    </row>
    <row r="165" spans="47:61" ht="10.199999999999999">
      <c r="AU165" s="1"/>
      <c r="AX165" s="1"/>
      <c r="BI165" s="2"/>
    </row>
    <row r="166" spans="47:61" ht="10.199999999999999">
      <c r="AU166" s="1"/>
      <c r="AX166" s="1"/>
      <c r="BI166" s="2"/>
    </row>
    <row r="167" spans="47:61" ht="10.199999999999999">
      <c r="AU167" s="1"/>
      <c r="AX167" s="1"/>
      <c r="BI167" s="2"/>
    </row>
    <row r="168" spans="47:61" ht="10.199999999999999">
      <c r="AU168" s="1"/>
      <c r="AX168" s="1"/>
      <c r="BI168" s="2"/>
    </row>
    <row r="169" spans="47:61" ht="10.199999999999999">
      <c r="AU169" s="1"/>
      <c r="AX169" s="1"/>
      <c r="BI169" s="2"/>
    </row>
    <row r="170" spans="47:61" ht="10.199999999999999">
      <c r="AU170" s="1"/>
      <c r="AX170" s="1"/>
      <c r="BI170" s="2"/>
    </row>
    <row r="171" spans="47:61" ht="10.199999999999999">
      <c r="AU171" s="1"/>
      <c r="AX171" s="1"/>
      <c r="BI171" s="2"/>
    </row>
    <row r="172" spans="47:61" ht="10.199999999999999">
      <c r="AU172" s="1"/>
      <c r="AX172" s="1"/>
      <c r="BI172" s="2"/>
    </row>
    <row r="173" spans="47:61" ht="10.199999999999999">
      <c r="AU173" s="1"/>
      <c r="AX173" s="1"/>
      <c r="BI173" s="2"/>
    </row>
    <row r="174" spans="47:61" ht="10.199999999999999">
      <c r="AU174" s="1"/>
      <c r="AX174" s="1"/>
      <c r="BI174" s="2"/>
    </row>
    <row r="175" spans="47:61" ht="10.199999999999999">
      <c r="AU175" s="1"/>
      <c r="AX175" s="1"/>
      <c r="BI175" s="2"/>
    </row>
    <row r="176" spans="47:61" ht="10.199999999999999">
      <c r="AU176" s="1"/>
      <c r="AX176" s="1"/>
      <c r="BI176" s="2"/>
    </row>
    <row r="177" spans="47:61" ht="10.199999999999999">
      <c r="AU177" s="1"/>
      <c r="AX177" s="1"/>
      <c r="BI177" s="2"/>
    </row>
    <row r="178" spans="47:61" ht="10.199999999999999">
      <c r="AU178" s="1"/>
      <c r="AX178" s="1"/>
      <c r="BI178" s="2"/>
    </row>
    <row r="179" spans="47:61" ht="10.199999999999999">
      <c r="AU179" s="1"/>
      <c r="AX179" s="1"/>
      <c r="BI179" s="2"/>
    </row>
    <row r="180" spans="47:61" ht="10.199999999999999">
      <c r="AU180" s="1"/>
      <c r="AX180" s="1"/>
      <c r="BI180" s="2"/>
    </row>
    <row r="181" spans="47:61" ht="10.199999999999999">
      <c r="AU181" s="1"/>
      <c r="AX181" s="1"/>
      <c r="BI181" s="2"/>
    </row>
    <row r="182" spans="47:61" ht="10.199999999999999">
      <c r="AU182" s="1"/>
      <c r="AX182" s="1"/>
      <c r="BI182" s="2"/>
    </row>
    <row r="183" spans="47:61" ht="10.199999999999999">
      <c r="AU183" s="1"/>
      <c r="AX183" s="1"/>
      <c r="BI183" s="2"/>
    </row>
    <row r="184" spans="47:61" ht="10.199999999999999">
      <c r="AU184" s="1"/>
      <c r="AX184" s="1"/>
      <c r="BI184" s="2"/>
    </row>
    <row r="185" spans="47:61" ht="10.199999999999999">
      <c r="AU185" s="1"/>
      <c r="AX185" s="1"/>
      <c r="BI185" s="2"/>
    </row>
    <row r="186" spans="47:61" ht="10.199999999999999">
      <c r="AU186" s="1"/>
      <c r="AX186" s="1"/>
      <c r="BI186" s="2"/>
    </row>
    <row r="187" spans="47:61" ht="10.199999999999999">
      <c r="AU187" s="1"/>
      <c r="AX187" s="1"/>
      <c r="BI187" s="2"/>
    </row>
    <row r="188" spans="47:61" ht="10.199999999999999">
      <c r="AU188" s="1"/>
      <c r="AX188" s="1"/>
      <c r="BI188" s="2"/>
    </row>
    <row r="189" spans="47:61" ht="10.199999999999999">
      <c r="AU189" s="1"/>
      <c r="AX189" s="1"/>
      <c r="BI189" s="2"/>
    </row>
    <row r="190" spans="47:61" ht="10.199999999999999">
      <c r="AU190" s="1"/>
      <c r="AX190" s="1"/>
      <c r="BI190" s="2"/>
    </row>
    <row r="191" spans="47:61" ht="10.199999999999999">
      <c r="AU191" s="1"/>
      <c r="AX191" s="1"/>
      <c r="BI191" s="2"/>
    </row>
    <row r="192" spans="47:61" ht="10.199999999999999">
      <c r="AU192" s="1"/>
      <c r="AX192" s="1"/>
      <c r="BI192" s="2"/>
    </row>
    <row r="193" spans="47:61" ht="10.199999999999999">
      <c r="AU193" s="1"/>
      <c r="AX193" s="1"/>
      <c r="BI193" s="2"/>
    </row>
    <row r="194" spans="47:61" ht="10.199999999999999">
      <c r="AU194" s="1"/>
      <c r="AX194" s="1"/>
      <c r="BI194" s="2"/>
    </row>
    <row r="195" spans="47:61" ht="10.199999999999999">
      <c r="AU195" s="1"/>
      <c r="AX195" s="1"/>
      <c r="BI195" s="2"/>
    </row>
    <row r="196" spans="47:61" ht="10.199999999999999">
      <c r="AU196" s="1"/>
      <c r="AX196" s="1"/>
      <c r="BI196" s="2"/>
    </row>
    <row r="197" spans="47:61" ht="10.199999999999999">
      <c r="AU197" s="1"/>
      <c r="AX197" s="1"/>
      <c r="BI197" s="2"/>
    </row>
    <row r="198" spans="47:61" ht="10.199999999999999">
      <c r="AU198" s="1"/>
      <c r="AX198" s="1"/>
      <c r="BI198" s="2"/>
    </row>
    <row r="199" spans="47:61" ht="10.199999999999999">
      <c r="AU199" s="1"/>
      <c r="AX199" s="1"/>
      <c r="BI199" s="2"/>
    </row>
    <row r="200" spans="47:61" ht="10.199999999999999">
      <c r="AU200" s="1"/>
      <c r="AX200" s="1"/>
      <c r="BI200" s="2"/>
    </row>
    <row r="201" spans="47:61" ht="10.199999999999999">
      <c r="AU201" s="1"/>
      <c r="AX201" s="1"/>
      <c r="BI201" s="2"/>
    </row>
    <row r="202" spans="47:61" ht="10.199999999999999">
      <c r="AU202" s="1"/>
      <c r="AX202" s="1"/>
      <c r="BI202" s="2"/>
    </row>
    <row r="203" spans="47:61" ht="10.199999999999999">
      <c r="AU203" s="1"/>
      <c r="AX203" s="1"/>
      <c r="BI203" s="2"/>
    </row>
    <row r="204" spans="47:61" ht="10.199999999999999">
      <c r="AU204" s="1"/>
      <c r="AX204" s="1"/>
      <c r="BI204" s="2"/>
    </row>
    <row r="205" spans="47:61" ht="10.199999999999999">
      <c r="AU205" s="1"/>
      <c r="AX205" s="1"/>
      <c r="BI205" s="2"/>
    </row>
    <row r="206" spans="47:61" ht="10.199999999999999">
      <c r="AU206" s="1"/>
      <c r="AX206" s="1"/>
      <c r="BI206" s="2"/>
    </row>
    <row r="207" spans="47:61" ht="10.199999999999999">
      <c r="AU207" s="1"/>
      <c r="AX207" s="1"/>
      <c r="BI207" s="2"/>
    </row>
    <row r="208" spans="47:61" ht="10.199999999999999">
      <c r="AU208" s="1"/>
      <c r="AX208" s="1"/>
      <c r="BI208" s="2"/>
    </row>
    <row r="209" spans="47:61" ht="10.199999999999999">
      <c r="AU209" s="1"/>
      <c r="AX209" s="1"/>
      <c r="BI209" s="2"/>
    </row>
    <row r="210" spans="47:61" ht="10.199999999999999">
      <c r="AU210" s="1"/>
      <c r="AX210" s="1"/>
      <c r="BI210" s="2"/>
    </row>
    <row r="211" spans="47:61" ht="10.199999999999999">
      <c r="AU211" s="1"/>
      <c r="AX211" s="1"/>
      <c r="BI211" s="2"/>
    </row>
    <row r="212" spans="47:61" ht="10.199999999999999">
      <c r="AU212" s="1"/>
      <c r="AX212" s="1"/>
      <c r="BI212" s="2"/>
    </row>
    <row r="213" spans="47:61" ht="10.199999999999999">
      <c r="AU213" s="1"/>
      <c r="AX213" s="1"/>
      <c r="BI213" s="2"/>
    </row>
    <row r="214" spans="47:61" ht="10.199999999999999">
      <c r="AU214" s="1"/>
      <c r="AX214" s="1"/>
      <c r="BI214" s="2"/>
    </row>
    <row r="215" spans="47:61" ht="10.199999999999999">
      <c r="AU215" s="1"/>
      <c r="AX215" s="1"/>
      <c r="BI215" s="2"/>
    </row>
    <row r="216" spans="47:61" ht="10.199999999999999">
      <c r="AU216" s="1"/>
      <c r="AX216" s="1"/>
      <c r="BI216" s="2"/>
    </row>
    <row r="217" spans="47:61" ht="10.199999999999999">
      <c r="AU217" s="1"/>
      <c r="AX217" s="1"/>
      <c r="BI217" s="2"/>
    </row>
    <row r="218" spans="47:61" ht="10.199999999999999">
      <c r="AU218" s="1"/>
      <c r="AX218" s="1"/>
      <c r="BI218" s="2"/>
    </row>
    <row r="219" spans="47:61" ht="10.199999999999999">
      <c r="AU219" s="1"/>
      <c r="AX219" s="1"/>
      <c r="BI219" s="2"/>
    </row>
    <row r="220" spans="47:61" ht="10.199999999999999">
      <c r="AU220" s="1"/>
      <c r="AX220" s="1"/>
      <c r="BI220" s="2"/>
    </row>
    <row r="221" spans="47:61" ht="10.199999999999999">
      <c r="AU221" s="1"/>
      <c r="AX221" s="1"/>
      <c r="BI221" s="2"/>
    </row>
    <row r="222" spans="47:61" ht="10.199999999999999">
      <c r="AU222" s="1"/>
      <c r="AX222" s="1"/>
      <c r="BI222" s="2"/>
    </row>
    <row r="223" spans="47:61" ht="10.199999999999999">
      <c r="AU223" s="1"/>
      <c r="AX223" s="1"/>
      <c r="BI223" s="2"/>
    </row>
    <row r="224" spans="47:61" ht="10.199999999999999">
      <c r="AU224" s="1"/>
      <c r="AX224" s="1"/>
      <c r="BI224" s="2"/>
    </row>
    <row r="225" spans="47:61" ht="10.199999999999999">
      <c r="AU225" s="1"/>
      <c r="AX225" s="1"/>
      <c r="BI225" s="2"/>
    </row>
    <row r="226" spans="47:61" ht="10.199999999999999">
      <c r="AU226" s="1"/>
      <c r="AX226" s="1"/>
      <c r="BI226" s="2"/>
    </row>
    <row r="227" spans="47:61" ht="10.199999999999999">
      <c r="AU227" s="1"/>
      <c r="AX227" s="1"/>
      <c r="BI227" s="2"/>
    </row>
    <row r="228" spans="47:61" ht="10.199999999999999">
      <c r="AU228" s="1"/>
      <c r="AX228" s="1"/>
      <c r="BI228" s="2"/>
    </row>
    <row r="229" spans="47:61" ht="10.199999999999999">
      <c r="AU229" s="1"/>
      <c r="AX229" s="1"/>
      <c r="BI229" s="2"/>
    </row>
    <row r="230" spans="47:61" ht="10.199999999999999">
      <c r="AU230" s="1"/>
      <c r="AX230" s="1"/>
      <c r="BI230" s="2"/>
    </row>
    <row r="231" spans="47:61" ht="10.199999999999999">
      <c r="AU231" s="1"/>
      <c r="AX231" s="1"/>
      <c r="BI231" s="2"/>
    </row>
    <row r="232" spans="47:61" ht="10.199999999999999">
      <c r="AU232" s="1"/>
      <c r="AX232" s="1"/>
      <c r="BI232" s="2"/>
    </row>
    <row r="233" spans="47:61" ht="10.199999999999999">
      <c r="AU233" s="1"/>
      <c r="AX233" s="1"/>
      <c r="BI233" s="2"/>
    </row>
    <row r="234" spans="47:61" ht="10.199999999999999">
      <c r="AU234" s="1"/>
      <c r="AX234" s="1"/>
      <c r="BI234" s="2"/>
    </row>
    <row r="235" spans="47:61" ht="10.199999999999999">
      <c r="AU235" s="1"/>
      <c r="AX235" s="1"/>
      <c r="BI235" s="2"/>
    </row>
    <row r="236" spans="47:61" ht="10.199999999999999">
      <c r="AU236" s="1"/>
      <c r="AX236" s="1"/>
      <c r="BI236" s="2"/>
    </row>
    <row r="237" spans="47:61" ht="10.199999999999999">
      <c r="AU237" s="1"/>
      <c r="AX237" s="1"/>
      <c r="BI237" s="2"/>
    </row>
    <row r="238" spans="47:61" ht="10.199999999999999">
      <c r="AU238" s="1"/>
      <c r="AX238" s="1"/>
      <c r="BI238" s="2"/>
    </row>
    <row r="239" spans="47:61" ht="10.199999999999999">
      <c r="AU239" s="1"/>
      <c r="AX239" s="1"/>
      <c r="BI239" s="2"/>
    </row>
    <row r="240" spans="47:61" ht="10.199999999999999">
      <c r="AU240" s="1"/>
      <c r="AX240" s="1"/>
      <c r="BI240" s="2"/>
    </row>
    <row r="241" spans="47:61" ht="10.199999999999999">
      <c r="AU241" s="1"/>
      <c r="AX241" s="1"/>
      <c r="BI241" s="2"/>
    </row>
    <row r="242" spans="47:61" ht="10.199999999999999">
      <c r="AU242" s="1"/>
      <c r="AX242" s="1"/>
      <c r="BI242" s="2"/>
    </row>
    <row r="243" spans="47:61" ht="10.199999999999999">
      <c r="AU243" s="1"/>
      <c r="AX243" s="1"/>
      <c r="BI243" s="2"/>
    </row>
    <row r="244" spans="47:61" ht="10.199999999999999">
      <c r="AU244" s="1"/>
      <c r="AX244" s="1"/>
      <c r="BI244" s="2"/>
    </row>
    <row r="245" spans="47:61" ht="10.199999999999999">
      <c r="AU245" s="1"/>
      <c r="AX245" s="1"/>
      <c r="BI245" s="2"/>
    </row>
    <row r="246" spans="47:61" ht="10.199999999999999">
      <c r="AU246" s="1"/>
      <c r="AX246" s="1"/>
      <c r="BI246" s="2"/>
    </row>
    <row r="247" spans="47:61" ht="10.199999999999999">
      <c r="AU247" s="1"/>
      <c r="AX247" s="1"/>
      <c r="BI247" s="2"/>
    </row>
    <row r="248" spans="47:61" ht="10.199999999999999">
      <c r="AU248" s="1"/>
      <c r="AX248" s="1"/>
      <c r="BI248" s="2"/>
    </row>
    <row r="249" spans="47:61" ht="10.199999999999999">
      <c r="AU249" s="1"/>
      <c r="AX249" s="1"/>
      <c r="BI249" s="2"/>
    </row>
    <row r="250" spans="47:61" ht="10.199999999999999">
      <c r="AU250" s="1"/>
      <c r="AX250" s="1"/>
      <c r="BI250" s="2"/>
    </row>
    <row r="251" spans="47:61" ht="10.199999999999999">
      <c r="AU251" s="1"/>
      <c r="AX251" s="1"/>
      <c r="BI251" s="2"/>
    </row>
    <row r="252" spans="47:61" ht="10.199999999999999">
      <c r="AU252" s="1"/>
      <c r="AX252" s="1"/>
      <c r="BI252" s="2"/>
    </row>
    <row r="253" spans="47:61" ht="10.199999999999999">
      <c r="AU253" s="1"/>
      <c r="AX253" s="1"/>
      <c r="BI253" s="2"/>
    </row>
    <row r="254" spans="47:61" ht="10.199999999999999">
      <c r="AU254" s="1"/>
      <c r="AX254" s="1"/>
      <c r="BI254" s="2"/>
    </row>
    <row r="255" spans="47:61" ht="10.199999999999999">
      <c r="AU255" s="1"/>
      <c r="AX255" s="1"/>
      <c r="BI255" s="2"/>
    </row>
    <row r="256" spans="47:61" ht="10.199999999999999">
      <c r="AU256" s="1"/>
      <c r="AX256" s="1"/>
      <c r="BI256" s="2"/>
    </row>
    <row r="257" spans="47:61" ht="10.199999999999999">
      <c r="AU257" s="1"/>
      <c r="AX257" s="1"/>
      <c r="BI257" s="2"/>
    </row>
    <row r="258" spans="47:61" ht="10.199999999999999">
      <c r="AU258" s="1"/>
      <c r="AX258" s="1"/>
      <c r="BI258" s="2"/>
    </row>
    <row r="259" spans="47:61" ht="10.199999999999999">
      <c r="AU259" s="1"/>
      <c r="AX259" s="1"/>
      <c r="BI259" s="2"/>
    </row>
    <row r="260" spans="47:61" ht="10.199999999999999">
      <c r="AU260" s="1"/>
      <c r="AX260" s="1"/>
      <c r="BI260" s="2"/>
    </row>
    <row r="261" spans="47:61" ht="10.199999999999999">
      <c r="AU261" s="1"/>
      <c r="AX261" s="1"/>
      <c r="BI261" s="2"/>
    </row>
    <row r="262" spans="47:61" ht="10.199999999999999">
      <c r="AU262" s="1"/>
      <c r="AX262" s="1"/>
      <c r="BI262" s="2"/>
    </row>
    <row r="263" spans="47:61" ht="10.199999999999999">
      <c r="AU263" s="1"/>
      <c r="AX263" s="1"/>
      <c r="BI263" s="2"/>
    </row>
    <row r="264" spans="47:61" ht="10.199999999999999">
      <c r="AU264" s="1"/>
      <c r="AX264" s="1"/>
      <c r="BI264" s="2"/>
    </row>
    <row r="265" spans="47:61" ht="10.199999999999999">
      <c r="AU265" s="1"/>
      <c r="AX265" s="1"/>
      <c r="BI265" s="2"/>
    </row>
    <row r="266" spans="47:61" ht="10.199999999999999">
      <c r="AU266" s="1"/>
      <c r="AX266" s="1"/>
      <c r="BI266" s="2"/>
    </row>
    <row r="267" spans="47:61" ht="10.199999999999999">
      <c r="AU267" s="1"/>
      <c r="AX267" s="1"/>
      <c r="BI267" s="2"/>
    </row>
    <row r="268" spans="47:61" ht="10.199999999999999">
      <c r="AU268" s="1"/>
      <c r="AX268" s="1"/>
      <c r="BI268" s="2"/>
    </row>
    <row r="269" spans="47:61" ht="10.199999999999999">
      <c r="AU269" s="1"/>
      <c r="AX269" s="1"/>
      <c r="BI269" s="2"/>
    </row>
    <row r="270" spans="47:61" ht="10.199999999999999">
      <c r="AU270" s="1"/>
      <c r="AX270" s="1"/>
      <c r="BI270" s="2"/>
    </row>
    <row r="271" spans="47:61" ht="10.199999999999999">
      <c r="AU271" s="1"/>
      <c r="AX271" s="1"/>
      <c r="BI271" s="2"/>
    </row>
    <row r="272" spans="47:61" ht="10.199999999999999">
      <c r="AU272" s="1"/>
      <c r="AX272" s="1"/>
      <c r="BI272" s="2"/>
    </row>
    <row r="273" spans="47:61" ht="10.199999999999999">
      <c r="AU273" s="1"/>
      <c r="AX273" s="1"/>
      <c r="BI273" s="2"/>
    </row>
    <row r="274" spans="47:61" ht="10.199999999999999">
      <c r="AU274" s="1"/>
      <c r="AX274" s="1"/>
      <c r="BI274" s="2"/>
    </row>
    <row r="275" spans="47:61" ht="10.199999999999999">
      <c r="AU275" s="1"/>
      <c r="AX275" s="1"/>
      <c r="BI275" s="2"/>
    </row>
    <row r="276" spans="47:61" ht="10.199999999999999">
      <c r="AU276" s="1"/>
      <c r="AX276" s="1"/>
      <c r="BI276" s="2"/>
    </row>
    <row r="277" spans="47:61" ht="10.199999999999999">
      <c r="AU277" s="1"/>
      <c r="AX277" s="1"/>
      <c r="BI277" s="2"/>
    </row>
    <row r="278" spans="47:61" ht="10.199999999999999">
      <c r="AU278" s="1"/>
      <c r="AX278" s="1"/>
      <c r="BI278" s="2"/>
    </row>
    <row r="279" spans="47:61" ht="10.199999999999999">
      <c r="AU279" s="1"/>
      <c r="AX279" s="1"/>
      <c r="BI279" s="2"/>
    </row>
    <row r="280" spans="47:61" ht="10.199999999999999">
      <c r="AU280" s="1"/>
      <c r="AX280" s="1"/>
      <c r="BI280" s="2"/>
    </row>
    <row r="281" spans="47:61" ht="10.199999999999999">
      <c r="AU281" s="1"/>
      <c r="AX281" s="1"/>
      <c r="BI281" s="2"/>
    </row>
    <row r="282" spans="47:61" ht="10.199999999999999">
      <c r="AU282" s="1"/>
      <c r="AX282" s="1"/>
      <c r="BI282" s="2"/>
    </row>
    <row r="283" spans="47:61" ht="10.199999999999999">
      <c r="AU283" s="1"/>
      <c r="AX283" s="1"/>
      <c r="BI283" s="2"/>
    </row>
    <row r="284" spans="47:61" ht="10.199999999999999">
      <c r="AU284" s="1"/>
      <c r="AX284" s="1"/>
      <c r="BI284" s="2"/>
    </row>
    <row r="285" spans="47:61" ht="10.199999999999999">
      <c r="AU285" s="1"/>
      <c r="AX285" s="1"/>
      <c r="BI285" s="2"/>
    </row>
    <row r="286" spans="47:61" ht="10.199999999999999">
      <c r="AU286" s="1"/>
      <c r="AX286" s="1"/>
      <c r="BI286" s="2"/>
    </row>
    <row r="287" spans="47:61" ht="10.199999999999999">
      <c r="AU287" s="1"/>
      <c r="AX287" s="1"/>
      <c r="BI287" s="2"/>
    </row>
    <row r="288" spans="47:61" ht="10.199999999999999">
      <c r="AU288" s="1"/>
      <c r="AX288" s="1"/>
      <c r="BI288" s="2"/>
    </row>
    <row r="289" spans="47:61" ht="10.199999999999999">
      <c r="AU289" s="1"/>
      <c r="AX289" s="1"/>
      <c r="BI289" s="2"/>
    </row>
    <row r="290" spans="47:61" ht="10.199999999999999">
      <c r="AU290" s="1"/>
      <c r="AX290" s="1"/>
      <c r="BI290" s="2"/>
    </row>
    <row r="291" spans="47:61" ht="10.199999999999999">
      <c r="AU291" s="1"/>
      <c r="AX291" s="1"/>
      <c r="BI291" s="2"/>
    </row>
    <row r="292" spans="47:61" ht="10.199999999999999">
      <c r="AU292" s="1"/>
      <c r="AX292" s="1"/>
      <c r="BI292" s="2"/>
    </row>
    <row r="293" spans="47:61" ht="10.199999999999999">
      <c r="AU293" s="1"/>
      <c r="AX293" s="1"/>
      <c r="BI293" s="2"/>
    </row>
    <row r="294" spans="47:61" ht="10.199999999999999">
      <c r="AU294" s="1"/>
      <c r="AX294" s="1"/>
      <c r="BI294" s="2"/>
    </row>
    <row r="295" spans="47:61" ht="10.199999999999999">
      <c r="AU295" s="1"/>
      <c r="AX295" s="1"/>
      <c r="BI295" s="2"/>
    </row>
    <row r="296" spans="47:61" ht="10.199999999999999">
      <c r="AU296" s="1"/>
      <c r="AX296" s="1"/>
      <c r="BI296" s="2"/>
    </row>
    <row r="297" spans="47:61" ht="10.199999999999999">
      <c r="AU297" s="1"/>
      <c r="AX297" s="1"/>
      <c r="BI297" s="2"/>
    </row>
    <row r="298" spans="47:61" ht="10.199999999999999">
      <c r="AU298" s="1"/>
      <c r="AX298" s="1"/>
      <c r="BI298" s="2"/>
    </row>
    <row r="299" spans="47:61" ht="10.199999999999999">
      <c r="AU299" s="1"/>
      <c r="AX299" s="1"/>
      <c r="BI299" s="2"/>
    </row>
    <row r="300" spans="47:61" ht="10.199999999999999">
      <c r="AU300" s="1"/>
      <c r="AX300" s="1"/>
      <c r="BI300" s="2"/>
    </row>
    <row r="301" spans="47:61" ht="10.199999999999999">
      <c r="AU301" s="1"/>
      <c r="AX301" s="1"/>
      <c r="BI301" s="2"/>
    </row>
    <row r="302" spans="47:61" ht="10.199999999999999">
      <c r="AU302" s="1"/>
      <c r="AX302" s="1"/>
      <c r="BI302" s="2"/>
    </row>
    <row r="303" spans="47:61" ht="10.199999999999999">
      <c r="AU303" s="1"/>
      <c r="AX303" s="1"/>
      <c r="BI303" s="2"/>
    </row>
    <row r="304" spans="47:61" ht="10.199999999999999">
      <c r="AU304" s="1"/>
      <c r="AX304" s="1"/>
      <c r="BI304" s="2"/>
    </row>
    <row r="305" spans="47:61" ht="10.199999999999999">
      <c r="AU305" s="1"/>
      <c r="AX305" s="1"/>
      <c r="BI305" s="2"/>
    </row>
    <row r="306" spans="47:61" ht="10.199999999999999">
      <c r="AU306" s="1"/>
      <c r="AX306" s="1"/>
      <c r="BI306" s="2"/>
    </row>
    <row r="307" spans="47:61" ht="10.199999999999999">
      <c r="AU307" s="1"/>
      <c r="AX307" s="1"/>
      <c r="BI307" s="2"/>
    </row>
    <row r="308" spans="47:61" ht="10.199999999999999">
      <c r="AU308" s="1"/>
      <c r="AX308" s="1"/>
      <c r="BI308" s="2"/>
    </row>
    <row r="309" spans="47:61" ht="10.199999999999999">
      <c r="AU309" s="1"/>
      <c r="AX309" s="1"/>
      <c r="BI309" s="2"/>
    </row>
    <row r="310" spans="47:61" ht="10.199999999999999">
      <c r="AU310" s="1"/>
      <c r="AX310" s="1"/>
      <c r="BI310" s="2"/>
    </row>
    <row r="311" spans="47:61" ht="10.199999999999999">
      <c r="AU311" s="1"/>
      <c r="AX311" s="1"/>
      <c r="BI311" s="2"/>
    </row>
    <row r="312" spans="47:61" ht="10.199999999999999">
      <c r="AU312" s="1"/>
      <c r="AX312" s="1"/>
      <c r="BI312" s="2"/>
    </row>
    <row r="313" spans="47:61" ht="10.199999999999999">
      <c r="AU313" s="1"/>
      <c r="AX313" s="1"/>
      <c r="BI313" s="2"/>
    </row>
    <row r="314" spans="47:61" ht="10.199999999999999">
      <c r="AU314" s="1"/>
      <c r="AX314" s="1"/>
      <c r="BI314" s="2"/>
    </row>
    <row r="315" spans="47:61" ht="10.199999999999999">
      <c r="AU315" s="1"/>
      <c r="AX315" s="1"/>
      <c r="BI315" s="2"/>
    </row>
    <row r="316" spans="47:61" ht="10.199999999999999">
      <c r="AU316" s="1"/>
      <c r="AX316" s="1"/>
      <c r="BI316" s="2"/>
    </row>
    <row r="317" spans="47:61" ht="10.199999999999999">
      <c r="AU317" s="1"/>
      <c r="AX317" s="1"/>
      <c r="BI317" s="2"/>
    </row>
    <row r="318" spans="47:61" ht="10.199999999999999">
      <c r="AU318" s="1"/>
      <c r="AX318" s="1"/>
      <c r="BI318" s="2"/>
    </row>
    <row r="319" spans="47:61" ht="10.199999999999999">
      <c r="AU319" s="1"/>
      <c r="AX319" s="1"/>
      <c r="BI319" s="2"/>
    </row>
    <row r="320" spans="47:61" ht="10.199999999999999">
      <c r="AU320" s="1"/>
      <c r="AX320" s="1"/>
      <c r="BI320" s="2"/>
    </row>
    <row r="321" spans="47:61" ht="10.199999999999999">
      <c r="AU321" s="1"/>
      <c r="AX321" s="1"/>
      <c r="BI321" s="2"/>
    </row>
    <row r="322" spans="47:61" ht="10.199999999999999">
      <c r="AU322" s="1"/>
      <c r="AX322" s="1"/>
      <c r="BI322" s="2"/>
    </row>
    <row r="323" spans="47:61" ht="10.199999999999999">
      <c r="AU323" s="1"/>
      <c r="AX323" s="1"/>
      <c r="BI323" s="2"/>
    </row>
    <row r="324" spans="47:61" ht="10.199999999999999">
      <c r="AU324" s="1"/>
      <c r="AX324" s="1"/>
      <c r="BI324" s="2"/>
    </row>
    <row r="325" spans="47:61" ht="10.199999999999999">
      <c r="AU325" s="1"/>
      <c r="AX325" s="1"/>
      <c r="BI325" s="2"/>
    </row>
    <row r="326" spans="47:61" ht="10.199999999999999">
      <c r="AU326" s="1"/>
      <c r="AX326" s="1"/>
      <c r="BI326" s="2"/>
    </row>
    <row r="327" spans="47:61" ht="10.199999999999999">
      <c r="AU327" s="1"/>
      <c r="AX327" s="1"/>
      <c r="BI327" s="2"/>
    </row>
    <row r="328" spans="47:61" ht="10.199999999999999">
      <c r="AU328" s="1"/>
      <c r="AX328" s="1"/>
      <c r="BI328" s="2"/>
    </row>
    <row r="329" spans="47:61" ht="10.199999999999999">
      <c r="AU329" s="1"/>
      <c r="AX329" s="1"/>
      <c r="BI329" s="2"/>
    </row>
    <row r="330" spans="47:61" ht="10.199999999999999">
      <c r="AU330" s="1"/>
      <c r="AX330" s="1"/>
      <c r="BI330" s="2"/>
    </row>
    <row r="331" spans="47:61" ht="10.199999999999999">
      <c r="AU331" s="1"/>
      <c r="AX331" s="1"/>
      <c r="BI331" s="2"/>
    </row>
    <row r="332" spans="47:61" ht="10.199999999999999">
      <c r="AU332" s="1"/>
      <c r="AX332" s="1"/>
      <c r="BI332" s="2"/>
    </row>
    <row r="333" spans="47:61" ht="10.199999999999999">
      <c r="AU333" s="1"/>
      <c r="AX333" s="1"/>
      <c r="BI333" s="2"/>
    </row>
    <row r="334" spans="47:61" ht="10.199999999999999">
      <c r="AU334" s="1"/>
      <c r="AX334" s="1"/>
      <c r="BI334" s="2"/>
    </row>
    <row r="335" spans="47:61" ht="10.199999999999999">
      <c r="AU335" s="1"/>
      <c r="AX335" s="1"/>
      <c r="BI335" s="2"/>
    </row>
    <row r="336" spans="47:61" ht="10.199999999999999">
      <c r="AU336" s="1"/>
      <c r="AX336" s="1"/>
      <c r="BI336" s="2"/>
    </row>
    <row r="337" spans="47:61" ht="10.199999999999999">
      <c r="AU337" s="1"/>
      <c r="AX337" s="1"/>
      <c r="BI337" s="2"/>
    </row>
    <row r="338" spans="47:61" ht="10.199999999999999">
      <c r="AU338" s="1"/>
      <c r="AX338" s="1"/>
      <c r="BI338" s="2"/>
    </row>
    <row r="339" spans="47:61" ht="10.199999999999999">
      <c r="AU339" s="1"/>
      <c r="AX339" s="1"/>
      <c r="BI339" s="2"/>
    </row>
    <row r="340" spans="47:61" ht="10.199999999999999">
      <c r="AU340" s="1"/>
      <c r="AX340" s="1"/>
      <c r="BI340" s="2"/>
    </row>
    <row r="341" spans="47:61" ht="10.199999999999999">
      <c r="AU341" s="1"/>
      <c r="AX341" s="1"/>
      <c r="BI341" s="2"/>
    </row>
    <row r="342" spans="47:61" ht="10.199999999999999">
      <c r="AU342" s="1"/>
      <c r="AX342" s="1"/>
      <c r="BI342" s="2"/>
    </row>
    <row r="343" spans="47:61" ht="10.199999999999999">
      <c r="AU343" s="1"/>
      <c r="AX343" s="1"/>
      <c r="BI343" s="2"/>
    </row>
    <row r="344" spans="47:61" ht="10.199999999999999">
      <c r="AU344" s="1"/>
      <c r="AX344" s="1"/>
      <c r="BI344" s="2"/>
    </row>
    <row r="345" spans="47:61" ht="10.199999999999999">
      <c r="AU345" s="1"/>
      <c r="AX345" s="1"/>
      <c r="BI345" s="2"/>
    </row>
    <row r="346" spans="47:61" ht="10.199999999999999">
      <c r="AU346" s="1"/>
      <c r="AX346" s="1"/>
      <c r="BI346" s="2"/>
    </row>
    <row r="347" spans="47:61" ht="10.199999999999999">
      <c r="AU347" s="1"/>
      <c r="AX347" s="1"/>
      <c r="BI347" s="2"/>
    </row>
    <row r="348" spans="47:61" ht="10.199999999999999">
      <c r="AU348" s="1"/>
      <c r="AX348" s="1"/>
      <c r="BI348" s="2"/>
    </row>
    <row r="349" spans="47:61" ht="10.199999999999999">
      <c r="AU349" s="1"/>
      <c r="AX349" s="1"/>
      <c r="BI349" s="2"/>
    </row>
    <row r="350" spans="47:61" ht="10.199999999999999">
      <c r="AU350" s="1"/>
      <c r="AX350" s="1"/>
      <c r="BI350" s="2"/>
    </row>
    <row r="351" spans="47:61" ht="10.199999999999999">
      <c r="AU351" s="1"/>
      <c r="AX351" s="1"/>
      <c r="BI351" s="2"/>
    </row>
    <row r="352" spans="47:61" ht="10.199999999999999">
      <c r="AU352" s="1"/>
      <c r="AX352" s="1"/>
      <c r="BI352" s="2"/>
    </row>
    <row r="353" spans="47:61" ht="10.199999999999999">
      <c r="AU353" s="1"/>
      <c r="AX353" s="1"/>
      <c r="BI353" s="2"/>
    </row>
    <row r="354" spans="47:61" ht="10.199999999999999">
      <c r="AU354" s="1"/>
      <c r="AX354" s="1"/>
      <c r="BI354" s="2"/>
    </row>
    <row r="355" spans="47:61" ht="10.199999999999999">
      <c r="AU355" s="1"/>
      <c r="AX355" s="1"/>
      <c r="BI355" s="2"/>
    </row>
    <row r="356" spans="47:61" ht="10.199999999999999">
      <c r="AU356" s="1"/>
      <c r="AX356" s="1"/>
      <c r="BI356" s="2"/>
    </row>
    <row r="357" spans="47:61" ht="10.199999999999999">
      <c r="AU357" s="1"/>
      <c r="AX357" s="1"/>
      <c r="BI357" s="2"/>
    </row>
    <row r="358" spans="47:61" ht="10.199999999999999">
      <c r="AU358" s="1"/>
      <c r="AX358" s="1"/>
      <c r="BI358" s="2"/>
    </row>
    <row r="359" spans="47:61" ht="10.199999999999999">
      <c r="AU359" s="1"/>
      <c r="AX359" s="1"/>
      <c r="BI359" s="2"/>
    </row>
    <row r="360" spans="47:61" ht="10.199999999999999">
      <c r="AU360" s="1"/>
      <c r="AX360" s="1"/>
      <c r="BI360" s="2"/>
    </row>
    <row r="361" spans="47:61" ht="10.199999999999999">
      <c r="AU361" s="1"/>
      <c r="AX361" s="1"/>
      <c r="BI361" s="2"/>
    </row>
    <row r="362" spans="47:61" ht="10.199999999999999">
      <c r="AU362" s="1"/>
      <c r="AX362" s="1"/>
      <c r="BI362" s="2"/>
    </row>
    <row r="363" spans="47:61" ht="10.199999999999999">
      <c r="AU363" s="1"/>
      <c r="AX363" s="1"/>
      <c r="BI363" s="2"/>
    </row>
    <row r="364" spans="47:61" ht="10.199999999999999">
      <c r="AU364" s="1"/>
      <c r="AX364" s="1"/>
      <c r="BI364" s="2"/>
    </row>
    <row r="365" spans="47:61" ht="10.199999999999999">
      <c r="AU365" s="1"/>
      <c r="AX365" s="1"/>
      <c r="BI365" s="2"/>
    </row>
    <row r="366" spans="47:61" ht="10.199999999999999">
      <c r="AU366" s="1"/>
      <c r="AX366" s="1"/>
      <c r="BI366" s="2"/>
    </row>
    <row r="367" spans="47:61" ht="10.199999999999999">
      <c r="AU367" s="1"/>
      <c r="AX367" s="1"/>
      <c r="BI367" s="2"/>
    </row>
    <row r="368" spans="47:61" ht="10.199999999999999">
      <c r="AU368" s="1"/>
      <c r="AX368" s="1"/>
      <c r="BI368" s="2"/>
    </row>
    <row r="369" spans="47:61" ht="10.199999999999999">
      <c r="AU369" s="1"/>
      <c r="AX369" s="1"/>
      <c r="BI369" s="2"/>
    </row>
    <row r="370" spans="47:61" ht="10.199999999999999">
      <c r="AU370" s="1"/>
      <c r="AX370" s="1"/>
      <c r="BI370" s="2"/>
    </row>
    <row r="371" spans="47:61" ht="10.199999999999999">
      <c r="AU371" s="1"/>
      <c r="AX371" s="1"/>
      <c r="BI371" s="2"/>
    </row>
    <row r="372" spans="47:61" ht="10.199999999999999">
      <c r="AU372" s="1"/>
      <c r="AX372" s="1"/>
      <c r="BI372" s="2"/>
    </row>
    <row r="373" spans="47:61" ht="10.199999999999999">
      <c r="AU373" s="1"/>
      <c r="AX373" s="1"/>
      <c r="BI373" s="2"/>
    </row>
    <row r="374" spans="47:61" ht="10.199999999999999">
      <c r="AU374" s="1"/>
      <c r="AX374" s="1"/>
      <c r="BI374" s="2"/>
    </row>
    <row r="375" spans="47:61" ht="10.199999999999999">
      <c r="AU375" s="1"/>
      <c r="AX375" s="1"/>
      <c r="BI375" s="2"/>
    </row>
    <row r="376" spans="47:61" ht="10.199999999999999">
      <c r="AU376" s="1"/>
      <c r="AX376" s="1"/>
      <c r="BI376" s="2"/>
    </row>
    <row r="377" spans="47:61" ht="10.199999999999999">
      <c r="AU377" s="1"/>
      <c r="AX377" s="1"/>
      <c r="BI377" s="2"/>
    </row>
    <row r="378" spans="47:61" ht="10.199999999999999">
      <c r="AU378" s="1"/>
      <c r="AX378" s="1"/>
      <c r="BI378" s="2"/>
    </row>
    <row r="379" spans="47:61" ht="10.199999999999999">
      <c r="AU379" s="1"/>
      <c r="AX379" s="1"/>
      <c r="BI379" s="2"/>
    </row>
    <row r="380" spans="47:61" ht="10.199999999999999">
      <c r="AU380" s="1"/>
      <c r="AX380" s="1"/>
      <c r="BI380" s="2"/>
    </row>
    <row r="381" spans="47:61" ht="10.199999999999999">
      <c r="AU381" s="1"/>
      <c r="AX381" s="1"/>
      <c r="BI381" s="2"/>
    </row>
    <row r="382" spans="47:61" ht="10.199999999999999">
      <c r="AU382" s="1"/>
      <c r="AX382" s="1"/>
      <c r="BI382" s="2"/>
    </row>
    <row r="383" spans="47:61" ht="10.199999999999999">
      <c r="AU383" s="1"/>
      <c r="AX383" s="1"/>
      <c r="BI383" s="2"/>
    </row>
    <row r="384" spans="47:61" ht="10.199999999999999">
      <c r="AU384" s="1"/>
      <c r="AX384" s="1"/>
      <c r="BI384" s="2"/>
    </row>
    <row r="385" spans="47:61" ht="10.199999999999999">
      <c r="AU385" s="1"/>
      <c r="AX385" s="1"/>
      <c r="BI385" s="2"/>
    </row>
    <row r="386" spans="47:61" ht="10.199999999999999">
      <c r="AU386" s="1"/>
      <c r="AX386" s="1"/>
      <c r="BI386" s="2"/>
    </row>
    <row r="387" spans="47:61" ht="10.199999999999999">
      <c r="AU387" s="1"/>
      <c r="AX387" s="1"/>
      <c r="BI387" s="2"/>
    </row>
    <row r="388" spans="47:61" ht="10.199999999999999">
      <c r="AU388" s="1"/>
      <c r="AX388" s="1"/>
      <c r="BI388" s="2"/>
    </row>
    <row r="389" spans="47:61" ht="10.199999999999999">
      <c r="AU389" s="1"/>
      <c r="AX389" s="1"/>
      <c r="BI389" s="2"/>
    </row>
    <row r="390" spans="47:61" ht="10.199999999999999">
      <c r="AU390" s="1"/>
      <c r="AX390" s="1"/>
      <c r="BI390" s="2"/>
    </row>
    <row r="391" spans="47:61" ht="10.199999999999999">
      <c r="AU391" s="1"/>
      <c r="AX391" s="1"/>
      <c r="BI391" s="2"/>
    </row>
    <row r="392" spans="47:61" ht="10.199999999999999">
      <c r="AU392" s="1"/>
      <c r="AX392" s="1"/>
      <c r="BI392" s="2"/>
    </row>
    <row r="393" spans="47:61" ht="10.199999999999999">
      <c r="AU393" s="1"/>
      <c r="AX393" s="1"/>
      <c r="BI393" s="2"/>
    </row>
    <row r="394" spans="47:61" ht="10.199999999999999">
      <c r="AU394" s="1"/>
      <c r="AX394" s="1"/>
      <c r="BI394" s="2"/>
    </row>
    <row r="395" spans="47:61" ht="10.199999999999999">
      <c r="AU395" s="1"/>
      <c r="AX395" s="1"/>
      <c r="BI395" s="2"/>
    </row>
    <row r="396" spans="47:61" ht="10.199999999999999">
      <c r="AU396" s="1"/>
      <c r="AX396" s="1"/>
      <c r="BI396" s="2"/>
    </row>
    <row r="397" spans="47:61" ht="10.199999999999999">
      <c r="AU397" s="1"/>
      <c r="AX397" s="1"/>
      <c r="BI397" s="2"/>
    </row>
    <row r="398" spans="47:61" ht="10.199999999999999">
      <c r="AU398" s="1"/>
      <c r="AX398" s="1"/>
      <c r="BI398" s="2"/>
    </row>
    <row r="399" spans="47:61" ht="10.199999999999999">
      <c r="AU399" s="1"/>
      <c r="AX399" s="1"/>
      <c r="BI399" s="2"/>
    </row>
    <row r="400" spans="47:61" ht="10.199999999999999">
      <c r="AU400" s="1"/>
      <c r="AX400" s="1"/>
      <c r="BI400" s="2"/>
    </row>
    <row r="401" spans="47:61" ht="10.199999999999999">
      <c r="AU401" s="1"/>
      <c r="AX401" s="1"/>
      <c r="BI401" s="2"/>
    </row>
    <row r="402" spans="47:61" ht="10.199999999999999">
      <c r="AU402" s="1"/>
      <c r="AX402" s="1"/>
      <c r="BI402" s="2"/>
    </row>
    <row r="403" spans="47:61" ht="10.199999999999999">
      <c r="AU403" s="1"/>
      <c r="AX403" s="1"/>
      <c r="BI403" s="2"/>
    </row>
    <row r="404" spans="47:61" ht="10.199999999999999">
      <c r="AU404" s="1"/>
      <c r="AX404" s="1"/>
      <c r="BI404" s="2"/>
    </row>
    <row r="405" spans="47:61" ht="10.199999999999999">
      <c r="AU405" s="1"/>
      <c r="AX405" s="1"/>
      <c r="BI405" s="2"/>
    </row>
    <row r="406" spans="47:61" ht="10.199999999999999">
      <c r="AU406" s="1"/>
      <c r="AX406" s="1"/>
      <c r="BI406" s="2"/>
    </row>
    <row r="407" spans="47:61" ht="10.199999999999999">
      <c r="AU407" s="1"/>
      <c r="AX407" s="1"/>
      <c r="BI407" s="2"/>
    </row>
    <row r="408" spans="47:61" ht="10.199999999999999">
      <c r="AU408" s="1"/>
      <c r="AX408" s="1"/>
      <c r="BI408" s="2"/>
    </row>
    <row r="409" spans="47:61" ht="10.199999999999999">
      <c r="AU409" s="1"/>
      <c r="AX409" s="1"/>
      <c r="BI409" s="2"/>
    </row>
    <row r="410" spans="47:61" ht="10.199999999999999">
      <c r="AU410" s="1"/>
      <c r="AX410" s="1"/>
      <c r="BI410" s="2"/>
    </row>
    <row r="411" spans="47:61" ht="10.199999999999999">
      <c r="AU411" s="1"/>
      <c r="AX411" s="1"/>
      <c r="BI411" s="2"/>
    </row>
    <row r="412" spans="47:61" ht="10.199999999999999">
      <c r="AU412" s="1"/>
      <c r="AX412" s="1"/>
      <c r="BI412" s="2"/>
    </row>
    <row r="413" spans="47:61" ht="10.199999999999999">
      <c r="AU413" s="1"/>
      <c r="AX413" s="1"/>
      <c r="BI413" s="2"/>
    </row>
    <row r="414" spans="47:61" ht="10.199999999999999">
      <c r="AU414" s="1"/>
      <c r="AX414" s="1"/>
      <c r="BI414" s="2"/>
    </row>
    <row r="415" spans="47:61" ht="10.199999999999999">
      <c r="AU415" s="1"/>
      <c r="AX415" s="1"/>
      <c r="BI415" s="2"/>
    </row>
    <row r="416" spans="47:61" ht="10.199999999999999">
      <c r="AU416" s="1"/>
      <c r="AX416" s="1"/>
      <c r="BI416" s="2"/>
    </row>
    <row r="417" spans="47:61" ht="10.199999999999999">
      <c r="AU417" s="1"/>
      <c r="AX417" s="1"/>
      <c r="BI417" s="2"/>
    </row>
    <row r="418" spans="47:61" ht="10.199999999999999">
      <c r="AU418" s="1"/>
      <c r="AX418" s="1"/>
      <c r="BI418" s="2"/>
    </row>
    <row r="419" spans="47:61" ht="10.199999999999999">
      <c r="AU419" s="1"/>
      <c r="AX419" s="1"/>
      <c r="BI419" s="2"/>
    </row>
    <row r="420" spans="47:61" ht="10.199999999999999">
      <c r="AU420" s="1"/>
      <c r="AX420" s="1"/>
      <c r="BI420" s="2"/>
    </row>
    <row r="421" spans="47:61" ht="10.199999999999999">
      <c r="AU421" s="1"/>
      <c r="AX421" s="1"/>
      <c r="BI421" s="2"/>
    </row>
    <row r="422" spans="47:61" ht="10.199999999999999">
      <c r="AU422" s="1"/>
      <c r="AX422" s="1"/>
      <c r="BI422" s="2"/>
    </row>
    <row r="423" spans="47:61" ht="10.199999999999999">
      <c r="AU423" s="1"/>
      <c r="AX423" s="1"/>
      <c r="BI423" s="2"/>
    </row>
    <row r="424" spans="47:61" ht="10.199999999999999">
      <c r="AU424" s="1"/>
      <c r="AX424" s="1"/>
      <c r="BI424" s="2"/>
    </row>
    <row r="425" spans="47:61" ht="10.199999999999999">
      <c r="AU425" s="1"/>
      <c r="AX425" s="1"/>
      <c r="BI425" s="2"/>
    </row>
    <row r="426" spans="47:61" ht="10.199999999999999">
      <c r="AU426" s="1"/>
      <c r="AX426" s="1"/>
      <c r="BI426" s="2"/>
    </row>
    <row r="427" spans="47:61" ht="10.199999999999999">
      <c r="AU427" s="1"/>
      <c r="AX427" s="1"/>
      <c r="BI427" s="2"/>
    </row>
    <row r="428" spans="47:61" ht="10.199999999999999">
      <c r="AU428" s="1"/>
      <c r="AX428" s="1"/>
      <c r="BI428" s="2"/>
    </row>
    <row r="429" spans="47:61" ht="10.199999999999999">
      <c r="AU429" s="1"/>
      <c r="AX429" s="1"/>
      <c r="BI429" s="2"/>
    </row>
    <row r="430" spans="47:61" ht="10.199999999999999">
      <c r="AU430" s="1"/>
      <c r="AX430" s="1"/>
      <c r="BI430" s="2"/>
    </row>
    <row r="431" spans="47:61" ht="10.199999999999999">
      <c r="AU431" s="1"/>
      <c r="AX431" s="1"/>
      <c r="BI431" s="2"/>
    </row>
    <row r="432" spans="47:61" ht="10.199999999999999">
      <c r="AU432" s="1"/>
      <c r="AX432" s="1"/>
      <c r="BI432" s="2"/>
    </row>
    <row r="433" spans="47:61" ht="10.199999999999999">
      <c r="AU433" s="1"/>
      <c r="AX433" s="1"/>
      <c r="BI433" s="2"/>
    </row>
    <row r="434" spans="47:61" ht="10.199999999999999">
      <c r="AU434" s="1"/>
      <c r="AX434" s="1"/>
      <c r="BI434" s="2"/>
    </row>
    <row r="435" spans="47:61" ht="10.199999999999999">
      <c r="AU435" s="1"/>
      <c r="AX435" s="1"/>
      <c r="BI435" s="2"/>
    </row>
    <row r="436" spans="47:61" ht="10.199999999999999">
      <c r="AU436" s="1"/>
      <c r="AX436" s="1"/>
      <c r="BI436" s="2"/>
    </row>
    <row r="437" spans="47:61" ht="10.199999999999999">
      <c r="AU437" s="1"/>
      <c r="AX437" s="1"/>
      <c r="BI437" s="2"/>
    </row>
    <row r="438" spans="47:61" ht="10.199999999999999">
      <c r="AU438" s="1"/>
      <c r="AX438" s="1"/>
      <c r="BI438" s="2"/>
    </row>
    <row r="439" spans="47:61" ht="10.199999999999999">
      <c r="AU439" s="1"/>
      <c r="AX439" s="1"/>
      <c r="BI439" s="2"/>
    </row>
    <row r="440" spans="47:61" ht="10.199999999999999">
      <c r="AU440" s="1"/>
      <c r="AX440" s="1"/>
      <c r="BI440" s="2"/>
    </row>
    <row r="441" spans="47:61" ht="10.199999999999999">
      <c r="AU441" s="1"/>
      <c r="AX441" s="1"/>
      <c r="BI441" s="2"/>
    </row>
    <row r="442" spans="47:61" ht="10.199999999999999">
      <c r="AU442" s="1"/>
      <c r="AX442" s="1"/>
      <c r="BI442" s="2"/>
    </row>
    <row r="443" spans="47:61" ht="10.199999999999999">
      <c r="AU443" s="1"/>
      <c r="AX443" s="1"/>
      <c r="BI443" s="2"/>
    </row>
    <row r="444" spans="47:61" ht="10.199999999999999">
      <c r="AU444" s="1"/>
      <c r="AX444" s="1"/>
      <c r="BI444" s="2"/>
    </row>
    <row r="445" spans="47:61" ht="10.199999999999999">
      <c r="AU445" s="1"/>
      <c r="AX445" s="1"/>
      <c r="BI445" s="2"/>
    </row>
    <row r="446" spans="47:61" ht="10.199999999999999">
      <c r="AU446" s="1"/>
      <c r="AX446" s="1"/>
      <c r="BI446" s="2"/>
    </row>
    <row r="447" spans="47:61" ht="10.199999999999999">
      <c r="AU447" s="1"/>
      <c r="AX447" s="1"/>
      <c r="BI447" s="2"/>
    </row>
    <row r="448" spans="47:61" ht="10.199999999999999">
      <c r="AU448" s="1"/>
      <c r="AX448" s="1"/>
      <c r="BI448" s="2"/>
    </row>
    <row r="449" spans="47:61" ht="10.199999999999999">
      <c r="AU449" s="1"/>
      <c r="AX449" s="1"/>
      <c r="BI449" s="2"/>
    </row>
    <row r="450" spans="47:61" ht="10.199999999999999">
      <c r="AU450" s="1"/>
      <c r="AX450" s="1"/>
      <c r="BI450" s="2"/>
    </row>
    <row r="451" spans="47:61" ht="10.199999999999999">
      <c r="AU451" s="1"/>
      <c r="AX451" s="1"/>
      <c r="BI451" s="2"/>
    </row>
    <row r="452" spans="47:61" ht="10.199999999999999">
      <c r="AU452" s="1"/>
      <c r="AX452" s="1"/>
      <c r="BI452" s="2"/>
    </row>
    <row r="453" spans="47:61" ht="10.199999999999999">
      <c r="AU453" s="1"/>
      <c r="AX453" s="1"/>
      <c r="BI453" s="2"/>
    </row>
    <row r="454" spans="47:61" ht="10.199999999999999">
      <c r="AU454" s="1"/>
      <c r="AX454" s="1"/>
      <c r="BI454" s="2"/>
    </row>
    <row r="455" spans="47:61" ht="10.199999999999999">
      <c r="AU455" s="1"/>
      <c r="AX455" s="1"/>
      <c r="BI455" s="2"/>
    </row>
    <row r="456" spans="47:61" ht="10.199999999999999">
      <c r="AU456" s="1"/>
      <c r="AX456" s="1"/>
      <c r="BI456" s="2"/>
    </row>
    <row r="457" spans="47:61" ht="10.199999999999999">
      <c r="AU457" s="1"/>
      <c r="AX457" s="1"/>
      <c r="BI457" s="2"/>
    </row>
    <row r="458" spans="47:61" ht="10.199999999999999">
      <c r="AU458" s="1"/>
      <c r="AX458" s="1"/>
      <c r="BI458" s="2"/>
    </row>
    <row r="459" spans="47:61" ht="10.199999999999999">
      <c r="AU459" s="1"/>
      <c r="AX459" s="1"/>
      <c r="BI459" s="2"/>
    </row>
    <row r="460" spans="47:61" ht="10.199999999999999">
      <c r="AU460" s="1"/>
      <c r="AX460" s="1"/>
      <c r="BI460" s="2"/>
    </row>
    <row r="461" spans="47:61" ht="10.199999999999999">
      <c r="AU461" s="1"/>
      <c r="AX461" s="1"/>
      <c r="BI461" s="2"/>
    </row>
    <row r="462" spans="47:61" ht="10.199999999999999">
      <c r="AU462" s="1"/>
      <c r="AX462" s="1"/>
      <c r="BI462" s="2"/>
    </row>
    <row r="463" spans="47:61" ht="10.199999999999999">
      <c r="AU463" s="1"/>
      <c r="AX463" s="1"/>
      <c r="BI463" s="2"/>
    </row>
    <row r="464" spans="47:61" ht="10.199999999999999">
      <c r="AU464" s="1"/>
      <c r="AX464" s="1"/>
      <c r="BI464" s="2"/>
    </row>
    <row r="465" spans="47:61" ht="10.199999999999999">
      <c r="AU465" s="1"/>
      <c r="AX465" s="1"/>
      <c r="BI465" s="2"/>
    </row>
    <row r="466" spans="47:61" ht="10.199999999999999">
      <c r="AU466" s="1"/>
      <c r="AX466" s="1"/>
      <c r="BI466" s="2"/>
    </row>
    <row r="467" spans="47:61" ht="10.199999999999999">
      <c r="AU467" s="1"/>
      <c r="AX467" s="1"/>
      <c r="BI467" s="2"/>
    </row>
    <row r="468" spans="47:61" ht="10.199999999999999">
      <c r="AU468" s="1"/>
      <c r="AX468" s="1"/>
      <c r="BI468" s="2"/>
    </row>
    <row r="469" spans="47:61" ht="10.199999999999999">
      <c r="AU469" s="1"/>
      <c r="AX469" s="1"/>
      <c r="BI469" s="2"/>
    </row>
    <row r="470" spans="47:61" ht="10.199999999999999">
      <c r="AU470" s="1"/>
      <c r="AX470" s="1"/>
      <c r="BI470" s="2"/>
    </row>
    <row r="471" spans="47:61" ht="10.199999999999999">
      <c r="AU471" s="1"/>
      <c r="AX471" s="1"/>
      <c r="BI471" s="2"/>
    </row>
    <row r="472" spans="47:61" ht="10.199999999999999">
      <c r="AU472" s="1"/>
      <c r="AX472" s="1"/>
      <c r="BI472" s="2"/>
    </row>
    <row r="473" spans="47:61" ht="10.199999999999999">
      <c r="AU473" s="1"/>
      <c r="AX473" s="1"/>
      <c r="BI473" s="2"/>
    </row>
    <row r="474" spans="47:61" ht="10.199999999999999">
      <c r="AU474" s="1"/>
      <c r="AX474" s="1"/>
      <c r="BI474" s="2"/>
    </row>
    <row r="475" spans="47:61" ht="10.199999999999999">
      <c r="AU475" s="1"/>
      <c r="AX475" s="1"/>
      <c r="BI475" s="2"/>
    </row>
    <row r="476" spans="47:61" ht="10.199999999999999">
      <c r="AU476" s="1"/>
      <c r="AX476" s="1"/>
      <c r="BI476" s="2"/>
    </row>
    <row r="477" spans="47:61" ht="10.199999999999999">
      <c r="AU477" s="1"/>
      <c r="AX477" s="1"/>
      <c r="BI477" s="2"/>
    </row>
    <row r="478" spans="47:61" ht="10.199999999999999">
      <c r="AU478" s="1"/>
      <c r="AX478" s="1"/>
      <c r="BI478" s="2"/>
    </row>
    <row r="479" spans="47:61" ht="10.199999999999999">
      <c r="AU479" s="1"/>
      <c r="AX479" s="1"/>
      <c r="BI479" s="2"/>
    </row>
    <row r="480" spans="47:61" ht="10.199999999999999">
      <c r="AU480" s="1"/>
      <c r="AX480" s="1"/>
      <c r="BI480" s="2"/>
    </row>
    <row r="481" spans="47:61" ht="10.199999999999999">
      <c r="AU481" s="1"/>
      <c r="AX481" s="1"/>
      <c r="BI481" s="2"/>
    </row>
    <row r="482" spans="47:61" ht="10.199999999999999">
      <c r="AU482" s="1"/>
      <c r="AX482" s="1"/>
      <c r="BI482" s="2"/>
    </row>
    <row r="483" spans="47:61" ht="10.199999999999999">
      <c r="AU483" s="1"/>
      <c r="AX483" s="1"/>
      <c r="BI483" s="2"/>
    </row>
    <row r="484" spans="47:61" ht="10.199999999999999">
      <c r="AU484" s="1"/>
      <c r="AX484" s="1"/>
      <c r="BI484" s="2"/>
    </row>
    <row r="485" spans="47:61" ht="10.199999999999999">
      <c r="AU485" s="1"/>
      <c r="AX485" s="1"/>
      <c r="BI485" s="2"/>
    </row>
    <row r="486" spans="47:61" ht="10.199999999999999">
      <c r="AU486" s="1"/>
      <c r="AX486" s="1"/>
      <c r="BI486" s="2"/>
    </row>
    <row r="487" spans="47:61" ht="10.199999999999999">
      <c r="AU487" s="1"/>
      <c r="AX487" s="1"/>
      <c r="BI487" s="2"/>
    </row>
    <row r="488" spans="47:61" ht="10.199999999999999">
      <c r="AU488" s="1"/>
      <c r="AX488" s="1"/>
      <c r="BI488" s="2"/>
    </row>
    <row r="489" spans="47:61" ht="10.199999999999999">
      <c r="AU489" s="1"/>
      <c r="AX489" s="1"/>
      <c r="BI489" s="2"/>
    </row>
    <row r="490" spans="47:61" ht="10.199999999999999">
      <c r="AU490" s="1"/>
      <c r="AX490" s="1"/>
      <c r="BI490" s="2"/>
    </row>
    <row r="491" spans="47:61" ht="10.199999999999999">
      <c r="AU491" s="1"/>
      <c r="AX491" s="1"/>
      <c r="BI491" s="2"/>
    </row>
    <row r="492" spans="47:61" ht="10.199999999999999">
      <c r="AU492" s="1"/>
      <c r="AX492" s="1"/>
      <c r="BI492" s="2"/>
    </row>
    <row r="493" spans="47:61" ht="10.199999999999999">
      <c r="AU493" s="1"/>
      <c r="AX493" s="1"/>
      <c r="BI493" s="2"/>
    </row>
    <row r="494" spans="47:61" ht="10.199999999999999">
      <c r="AU494" s="1"/>
      <c r="AX494" s="1"/>
      <c r="BI494" s="2"/>
    </row>
    <row r="495" spans="47:61" ht="10.199999999999999">
      <c r="AU495" s="1"/>
      <c r="AX495" s="1"/>
      <c r="BI495" s="2"/>
    </row>
    <row r="496" spans="47:61" ht="10.199999999999999">
      <c r="AU496" s="1"/>
      <c r="AX496" s="1"/>
      <c r="BI496" s="2"/>
    </row>
    <row r="497" spans="47:61" ht="10.199999999999999">
      <c r="AU497" s="1"/>
      <c r="AX497" s="1"/>
      <c r="BI497" s="2"/>
    </row>
    <row r="498" spans="47:61" ht="10.199999999999999">
      <c r="AU498" s="1"/>
      <c r="AX498" s="1"/>
      <c r="BI498" s="2"/>
    </row>
    <row r="499" spans="47:61" ht="10.199999999999999">
      <c r="AU499" s="1"/>
      <c r="AX499" s="1"/>
      <c r="BI499" s="2"/>
    </row>
    <row r="500" spans="47:61" ht="10.199999999999999">
      <c r="AU500" s="1"/>
      <c r="AX500" s="1"/>
      <c r="BI500" s="2"/>
    </row>
    <row r="501" spans="47:61" ht="10.199999999999999">
      <c r="AU501" s="1"/>
      <c r="AX501" s="1"/>
      <c r="BI501" s="2"/>
    </row>
    <row r="502" spans="47:61" ht="10.199999999999999">
      <c r="AU502" s="1"/>
      <c r="AX502" s="1"/>
      <c r="BI502" s="2"/>
    </row>
    <row r="503" spans="47:61" ht="10.199999999999999">
      <c r="AU503" s="1"/>
      <c r="AX503" s="1"/>
      <c r="BI503" s="2"/>
    </row>
    <row r="504" spans="47:61" ht="10.199999999999999">
      <c r="AU504" s="1"/>
      <c r="AX504" s="1"/>
      <c r="BI504" s="2"/>
    </row>
    <row r="505" spans="47:61" ht="10.199999999999999">
      <c r="AU505" s="1"/>
      <c r="AX505" s="1"/>
      <c r="BI505" s="2"/>
    </row>
    <row r="506" spans="47:61" ht="10.199999999999999">
      <c r="AU506" s="1"/>
      <c r="AX506" s="1"/>
      <c r="BI506" s="2"/>
    </row>
    <row r="507" spans="47:61" ht="10.199999999999999">
      <c r="AU507" s="1"/>
      <c r="AX507" s="1"/>
      <c r="BI507" s="2"/>
    </row>
    <row r="508" spans="47:61" ht="10.199999999999999">
      <c r="AU508" s="1"/>
      <c r="AX508" s="1"/>
      <c r="BI508" s="2"/>
    </row>
    <row r="509" spans="47:61" ht="10.199999999999999">
      <c r="AU509" s="1"/>
      <c r="AX509" s="1"/>
      <c r="BI509" s="2"/>
    </row>
    <row r="510" spans="47:61" ht="10.199999999999999">
      <c r="AU510" s="1"/>
      <c r="AX510" s="1"/>
      <c r="BI510" s="2"/>
    </row>
    <row r="511" spans="47:61" ht="10.199999999999999">
      <c r="AU511" s="1"/>
      <c r="AX511" s="1"/>
      <c r="BI511" s="2"/>
    </row>
    <row r="512" spans="47:61" ht="10.199999999999999">
      <c r="AU512" s="1"/>
      <c r="AX512" s="1"/>
      <c r="BI512" s="2"/>
    </row>
    <row r="513" spans="47:61" ht="10.199999999999999">
      <c r="AU513" s="1"/>
      <c r="AX513" s="1"/>
      <c r="BI513" s="2"/>
    </row>
    <row r="514" spans="47:61" ht="10.199999999999999">
      <c r="AU514" s="1"/>
      <c r="AX514" s="1"/>
      <c r="BI514" s="2"/>
    </row>
    <row r="515" spans="47:61" ht="10.199999999999999">
      <c r="AU515" s="1"/>
      <c r="AX515" s="1"/>
      <c r="BI515" s="2"/>
    </row>
    <row r="516" spans="47:61" ht="10.199999999999999">
      <c r="AU516" s="1"/>
      <c r="AX516" s="1"/>
      <c r="BI516" s="2"/>
    </row>
    <row r="517" spans="47:61" ht="10.199999999999999">
      <c r="AU517" s="1"/>
      <c r="AX517" s="1"/>
      <c r="BI517" s="2"/>
    </row>
    <row r="518" spans="47:61" ht="10.199999999999999">
      <c r="AU518" s="1"/>
      <c r="AX518" s="1"/>
      <c r="BI518" s="2"/>
    </row>
    <row r="519" spans="47:61" ht="10.199999999999999">
      <c r="AU519" s="1"/>
      <c r="AX519" s="1"/>
      <c r="BI519" s="2"/>
    </row>
    <row r="520" spans="47:61" ht="10.199999999999999">
      <c r="AU520" s="1"/>
      <c r="AX520" s="1"/>
      <c r="BI520" s="2"/>
    </row>
    <row r="521" spans="47:61" ht="10.199999999999999">
      <c r="AU521" s="1"/>
      <c r="AX521" s="1"/>
      <c r="BI521" s="2"/>
    </row>
    <row r="522" spans="47:61" ht="10.199999999999999">
      <c r="AU522" s="1"/>
      <c r="AX522" s="1"/>
      <c r="BI522" s="2"/>
    </row>
    <row r="523" spans="47:61" ht="10.199999999999999">
      <c r="AU523" s="1"/>
      <c r="AX523" s="1"/>
      <c r="BI523" s="2"/>
    </row>
    <row r="524" spans="47:61" ht="10.199999999999999">
      <c r="AU524" s="1"/>
      <c r="AX524" s="1"/>
      <c r="BI524" s="2"/>
    </row>
    <row r="525" spans="47:61" ht="10.199999999999999">
      <c r="AU525" s="1"/>
      <c r="AX525" s="1"/>
      <c r="BI525" s="2"/>
    </row>
    <row r="526" spans="47:61" ht="10.199999999999999">
      <c r="AU526" s="1"/>
      <c r="AX526" s="1"/>
      <c r="BI526" s="2"/>
    </row>
    <row r="527" spans="47:61" ht="10.199999999999999">
      <c r="AU527" s="1"/>
      <c r="AX527" s="1"/>
      <c r="BI527" s="2"/>
    </row>
    <row r="528" spans="47:61" ht="10.199999999999999">
      <c r="AU528" s="1"/>
      <c r="AX528" s="1"/>
      <c r="BI528" s="2"/>
    </row>
    <row r="529" spans="47:61" ht="10.199999999999999">
      <c r="AU529" s="1"/>
      <c r="AX529" s="1"/>
      <c r="BI529" s="2"/>
    </row>
    <row r="530" spans="47:61" ht="10.199999999999999">
      <c r="AU530" s="1"/>
      <c r="AX530" s="1"/>
      <c r="BI530" s="2"/>
    </row>
    <row r="531" spans="47:61" ht="10.199999999999999">
      <c r="AU531" s="1"/>
      <c r="AX531" s="1"/>
      <c r="BI531" s="2"/>
    </row>
    <row r="532" spans="47:61" ht="10.199999999999999">
      <c r="AU532" s="1"/>
      <c r="AX532" s="1"/>
      <c r="BI532" s="2"/>
    </row>
    <row r="533" spans="47:61" ht="10.199999999999999">
      <c r="AU533" s="1"/>
      <c r="AX533" s="1"/>
      <c r="BI533" s="2"/>
    </row>
    <row r="534" spans="47:61" ht="10.199999999999999">
      <c r="AU534" s="1"/>
      <c r="AX534" s="1"/>
      <c r="BI534" s="2"/>
    </row>
    <row r="535" spans="47:61" ht="10.199999999999999">
      <c r="AU535" s="1"/>
      <c r="AX535" s="1"/>
      <c r="BI535" s="2"/>
    </row>
    <row r="536" spans="47:61" ht="10.199999999999999">
      <c r="AU536" s="1"/>
      <c r="AX536" s="1"/>
      <c r="BI536" s="2"/>
    </row>
    <row r="537" spans="47:61" ht="10.199999999999999">
      <c r="AU537" s="1"/>
      <c r="AX537" s="1"/>
      <c r="BI537" s="2"/>
    </row>
    <row r="538" spans="47:61" ht="10.199999999999999">
      <c r="AU538" s="1"/>
      <c r="AX538" s="1"/>
      <c r="BI538" s="2"/>
    </row>
    <row r="539" spans="47:61" ht="10.199999999999999">
      <c r="AU539" s="1"/>
      <c r="AX539" s="1"/>
      <c r="BI539" s="2"/>
    </row>
    <row r="540" spans="47:61" ht="10.199999999999999">
      <c r="AU540" s="1"/>
      <c r="AX540" s="1"/>
      <c r="BI540" s="2"/>
    </row>
    <row r="541" spans="47:61" ht="10.199999999999999">
      <c r="AU541" s="1"/>
      <c r="AX541" s="1"/>
      <c r="BI541" s="2"/>
    </row>
    <row r="542" spans="47:61" ht="10.199999999999999">
      <c r="AU542" s="1"/>
      <c r="AX542" s="1"/>
      <c r="BI542" s="2"/>
    </row>
    <row r="543" spans="47:61" ht="10.199999999999999">
      <c r="AU543" s="1"/>
      <c r="AX543" s="1"/>
      <c r="BI543" s="2"/>
    </row>
    <row r="544" spans="47:61" ht="10.199999999999999">
      <c r="AU544" s="1"/>
      <c r="AX544" s="1"/>
      <c r="BI544" s="2"/>
    </row>
    <row r="545" spans="47:61" ht="10.199999999999999">
      <c r="AU545" s="1"/>
      <c r="AX545" s="1"/>
      <c r="BI545" s="2"/>
    </row>
    <row r="546" spans="47:61" ht="10.199999999999999">
      <c r="AU546" s="1"/>
      <c r="AX546" s="1"/>
      <c r="BI546" s="2"/>
    </row>
    <row r="547" spans="47:61" ht="10.199999999999999">
      <c r="AU547" s="1"/>
      <c r="AX547" s="1"/>
      <c r="BI547" s="2"/>
    </row>
    <row r="548" spans="47:61" ht="10.199999999999999">
      <c r="AU548" s="1"/>
      <c r="AX548" s="1"/>
      <c r="BI548" s="2"/>
    </row>
    <row r="549" spans="47:61" ht="10.199999999999999">
      <c r="AU549" s="1"/>
      <c r="AX549" s="1"/>
      <c r="BI549" s="2"/>
    </row>
    <row r="550" spans="47:61" ht="10.199999999999999">
      <c r="AU550" s="1"/>
      <c r="AX550" s="1"/>
      <c r="BI550" s="2"/>
    </row>
    <row r="551" spans="47:61" ht="10.199999999999999">
      <c r="AU551" s="1"/>
      <c r="AX551" s="1"/>
      <c r="BI551" s="2"/>
    </row>
    <row r="552" spans="47:61" ht="10.199999999999999">
      <c r="AU552" s="1"/>
      <c r="AX552" s="1"/>
      <c r="BI552" s="2"/>
    </row>
    <row r="553" spans="47:61" ht="10.199999999999999">
      <c r="AU553" s="1"/>
      <c r="AX553" s="1"/>
      <c r="BI553" s="2"/>
    </row>
    <row r="554" spans="47:61" ht="10.199999999999999">
      <c r="AU554" s="1"/>
      <c r="AX554" s="1"/>
      <c r="BI554" s="2"/>
    </row>
    <row r="555" spans="47:61" ht="10.199999999999999">
      <c r="AU555" s="1"/>
      <c r="AX555" s="1"/>
      <c r="BI555" s="2"/>
    </row>
    <row r="556" spans="47:61" ht="10.199999999999999">
      <c r="AU556" s="1"/>
      <c r="AX556" s="1"/>
      <c r="BI556" s="2"/>
    </row>
    <row r="557" spans="47:61" ht="10.199999999999999">
      <c r="AU557" s="1"/>
      <c r="AX557" s="1"/>
      <c r="BI557" s="2"/>
    </row>
    <row r="558" spans="47:61" ht="10.199999999999999">
      <c r="AU558" s="1"/>
      <c r="AX558" s="1"/>
      <c r="BI558" s="2"/>
    </row>
    <row r="559" spans="47:61" ht="10.199999999999999">
      <c r="AU559" s="1"/>
      <c r="AX559" s="1"/>
      <c r="BI559" s="2"/>
    </row>
    <row r="560" spans="47:61" ht="10.199999999999999">
      <c r="AU560" s="1"/>
      <c r="AX560" s="1"/>
      <c r="BI560" s="2"/>
    </row>
    <row r="561" spans="47:61" ht="10.199999999999999">
      <c r="AU561" s="1"/>
      <c r="AX561" s="1"/>
      <c r="BI561" s="2"/>
    </row>
    <row r="562" spans="47:61" ht="10.199999999999999">
      <c r="AU562" s="1"/>
      <c r="AX562" s="1"/>
      <c r="BI562" s="2"/>
    </row>
    <row r="563" spans="47:61" ht="10.199999999999999">
      <c r="AU563" s="1"/>
      <c r="AX563" s="1"/>
      <c r="BI563" s="2"/>
    </row>
    <row r="564" spans="47:61" ht="10.199999999999999">
      <c r="AU564" s="1"/>
      <c r="AX564" s="1"/>
      <c r="BI564" s="2"/>
    </row>
    <row r="565" spans="47:61" ht="10.199999999999999">
      <c r="AU565" s="1"/>
      <c r="AX565" s="1"/>
      <c r="BI565" s="2"/>
    </row>
    <row r="566" spans="47:61" ht="10.199999999999999">
      <c r="AU566" s="1"/>
      <c r="AX566" s="1"/>
      <c r="BI566" s="2"/>
    </row>
    <row r="567" spans="47:61" ht="10.199999999999999">
      <c r="AU567" s="1"/>
      <c r="AX567" s="1"/>
      <c r="BI567" s="2"/>
    </row>
    <row r="568" spans="47:61" ht="10.199999999999999">
      <c r="AU568" s="1"/>
      <c r="AX568" s="1"/>
      <c r="BI568" s="2"/>
    </row>
    <row r="569" spans="47:61" ht="10.199999999999999">
      <c r="AU569" s="1"/>
      <c r="AX569" s="1"/>
      <c r="BI569" s="2"/>
    </row>
    <row r="570" spans="47:61" ht="10.199999999999999">
      <c r="AU570" s="1"/>
      <c r="AX570" s="1"/>
      <c r="BI570" s="2"/>
    </row>
    <row r="571" spans="47:61" ht="10.199999999999999">
      <c r="AU571" s="1"/>
      <c r="AX571" s="1"/>
      <c r="BI571" s="2"/>
    </row>
    <row r="572" spans="47:61" ht="10.199999999999999">
      <c r="AU572" s="1"/>
      <c r="AX572" s="1"/>
      <c r="BI572" s="2"/>
    </row>
    <row r="573" spans="47:61" ht="10.199999999999999">
      <c r="AU573" s="1"/>
      <c r="AX573" s="1"/>
      <c r="BI573" s="2"/>
    </row>
    <row r="574" spans="47:61" ht="10.199999999999999">
      <c r="AU574" s="1"/>
      <c r="AX574" s="1"/>
      <c r="BI574" s="2"/>
    </row>
    <row r="575" spans="47:61" ht="10.199999999999999">
      <c r="AU575" s="1"/>
      <c r="AX575" s="1"/>
      <c r="BI575" s="2"/>
    </row>
    <row r="576" spans="47:61" ht="10.199999999999999">
      <c r="AU576" s="1"/>
      <c r="AX576" s="1"/>
      <c r="BI576" s="2"/>
    </row>
    <row r="577" spans="47:61" ht="10.199999999999999">
      <c r="AU577" s="1"/>
      <c r="AX577" s="1"/>
      <c r="BI577" s="2"/>
    </row>
    <row r="578" spans="47:61" ht="10.199999999999999">
      <c r="AU578" s="1"/>
      <c r="AX578" s="1"/>
      <c r="BI578" s="2"/>
    </row>
    <row r="579" spans="47:61" ht="10.199999999999999">
      <c r="AU579" s="1"/>
      <c r="AX579" s="1"/>
      <c r="BI579" s="2"/>
    </row>
    <row r="580" spans="47:61" ht="10.199999999999999">
      <c r="AU580" s="1"/>
      <c r="AX580" s="1"/>
      <c r="BI580" s="2"/>
    </row>
    <row r="581" spans="47:61" ht="10.199999999999999">
      <c r="AU581" s="1"/>
      <c r="AX581" s="1"/>
      <c r="BI581" s="2"/>
    </row>
    <row r="582" spans="47:61" ht="10.199999999999999">
      <c r="AU582" s="1"/>
      <c r="AX582" s="1"/>
      <c r="BI582" s="2"/>
    </row>
    <row r="583" spans="47:61" ht="10.199999999999999">
      <c r="AU583" s="1"/>
      <c r="AX583" s="1"/>
      <c r="BI583" s="2"/>
    </row>
    <row r="584" spans="47:61" ht="10.199999999999999">
      <c r="AU584" s="1"/>
      <c r="AX584" s="1"/>
      <c r="BI584" s="2"/>
    </row>
    <row r="585" spans="47:61" ht="10.199999999999999">
      <c r="AU585" s="1"/>
      <c r="AX585" s="1"/>
      <c r="BI585" s="2"/>
    </row>
    <row r="586" spans="47:61" ht="10.199999999999999">
      <c r="AU586" s="1"/>
      <c r="AX586" s="1"/>
      <c r="BI586" s="2"/>
    </row>
    <row r="587" spans="47:61" ht="10.199999999999999">
      <c r="AU587" s="1"/>
      <c r="AX587" s="1"/>
      <c r="BI587" s="2"/>
    </row>
    <row r="588" spans="47:61" ht="10.199999999999999">
      <c r="AU588" s="1"/>
      <c r="AX588" s="1"/>
      <c r="BI588" s="2"/>
    </row>
    <row r="589" spans="47:61" ht="10.199999999999999">
      <c r="AU589" s="1"/>
      <c r="AX589" s="1"/>
      <c r="BI589" s="2"/>
    </row>
    <row r="590" spans="47:61" ht="10.199999999999999">
      <c r="AU590" s="1"/>
      <c r="AX590" s="1"/>
      <c r="BI590" s="2"/>
    </row>
    <row r="591" spans="47:61" ht="10.199999999999999">
      <c r="AU591" s="1"/>
      <c r="AX591" s="1"/>
      <c r="BI591" s="2"/>
    </row>
    <row r="592" spans="47:61" ht="10.199999999999999">
      <c r="AU592" s="1"/>
      <c r="AX592" s="1"/>
      <c r="BI592" s="2"/>
    </row>
    <row r="593" spans="47:61" ht="10.199999999999999">
      <c r="AU593" s="1"/>
      <c r="AX593" s="1"/>
      <c r="BI593" s="2"/>
    </row>
    <row r="594" spans="47:61" ht="10.199999999999999">
      <c r="AU594" s="1"/>
      <c r="AX594" s="1"/>
      <c r="BI594" s="2"/>
    </row>
    <row r="595" spans="47:61" ht="10.199999999999999">
      <c r="AU595" s="1"/>
      <c r="AX595" s="1"/>
      <c r="BI595" s="2"/>
    </row>
    <row r="596" spans="47:61" ht="10.199999999999999">
      <c r="AU596" s="1"/>
      <c r="AX596" s="1"/>
      <c r="BI596" s="2"/>
    </row>
    <row r="597" spans="47:61" ht="10.199999999999999">
      <c r="AU597" s="1"/>
      <c r="AX597" s="1"/>
      <c r="BI597" s="2"/>
    </row>
    <row r="598" spans="47:61" ht="10.199999999999999">
      <c r="AU598" s="1"/>
      <c r="AX598" s="1"/>
      <c r="BI598" s="2"/>
    </row>
    <row r="599" spans="47:61" ht="10.199999999999999">
      <c r="AU599" s="1"/>
      <c r="AX599" s="1"/>
      <c r="BI599" s="2"/>
    </row>
    <row r="600" spans="47:61" ht="10.199999999999999">
      <c r="AU600" s="1"/>
      <c r="AX600" s="1"/>
      <c r="BI600" s="2"/>
    </row>
    <row r="601" spans="47:61" ht="10.199999999999999">
      <c r="AU601" s="1"/>
      <c r="AX601" s="1"/>
      <c r="BI601" s="2"/>
    </row>
    <row r="602" spans="47:61" ht="10.199999999999999">
      <c r="AU602" s="1"/>
      <c r="AX602" s="1"/>
      <c r="BI602" s="2"/>
    </row>
    <row r="603" spans="47:61" ht="10.199999999999999">
      <c r="AU603" s="1"/>
      <c r="AX603" s="1"/>
      <c r="BI603" s="2"/>
    </row>
    <row r="604" spans="47:61" ht="10.199999999999999">
      <c r="AU604" s="1"/>
      <c r="AX604" s="1"/>
      <c r="BI604" s="2"/>
    </row>
    <row r="605" spans="47:61" ht="10.199999999999999">
      <c r="AU605" s="1"/>
      <c r="AX605" s="1"/>
      <c r="BI605" s="2"/>
    </row>
    <row r="606" spans="47:61" ht="10.199999999999999">
      <c r="AU606" s="1"/>
      <c r="AX606" s="1"/>
      <c r="BI606" s="2"/>
    </row>
    <row r="607" spans="47:61" ht="10.199999999999999">
      <c r="AU607" s="1"/>
      <c r="AX607" s="1"/>
      <c r="BI607" s="2"/>
    </row>
    <row r="608" spans="47:61" ht="10.199999999999999">
      <c r="AU608" s="1"/>
      <c r="AX608" s="1"/>
      <c r="BI608" s="2"/>
    </row>
    <row r="609" spans="47:61" ht="10.199999999999999">
      <c r="AU609" s="1"/>
      <c r="AX609" s="1"/>
      <c r="BI609" s="2"/>
    </row>
    <row r="610" spans="47:61" ht="10.199999999999999">
      <c r="AU610" s="1"/>
      <c r="AX610" s="1"/>
      <c r="BI610" s="2"/>
    </row>
    <row r="611" spans="47:61" ht="10.199999999999999">
      <c r="AU611" s="1"/>
      <c r="AX611" s="1"/>
      <c r="BI611" s="2"/>
    </row>
    <row r="612" spans="47:61" ht="10.199999999999999">
      <c r="AU612" s="1"/>
      <c r="AX612" s="1"/>
      <c r="BI612" s="2"/>
    </row>
    <row r="613" spans="47:61" ht="10.199999999999999">
      <c r="AU613" s="1"/>
      <c r="AX613" s="1"/>
      <c r="BI613" s="2"/>
    </row>
    <row r="614" spans="47:61" ht="10.199999999999999">
      <c r="AU614" s="1"/>
      <c r="AX614" s="1"/>
      <c r="BI614" s="2"/>
    </row>
    <row r="615" spans="47:61" ht="10.199999999999999">
      <c r="AU615" s="1"/>
      <c r="AX615" s="1"/>
      <c r="BI615" s="2"/>
    </row>
    <row r="616" spans="47:61" ht="10.199999999999999">
      <c r="AU616" s="1"/>
      <c r="AX616" s="1"/>
      <c r="BI616" s="2"/>
    </row>
    <row r="617" spans="47:61" ht="10.199999999999999">
      <c r="AU617" s="1"/>
      <c r="AX617" s="1"/>
      <c r="BI617" s="2"/>
    </row>
    <row r="618" spans="47:61" ht="10.199999999999999">
      <c r="AU618" s="1"/>
      <c r="AX618" s="1"/>
      <c r="BI618" s="2"/>
    </row>
    <row r="619" spans="47:61" ht="10.199999999999999">
      <c r="AU619" s="1"/>
      <c r="AX619" s="1"/>
      <c r="BI619" s="2"/>
    </row>
    <row r="620" spans="47:61" ht="10.199999999999999">
      <c r="AU620" s="1"/>
      <c r="AX620" s="1"/>
      <c r="BI620" s="2"/>
    </row>
    <row r="621" spans="47:61" ht="10.199999999999999">
      <c r="AU621" s="1"/>
      <c r="AX621" s="1"/>
      <c r="BI621" s="2"/>
    </row>
    <row r="622" spans="47:61" ht="10.199999999999999">
      <c r="AU622" s="1"/>
      <c r="AX622" s="1"/>
      <c r="BI622" s="2"/>
    </row>
    <row r="623" spans="47:61" ht="10.199999999999999">
      <c r="AU623" s="1"/>
      <c r="AX623" s="1"/>
      <c r="BI623" s="2"/>
    </row>
    <row r="624" spans="47:61" ht="10.199999999999999">
      <c r="AU624" s="1"/>
      <c r="AX624" s="1"/>
      <c r="BI624" s="2"/>
    </row>
    <row r="625" spans="47:61" ht="10.199999999999999">
      <c r="AU625" s="1"/>
      <c r="AX625" s="1"/>
      <c r="BI625" s="2"/>
    </row>
    <row r="626" spans="47:61" ht="10.199999999999999">
      <c r="AU626" s="1"/>
      <c r="AX626" s="1"/>
      <c r="BI626" s="2"/>
    </row>
    <row r="627" spans="47:61" ht="10.199999999999999">
      <c r="AU627" s="1"/>
      <c r="AX627" s="1"/>
      <c r="BI627" s="2"/>
    </row>
    <row r="628" spans="47:61" ht="10.199999999999999">
      <c r="AU628" s="1"/>
      <c r="AX628" s="1"/>
      <c r="BI628" s="2"/>
    </row>
    <row r="629" spans="47:61" ht="10.199999999999999">
      <c r="AU629" s="1"/>
      <c r="AX629" s="1"/>
      <c r="BI629" s="2"/>
    </row>
    <row r="630" spans="47:61" ht="10.199999999999999">
      <c r="AU630" s="1"/>
      <c r="AX630" s="1"/>
      <c r="BI630" s="2"/>
    </row>
    <row r="631" spans="47:61" ht="10.199999999999999">
      <c r="AU631" s="1"/>
      <c r="AX631" s="1"/>
      <c r="BI631" s="2"/>
    </row>
    <row r="632" spans="47:61" ht="10.199999999999999">
      <c r="AU632" s="1"/>
      <c r="AX632" s="1"/>
      <c r="BI632" s="2"/>
    </row>
    <row r="633" spans="47:61" ht="10.199999999999999">
      <c r="AU633" s="1"/>
      <c r="AX633" s="1"/>
      <c r="BI633" s="2"/>
    </row>
    <row r="634" spans="47:61" ht="10.199999999999999">
      <c r="AU634" s="1"/>
      <c r="AX634" s="1"/>
      <c r="BI634" s="2"/>
    </row>
    <row r="635" spans="47:61" ht="10.199999999999999">
      <c r="AU635" s="1"/>
      <c r="AX635" s="1"/>
      <c r="BI635" s="2"/>
    </row>
    <row r="636" spans="47:61" ht="10.199999999999999">
      <c r="AU636" s="1"/>
      <c r="AX636" s="1"/>
      <c r="BI636" s="2"/>
    </row>
    <row r="637" spans="47:61" ht="10.199999999999999">
      <c r="AU637" s="1"/>
      <c r="AX637" s="1"/>
      <c r="BI637" s="2"/>
    </row>
    <row r="638" spans="47:61" ht="10.199999999999999">
      <c r="AU638" s="1"/>
      <c r="AX638" s="1"/>
      <c r="BI638" s="2"/>
    </row>
    <row r="639" spans="47:61" ht="10.199999999999999">
      <c r="AU639" s="1"/>
      <c r="AX639" s="1"/>
      <c r="BI639" s="2"/>
    </row>
    <row r="640" spans="47:61" ht="10.199999999999999">
      <c r="AU640" s="1"/>
      <c r="AX640" s="1"/>
      <c r="BI640" s="2"/>
    </row>
    <row r="641" spans="47:61" ht="10.199999999999999">
      <c r="AU641" s="1"/>
      <c r="AX641" s="1"/>
      <c r="BI641" s="2"/>
    </row>
    <row r="642" spans="47:61" ht="10.199999999999999">
      <c r="AU642" s="1"/>
      <c r="AX642" s="1"/>
      <c r="BI642" s="2"/>
    </row>
    <row r="643" spans="47:61" ht="10.199999999999999">
      <c r="AU643" s="1"/>
      <c r="AX643" s="1"/>
      <c r="BI643" s="2"/>
    </row>
    <row r="644" spans="47:61" ht="10.199999999999999">
      <c r="AU644" s="1"/>
      <c r="AX644" s="1"/>
      <c r="BI644" s="2"/>
    </row>
    <row r="645" spans="47:61" ht="10.199999999999999">
      <c r="AU645" s="1"/>
      <c r="AX645" s="1"/>
      <c r="BI645" s="2"/>
    </row>
    <row r="646" spans="47:61" ht="10.199999999999999">
      <c r="AU646" s="1"/>
      <c r="AX646" s="1"/>
      <c r="BI646" s="2"/>
    </row>
    <row r="647" spans="47:61" ht="10.199999999999999">
      <c r="AU647" s="1"/>
      <c r="AX647" s="1"/>
      <c r="BI647" s="2"/>
    </row>
    <row r="648" spans="47:61" ht="10.199999999999999">
      <c r="AU648" s="1"/>
      <c r="AX648" s="1"/>
      <c r="BI648" s="2"/>
    </row>
    <row r="649" spans="47:61" ht="10.199999999999999">
      <c r="AU649" s="1"/>
      <c r="AX649" s="1"/>
      <c r="BI649" s="2"/>
    </row>
    <row r="650" spans="47:61" ht="10.199999999999999">
      <c r="AU650" s="1"/>
      <c r="AX650" s="1"/>
      <c r="BI650" s="2"/>
    </row>
    <row r="651" spans="47:61" ht="10.199999999999999">
      <c r="AU651" s="1"/>
      <c r="AX651" s="1"/>
      <c r="BI651" s="2"/>
    </row>
    <row r="652" spans="47:61" ht="10.199999999999999">
      <c r="AU652" s="1"/>
      <c r="AX652" s="1"/>
      <c r="BI652" s="2"/>
    </row>
    <row r="653" spans="47:61" ht="10.199999999999999">
      <c r="AU653" s="1"/>
      <c r="AX653" s="1"/>
      <c r="BI653" s="2"/>
    </row>
    <row r="654" spans="47:61" ht="10.199999999999999">
      <c r="AU654" s="1"/>
      <c r="AX654" s="1"/>
      <c r="BI654" s="2"/>
    </row>
    <row r="655" spans="47:61" ht="10.199999999999999">
      <c r="AU655" s="1"/>
      <c r="AX655" s="1"/>
      <c r="BI655" s="2"/>
    </row>
    <row r="656" spans="47:61" ht="10.199999999999999">
      <c r="AU656" s="1"/>
      <c r="AX656" s="1"/>
      <c r="BI656" s="2"/>
    </row>
    <row r="657" spans="47:61" ht="10.199999999999999">
      <c r="AU657" s="1"/>
      <c r="AX657" s="1"/>
      <c r="BI657" s="2"/>
    </row>
    <row r="658" spans="47:61" ht="10.199999999999999">
      <c r="AU658" s="1"/>
      <c r="AX658" s="1"/>
      <c r="BI658" s="2"/>
    </row>
    <row r="659" spans="47:61" ht="10.199999999999999">
      <c r="AU659" s="1"/>
      <c r="AX659" s="1"/>
      <c r="BI659" s="2"/>
    </row>
    <row r="660" spans="47:61" ht="10.199999999999999">
      <c r="AU660" s="1"/>
      <c r="AX660" s="1"/>
      <c r="BI660" s="2"/>
    </row>
    <row r="661" spans="47:61" ht="10.199999999999999">
      <c r="AU661" s="1"/>
      <c r="AX661" s="1"/>
      <c r="BI661" s="2"/>
    </row>
    <row r="662" spans="47:61" ht="10.199999999999999">
      <c r="AU662" s="1"/>
      <c r="AX662" s="1"/>
      <c r="BI662" s="2"/>
    </row>
    <row r="663" spans="47:61" ht="10.199999999999999">
      <c r="AU663" s="1"/>
      <c r="AX663" s="1"/>
      <c r="BI663" s="2"/>
    </row>
    <row r="664" spans="47:61" ht="10.199999999999999">
      <c r="AU664" s="1"/>
      <c r="AX664" s="1"/>
      <c r="BI664" s="2"/>
    </row>
    <row r="665" spans="47:61" ht="10.199999999999999">
      <c r="AU665" s="1"/>
      <c r="AX665" s="1"/>
      <c r="BI665" s="2"/>
    </row>
    <row r="666" spans="47:61" ht="10.199999999999999">
      <c r="AU666" s="1"/>
      <c r="AX666" s="1"/>
      <c r="BI666" s="2"/>
    </row>
    <row r="667" spans="47:61" ht="10.199999999999999">
      <c r="AU667" s="1"/>
      <c r="AX667" s="1"/>
      <c r="BI667" s="2"/>
    </row>
    <row r="668" spans="47:61" ht="10.199999999999999">
      <c r="AU668" s="1"/>
      <c r="AX668" s="1"/>
      <c r="BI668" s="2"/>
    </row>
    <row r="669" spans="47:61" ht="10.199999999999999">
      <c r="AU669" s="1"/>
      <c r="AX669" s="1"/>
      <c r="BI669" s="2"/>
    </row>
    <row r="670" spans="47:61" ht="10.199999999999999">
      <c r="AU670" s="1"/>
      <c r="AX670" s="1"/>
      <c r="BI670" s="2"/>
    </row>
    <row r="671" spans="47:61" ht="10.199999999999999">
      <c r="AU671" s="1"/>
      <c r="AX671" s="1"/>
      <c r="BI671" s="2"/>
    </row>
    <row r="672" spans="47:61" ht="10.199999999999999">
      <c r="AU672" s="1"/>
      <c r="AX672" s="1"/>
      <c r="BI672" s="2"/>
    </row>
    <row r="673" spans="47:61" ht="10.199999999999999">
      <c r="AU673" s="1"/>
      <c r="AX673" s="1"/>
      <c r="BI673" s="2"/>
    </row>
    <row r="674" spans="47:61" ht="10.199999999999999">
      <c r="AU674" s="1"/>
      <c r="AX674" s="1"/>
      <c r="BI674" s="2"/>
    </row>
    <row r="675" spans="47:61" ht="10.199999999999999">
      <c r="AU675" s="1"/>
      <c r="AX675" s="1"/>
      <c r="BI675" s="2"/>
    </row>
    <row r="676" spans="47:61" ht="10.199999999999999">
      <c r="AU676" s="1"/>
      <c r="AX676" s="1"/>
      <c r="BI676" s="2"/>
    </row>
    <row r="677" spans="47:61" ht="10.199999999999999">
      <c r="AU677" s="1"/>
      <c r="AX677" s="1"/>
      <c r="BI677" s="2"/>
    </row>
    <row r="678" spans="47:61" ht="10.199999999999999">
      <c r="AU678" s="1"/>
      <c r="AX678" s="1"/>
      <c r="BI678" s="2"/>
    </row>
    <row r="679" spans="47:61" ht="10.199999999999999">
      <c r="AU679" s="1"/>
      <c r="AX679" s="1"/>
      <c r="BI679" s="2"/>
    </row>
    <row r="680" spans="47:61" ht="10.199999999999999">
      <c r="AU680" s="1"/>
      <c r="AX680" s="1"/>
      <c r="BI680" s="2"/>
    </row>
    <row r="681" spans="47:61" ht="10.199999999999999">
      <c r="AU681" s="1"/>
      <c r="AX681" s="1"/>
      <c r="BI681" s="2"/>
    </row>
    <row r="682" spans="47:61" ht="10.199999999999999">
      <c r="AU682" s="1"/>
      <c r="AX682" s="1"/>
      <c r="BI682" s="2"/>
    </row>
    <row r="683" spans="47:61" ht="10.199999999999999">
      <c r="AU683" s="1"/>
      <c r="AX683" s="1"/>
      <c r="BI683" s="2"/>
    </row>
    <row r="684" spans="47:61" ht="10.199999999999999">
      <c r="AU684" s="1"/>
      <c r="AX684" s="1"/>
      <c r="BI684" s="2"/>
    </row>
    <row r="685" spans="47:61" ht="10.199999999999999">
      <c r="AU685" s="1"/>
      <c r="AX685" s="1"/>
      <c r="BI685" s="2"/>
    </row>
    <row r="686" spans="47:61" ht="10.199999999999999">
      <c r="AU686" s="1"/>
      <c r="AX686" s="1"/>
      <c r="BI686" s="2"/>
    </row>
    <row r="687" spans="47:61" ht="10.199999999999999">
      <c r="AU687" s="1"/>
      <c r="AX687" s="1"/>
      <c r="BI687" s="2"/>
    </row>
    <row r="688" spans="47:61" ht="10.199999999999999">
      <c r="AU688" s="1"/>
      <c r="AX688" s="1"/>
      <c r="BI688" s="2"/>
    </row>
    <row r="689" spans="47:61" ht="10.199999999999999">
      <c r="AU689" s="1"/>
      <c r="AX689" s="1"/>
      <c r="BI689" s="2"/>
    </row>
    <row r="690" spans="47:61" ht="10.199999999999999">
      <c r="AU690" s="1"/>
      <c r="AX690" s="1"/>
      <c r="BI690" s="2"/>
    </row>
    <row r="691" spans="47:61" ht="10.199999999999999">
      <c r="AU691" s="1"/>
      <c r="AX691" s="1"/>
      <c r="BI691" s="2"/>
    </row>
    <row r="692" spans="47:61" ht="10.199999999999999">
      <c r="AU692" s="1"/>
      <c r="AX692" s="1"/>
      <c r="BI692" s="2"/>
    </row>
    <row r="693" spans="47:61" ht="10.199999999999999">
      <c r="AU693" s="1"/>
      <c r="AX693" s="1"/>
      <c r="BI693" s="2"/>
    </row>
    <row r="694" spans="47:61" ht="10.199999999999999">
      <c r="AU694" s="1"/>
      <c r="AX694" s="1"/>
      <c r="BI694" s="2"/>
    </row>
    <row r="695" spans="47:61" ht="10.199999999999999">
      <c r="AU695" s="1"/>
      <c r="AX695" s="1"/>
      <c r="BI695" s="2"/>
    </row>
    <row r="696" spans="47:61" ht="10.199999999999999">
      <c r="AU696" s="1"/>
      <c r="AX696" s="1"/>
      <c r="BI696" s="2"/>
    </row>
    <row r="697" spans="47:61" ht="10.199999999999999">
      <c r="AU697" s="1"/>
      <c r="AX697" s="1"/>
      <c r="BI697" s="2"/>
    </row>
    <row r="698" spans="47:61" ht="10.199999999999999">
      <c r="AU698" s="1"/>
      <c r="AX698" s="1"/>
      <c r="BI698" s="2"/>
    </row>
    <row r="699" spans="47:61" ht="10.199999999999999">
      <c r="AU699" s="1"/>
      <c r="AX699" s="1"/>
      <c r="BI699" s="2"/>
    </row>
    <row r="700" spans="47:61" ht="10.199999999999999">
      <c r="AU700" s="1"/>
      <c r="AX700" s="1"/>
      <c r="BI700" s="2"/>
    </row>
    <row r="701" spans="47:61" ht="10.199999999999999">
      <c r="AU701" s="1"/>
      <c r="AX701" s="1"/>
      <c r="BI701" s="2"/>
    </row>
    <row r="702" spans="47:61" ht="10.199999999999999">
      <c r="AU702" s="1"/>
      <c r="AX702" s="1"/>
      <c r="BI702" s="2"/>
    </row>
    <row r="703" spans="47:61" ht="10.199999999999999">
      <c r="AU703" s="1"/>
      <c r="AX703" s="1"/>
      <c r="BI703" s="2"/>
    </row>
    <row r="704" spans="47:61" ht="10.199999999999999">
      <c r="AU704" s="1"/>
      <c r="AX704" s="1"/>
      <c r="BI704" s="2"/>
    </row>
    <row r="705" spans="47:61" ht="10.199999999999999">
      <c r="AU705" s="1"/>
      <c r="AX705" s="1"/>
      <c r="BI705" s="2"/>
    </row>
    <row r="706" spans="47:61" ht="10.199999999999999">
      <c r="AU706" s="1"/>
      <c r="AX706" s="1"/>
      <c r="BI706" s="2"/>
    </row>
    <row r="707" spans="47:61" ht="10.199999999999999">
      <c r="AU707" s="1"/>
      <c r="AX707" s="1"/>
      <c r="BI707" s="2"/>
    </row>
    <row r="708" spans="47:61" ht="10.199999999999999">
      <c r="AU708" s="1"/>
      <c r="AX708" s="1"/>
      <c r="BI708" s="2"/>
    </row>
    <row r="709" spans="47:61" ht="10.199999999999999">
      <c r="AU709" s="1"/>
      <c r="AX709" s="1"/>
      <c r="BI709" s="2"/>
    </row>
    <row r="710" spans="47:61" ht="10.199999999999999">
      <c r="AU710" s="1"/>
      <c r="AX710" s="1"/>
      <c r="BI710" s="2"/>
    </row>
    <row r="711" spans="47:61" ht="10.199999999999999">
      <c r="AU711" s="1"/>
      <c r="AX711" s="1"/>
      <c r="BI711" s="2"/>
    </row>
    <row r="712" spans="47:61" ht="10.199999999999999">
      <c r="AU712" s="1"/>
      <c r="AX712" s="1"/>
      <c r="BI712" s="2"/>
    </row>
    <row r="713" spans="47:61" ht="10.199999999999999">
      <c r="AU713" s="1"/>
      <c r="AX713" s="1"/>
      <c r="BI713" s="2"/>
    </row>
    <row r="714" spans="47:61" ht="10.199999999999999">
      <c r="AU714" s="1"/>
      <c r="AX714" s="1"/>
      <c r="BI714" s="2"/>
    </row>
    <row r="715" spans="47:61" ht="10.199999999999999">
      <c r="AU715" s="1"/>
      <c r="AX715" s="1"/>
      <c r="BI715" s="2"/>
    </row>
    <row r="716" spans="47:61" ht="10.199999999999999">
      <c r="AU716" s="1"/>
      <c r="AX716" s="1"/>
      <c r="BI716" s="2"/>
    </row>
    <row r="717" spans="47:61" ht="10.199999999999999">
      <c r="AU717" s="1"/>
      <c r="AX717" s="1"/>
      <c r="BI717" s="2"/>
    </row>
    <row r="718" spans="47:61" ht="10.199999999999999">
      <c r="AU718" s="1"/>
      <c r="AX718" s="1"/>
      <c r="BI718" s="2"/>
    </row>
    <row r="719" spans="47:61" ht="10.199999999999999">
      <c r="AU719" s="1"/>
      <c r="AX719" s="1"/>
      <c r="BI719" s="2"/>
    </row>
    <row r="720" spans="47:61" ht="10.199999999999999">
      <c r="AU720" s="1"/>
      <c r="AX720" s="1"/>
      <c r="BI720" s="2"/>
    </row>
    <row r="721" spans="47:61" ht="10.199999999999999">
      <c r="AU721" s="1"/>
      <c r="AX721" s="1"/>
      <c r="BI721" s="2"/>
    </row>
    <row r="722" spans="47:61" ht="10.199999999999999">
      <c r="AU722" s="1"/>
      <c r="AX722" s="1"/>
      <c r="BI722" s="2"/>
    </row>
    <row r="723" spans="47:61" ht="10.199999999999999">
      <c r="AU723" s="1"/>
      <c r="AX723" s="1"/>
      <c r="BI723" s="2"/>
    </row>
    <row r="724" spans="47:61" ht="10.199999999999999">
      <c r="AU724" s="1"/>
      <c r="AX724" s="1"/>
      <c r="BI724" s="2"/>
    </row>
    <row r="725" spans="47:61" ht="10.199999999999999">
      <c r="AU725" s="1"/>
      <c r="AX725" s="1"/>
      <c r="BI725" s="2"/>
    </row>
    <row r="726" spans="47:61" ht="10.199999999999999">
      <c r="AU726" s="1"/>
      <c r="AX726" s="1"/>
      <c r="BI726" s="2"/>
    </row>
    <row r="727" spans="47:61" ht="10.199999999999999">
      <c r="AU727" s="1"/>
      <c r="AX727" s="1"/>
      <c r="BI727" s="2"/>
    </row>
    <row r="728" spans="47:61" ht="10.199999999999999">
      <c r="AU728" s="1"/>
      <c r="AX728" s="1"/>
      <c r="BI728" s="2"/>
    </row>
    <row r="729" spans="47:61" ht="10.199999999999999">
      <c r="AU729" s="1"/>
      <c r="AX729" s="1"/>
      <c r="BI729" s="2"/>
    </row>
    <row r="730" spans="47:61" ht="10.199999999999999">
      <c r="AU730" s="1"/>
      <c r="AX730" s="1"/>
      <c r="BI730" s="2"/>
    </row>
    <row r="731" spans="47:61" ht="10.199999999999999">
      <c r="AU731" s="1"/>
      <c r="AX731" s="1"/>
      <c r="BI731" s="2"/>
    </row>
    <row r="732" spans="47:61" ht="10.199999999999999">
      <c r="AU732" s="1"/>
      <c r="AX732" s="1"/>
      <c r="BI732" s="2"/>
    </row>
    <row r="733" spans="47:61" ht="10.199999999999999">
      <c r="AU733" s="1"/>
      <c r="AX733" s="1"/>
      <c r="BI733" s="2"/>
    </row>
    <row r="734" spans="47:61" ht="10.199999999999999">
      <c r="AU734" s="1"/>
      <c r="AX734" s="1"/>
      <c r="BI734" s="2"/>
    </row>
    <row r="735" spans="47:61" ht="10.199999999999999">
      <c r="AU735" s="1"/>
      <c r="AX735" s="1"/>
      <c r="BI735" s="2"/>
    </row>
    <row r="736" spans="47:61" ht="10.199999999999999">
      <c r="AU736" s="1"/>
      <c r="AX736" s="1"/>
      <c r="BI736" s="2"/>
    </row>
    <row r="737" spans="47:61" ht="10.199999999999999">
      <c r="AU737" s="1"/>
      <c r="AX737" s="1"/>
      <c r="BI737" s="2"/>
    </row>
    <row r="738" spans="47:61" ht="10.199999999999999">
      <c r="AU738" s="1"/>
      <c r="AX738" s="1"/>
      <c r="BI738" s="2"/>
    </row>
    <row r="739" spans="47:61" ht="10.199999999999999">
      <c r="AU739" s="1"/>
      <c r="AX739" s="1"/>
      <c r="BI739" s="2"/>
    </row>
    <row r="740" spans="47:61" ht="10.199999999999999">
      <c r="AU740" s="1"/>
      <c r="AX740" s="1"/>
      <c r="BI740" s="2"/>
    </row>
    <row r="741" spans="47:61" ht="10.199999999999999">
      <c r="AU741" s="1"/>
      <c r="AX741" s="1"/>
      <c r="BI741" s="2"/>
    </row>
    <row r="742" spans="47:61" ht="10.199999999999999">
      <c r="AU742" s="1"/>
      <c r="AX742" s="1"/>
      <c r="BI742" s="2"/>
    </row>
    <row r="743" spans="47:61" ht="10.199999999999999">
      <c r="AU743" s="1"/>
      <c r="AX743" s="1"/>
      <c r="BI743" s="2"/>
    </row>
    <row r="744" spans="47:61" ht="10.199999999999999">
      <c r="AU744" s="1"/>
      <c r="AX744" s="1"/>
      <c r="BI744" s="2"/>
    </row>
    <row r="745" spans="47:61" ht="10.199999999999999">
      <c r="AU745" s="1"/>
      <c r="AX745" s="1"/>
      <c r="BI745" s="2"/>
    </row>
    <row r="746" spans="47:61" ht="10.199999999999999">
      <c r="AU746" s="1"/>
      <c r="AX746" s="1"/>
      <c r="BI746" s="2"/>
    </row>
    <row r="747" spans="47:61" ht="10.199999999999999">
      <c r="AU747" s="1"/>
      <c r="AX747" s="1"/>
      <c r="BI747" s="2"/>
    </row>
    <row r="748" spans="47:61" ht="10.199999999999999">
      <c r="AU748" s="1"/>
      <c r="AX748" s="1"/>
      <c r="BI748" s="2"/>
    </row>
    <row r="749" spans="47:61" ht="10.199999999999999">
      <c r="AU749" s="1"/>
      <c r="AX749" s="1"/>
      <c r="BI749" s="2"/>
    </row>
    <row r="750" spans="47:61" ht="10.199999999999999">
      <c r="AU750" s="1"/>
      <c r="AX750" s="1"/>
      <c r="BI750" s="2"/>
    </row>
    <row r="751" spans="47:61" ht="10.199999999999999">
      <c r="AU751" s="1"/>
      <c r="AX751" s="1"/>
      <c r="BI751" s="2"/>
    </row>
    <row r="752" spans="47:61" ht="10.199999999999999">
      <c r="AU752" s="1"/>
      <c r="AX752" s="1"/>
      <c r="BI752" s="2"/>
    </row>
    <row r="753" spans="47:61" ht="10.199999999999999">
      <c r="AU753" s="1"/>
      <c r="AX753" s="1"/>
      <c r="BI753" s="2"/>
    </row>
    <row r="754" spans="47:61" ht="10.199999999999999">
      <c r="AU754" s="1"/>
      <c r="AX754" s="1"/>
      <c r="BI754" s="2"/>
    </row>
    <row r="755" spans="47:61" ht="10.199999999999999">
      <c r="AU755" s="1"/>
      <c r="AX755" s="1"/>
      <c r="BI755" s="2"/>
    </row>
    <row r="756" spans="47:61" ht="10.199999999999999">
      <c r="AU756" s="1"/>
      <c r="AX756" s="1"/>
      <c r="BI756" s="2"/>
    </row>
    <row r="757" spans="47:61" ht="10.199999999999999">
      <c r="AU757" s="1"/>
      <c r="AX757" s="1"/>
      <c r="BI757" s="2"/>
    </row>
    <row r="758" spans="47:61" ht="10.199999999999999">
      <c r="AU758" s="1"/>
      <c r="AX758" s="1"/>
      <c r="BI758" s="2"/>
    </row>
    <row r="759" spans="47:61" ht="10.199999999999999">
      <c r="AU759" s="1"/>
      <c r="AX759" s="1"/>
      <c r="BI759" s="2"/>
    </row>
    <row r="760" spans="47:61" ht="10.199999999999999">
      <c r="AU760" s="1"/>
      <c r="AX760" s="1"/>
      <c r="BI760" s="2"/>
    </row>
    <row r="761" spans="47:61" ht="10.199999999999999">
      <c r="AU761" s="1"/>
      <c r="AX761" s="1"/>
      <c r="BI761" s="2"/>
    </row>
    <row r="762" spans="47:61" ht="10.199999999999999">
      <c r="AU762" s="1"/>
      <c r="AX762" s="1"/>
      <c r="BI762" s="2"/>
    </row>
    <row r="763" spans="47:61" ht="10.199999999999999">
      <c r="AU763" s="1"/>
      <c r="AX763" s="1"/>
      <c r="BI763" s="2"/>
    </row>
    <row r="764" spans="47:61" ht="10.199999999999999">
      <c r="AU764" s="1"/>
      <c r="AX764" s="1"/>
      <c r="BI764" s="2"/>
    </row>
    <row r="765" spans="47:61" ht="10.199999999999999">
      <c r="AU765" s="1"/>
      <c r="AX765" s="1"/>
      <c r="BI765" s="2"/>
    </row>
    <row r="766" spans="47:61" ht="10.199999999999999">
      <c r="AU766" s="1"/>
      <c r="AX766" s="1"/>
      <c r="BI766" s="2"/>
    </row>
    <row r="767" spans="47:61" ht="10.199999999999999">
      <c r="AU767" s="1"/>
      <c r="AX767" s="1"/>
      <c r="BI767" s="2"/>
    </row>
    <row r="768" spans="47:61" ht="10.199999999999999">
      <c r="AU768" s="1"/>
      <c r="AX768" s="1"/>
      <c r="BI768" s="2"/>
    </row>
    <row r="769" spans="47:61" ht="10.199999999999999">
      <c r="AU769" s="1"/>
      <c r="AX769" s="1"/>
      <c r="BI769" s="2"/>
    </row>
    <row r="770" spans="47:61" ht="10.199999999999999">
      <c r="AU770" s="1"/>
      <c r="AX770" s="1"/>
      <c r="BI770" s="2"/>
    </row>
    <row r="771" spans="47:61" ht="10.199999999999999">
      <c r="AU771" s="1"/>
      <c r="AX771" s="1"/>
      <c r="BI771" s="2"/>
    </row>
    <row r="772" spans="47:61" ht="10.199999999999999">
      <c r="AU772" s="1"/>
      <c r="AX772" s="1"/>
      <c r="BI772" s="2"/>
    </row>
    <row r="773" spans="47:61" ht="10.199999999999999">
      <c r="AU773" s="1"/>
      <c r="AX773" s="1"/>
      <c r="BI773" s="2"/>
    </row>
    <row r="774" spans="47:61" ht="10.199999999999999">
      <c r="AU774" s="1"/>
      <c r="AX774" s="1"/>
      <c r="BI774" s="2"/>
    </row>
    <row r="775" spans="47:61" ht="10.199999999999999">
      <c r="AU775" s="1"/>
      <c r="AX775" s="1"/>
      <c r="BI775" s="2"/>
    </row>
    <row r="776" spans="47:61" ht="10.199999999999999">
      <c r="AU776" s="1"/>
      <c r="AX776" s="1"/>
      <c r="BI776" s="2"/>
    </row>
    <row r="777" spans="47:61" ht="10.199999999999999">
      <c r="AU777" s="1"/>
      <c r="AX777" s="1"/>
      <c r="BI777" s="2"/>
    </row>
    <row r="778" spans="47:61" ht="10.199999999999999">
      <c r="AU778" s="1"/>
      <c r="AX778" s="1"/>
      <c r="BI778" s="2"/>
    </row>
    <row r="779" spans="47:61" ht="10.199999999999999">
      <c r="AU779" s="1"/>
      <c r="AX779" s="1"/>
      <c r="BI779" s="2"/>
    </row>
    <row r="780" spans="47:61" ht="10.199999999999999">
      <c r="AU780" s="1"/>
      <c r="AX780" s="1"/>
      <c r="BI780" s="2"/>
    </row>
    <row r="781" spans="47:61" ht="10.199999999999999">
      <c r="AU781" s="1"/>
      <c r="AX781" s="1"/>
      <c r="BI781" s="2"/>
    </row>
    <row r="782" spans="47:61" ht="10.199999999999999">
      <c r="AU782" s="1"/>
      <c r="AX782" s="1"/>
      <c r="BI782" s="2"/>
    </row>
    <row r="783" spans="47:61" ht="10.199999999999999">
      <c r="AU783" s="1"/>
      <c r="AX783" s="1"/>
      <c r="BI783" s="2"/>
    </row>
    <row r="784" spans="47:61" ht="10.199999999999999">
      <c r="AU784" s="1"/>
      <c r="AX784" s="1"/>
      <c r="BI784" s="2"/>
    </row>
    <row r="785" spans="47:61" ht="10.199999999999999">
      <c r="AU785" s="1"/>
      <c r="AX785" s="1"/>
      <c r="BI785" s="2"/>
    </row>
    <row r="786" spans="47:61" ht="10.199999999999999">
      <c r="AU786" s="1"/>
      <c r="AX786" s="1"/>
      <c r="BI786" s="2"/>
    </row>
    <row r="787" spans="47:61" ht="10.199999999999999">
      <c r="AU787" s="1"/>
      <c r="AX787" s="1"/>
      <c r="BI787" s="2"/>
    </row>
    <row r="788" spans="47:61" ht="10.199999999999999">
      <c r="AU788" s="1"/>
      <c r="AX788" s="1"/>
      <c r="BI788" s="2"/>
    </row>
    <row r="789" spans="47:61" ht="10.199999999999999">
      <c r="AU789" s="1"/>
      <c r="AX789" s="1"/>
      <c r="BI789" s="2"/>
    </row>
    <row r="790" spans="47:61" ht="10.199999999999999">
      <c r="AU790" s="1"/>
      <c r="AX790" s="1"/>
      <c r="BI790" s="2"/>
    </row>
    <row r="791" spans="47:61" ht="10.199999999999999">
      <c r="AU791" s="1"/>
      <c r="AX791" s="1"/>
      <c r="BI791" s="2"/>
    </row>
    <row r="792" spans="47:61" ht="10.199999999999999">
      <c r="AU792" s="1"/>
      <c r="AX792" s="1"/>
      <c r="BI792" s="2"/>
    </row>
    <row r="793" spans="47:61" ht="10.199999999999999">
      <c r="AU793" s="1"/>
      <c r="AX793" s="1"/>
      <c r="BI793" s="2"/>
    </row>
    <row r="794" spans="47:61" ht="10.199999999999999">
      <c r="AU794" s="1"/>
      <c r="AX794" s="1"/>
      <c r="BI794" s="2"/>
    </row>
    <row r="795" spans="47:61" ht="10.199999999999999">
      <c r="AU795" s="1"/>
      <c r="AX795" s="1"/>
      <c r="BI795" s="2"/>
    </row>
    <row r="796" spans="47:61" ht="10.199999999999999">
      <c r="AU796" s="1"/>
      <c r="AX796" s="1"/>
      <c r="BI796" s="2"/>
    </row>
    <row r="797" spans="47:61" ht="10.199999999999999">
      <c r="AU797" s="1"/>
      <c r="AX797" s="1"/>
      <c r="BI797" s="2"/>
    </row>
    <row r="798" spans="47:61" ht="10.199999999999999">
      <c r="AU798" s="1"/>
      <c r="AX798" s="1"/>
      <c r="BI798" s="2"/>
    </row>
    <row r="799" spans="47:61" ht="10.199999999999999">
      <c r="AU799" s="1"/>
      <c r="AX799" s="1"/>
      <c r="BI799" s="2"/>
    </row>
    <row r="800" spans="47:61" ht="10.199999999999999">
      <c r="AU800" s="1"/>
      <c r="AX800" s="1"/>
      <c r="BI800" s="2"/>
    </row>
    <row r="801" spans="47:61" ht="10.199999999999999">
      <c r="AU801" s="1"/>
      <c r="AX801" s="1"/>
      <c r="BI801" s="2"/>
    </row>
    <row r="802" spans="47:61" ht="10.199999999999999">
      <c r="AU802" s="1"/>
      <c r="AX802" s="1"/>
      <c r="BI802" s="2"/>
    </row>
    <row r="803" spans="47:61" ht="10.199999999999999">
      <c r="AU803" s="1"/>
      <c r="AX803" s="1"/>
      <c r="BI803" s="2"/>
    </row>
    <row r="804" spans="47:61" ht="10.199999999999999">
      <c r="AU804" s="1"/>
      <c r="AX804" s="1"/>
      <c r="BI804" s="2"/>
    </row>
    <row r="805" spans="47:61" ht="10.199999999999999">
      <c r="AU805" s="1"/>
      <c r="AX805" s="1"/>
      <c r="BI805" s="2"/>
    </row>
    <row r="806" spans="47:61" ht="10.199999999999999">
      <c r="AU806" s="1"/>
      <c r="AX806" s="1"/>
      <c r="BI806" s="2"/>
    </row>
    <row r="807" spans="47:61" ht="10.199999999999999">
      <c r="AU807" s="1"/>
      <c r="AX807" s="1"/>
      <c r="BI807" s="2"/>
    </row>
    <row r="808" spans="47:61" ht="10.199999999999999">
      <c r="AU808" s="1"/>
      <c r="AX808" s="1"/>
      <c r="BI808" s="2"/>
    </row>
    <row r="809" spans="47:61" ht="10.199999999999999">
      <c r="AU809" s="1"/>
      <c r="AX809" s="1"/>
      <c r="BI809" s="2"/>
    </row>
    <row r="810" spans="47:61" ht="10.199999999999999">
      <c r="AU810" s="1"/>
      <c r="AX810" s="1"/>
      <c r="BI810" s="2"/>
    </row>
    <row r="811" spans="47:61" ht="10.199999999999999">
      <c r="AU811" s="1"/>
      <c r="AX811" s="1"/>
      <c r="BI811" s="2"/>
    </row>
    <row r="812" spans="47:61" ht="10.199999999999999">
      <c r="AU812" s="1"/>
      <c r="AX812" s="1"/>
      <c r="BI812" s="2"/>
    </row>
    <row r="813" spans="47:61" ht="10.199999999999999">
      <c r="AU813" s="1"/>
      <c r="AX813" s="1"/>
      <c r="BI813" s="2"/>
    </row>
    <row r="814" spans="47:61" ht="10.199999999999999">
      <c r="AU814" s="1"/>
      <c r="AX814" s="1"/>
      <c r="BI814" s="2"/>
    </row>
    <row r="815" spans="47:61" ht="10.199999999999999">
      <c r="AU815" s="1"/>
      <c r="AX815" s="1"/>
      <c r="BI815" s="2"/>
    </row>
    <row r="816" spans="47:61" ht="10.199999999999999">
      <c r="AU816" s="1"/>
      <c r="AX816" s="1"/>
      <c r="BI816" s="2"/>
    </row>
    <row r="817" spans="47:61" ht="10.199999999999999">
      <c r="AU817" s="1"/>
      <c r="AX817" s="1"/>
      <c r="BI817" s="2"/>
    </row>
    <row r="818" spans="47:61" ht="10.199999999999999">
      <c r="AU818" s="1"/>
      <c r="AX818" s="1"/>
      <c r="BI818" s="2"/>
    </row>
    <row r="819" spans="47:61" ht="10.199999999999999">
      <c r="AU819" s="1"/>
      <c r="AX819" s="1"/>
      <c r="BI819" s="2"/>
    </row>
    <row r="820" spans="47:61" ht="10.199999999999999">
      <c r="AU820" s="1"/>
      <c r="AX820" s="1"/>
      <c r="BI820" s="2"/>
    </row>
    <row r="821" spans="47:61" ht="10.199999999999999">
      <c r="AU821" s="1"/>
      <c r="AX821" s="1"/>
      <c r="BI821" s="2"/>
    </row>
    <row r="822" spans="47:61" ht="10.199999999999999">
      <c r="AU822" s="1"/>
      <c r="AX822" s="1"/>
      <c r="BI822" s="2"/>
    </row>
    <row r="823" spans="47:61" ht="10.199999999999999">
      <c r="AU823" s="1"/>
      <c r="AX823" s="1"/>
      <c r="BI823" s="2"/>
    </row>
    <row r="824" spans="47:61" ht="10.199999999999999">
      <c r="AU824" s="1"/>
      <c r="AX824" s="1"/>
      <c r="BI824" s="2"/>
    </row>
    <row r="825" spans="47:61" ht="10.199999999999999">
      <c r="AU825" s="1"/>
      <c r="AX825" s="1"/>
      <c r="BI825" s="2"/>
    </row>
    <row r="826" spans="47:61" ht="10.199999999999999">
      <c r="AU826" s="1"/>
      <c r="AX826" s="1"/>
      <c r="BI826" s="2"/>
    </row>
    <row r="827" spans="47:61" ht="10.199999999999999">
      <c r="AU827" s="1"/>
      <c r="AX827" s="1"/>
      <c r="BI827" s="2"/>
    </row>
    <row r="828" spans="47:61" ht="10.199999999999999">
      <c r="AU828" s="1"/>
      <c r="AX828" s="1"/>
      <c r="BI828" s="2"/>
    </row>
    <row r="829" spans="47:61" ht="10.199999999999999">
      <c r="AU829" s="1"/>
      <c r="AX829" s="1"/>
      <c r="BI829" s="2"/>
    </row>
    <row r="830" spans="47:61" ht="10.199999999999999">
      <c r="AU830" s="1"/>
      <c r="AX830" s="1"/>
      <c r="BI830" s="2"/>
    </row>
    <row r="831" spans="47:61" ht="10.199999999999999">
      <c r="AU831" s="1"/>
      <c r="AX831" s="1"/>
      <c r="BI831" s="2"/>
    </row>
    <row r="832" spans="47:61" ht="10.199999999999999">
      <c r="AU832" s="1"/>
      <c r="AX832" s="1"/>
      <c r="BI832" s="2"/>
    </row>
    <row r="833" spans="47:61" ht="10.199999999999999">
      <c r="AU833" s="1"/>
      <c r="AX833" s="1"/>
      <c r="BI833" s="2"/>
    </row>
    <row r="834" spans="47:61" ht="10.199999999999999">
      <c r="AU834" s="1"/>
      <c r="AX834" s="1"/>
      <c r="BI834" s="2"/>
    </row>
    <row r="835" spans="47:61" ht="10.199999999999999">
      <c r="AU835" s="1"/>
      <c r="AX835" s="1"/>
      <c r="BI835" s="2"/>
    </row>
    <row r="836" spans="47:61" ht="10.199999999999999">
      <c r="AU836" s="1"/>
      <c r="AX836" s="1"/>
      <c r="BI836" s="2"/>
    </row>
    <row r="837" spans="47:61" ht="10.199999999999999">
      <c r="AU837" s="1"/>
      <c r="AX837" s="1"/>
      <c r="BI837" s="2"/>
    </row>
    <row r="838" spans="47:61" ht="10.199999999999999">
      <c r="AU838" s="1"/>
      <c r="AX838" s="1"/>
      <c r="BI838" s="2"/>
    </row>
    <row r="839" spans="47:61" ht="10.199999999999999">
      <c r="AU839" s="1"/>
      <c r="AX839" s="1"/>
      <c r="BI839" s="2"/>
    </row>
    <row r="840" spans="47:61" ht="10.199999999999999">
      <c r="AU840" s="1"/>
      <c r="AX840" s="1"/>
      <c r="BI840" s="2"/>
    </row>
    <row r="841" spans="47:61" ht="10.199999999999999">
      <c r="AU841" s="1"/>
      <c r="AX841" s="1"/>
      <c r="BI841" s="2"/>
    </row>
    <row r="842" spans="47:61" ht="10.199999999999999">
      <c r="AU842" s="1"/>
      <c r="AX842" s="1"/>
      <c r="BI842" s="2"/>
    </row>
    <row r="843" spans="47:61" ht="10.199999999999999">
      <c r="AU843" s="1"/>
      <c r="AX843" s="1"/>
      <c r="BI843" s="2"/>
    </row>
    <row r="844" spans="47:61" ht="10.199999999999999">
      <c r="AU844" s="1"/>
      <c r="AX844" s="1"/>
      <c r="BI844" s="2"/>
    </row>
    <row r="845" spans="47:61" ht="10.199999999999999">
      <c r="AU845" s="1"/>
      <c r="AX845" s="1"/>
      <c r="BI845" s="2"/>
    </row>
    <row r="846" spans="47:61" ht="10.199999999999999">
      <c r="AU846" s="1"/>
      <c r="AX846" s="1"/>
      <c r="BI846" s="2"/>
    </row>
    <row r="847" spans="47:61" ht="10.199999999999999">
      <c r="AU847" s="1"/>
      <c r="AX847" s="1"/>
      <c r="BI847" s="2"/>
    </row>
    <row r="848" spans="47:61" ht="10.199999999999999">
      <c r="AU848" s="1"/>
      <c r="AX848" s="1"/>
      <c r="BI848" s="2"/>
    </row>
    <row r="849" spans="47:61" ht="10.199999999999999">
      <c r="AU849" s="1"/>
      <c r="AX849" s="1"/>
      <c r="BI849" s="2"/>
    </row>
    <row r="850" spans="47:61" ht="10.199999999999999">
      <c r="AU850" s="1"/>
      <c r="AX850" s="1"/>
      <c r="BI850" s="2"/>
    </row>
    <row r="851" spans="47:61" ht="10.199999999999999">
      <c r="AU851" s="1"/>
      <c r="AX851" s="1"/>
      <c r="BI851" s="2"/>
    </row>
    <row r="852" spans="47:61" ht="10.199999999999999">
      <c r="AU852" s="1"/>
      <c r="AX852" s="1"/>
      <c r="BI852" s="2"/>
    </row>
    <row r="853" spans="47:61" ht="10.199999999999999">
      <c r="AU853" s="1"/>
      <c r="AX853" s="1"/>
      <c r="BI853" s="2"/>
    </row>
    <row r="854" spans="47:61" ht="10.199999999999999">
      <c r="AU854" s="1"/>
      <c r="AX854" s="1"/>
      <c r="BI854" s="2"/>
    </row>
    <row r="855" spans="47:61" ht="10.199999999999999">
      <c r="AU855" s="1"/>
      <c r="AX855" s="1"/>
      <c r="BI855" s="2"/>
    </row>
    <row r="856" spans="47:61" ht="10.199999999999999">
      <c r="AU856" s="1"/>
      <c r="AX856" s="1"/>
      <c r="BI856" s="2"/>
    </row>
    <row r="857" spans="47:61" ht="10.199999999999999">
      <c r="AU857" s="1"/>
      <c r="AX857" s="1"/>
      <c r="BI857" s="2"/>
    </row>
    <row r="858" spans="47:61" ht="10.199999999999999">
      <c r="AU858" s="1"/>
      <c r="AX858" s="1"/>
      <c r="BI858" s="2"/>
    </row>
    <row r="859" spans="47:61" ht="10.199999999999999">
      <c r="AU859" s="1"/>
      <c r="AX859" s="1"/>
      <c r="BI859" s="2"/>
    </row>
    <row r="860" spans="47:61" ht="10.199999999999999">
      <c r="AU860" s="1"/>
      <c r="AX860" s="1"/>
      <c r="BI860" s="2"/>
    </row>
    <row r="861" spans="47:61" ht="10.199999999999999">
      <c r="AU861" s="1"/>
      <c r="AX861" s="1"/>
      <c r="BI861" s="2"/>
    </row>
    <row r="862" spans="47:61" ht="10.199999999999999">
      <c r="AU862" s="1"/>
      <c r="AX862" s="1"/>
      <c r="BI862" s="2"/>
    </row>
    <row r="863" spans="47:61" ht="10.199999999999999">
      <c r="AU863" s="1"/>
      <c r="AX863" s="1"/>
      <c r="BI863" s="2"/>
    </row>
    <row r="864" spans="47:61" ht="10.199999999999999">
      <c r="AU864" s="1"/>
      <c r="AX864" s="1"/>
      <c r="BI864" s="2"/>
    </row>
    <row r="865" spans="47:61" ht="10.199999999999999">
      <c r="AU865" s="1"/>
      <c r="AX865" s="1"/>
      <c r="BI865" s="2"/>
    </row>
    <row r="866" spans="47:61" ht="10.199999999999999">
      <c r="AU866" s="1"/>
      <c r="AX866" s="1"/>
      <c r="BI866" s="2"/>
    </row>
    <row r="867" spans="47:61" ht="10.199999999999999">
      <c r="AU867" s="1"/>
      <c r="AX867" s="1"/>
      <c r="BI867" s="2"/>
    </row>
    <row r="868" spans="47:61" ht="10.199999999999999">
      <c r="AU868" s="1"/>
      <c r="AX868" s="1"/>
      <c r="BI868" s="2"/>
    </row>
    <row r="869" spans="47:61" ht="10.199999999999999">
      <c r="AU869" s="1"/>
      <c r="AX869" s="1"/>
      <c r="BI869" s="2"/>
    </row>
    <row r="870" spans="47:61" ht="10.199999999999999">
      <c r="AU870" s="1"/>
      <c r="AX870" s="1"/>
      <c r="BI870" s="2"/>
    </row>
    <row r="871" spans="47:61" ht="10.199999999999999">
      <c r="AU871" s="1"/>
      <c r="AX871" s="1"/>
      <c r="BI871" s="2"/>
    </row>
    <row r="872" spans="47:61" ht="10.199999999999999">
      <c r="AU872" s="1"/>
      <c r="AX872" s="1"/>
      <c r="BI872" s="2"/>
    </row>
    <row r="873" spans="47:61" ht="10.199999999999999">
      <c r="AU873" s="1"/>
      <c r="AX873" s="1"/>
      <c r="BI873" s="2"/>
    </row>
    <row r="874" spans="47:61" ht="10.199999999999999">
      <c r="AU874" s="1"/>
      <c r="AX874" s="1"/>
      <c r="BI874" s="2"/>
    </row>
    <row r="875" spans="47:61" ht="10.199999999999999">
      <c r="AU875" s="1"/>
      <c r="AX875" s="1"/>
      <c r="BI875" s="2"/>
    </row>
    <row r="876" spans="47:61" ht="10.199999999999999">
      <c r="AU876" s="1"/>
      <c r="AX876" s="1"/>
      <c r="BI876" s="2"/>
    </row>
    <row r="877" spans="47:61" ht="10.199999999999999">
      <c r="AU877" s="1"/>
      <c r="AX877" s="1"/>
      <c r="BI877" s="2"/>
    </row>
    <row r="878" spans="47:61" ht="10.199999999999999">
      <c r="AU878" s="1"/>
      <c r="AX878" s="1"/>
      <c r="BI878" s="2"/>
    </row>
    <row r="879" spans="47:61" ht="10.199999999999999">
      <c r="AU879" s="1"/>
      <c r="AX879" s="1"/>
      <c r="BI879" s="2"/>
    </row>
    <row r="880" spans="47:61" ht="10.199999999999999">
      <c r="AU880" s="1"/>
      <c r="AX880" s="1"/>
      <c r="BI880" s="2"/>
    </row>
    <row r="881" spans="47:61" ht="10.199999999999999">
      <c r="AU881" s="1"/>
      <c r="AX881" s="1"/>
      <c r="BI881" s="2"/>
    </row>
    <row r="882" spans="47:61" ht="10.199999999999999">
      <c r="AU882" s="1"/>
      <c r="AX882" s="1"/>
      <c r="BI882" s="2"/>
    </row>
    <row r="883" spans="47:61" ht="10.199999999999999">
      <c r="AU883" s="1"/>
      <c r="AX883" s="1"/>
      <c r="BI883" s="2"/>
    </row>
    <row r="884" spans="47:61" ht="10.199999999999999">
      <c r="AU884" s="1"/>
      <c r="AX884" s="1"/>
      <c r="BI884" s="2"/>
    </row>
    <row r="885" spans="47:61" ht="10.199999999999999">
      <c r="AU885" s="1"/>
      <c r="AX885" s="1"/>
      <c r="BI885" s="2"/>
    </row>
    <row r="886" spans="47:61" ht="10.199999999999999">
      <c r="AU886" s="1"/>
      <c r="AX886" s="1"/>
      <c r="BI886" s="2"/>
    </row>
    <row r="887" spans="47:61" ht="10.199999999999999">
      <c r="AU887" s="1"/>
      <c r="AX887" s="1"/>
      <c r="BI887" s="2"/>
    </row>
    <row r="888" spans="47:61" ht="10.199999999999999">
      <c r="AU888" s="1"/>
      <c r="AX888" s="1"/>
      <c r="BI888" s="2"/>
    </row>
    <row r="889" spans="47:61" ht="10.199999999999999">
      <c r="AU889" s="1"/>
      <c r="AX889" s="1"/>
      <c r="BI889" s="2"/>
    </row>
    <row r="890" spans="47:61" ht="10.199999999999999">
      <c r="AU890" s="1"/>
      <c r="AX890" s="1"/>
      <c r="BI890" s="2"/>
    </row>
    <row r="891" spans="47:61" ht="10.199999999999999">
      <c r="AU891" s="1"/>
      <c r="AX891" s="1"/>
      <c r="BI891" s="2"/>
    </row>
    <row r="892" spans="47:61" ht="10.199999999999999">
      <c r="AU892" s="1"/>
      <c r="AX892" s="1"/>
      <c r="BI892" s="2"/>
    </row>
    <row r="893" spans="47:61" ht="10.199999999999999">
      <c r="AU893" s="1"/>
      <c r="AX893" s="1"/>
      <c r="BI893" s="2"/>
    </row>
    <row r="894" spans="47:61" ht="10.199999999999999">
      <c r="AU894" s="1"/>
      <c r="AX894" s="1"/>
      <c r="BI894" s="2"/>
    </row>
    <row r="895" spans="47:61" ht="10.199999999999999">
      <c r="AU895" s="1"/>
      <c r="AX895" s="1"/>
      <c r="BI895" s="2"/>
    </row>
    <row r="896" spans="47:61" ht="10.199999999999999">
      <c r="AU896" s="1"/>
      <c r="AX896" s="1"/>
      <c r="BI896" s="2"/>
    </row>
    <row r="897" spans="47:61" ht="10.199999999999999">
      <c r="AU897" s="1"/>
      <c r="AX897" s="1"/>
      <c r="BI897" s="2"/>
    </row>
    <row r="898" spans="47:61" ht="10.199999999999999">
      <c r="AU898" s="1"/>
      <c r="AX898" s="1"/>
      <c r="BI898" s="2"/>
    </row>
    <row r="899" spans="47:61" ht="10.199999999999999">
      <c r="AU899" s="1"/>
      <c r="AX899" s="1"/>
      <c r="BI899" s="2"/>
    </row>
    <row r="900" spans="47:61" ht="10.199999999999999">
      <c r="AU900" s="1"/>
      <c r="AX900" s="1"/>
      <c r="BI900" s="2"/>
    </row>
    <row r="901" spans="47:61" ht="10.199999999999999">
      <c r="AU901" s="1"/>
      <c r="AX901" s="1"/>
      <c r="BI901" s="2"/>
    </row>
    <row r="902" spans="47:61" ht="10.199999999999999">
      <c r="AU902" s="1"/>
      <c r="AX902" s="1"/>
      <c r="BI902" s="2"/>
    </row>
    <row r="903" spans="47:61" ht="10.199999999999999">
      <c r="AU903" s="1"/>
      <c r="AX903" s="1"/>
      <c r="BI903" s="2"/>
    </row>
    <row r="904" spans="47:61" ht="10.199999999999999">
      <c r="AU904" s="1"/>
      <c r="AX904" s="1"/>
      <c r="BI904" s="2"/>
    </row>
    <row r="905" spans="47:61" ht="10.199999999999999">
      <c r="AU905" s="1"/>
      <c r="AX905" s="1"/>
      <c r="BI905" s="2"/>
    </row>
    <row r="906" spans="47:61" ht="10.199999999999999">
      <c r="AU906" s="1"/>
      <c r="AX906" s="1"/>
      <c r="BI906" s="2"/>
    </row>
    <row r="907" spans="47:61" ht="10.199999999999999">
      <c r="AU907" s="1"/>
      <c r="AX907" s="1"/>
      <c r="BI907" s="2"/>
    </row>
    <row r="908" spans="47:61" ht="10.199999999999999">
      <c r="AU908" s="1"/>
      <c r="AX908" s="1"/>
      <c r="BI908" s="2"/>
    </row>
    <row r="909" spans="47:61" ht="10.199999999999999">
      <c r="AU909" s="1"/>
      <c r="AX909" s="1"/>
      <c r="BI909" s="2"/>
    </row>
    <row r="910" spans="47:61" ht="10.199999999999999">
      <c r="AU910" s="1"/>
      <c r="AX910" s="1"/>
      <c r="BI910" s="2"/>
    </row>
    <row r="911" spans="47:61" ht="10.199999999999999">
      <c r="AU911" s="1"/>
      <c r="AX911" s="1"/>
      <c r="BI911" s="2"/>
    </row>
    <row r="912" spans="47:61" ht="10.199999999999999">
      <c r="AU912" s="1"/>
      <c r="AX912" s="1"/>
      <c r="BI912" s="2"/>
    </row>
    <row r="913" spans="47:61" ht="10.199999999999999">
      <c r="AU913" s="1"/>
      <c r="AX913" s="1"/>
      <c r="BI913" s="2"/>
    </row>
    <row r="914" spans="47:61" ht="10.199999999999999">
      <c r="AU914" s="1"/>
      <c r="AX914" s="1"/>
      <c r="BI914" s="2"/>
    </row>
    <row r="915" spans="47:61" ht="10.199999999999999">
      <c r="AU915" s="1"/>
      <c r="AX915" s="1"/>
      <c r="BI915" s="2"/>
    </row>
    <row r="916" spans="47:61" ht="10.199999999999999">
      <c r="AU916" s="1"/>
      <c r="AX916" s="1"/>
      <c r="BI916" s="2"/>
    </row>
    <row r="917" spans="47:61" ht="10.199999999999999">
      <c r="AU917" s="1"/>
      <c r="AX917" s="1"/>
      <c r="BI917" s="2"/>
    </row>
    <row r="918" spans="47:61" ht="10.199999999999999">
      <c r="AU918" s="1"/>
      <c r="AX918" s="1"/>
      <c r="BI918" s="2"/>
    </row>
    <row r="919" spans="47:61" ht="10.199999999999999">
      <c r="AU919" s="1"/>
      <c r="AX919" s="1"/>
      <c r="BI919" s="2"/>
    </row>
    <row r="920" spans="47:61" ht="10.199999999999999">
      <c r="AU920" s="1"/>
      <c r="AX920" s="1"/>
      <c r="BI920" s="2"/>
    </row>
    <row r="921" spans="47:61" ht="10.199999999999999">
      <c r="AU921" s="1"/>
      <c r="AX921" s="1"/>
      <c r="BI921" s="2"/>
    </row>
    <row r="922" spans="47:61" ht="10.199999999999999">
      <c r="AU922" s="1"/>
      <c r="AX922" s="1"/>
      <c r="BI922" s="2"/>
    </row>
    <row r="923" spans="47:61" ht="10.199999999999999">
      <c r="AU923" s="1"/>
      <c r="AX923" s="1"/>
      <c r="BI923" s="2"/>
    </row>
    <row r="924" spans="47:61" ht="10.199999999999999">
      <c r="AU924" s="1"/>
      <c r="AX924" s="1"/>
      <c r="BI924" s="2"/>
    </row>
    <row r="925" spans="47:61" ht="10.199999999999999">
      <c r="AU925" s="1"/>
      <c r="AX925" s="1"/>
      <c r="BI925" s="2"/>
    </row>
    <row r="926" spans="47:61" ht="10.199999999999999">
      <c r="AU926" s="1"/>
      <c r="AX926" s="1"/>
      <c r="BI926" s="2"/>
    </row>
    <row r="927" spans="47:61" ht="10.199999999999999">
      <c r="AU927" s="1"/>
      <c r="AX927" s="1"/>
      <c r="BI927" s="2"/>
    </row>
    <row r="928" spans="47:61" ht="10.199999999999999">
      <c r="AU928" s="1"/>
      <c r="AX928" s="1"/>
      <c r="BI928" s="2"/>
    </row>
    <row r="929" spans="47:61" ht="10.199999999999999">
      <c r="AU929" s="1"/>
      <c r="AX929" s="1"/>
      <c r="BI929" s="2"/>
    </row>
    <row r="930" spans="47:61" ht="10.199999999999999">
      <c r="AU930" s="1"/>
      <c r="AX930" s="1"/>
      <c r="BI930" s="2"/>
    </row>
    <row r="931" spans="47:61" ht="10.199999999999999">
      <c r="AU931" s="1"/>
      <c r="AX931" s="1"/>
      <c r="BI931" s="2"/>
    </row>
    <row r="932" spans="47:61" ht="10.199999999999999">
      <c r="AU932" s="1"/>
      <c r="AX932" s="1"/>
      <c r="BI932" s="2"/>
    </row>
    <row r="933" spans="47:61" ht="10.199999999999999">
      <c r="AU933" s="1"/>
      <c r="AX933" s="1"/>
      <c r="BI933" s="2"/>
    </row>
    <row r="934" spans="47:61" ht="10.199999999999999">
      <c r="AU934" s="1"/>
      <c r="AX934" s="1"/>
      <c r="BI934" s="2"/>
    </row>
    <row r="935" spans="47:61" ht="10.199999999999999">
      <c r="AU935" s="1"/>
      <c r="AX935" s="1"/>
      <c r="BI935" s="2"/>
    </row>
    <row r="936" spans="47:61" ht="10.199999999999999">
      <c r="AU936" s="1"/>
      <c r="AX936" s="1"/>
      <c r="BI936" s="2"/>
    </row>
    <row r="937" spans="47:61" ht="10.199999999999999">
      <c r="AU937" s="1"/>
      <c r="AX937" s="1"/>
      <c r="BI937" s="2"/>
    </row>
    <row r="938" spans="47:61" ht="10.199999999999999">
      <c r="AU938" s="1"/>
      <c r="AX938" s="1"/>
      <c r="BI938" s="2"/>
    </row>
    <row r="939" spans="47:61" ht="10.199999999999999">
      <c r="AU939" s="1"/>
      <c r="AX939" s="1"/>
      <c r="BI939" s="2"/>
    </row>
    <row r="940" spans="47:61" ht="10.199999999999999">
      <c r="AU940" s="1"/>
      <c r="AX940" s="1"/>
      <c r="BI940" s="2"/>
    </row>
    <row r="941" spans="47:61" ht="10.199999999999999">
      <c r="AU941" s="1"/>
      <c r="AX941" s="1"/>
      <c r="BI941" s="2"/>
    </row>
    <row r="942" spans="47:61" ht="10.199999999999999">
      <c r="AU942" s="1"/>
      <c r="AX942" s="1"/>
      <c r="BI942" s="2"/>
    </row>
    <row r="943" spans="47:61" ht="10.199999999999999">
      <c r="AU943" s="1"/>
      <c r="AX943" s="1"/>
      <c r="BI943" s="2"/>
    </row>
    <row r="944" spans="47:61" ht="10.199999999999999">
      <c r="AU944" s="1"/>
      <c r="AX944" s="1"/>
      <c r="BI944" s="2"/>
    </row>
    <row r="945" spans="47:61" ht="10.199999999999999">
      <c r="AU945" s="1"/>
      <c r="AX945" s="1"/>
      <c r="BI945" s="2"/>
    </row>
    <row r="946" spans="47:61" ht="10.199999999999999">
      <c r="AU946" s="1"/>
      <c r="AX946" s="1"/>
      <c r="BI946" s="2"/>
    </row>
    <row r="947" spans="47:61" ht="10.199999999999999">
      <c r="AU947" s="1"/>
      <c r="AX947" s="1"/>
      <c r="BI947" s="2"/>
    </row>
    <row r="948" spans="47:61" ht="10.199999999999999">
      <c r="AU948" s="1"/>
      <c r="AX948" s="1"/>
      <c r="BI948" s="2"/>
    </row>
    <row r="949" spans="47:61" ht="10.199999999999999">
      <c r="AU949" s="1"/>
      <c r="AX949" s="1"/>
      <c r="BI949" s="2"/>
    </row>
    <row r="950" spans="47:61" ht="10.199999999999999">
      <c r="AU950" s="1"/>
      <c r="AX950" s="1"/>
      <c r="BI950" s="2"/>
    </row>
    <row r="951" spans="47:61" ht="10.199999999999999">
      <c r="AU951" s="1"/>
      <c r="AX951" s="1"/>
      <c r="BI951" s="2"/>
    </row>
    <row r="952" spans="47:61" ht="10.199999999999999">
      <c r="AU952" s="1"/>
      <c r="AX952" s="1"/>
      <c r="BI952" s="2"/>
    </row>
    <row r="953" spans="47:61" ht="10.199999999999999">
      <c r="AU953" s="1"/>
      <c r="AX953" s="1"/>
      <c r="BI953" s="2"/>
    </row>
    <row r="954" spans="47:61" ht="10.199999999999999">
      <c r="AU954" s="1"/>
      <c r="AX954" s="1"/>
      <c r="BI954" s="2"/>
    </row>
    <row r="955" spans="47:61" ht="10.199999999999999">
      <c r="AU955" s="1"/>
      <c r="AX955" s="1"/>
      <c r="BI955" s="2"/>
    </row>
    <row r="956" spans="47:61" ht="10.199999999999999">
      <c r="AU956" s="1"/>
      <c r="AX956" s="1"/>
      <c r="BI956" s="2"/>
    </row>
    <row r="957" spans="47:61" ht="10.199999999999999">
      <c r="AU957" s="1"/>
      <c r="AX957" s="1"/>
      <c r="BI957" s="2"/>
    </row>
    <row r="958" spans="47:61" ht="10.199999999999999">
      <c r="AU958" s="1"/>
      <c r="AX958" s="1"/>
      <c r="BI958" s="2"/>
    </row>
    <row r="959" spans="47:61" ht="10.199999999999999">
      <c r="AU959" s="1"/>
      <c r="AX959" s="1"/>
      <c r="BI959" s="2"/>
    </row>
    <row r="960" spans="47:61" ht="10.199999999999999">
      <c r="AU960" s="1"/>
      <c r="AX960" s="1"/>
      <c r="BI960" s="2"/>
    </row>
    <row r="961" spans="47:61" ht="10.199999999999999">
      <c r="AU961" s="1"/>
      <c r="AX961" s="1"/>
      <c r="BI961" s="2"/>
    </row>
    <row r="962" spans="47:61" ht="10.199999999999999">
      <c r="AU962" s="1"/>
      <c r="AX962" s="1"/>
      <c r="BI962" s="2"/>
    </row>
    <row r="963" spans="47:61" ht="10.199999999999999">
      <c r="AU963" s="1"/>
      <c r="AX963" s="1"/>
      <c r="BI963" s="2"/>
    </row>
    <row r="964" spans="47:61" ht="10.199999999999999">
      <c r="AU964" s="1"/>
      <c r="AX964" s="1"/>
      <c r="BI964" s="2"/>
    </row>
    <row r="965" spans="47:61" ht="10.199999999999999">
      <c r="AU965" s="1"/>
      <c r="AX965" s="1"/>
      <c r="BI965" s="2"/>
    </row>
    <row r="966" spans="47:61" ht="10.199999999999999">
      <c r="AU966" s="1"/>
      <c r="AX966" s="1"/>
      <c r="BI966" s="2"/>
    </row>
    <row r="967" spans="47:61" ht="10.199999999999999">
      <c r="AU967" s="1"/>
      <c r="AX967" s="1"/>
      <c r="BI967" s="2"/>
    </row>
    <row r="968" spans="47:61" ht="10.199999999999999">
      <c r="AU968" s="1"/>
      <c r="AX968" s="1"/>
      <c r="BI968" s="2"/>
    </row>
    <row r="969" spans="47:61" ht="10.199999999999999">
      <c r="AU969" s="1"/>
      <c r="AX969" s="1"/>
      <c r="BI969" s="2"/>
    </row>
    <row r="970" spans="47:61" ht="10.199999999999999">
      <c r="AU970" s="1"/>
      <c r="AX970" s="1"/>
      <c r="BI970" s="2"/>
    </row>
    <row r="971" spans="47:61" ht="10.199999999999999">
      <c r="AU971" s="1"/>
      <c r="AX971" s="1"/>
      <c r="BI971" s="2"/>
    </row>
    <row r="972" spans="47:61" ht="10.199999999999999">
      <c r="AU972" s="1"/>
      <c r="AX972" s="1"/>
      <c r="BI972" s="2"/>
    </row>
    <row r="973" spans="47:61" ht="10.199999999999999">
      <c r="AU973" s="1"/>
      <c r="AX973" s="1"/>
    </row>
    <row r="974" spans="47:61" ht="10.199999999999999">
      <c r="AU974" s="1"/>
      <c r="AX974" s="1"/>
    </row>
    <row r="975" spans="47:61" ht="10.199999999999999">
      <c r="AU975" s="1"/>
      <c r="AX975" s="1"/>
    </row>
    <row r="976" spans="47:61" ht="10.199999999999999">
      <c r="AU976" s="1"/>
      <c r="AX976" s="1"/>
    </row>
    <row r="977" spans="47:50" ht="10.199999999999999">
      <c r="AU977" s="1"/>
      <c r="AX977" s="1"/>
    </row>
    <row r="978" spans="47:50" ht="10.199999999999999">
      <c r="AU978" s="1"/>
      <c r="AX978" s="1"/>
    </row>
    <row r="979" spans="47:50" ht="10.199999999999999">
      <c r="AU979" s="1"/>
      <c r="AX979" s="1"/>
    </row>
    <row r="980" spans="47:50" ht="10.199999999999999">
      <c r="AU980" s="1"/>
      <c r="AX980" s="1"/>
    </row>
    <row r="981" spans="47:50" ht="10.199999999999999">
      <c r="AU981" s="1"/>
      <c r="AX981" s="1"/>
    </row>
    <row r="982" spans="47:50" ht="10.199999999999999">
      <c r="AU982" s="1"/>
      <c r="AX982" s="1"/>
    </row>
    <row r="983" spans="47:50" ht="10.199999999999999">
      <c r="AU983" s="1"/>
      <c r="AX983" s="1"/>
    </row>
    <row r="984" spans="47:50" ht="10.199999999999999">
      <c r="AU984" s="1"/>
      <c r="AX984" s="1"/>
    </row>
    <row r="985" spans="47:50" ht="10.199999999999999">
      <c r="AU985" s="1"/>
      <c r="AX985" s="1"/>
    </row>
    <row r="986" spans="47:50" ht="10.199999999999999">
      <c r="AU986" s="1"/>
      <c r="AX986" s="1"/>
    </row>
    <row r="987" spans="47:50" ht="10.199999999999999">
      <c r="AU987" s="1"/>
      <c r="AX987" s="1"/>
    </row>
    <row r="988" spans="47:50" ht="10.199999999999999">
      <c r="AU988" s="1"/>
      <c r="AX988" s="1"/>
    </row>
    <row r="989" spans="47:50" ht="10.199999999999999">
      <c r="AU989" s="1"/>
      <c r="AX989" s="1"/>
    </row>
    <row r="990" spans="47:50" ht="10.199999999999999">
      <c r="AU990" s="1"/>
      <c r="AX990" s="1"/>
    </row>
    <row r="991" spans="47:50" ht="10.199999999999999">
      <c r="AU991" s="1"/>
      <c r="AX991" s="1"/>
    </row>
    <row r="992" spans="47:50" ht="10.199999999999999">
      <c r="AU992" s="1"/>
      <c r="AX992" s="1"/>
    </row>
    <row r="993" spans="47:50" ht="10.199999999999999">
      <c r="AU993" s="1"/>
      <c r="AX993" s="1"/>
    </row>
    <row r="994" spans="47:50" ht="10.199999999999999">
      <c r="AU994" s="1"/>
      <c r="AX994" s="1"/>
    </row>
    <row r="995" spans="47:50" ht="10.199999999999999">
      <c r="AU995" s="1"/>
      <c r="AX995" s="1"/>
    </row>
    <row r="996" spans="47:50" ht="10.199999999999999">
      <c r="AU996" s="1"/>
      <c r="AX996" s="1"/>
    </row>
    <row r="997" spans="47:50" ht="10.199999999999999">
      <c r="AU997" s="1"/>
      <c r="AX997" s="1"/>
    </row>
    <row r="998" spans="47:50" ht="10.199999999999999">
      <c r="AU998" s="1"/>
      <c r="AX998" s="1"/>
    </row>
    <row r="999" spans="47:50" ht="10.199999999999999">
      <c r="AU999" s="1"/>
      <c r="AX999" s="1"/>
    </row>
    <row r="1000" spans="47:50" ht="10.199999999999999">
      <c r="AU1000" s="1"/>
      <c r="AX1000" s="1"/>
    </row>
    <row r="1001" spans="47:50" ht="10.199999999999999">
      <c r="AU1001" s="1"/>
      <c r="AX1001" s="1"/>
    </row>
    <row r="1002" spans="47:50" ht="10.199999999999999">
      <c r="AU1002" s="1"/>
      <c r="AX1002" s="1"/>
    </row>
    <row r="1003" spans="47:50" ht="10.199999999999999">
      <c r="AU1003" s="1"/>
      <c r="AX1003" s="1"/>
    </row>
    <row r="1004" spans="47:50" ht="10.199999999999999">
      <c r="AU1004" s="1"/>
      <c r="AX1004" s="1"/>
    </row>
    <row r="1005" spans="47:50" ht="10.199999999999999">
      <c r="AU1005" s="1"/>
      <c r="AX1005" s="1"/>
    </row>
    <row r="1006" spans="47:50" ht="10.199999999999999">
      <c r="AU1006" s="1"/>
      <c r="AX1006" s="1"/>
    </row>
    <row r="1007" spans="47:50" ht="10.199999999999999">
      <c r="AU1007" s="1"/>
      <c r="AX1007" s="1"/>
    </row>
    <row r="1008" spans="47:50" ht="10.199999999999999">
      <c r="AU1008" s="1"/>
      <c r="AX1008" s="1"/>
    </row>
    <row r="1009" spans="47:50" ht="10.199999999999999">
      <c r="AU1009" s="1"/>
      <c r="AX1009" s="1"/>
    </row>
    <row r="1010" spans="47:50" ht="10.199999999999999">
      <c r="AU1010" s="1"/>
      <c r="AX1010" s="1"/>
    </row>
    <row r="1011" spans="47:50" ht="10.199999999999999">
      <c r="AU1011" s="1"/>
      <c r="AX1011" s="1"/>
    </row>
    <row r="1012" spans="47:50" ht="10.199999999999999">
      <c r="AU1012" s="1"/>
      <c r="AX1012" s="1"/>
    </row>
    <row r="1013" spans="47:50" ht="10.199999999999999">
      <c r="AU1013" s="1"/>
      <c r="AX1013" s="1"/>
    </row>
    <row r="1014" spans="47:50" ht="10.199999999999999">
      <c r="AU1014" s="1"/>
      <c r="AX1014" s="1"/>
    </row>
    <row r="1015" spans="47:50" ht="10.199999999999999">
      <c r="AU1015" s="1"/>
      <c r="AX1015" s="1"/>
    </row>
    <row r="1016" spans="47:50" ht="10.199999999999999">
      <c r="AU1016" s="1"/>
      <c r="AX1016" s="1"/>
    </row>
    <row r="1017" spans="47:50" ht="10.199999999999999">
      <c r="AU1017" s="1"/>
      <c r="AX1017" s="1"/>
    </row>
    <row r="1018" spans="47:50" ht="10.199999999999999">
      <c r="AU1018" s="1"/>
      <c r="AX1018" s="1"/>
    </row>
    <row r="1019" spans="47:50" ht="10.199999999999999">
      <c r="AU1019" s="1"/>
      <c r="AX1019" s="1"/>
    </row>
    <row r="1020" spans="47:50" ht="10.199999999999999">
      <c r="AU1020" s="1"/>
      <c r="AX1020" s="1"/>
    </row>
    <row r="1021" spans="47:50" ht="10.199999999999999">
      <c r="AU1021" s="1"/>
      <c r="AX1021" s="1"/>
    </row>
    <row r="1022" spans="47:50" ht="10.199999999999999">
      <c r="AU1022" s="1"/>
      <c r="AX1022" s="1"/>
    </row>
    <row r="1023" spans="47:50" ht="10.199999999999999">
      <c r="AU1023" s="1"/>
      <c r="AX1023" s="1"/>
    </row>
    <row r="1024" spans="47:50" ht="10.199999999999999">
      <c r="AU1024" s="1"/>
      <c r="AX1024" s="1"/>
    </row>
    <row r="1025" spans="47:50" ht="10.199999999999999">
      <c r="AU1025" s="1"/>
      <c r="AX1025" s="1"/>
    </row>
    <row r="1026" spans="47:50" ht="10.199999999999999">
      <c r="AU1026" s="1"/>
      <c r="AX1026" s="1"/>
    </row>
    <row r="1027" spans="47:50" ht="10.199999999999999">
      <c r="AU1027" s="1"/>
      <c r="AX1027" s="1"/>
    </row>
    <row r="1028" spans="47:50" ht="10.199999999999999">
      <c r="AU1028" s="1"/>
      <c r="AX1028" s="1"/>
    </row>
    <row r="1029" spans="47:50" ht="10.199999999999999">
      <c r="AU1029" s="1"/>
      <c r="AX1029" s="1"/>
    </row>
    <row r="1030" spans="47:50" ht="10.199999999999999">
      <c r="AU1030" s="1"/>
      <c r="AX1030" s="1"/>
    </row>
    <row r="1031" spans="47:50" ht="10.199999999999999">
      <c r="AU1031" s="1"/>
      <c r="AX1031" s="1"/>
    </row>
    <row r="1032" spans="47:50" ht="10.199999999999999">
      <c r="AU1032" s="1"/>
      <c r="AX1032" s="1"/>
    </row>
    <row r="1033" spans="47:50" ht="10.199999999999999">
      <c r="AU1033" s="1"/>
      <c r="AX1033" s="1"/>
    </row>
    <row r="1034" spans="47:50" ht="10.199999999999999">
      <c r="AU1034" s="1"/>
      <c r="AX1034" s="1"/>
    </row>
    <row r="1035" spans="47:50" ht="10.199999999999999">
      <c r="AU1035" s="1"/>
      <c r="AX1035" s="1"/>
    </row>
    <row r="1036" spans="47:50" ht="10.199999999999999">
      <c r="AU1036" s="1"/>
      <c r="AX1036" s="1"/>
    </row>
    <row r="1037" spans="47:50" ht="10.199999999999999">
      <c r="AU1037" s="1"/>
      <c r="AX1037" s="1"/>
    </row>
    <row r="1038" spans="47:50" ht="10.199999999999999">
      <c r="AU1038" s="1"/>
      <c r="AX1038" s="1"/>
    </row>
    <row r="1039" spans="47:50" ht="10.199999999999999">
      <c r="AU1039" s="1"/>
      <c r="AX1039" s="1"/>
    </row>
    <row r="1040" spans="47:50" ht="10.199999999999999">
      <c r="AU1040" s="1"/>
      <c r="AX1040" s="1"/>
    </row>
    <row r="1041" spans="47:50" ht="10.199999999999999">
      <c r="AU1041" s="1"/>
      <c r="AX1041" s="1"/>
    </row>
    <row r="1042" spans="47:50" ht="10.199999999999999">
      <c r="AU1042" s="1"/>
      <c r="AX1042" s="1"/>
    </row>
    <row r="1043" spans="47:50" ht="10.199999999999999">
      <c r="AU1043" s="1"/>
      <c r="AX1043" s="1"/>
    </row>
    <row r="1044" spans="47:50" ht="10.199999999999999">
      <c r="AU1044" s="1"/>
      <c r="AX1044" s="1"/>
    </row>
    <row r="1045" spans="47:50" ht="10.199999999999999">
      <c r="AU1045" s="1"/>
      <c r="AX1045" s="1"/>
    </row>
    <row r="1046" spans="47:50" ht="10.199999999999999">
      <c r="AU1046" s="1"/>
      <c r="AX1046" s="1"/>
    </row>
    <row r="1047" spans="47:50" ht="10.199999999999999">
      <c r="AU1047" s="1"/>
      <c r="AX1047" s="1"/>
    </row>
    <row r="1048" spans="47:50" ht="10.199999999999999">
      <c r="AU1048" s="1"/>
      <c r="AX1048" s="1"/>
    </row>
    <row r="1049" spans="47:50" ht="10.199999999999999">
      <c r="AU1049" s="1"/>
      <c r="AX1049" s="1"/>
    </row>
    <row r="1050" spans="47:50" ht="10.199999999999999">
      <c r="AU1050" s="1"/>
      <c r="AX1050" s="1"/>
    </row>
    <row r="1051" spans="47:50" ht="10.199999999999999">
      <c r="AU1051" s="1"/>
      <c r="AX1051" s="1"/>
    </row>
    <row r="1052" spans="47:50" ht="10.199999999999999">
      <c r="AU1052" s="1"/>
      <c r="AX1052" s="1"/>
    </row>
    <row r="1053" spans="47:50" ht="10.199999999999999">
      <c r="AU1053" s="1"/>
      <c r="AX1053" s="1"/>
    </row>
    <row r="1054" spans="47:50" ht="10.199999999999999">
      <c r="AU1054" s="1"/>
      <c r="AX1054" s="1"/>
    </row>
    <row r="1055" spans="47:50" ht="10.199999999999999">
      <c r="AU1055" s="1"/>
      <c r="AX1055" s="1"/>
    </row>
    <row r="1056" spans="47:50" ht="10.199999999999999">
      <c r="AU1056" s="1"/>
      <c r="AX1056" s="1"/>
    </row>
    <row r="1057" spans="47:50" ht="10.199999999999999">
      <c r="AU1057" s="1"/>
      <c r="AX1057" s="1"/>
    </row>
    <row r="1058" spans="47:50" ht="10.199999999999999">
      <c r="AU1058" s="1"/>
      <c r="AX1058" s="1"/>
    </row>
    <row r="1059" spans="47:50" ht="10.199999999999999">
      <c r="AU1059" s="1"/>
      <c r="AX1059" s="1"/>
    </row>
    <row r="1060" spans="47:50" ht="10.199999999999999">
      <c r="AU1060" s="1"/>
      <c r="AX1060" s="1"/>
    </row>
    <row r="1061" spans="47:50" ht="10.199999999999999">
      <c r="AU1061" s="1"/>
      <c r="AX1061" s="1"/>
    </row>
    <row r="1062" spans="47:50" ht="10.199999999999999">
      <c r="AU1062" s="1"/>
      <c r="AX1062" s="1"/>
    </row>
    <row r="1063" spans="47:50" ht="10.199999999999999">
      <c r="AU1063" s="1"/>
      <c r="AX1063" s="1"/>
    </row>
    <row r="1064" spans="47:50" ht="10.199999999999999">
      <c r="AU1064" s="1"/>
      <c r="AX1064" s="1"/>
    </row>
    <row r="1065" spans="47:50" ht="10.199999999999999">
      <c r="AU1065" s="1"/>
      <c r="AX1065" s="1"/>
    </row>
    <row r="1066" spans="47:50" ht="10.199999999999999">
      <c r="AU1066" s="1"/>
      <c r="AX1066" s="1"/>
    </row>
    <row r="1067" spans="47:50" ht="10.199999999999999">
      <c r="AU1067" s="1"/>
      <c r="AX1067" s="1"/>
    </row>
    <row r="1068" spans="47:50" ht="10.199999999999999">
      <c r="AU1068" s="1"/>
      <c r="AX1068" s="1"/>
    </row>
    <row r="1069" spans="47:50" ht="10.199999999999999">
      <c r="AU1069" s="1"/>
      <c r="AX1069" s="1"/>
    </row>
    <row r="1070" spans="47:50" ht="10.199999999999999">
      <c r="AU1070" s="1"/>
      <c r="AX1070" s="1"/>
    </row>
    <row r="1071" spans="47:50" ht="10.199999999999999">
      <c r="AU1071" s="1"/>
      <c r="AX1071" s="1"/>
    </row>
    <row r="1072" spans="47:50" ht="10.199999999999999">
      <c r="AU1072" s="1"/>
      <c r="AX1072" s="1"/>
    </row>
    <row r="1073" spans="47:50" ht="10.199999999999999">
      <c r="AU1073" s="1"/>
      <c r="AX1073" s="1"/>
    </row>
    <row r="1074" spans="47:50" ht="10.199999999999999">
      <c r="AU1074" s="1"/>
      <c r="AX1074" s="1"/>
    </row>
    <row r="1075" spans="47:50" ht="10.199999999999999">
      <c r="AU1075" s="1"/>
      <c r="AX1075" s="1"/>
    </row>
    <row r="1076" spans="47:50" ht="10.199999999999999">
      <c r="AU1076" s="1"/>
      <c r="AX1076" s="1"/>
    </row>
    <row r="1077" spans="47:50" ht="10.199999999999999">
      <c r="AU1077" s="1"/>
      <c r="AX1077" s="1"/>
    </row>
    <row r="1078" spans="47:50" ht="10.199999999999999">
      <c r="AU1078" s="1"/>
      <c r="AX1078" s="1"/>
    </row>
    <row r="1079" spans="47:50" ht="10.199999999999999">
      <c r="AU1079" s="1"/>
      <c r="AX1079" s="1"/>
    </row>
    <row r="1080" spans="47:50" ht="10.199999999999999">
      <c r="AU1080" s="1"/>
      <c r="AX1080" s="1"/>
    </row>
    <row r="1081" spans="47:50" ht="10.199999999999999">
      <c r="AU1081" s="1"/>
      <c r="AX1081" s="1"/>
    </row>
    <row r="1082" spans="47:50" ht="10.199999999999999">
      <c r="AU1082" s="1"/>
      <c r="AX1082" s="1"/>
    </row>
    <row r="1083" spans="47:50" ht="10.199999999999999">
      <c r="AU1083" s="1"/>
      <c r="AX1083" s="1"/>
    </row>
    <row r="1084" spans="47:50" ht="10.199999999999999">
      <c r="AU1084" s="1"/>
      <c r="AX1084" s="1"/>
    </row>
    <row r="1085" spans="47:50" ht="10.199999999999999">
      <c r="AU1085" s="1"/>
      <c r="AX1085" s="1"/>
    </row>
    <row r="1086" spans="47:50" ht="10.199999999999999">
      <c r="AU1086" s="1"/>
      <c r="AX1086" s="1"/>
    </row>
    <row r="1087" spans="47:50" ht="10.199999999999999">
      <c r="AU1087" s="1"/>
      <c r="AX1087" s="1"/>
    </row>
    <row r="1088" spans="47:50" ht="10.199999999999999">
      <c r="AU1088" s="1"/>
      <c r="AX1088" s="1"/>
    </row>
    <row r="1089" spans="47:50" ht="10.199999999999999">
      <c r="AU1089" s="1"/>
      <c r="AX1089" s="1"/>
    </row>
    <row r="1090" spans="47:50" ht="10.199999999999999">
      <c r="AU1090" s="1"/>
      <c r="AX1090" s="1"/>
    </row>
    <row r="1091" spans="47:50" ht="10.199999999999999">
      <c r="AU1091" s="1"/>
      <c r="AX1091" s="1"/>
    </row>
    <row r="1092" spans="47:50" ht="10.199999999999999">
      <c r="AU1092" s="1"/>
      <c r="AX1092" s="1"/>
    </row>
    <row r="1093" spans="47:50" ht="10.199999999999999">
      <c r="AU1093" s="1"/>
      <c r="AX1093" s="1"/>
    </row>
    <row r="1094" spans="47:50" ht="10.199999999999999">
      <c r="AU1094" s="1"/>
      <c r="AX1094" s="1"/>
    </row>
    <row r="1095" spans="47:50" ht="10.199999999999999">
      <c r="AU1095" s="1"/>
      <c r="AX1095" s="1"/>
    </row>
    <row r="1096" spans="47:50" ht="10.199999999999999">
      <c r="AU1096" s="1"/>
      <c r="AX1096" s="1"/>
    </row>
    <row r="1097" spans="47:50" ht="10.199999999999999">
      <c r="AU1097" s="1"/>
      <c r="AX1097" s="1"/>
    </row>
    <row r="1098" spans="47:50" ht="10.199999999999999">
      <c r="AU1098" s="1"/>
      <c r="AX1098" s="1"/>
    </row>
    <row r="1099" spans="47:50" ht="10.199999999999999">
      <c r="AU1099" s="1"/>
      <c r="AX1099" s="1"/>
    </row>
    <row r="1100" spans="47:50" ht="10.199999999999999">
      <c r="AU1100" s="1"/>
      <c r="AX1100" s="1"/>
    </row>
    <row r="1101" spans="47:50" ht="10.199999999999999">
      <c r="AU1101" s="1"/>
      <c r="AX1101" s="1"/>
    </row>
    <row r="1102" spans="47:50" ht="10.199999999999999">
      <c r="AU1102" s="1"/>
      <c r="AX1102" s="1"/>
    </row>
    <row r="1103" spans="47:50" ht="10.199999999999999">
      <c r="AU1103" s="1"/>
      <c r="AX1103" s="1"/>
    </row>
    <row r="1104" spans="47:50" ht="10.199999999999999">
      <c r="AU1104" s="1"/>
      <c r="AX1104" s="1"/>
    </row>
    <row r="1105" spans="47:50" ht="10.199999999999999">
      <c r="AU1105" s="1"/>
      <c r="AX1105" s="1"/>
    </row>
    <row r="1106" spans="47:50" ht="10.199999999999999">
      <c r="AU1106" s="1"/>
      <c r="AX1106" s="1"/>
    </row>
    <row r="1107" spans="47:50" ht="10.199999999999999">
      <c r="AU1107" s="1"/>
      <c r="AX1107" s="1"/>
    </row>
    <row r="1108" spans="47:50" ht="10.199999999999999">
      <c r="AU1108" s="1"/>
      <c r="AX1108" s="1"/>
    </row>
    <row r="1109" spans="47:50" ht="10.199999999999999">
      <c r="AU1109" s="1"/>
      <c r="AX1109" s="1"/>
    </row>
    <row r="1110" spans="47:50" ht="10.199999999999999">
      <c r="AU1110" s="1"/>
      <c r="AX1110" s="1"/>
    </row>
    <row r="1111" spans="47:50" ht="10.199999999999999">
      <c r="AU1111" s="1"/>
      <c r="AX1111" s="1"/>
    </row>
    <row r="1112" spans="47:50" ht="10.199999999999999">
      <c r="AU1112" s="1"/>
      <c r="AX1112" s="1"/>
    </row>
    <row r="1113" spans="47:50" ht="10.199999999999999">
      <c r="AU1113" s="1"/>
      <c r="AX1113" s="1"/>
    </row>
    <row r="1114" spans="47:50" ht="10.199999999999999">
      <c r="AU1114" s="1"/>
      <c r="AX1114" s="1"/>
    </row>
    <row r="1115" spans="47:50" ht="10.199999999999999">
      <c r="AU1115" s="1"/>
      <c r="AX1115" s="1"/>
    </row>
    <row r="1116" spans="47:50" ht="10.199999999999999">
      <c r="AU1116" s="1"/>
      <c r="AX1116" s="1"/>
    </row>
    <row r="1117" spans="47:50" ht="10.199999999999999">
      <c r="AU1117" s="1"/>
      <c r="AX1117" s="1"/>
    </row>
    <row r="1118" spans="47:50" ht="10.199999999999999">
      <c r="AU1118" s="1"/>
      <c r="AX1118" s="1"/>
    </row>
    <row r="1119" spans="47:50" ht="10.199999999999999">
      <c r="AU1119" s="1"/>
      <c r="AX1119" s="1"/>
    </row>
    <row r="1120" spans="47:50" ht="10.199999999999999">
      <c r="AU1120" s="1"/>
      <c r="AX1120" s="1"/>
    </row>
    <row r="1121" spans="47:50" ht="10.199999999999999">
      <c r="AU1121" s="1"/>
      <c r="AX1121" s="1"/>
    </row>
    <row r="1122" spans="47:50" ht="10.199999999999999">
      <c r="AU1122" s="1"/>
      <c r="AX1122" s="1"/>
    </row>
    <row r="1123" spans="47:50" ht="10.199999999999999">
      <c r="AU1123" s="1"/>
      <c r="AX1123" s="1"/>
    </row>
    <row r="1124" spans="47:50" ht="10.199999999999999">
      <c r="AU1124" s="1"/>
      <c r="AX1124" s="1"/>
    </row>
    <row r="1125" spans="47:50" ht="10.199999999999999">
      <c r="AU1125" s="1"/>
      <c r="AX1125" s="1"/>
    </row>
    <row r="1126" spans="47:50" ht="10.199999999999999">
      <c r="AU1126" s="1"/>
      <c r="AX1126" s="1"/>
    </row>
    <row r="1127" spans="47:50" ht="10.199999999999999">
      <c r="AU1127" s="1"/>
      <c r="AX1127" s="1"/>
    </row>
    <row r="1128" spans="47:50" ht="10.199999999999999">
      <c r="AU1128" s="1"/>
      <c r="AX1128" s="1"/>
    </row>
    <row r="1129" spans="47:50" ht="10.199999999999999">
      <c r="AU1129" s="1"/>
      <c r="AX1129" s="1"/>
    </row>
    <row r="1130" spans="47:50" ht="10.199999999999999">
      <c r="AU1130" s="1"/>
      <c r="AX1130" s="1"/>
    </row>
    <row r="1131" spans="47:50" ht="10.199999999999999">
      <c r="AU1131" s="1"/>
      <c r="AX1131" s="1"/>
    </row>
    <row r="1132" spans="47:50" ht="10.199999999999999">
      <c r="AU1132" s="1"/>
      <c r="AX1132" s="1"/>
    </row>
    <row r="1133" spans="47:50" ht="10.199999999999999">
      <c r="AU1133" s="1"/>
      <c r="AX1133" s="1"/>
    </row>
    <row r="1134" spans="47:50" ht="10.199999999999999">
      <c r="AU1134" s="1"/>
      <c r="AX1134" s="1"/>
    </row>
    <row r="1135" spans="47:50" ht="10.199999999999999">
      <c r="AU1135" s="1"/>
      <c r="AX1135" s="1"/>
    </row>
    <row r="1136" spans="47:50" ht="10.199999999999999">
      <c r="AU1136" s="1"/>
      <c r="AX1136" s="1"/>
    </row>
    <row r="1137" spans="47:50" ht="10.199999999999999">
      <c r="AU1137" s="1"/>
      <c r="AX1137" s="1"/>
    </row>
    <row r="1138" spans="47:50" ht="10.199999999999999">
      <c r="AU1138" s="1"/>
      <c r="AX1138" s="1"/>
    </row>
    <row r="1139" spans="47:50" ht="10.199999999999999">
      <c r="AU1139" s="1"/>
      <c r="AX1139" s="1"/>
    </row>
    <row r="1140" spans="47:50" ht="10.199999999999999">
      <c r="AU1140" s="1"/>
      <c r="AX1140" s="1"/>
    </row>
    <row r="1141" spans="47:50" ht="10.199999999999999">
      <c r="AU1141" s="1"/>
      <c r="AX1141" s="1"/>
    </row>
    <row r="1142" spans="47:50" ht="10.199999999999999">
      <c r="AU1142" s="1"/>
      <c r="AX1142" s="1"/>
    </row>
    <row r="1143" spans="47:50" ht="10.199999999999999">
      <c r="AU1143" s="1"/>
      <c r="AX1143" s="1"/>
    </row>
    <row r="1144" spans="47:50" ht="10.199999999999999">
      <c r="AU1144" s="1"/>
      <c r="AX1144" s="1"/>
    </row>
    <row r="1145" spans="47:50" ht="10.199999999999999">
      <c r="AU1145" s="1"/>
      <c r="AX1145" s="1"/>
    </row>
    <row r="1146" spans="47:50" ht="10.199999999999999">
      <c r="AU1146" s="1"/>
      <c r="AX1146" s="1"/>
    </row>
    <row r="1147" spans="47:50" ht="10.199999999999999">
      <c r="AU1147" s="1"/>
      <c r="AX1147" s="1"/>
    </row>
    <row r="1148" spans="47:50" ht="10.199999999999999">
      <c r="AU1148" s="1"/>
      <c r="AX1148" s="1"/>
    </row>
    <row r="1149" spans="47:50" ht="10.199999999999999">
      <c r="AU1149" s="1"/>
      <c r="AX1149" s="1"/>
    </row>
    <row r="1150" spans="47:50" ht="10.199999999999999">
      <c r="AU1150" s="1"/>
      <c r="AX1150" s="1"/>
    </row>
    <row r="1151" spans="47:50" ht="10.199999999999999">
      <c r="AU1151" s="1"/>
      <c r="AX1151" s="1"/>
    </row>
    <row r="1152" spans="47:50" ht="10.199999999999999">
      <c r="AU1152" s="1"/>
      <c r="AX1152" s="1"/>
    </row>
    <row r="1153" spans="47:50" ht="10.199999999999999">
      <c r="AU1153" s="1"/>
      <c r="AX1153" s="1"/>
    </row>
    <row r="1154" spans="47:50" ht="10.199999999999999">
      <c r="AU1154" s="1"/>
      <c r="AX1154" s="1"/>
    </row>
    <row r="1155" spans="47:50" ht="10.199999999999999">
      <c r="AU1155" s="1"/>
      <c r="AX1155" s="1"/>
    </row>
    <row r="1156" spans="47:50" ht="10.199999999999999">
      <c r="AU1156" s="1"/>
      <c r="AX1156" s="1"/>
    </row>
    <row r="1157" spans="47:50" ht="10.199999999999999">
      <c r="AU1157" s="1"/>
      <c r="AX1157" s="1"/>
    </row>
    <row r="1158" spans="47:50" ht="10.199999999999999">
      <c r="AU1158" s="1"/>
      <c r="AX1158" s="1"/>
    </row>
    <row r="1159" spans="47:50" ht="10.199999999999999">
      <c r="AU1159" s="1"/>
      <c r="AX1159" s="1"/>
    </row>
    <row r="1160" spans="47:50" ht="10.199999999999999">
      <c r="AU1160" s="1"/>
      <c r="AX1160" s="1"/>
    </row>
    <row r="1161" spans="47:50" ht="10.199999999999999">
      <c r="AU1161" s="1"/>
      <c r="AX1161" s="1"/>
    </row>
    <row r="1162" spans="47:50" ht="10.199999999999999">
      <c r="AU1162" s="1"/>
      <c r="AX1162" s="1"/>
    </row>
    <row r="1163" spans="47:50" ht="10.199999999999999">
      <c r="AU1163" s="1"/>
      <c r="AX1163" s="1"/>
    </row>
    <row r="1164" spans="47:50" ht="10.199999999999999">
      <c r="AU1164" s="1"/>
      <c r="AX1164" s="1"/>
    </row>
    <row r="1165" spans="47:50" ht="10.199999999999999">
      <c r="AU1165" s="1"/>
      <c r="AX1165" s="1"/>
    </row>
    <row r="1166" spans="47:50" ht="10.199999999999999">
      <c r="AU1166" s="1"/>
      <c r="AX1166" s="1"/>
    </row>
    <row r="1167" spans="47:50" ht="10.199999999999999">
      <c r="AU1167" s="1"/>
      <c r="AX1167" s="1"/>
    </row>
    <row r="1168" spans="47:50" ht="10.199999999999999">
      <c r="AU1168" s="1"/>
      <c r="AX1168" s="1"/>
    </row>
    <row r="1169" spans="47:50" ht="10.199999999999999">
      <c r="AU1169" s="1"/>
      <c r="AX1169" s="1"/>
    </row>
    <row r="1170" spans="47:50" ht="10.199999999999999">
      <c r="AU1170" s="1"/>
      <c r="AX1170" s="1"/>
    </row>
    <row r="1171" spans="47:50" ht="10.199999999999999">
      <c r="AU1171" s="1"/>
      <c r="AX1171" s="1"/>
    </row>
    <row r="1172" spans="47:50" ht="10.199999999999999">
      <c r="AU1172" s="1"/>
      <c r="AX1172" s="1"/>
    </row>
    <row r="1173" spans="47:50" ht="10.199999999999999">
      <c r="AU1173" s="1"/>
      <c r="AX1173" s="1"/>
    </row>
    <row r="1174" spans="47:50" ht="10.199999999999999">
      <c r="AU1174" s="1"/>
      <c r="AX1174" s="1"/>
    </row>
    <row r="1175" spans="47:50" ht="10.199999999999999">
      <c r="AU1175" s="1"/>
      <c r="AX1175" s="1"/>
    </row>
    <row r="1176" spans="47:50" ht="10.199999999999999">
      <c r="AU1176" s="1"/>
      <c r="AX1176" s="1"/>
    </row>
    <row r="1177" spans="47:50" ht="10.199999999999999">
      <c r="AU1177" s="1"/>
      <c r="AX1177" s="1"/>
    </row>
    <row r="1178" spans="47:50" ht="10.199999999999999">
      <c r="AU1178" s="1"/>
      <c r="AX1178" s="1"/>
    </row>
    <row r="1179" spans="47:50" ht="10.199999999999999">
      <c r="AU1179" s="1"/>
      <c r="AX1179" s="1"/>
    </row>
    <row r="1180" spans="47:50" ht="10.199999999999999">
      <c r="AU1180" s="1"/>
      <c r="AX1180" s="1"/>
    </row>
    <row r="1181" spans="47:50" ht="10.199999999999999">
      <c r="AU1181" s="1"/>
      <c r="AX1181" s="1"/>
    </row>
    <row r="1182" spans="47:50" ht="10.199999999999999">
      <c r="AU1182" s="1"/>
      <c r="AX1182" s="1"/>
    </row>
    <row r="1183" spans="47:50" ht="10.199999999999999">
      <c r="AU1183" s="1"/>
      <c r="AX1183" s="1"/>
    </row>
    <row r="1184" spans="47:50" ht="10.199999999999999">
      <c r="AU1184" s="1"/>
      <c r="AX1184" s="1"/>
    </row>
    <row r="1185" spans="47:50" ht="10.199999999999999">
      <c r="AU1185" s="1"/>
      <c r="AX1185" s="1"/>
    </row>
    <row r="1186" spans="47:50" ht="10.199999999999999">
      <c r="AU1186" s="1"/>
      <c r="AX1186" s="1"/>
    </row>
    <row r="1187" spans="47:50" ht="10.199999999999999">
      <c r="AU1187" s="1"/>
      <c r="AX1187" s="1"/>
    </row>
    <row r="1188" spans="47:50" ht="10.199999999999999">
      <c r="AU1188" s="1"/>
      <c r="AX1188" s="1"/>
    </row>
    <row r="1189" spans="47:50" ht="10.199999999999999">
      <c r="AU1189" s="1"/>
      <c r="AX1189" s="1"/>
    </row>
    <row r="1190" spans="47:50" ht="10.199999999999999">
      <c r="AU1190" s="1"/>
      <c r="AX1190" s="1"/>
    </row>
    <row r="1191" spans="47:50" ht="10.199999999999999">
      <c r="AU1191" s="1"/>
      <c r="AX1191" s="1"/>
    </row>
    <row r="1192" spans="47:50" ht="10.199999999999999">
      <c r="AU1192" s="1"/>
      <c r="AX1192" s="1"/>
    </row>
    <row r="1193" spans="47:50" ht="10.199999999999999">
      <c r="AU1193" s="1"/>
      <c r="AX1193" s="1"/>
    </row>
    <row r="1194" spans="47:50" ht="10.199999999999999">
      <c r="AU1194" s="1"/>
      <c r="AX1194" s="1"/>
    </row>
    <row r="1195" spans="47:50" ht="10.199999999999999">
      <c r="AU1195" s="1"/>
      <c r="AX1195" s="1"/>
    </row>
    <row r="1196" spans="47:50" ht="10.199999999999999">
      <c r="AU1196" s="1"/>
      <c r="AX1196" s="1"/>
    </row>
    <row r="1197" spans="47:50" ht="10.199999999999999">
      <c r="AU1197" s="1"/>
      <c r="AX1197" s="1"/>
    </row>
    <row r="1198" spans="47:50" ht="10.199999999999999">
      <c r="AU1198" s="1"/>
      <c r="AX1198" s="1"/>
    </row>
    <row r="1199" spans="47:50" ht="10.199999999999999">
      <c r="AU1199" s="1"/>
      <c r="AX1199" s="1"/>
    </row>
    <row r="1200" spans="47:50" ht="10.199999999999999">
      <c r="AU1200" s="1"/>
      <c r="AX1200" s="1"/>
    </row>
    <row r="1201" spans="47:50" ht="10.199999999999999">
      <c r="AU1201" s="1"/>
      <c r="AX1201" s="1"/>
    </row>
    <row r="1202" spans="47:50" ht="10.199999999999999">
      <c r="AU1202" s="1"/>
      <c r="AX1202" s="1"/>
    </row>
    <row r="1203" spans="47:50" ht="10.199999999999999">
      <c r="AU1203" s="1"/>
      <c r="AX1203" s="1"/>
    </row>
    <row r="1204" spans="47:50" ht="10.199999999999999">
      <c r="AU1204" s="1"/>
      <c r="AX1204" s="1"/>
    </row>
    <row r="1205" spans="47:50" ht="10.199999999999999">
      <c r="AU1205" s="1"/>
      <c r="AX1205" s="1"/>
    </row>
    <row r="1206" spans="47:50" ht="10.199999999999999">
      <c r="AU1206" s="1"/>
      <c r="AX1206" s="1"/>
    </row>
    <row r="1207" spans="47:50" ht="10.199999999999999">
      <c r="AU1207" s="1"/>
      <c r="AX1207" s="1"/>
    </row>
    <row r="1208" spans="47:50" ht="10.199999999999999">
      <c r="AU1208" s="1"/>
      <c r="AX1208" s="1"/>
    </row>
    <row r="1209" spans="47:50" ht="10.199999999999999">
      <c r="AU1209" s="1"/>
      <c r="AX1209" s="1"/>
    </row>
    <row r="1210" spans="47:50" ht="10.199999999999999">
      <c r="AU1210" s="1"/>
      <c r="AX1210" s="1"/>
    </row>
    <row r="1211" spans="47:50" ht="10.199999999999999">
      <c r="AU1211" s="1"/>
      <c r="AX1211" s="1"/>
    </row>
    <row r="1212" spans="47:50" ht="10.199999999999999">
      <c r="AU1212" s="1"/>
      <c r="AX1212" s="1"/>
    </row>
    <row r="1213" spans="47:50" ht="10.199999999999999">
      <c r="AU1213" s="1"/>
      <c r="AX1213" s="1"/>
    </row>
    <row r="1214" spans="47:50" ht="10.199999999999999">
      <c r="AU1214" s="1"/>
      <c r="AX1214" s="1"/>
    </row>
    <row r="1215" spans="47:50" ht="10.199999999999999">
      <c r="AU1215" s="1"/>
      <c r="AX1215" s="1"/>
    </row>
    <row r="1216" spans="47:50" ht="10.199999999999999">
      <c r="AU1216" s="1"/>
      <c r="AX1216" s="1"/>
    </row>
    <row r="1217" spans="47:50" ht="10.199999999999999">
      <c r="AU1217" s="1"/>
      <c r="AX1217" s="1"/>
    </row>
    <row r="1218" spans="47:50" ht="10.199999999999999">
      <c r="AU1218" s="1"/>
      <c r="AX1218" s="1"/>
    </row>
    <row r="1219" spans="47:50" ht="10.199999999999999">
      <c r="AU1219" s="1"/>
      <c r="AX1219" s="1"/>
    </row>
    <row r="1220" spans="47:50" ht="10.199999999999999">
      <c r="AU1220" s="1"/>
      <c r="AX1220" s="1"/>
    </row>
    <row r="1221" spans="47:50" ht="10.199999999999999">
      <c r="AU1221" s="1"/>
      <c r="AX1221" s="1"/>
    </row>
    <row r="1222" spans="47:50" ht="10.199999999999999">
      <c r="AU1222" s="1"/>
      <c r="AX1222" s="1"/>
    </row>
    <row r="1223" spans="47:50" ht="10.199999999999999">
      <c r="AU1223" s="1"/>
      <c r="AX1223" s="1"/>
    </row>
    <row r="1224" spans="47:50" ht="10.199999999999999">
      <c r="AU1224" s="1"/>
      <c r="AX1224" s="1"/>
    </row>
    <row r="1225" spans="47:50" ht="10.199999999999999">
      <c r="AU1225" s="1"/>
      <c r="AX1225" s="1"/>
    </row>
    <row r="1226" spans="47:50" ht="10.199999999999999">
      <c r="AU1226" s="1"/>
      <c r="AX1226" s="1"/>
    </row>
    <row r="1227" spans="47:50" ht="10.199999999999999">
      <c r="AU1227" s="1"/>
      <c r="AX1227" s="1"/>
    </row>
    <row r="1228" spans="47:50" ht="10.199999999999999">
      <c r="AU1228" s="1"/>
      <c r="AX1228" s="1"/>
    </row>
    <row r="1229" spans="47:50" ht="10.199999999999999">
      <c r="AU1229" s="1"/>
      <c r="AX1229" s="1"/>
    </row>
    <row r="1230" spans="47:50" ht="10.199999999999999">
      <c r="AU1230" s="1"/>
      <c r="AX1230" s="1"/>
    </row>
    <row r="1231" spans="47:50" ht="10.199999999999999">
      <c r="AU1231" s="1"/>
      <c r="AX1231" s="1"/>
    </row>
    <row r="1232" spans="47:50" ht="10.199999999999999">
      <c r="AU1232" s="1"/>
      <c r="AX1232" s="1"/>
    </row>
    <row r="1233" spans="47:50" ht="10.199999999999999">
      <c r="AU1233" s="1"/>
      <c r="AX1233" s="1"/>
    </row>
    <row r="1234" spans="47:50" ht="10.199999999999999">
      <c r="AU1234" s="1"/>
      <c r="AX1234" s="1"/>
    </row>
    <row r="1235" spans="47:50" ht="10.199999999999999">
      <c r="AU1235" s="1"/>
      <c r="AX1235" s="1"/>
    </row>
    <row r="1236" spans="47:50" ht="10.199999999999999">
      <c r="AU1236" s="1"/>
      <c r="AX1236" s="1"/>
    </row>
    <row r="1237" spans="47:50" ht="10.199999999999999">
      <c r="AU1237" s="1"/>
      <c r="AX1237" s="1"/>
    </row>
    <row r="1238" spans="47:50" ht="10.199999999999999">
      <c r="AU1238" s="1"/>
      <c r="AX1238" s="1"/>
    </row>
    <row r="1239" spans="47:50" ht="10.199999999999999">
      <c r="AU1239" s="1"/>
      <c r="AX1239" s="1"/>
    </row>
    <row r="1240" spans="47:50" ht="10.199999999999999">
      <c r="AU1240" s="1"/>
      <c r="AX1240" s="1"/>
    </row>
    <row r="1241" spans="47:50" ht="10.199999999999999">
      <c r="AU1241" s="1"/>
      <c r="AX1241" s="1"/>
    </row>
    <row r="1242" spans="47:50" ht="10.199999999999999">
      <c r="AU1242" s="1"/>
      <c r="AX1242" s="1"/>
    </row>
    <row r="1243" spans="47:50" ht="10.199999999999999">
      <c r="AU1243" s="1"/>
      <c r="AX1243" s="1"/>
    </row>
    <row r="1244" spans="47:50" ht="10.199999999999999">
      <c r="AU1244" s="1"/>
      <c r="AX1244" s="1"/>
    </row>
    <row r="1245" spans="47:50" ht="10.199999999999999">
      <c r="AU1245" s="1"/>
      <c r="AX1245" s="1"/>
    </row>
    <row r="1246" spans="47:50" ht="10.199999999999999">
      <c r="AU1246" s="1"/>
      <c r="AX1246" s="1"/>
    </row>
    <row r="1247" spans="47:50" ht="10.199999999999999">
      <c r="AU1247" s="1"/>
      <c r="AX1247" s="1"/>
    </row>
    <row r="1248" spans="47:50" ht="10.199999999999999">
      <c r="AU1248" s="1"/>
      <c r="AX1248" s="1"/>
    </row>
    <row r="1249" spans="47:50" ht="10.199999999999999">
      <c r="AU1249" s="1"/>
      <c r="AX1249" s="1"/>
    </row>
    <row r="1250" spans="47:50" ht="10.199999999999999">
      <c r="AU1250" s="1"/>
      <c r="AX1250" s="1"/>
    </row>
    <row r="1251" spans="47:50" ht="10.199999999999999">
      <c r="AU1251" s="1"/>
      <c r="AX1251" s="1"/>
    </row>
    <row r="1252" spans="47:50" ht="10.199999999999999">
      <c r="AU1252" s="1"/>
      <c r="AX1252" s="1"/>
    </row>
    <row r="1253" spans="47:50" ht="10.199999999999999">
      <c r="AU1253" s="1"/>
      <c r="AX1253" s="1"/>
    </row>
    <row r="1254" spans="47:50" ht="10.199999999999999">
      <c r="AU1254" s="1"/>
      <c r="AX1254" s="1"/>
    </row>
    <row r="1255" spans="47:50" ht="10.199999999999999">
      <c r="AU1255" s="1"/>
      <c r="AX1255" s="1"/>
    </row>
    <row r="1256" spans="47:50" ht="10.199999999999999">
      <c r="AU1256" s="1"/>
      <c r="AX1256" s="1"/>
    </row>
    <row r="1257" spans="47:50" ht="10.199999999999999">
      <c r="AU1257" s="1"/>
      <c r="AX1257" s="1"/>
    </row>
    <row r="1258" spans="47:50" ht="10.199999999999999">
      <c r="AU1258" s="1"/>
      <c r="AX1258" s="1"/>
    </row>
    <row r="1259" spans="47:50" ht="10.199999999999999">
      <c r="AU1259" s="1"/>
      <c r="AX1259" s="1"/>
    </row>
    <row r="1260" spans="47:50" ht="10.199999999999999">
      <c r="AU1260" s="1"/>
      <c r="AX1260" s="1"/>
    </row>
    <row r="1261" spans="47:50" ht="10.199999999999999">
      <c r="AU1261" s="1"/>
      <c r="AX1261" s="1"/>
    </row>
    <row r="1262" spans="47:50" ht="10.199999999999999">
      <c r="AU1262" s="1"/>
      <c r="AX1262" s="1"/>
    </row>
    <row r="1263" spans="47:50" ht="10.199999999999999">
      <c r="AU1263" s="1"/>
      <c r="AX1263" s="1"/>
    </row>
    <row r="1264" spans="47:50" ht="10.199999999999999">
      <c r="AU1264" s="1"/>
      <c r="AX1264" s="1"/>
    </row>
    <row r="1265" spans="47:50" ht="10.199999999999999">
      <c r="AU1265" s="1"/>
      <c r="AX1265" s="1"/>
    </row>
    <row r="1266" spans="47:50" ht="10.199999999999999">
      <c r="AU1266" s="1"/>
      <c r="AX1266" s="1"/>
    </row>
    <row r="1267" spans="47:50" ht="10.199999999999999">
      <c r="AU1267" s="1"/>
      <c r="AX1267" s="1"/>
    </row>
    <row r="1268" spans="47:50" ht="10.199999999999999">
      <c r="AU1268" s="1"/>
      <c r="AX1268" s="1"/>
    </row>
    <row r="1269" spans="47:50" ht="10.199999999999999">
      <c r="AU1269" s="1"/>
      <c r="AX1269" s="1"/>
    </row>
    <row r="1270" spans="47:50" ht="10.199999999999999">
      <c r="AU1270" s="1"/>
      <c r="AX1270" s="1"/>
    </row>
    <row r="1271" spans="47:50" ht="10.199999999999999">
      <c r="AU1271" s="1"/>
      <c r="AX1271" s="1"/>
    </row>
    <row r="1272" spans="47:50" ht="10.199999999999999">
      <c r="AU1272" s="1"/>
      <c r="AX1272" s="1"/>
    </row>
    <row r="1273" spans="47:50" ht="10.199999999999999">
      <c r="AU1273" s="1"/>
      <c r="AX1273" s="1"/>
    </row>
    <row r="1274" spans="47:50" ht="10.199999999999999">
      <c r="AU1274" s="1"/>
      <c r="AX1274" s="1"/>
    </row>
    <row r="1275" spans="47:50" ht="10.199999999999999">
      <c r="AU1275" s="1"/>
      <c r="AX1275" s="1"/>
    </row>
    <row r="1276" spans="47:50" ht="10.199999999999999">
      <c r="AU1276" s="1"/>
      <c r="AX1276" s="1"/>
    </row>
    <row r="1277" spans="47:50" ht="10.199999999999999">
      <c r="AU1277" s="1"/>
      <c r="AX1277" s="1"/>
    </row>
    <row r="1278" spans="47:50" ht="10.199999999999999">
      <c r="AU1278" s="1"/>
      <c r="AX1278" s="1"/>
    </row>
    <row r="1279" spans="47:50" ht="10.199999999999999">
      <c r="AU1279" s="1"/>
      <c r="AX1279" s="1"/>
    </row>
    <row r="1280" spans="47:50" ht="10.199999999999999">
      <c r="AU1280" s="1"/>
      <c r="AX1280" s="1"/>
    </row>
    <row r="1281" spans="47:50" ht="10.199999999999999">
      <c r="AU1281" s="1"/>
      <c r="AX1281" s="1"/>
    </row>
    <row r="1282" spans="47:50" ht="10.199999999999999">
      <c r="AU1282" s="1"/>
      <c r="AX1282" s="1"/>
    </row>
    <row r="1283" spans="47:50" ht="10.199999999999999">
      <c r="AU1283" s="1"/>
      <c r="AX1283" s="1"/>
    </row>
    <row r="1284" spans="47:50" ht="10.199999999999999">
      <c r="AU1284" s="1"/>
      <c r="AX1284" s="1"/>
    </row>
    <row r="1285" spans="47:50" ht="10.199999999999999">
      <c r="AU1285" s="1"/>
      <c r="AX1285" s="1"/>
    </row>
    <row r="1286" spans="47:50" ht="10.199999999999999">
      <c r="AU1286" s="1"/>
      <c r="AX1286" s="1"/>
    </row>
    <row r="1287" spans="47:50" ht="10.199999999999999">
      <c r="AU1287" s="1"/>
      <c r="AX1287" s="1"/>
    </row>
    <row r="1288" spans="47:50" ht="10.199999999999999">
      <c r="AU1288" s="1"/>
      <c r="AX1288" s="1"/>
    </row>
    <row r="1289" spans="47:50" ht="10.199999999999999">
      <c r="AU1289" s="1"/>
      <c r="AX1289" s="1"/>
    </row>
    <row r="1290" spans="47:50" ht="10.199999999999999">
      <c r="AU1290" s="1"/>
      <c r="AX1290" s="1"/>
    </row>
    <row r="1291" spans="47:50" ht="10.199999999999999">
      <c r="AU1291" s="1"/>
      <c r="AX1291" s="1"/>
    </row>
    <row r="1292" spans="47:50" ht="10.199999999999999">
      <c r="AU1292" s="1"/>
      <c r="AX1292" s="1"/>
    </row>
    <row r="1293" spans="47:50" ht="10.199999999999999">
      <c r="AU1293" s="1"/>
      <c r="AX1293" s="1"/>
    </row>
    <row r="1294" spans="47:50" ht="10.199999999999999">
      <c r="AU1294" s="1"/>
      <c r="AX1294" s="1"/>
    </row>
    <row r="1295" spans="47:50" ht="10.199999999999999">
      <c r="AU1295" s="1"/>
      <c r="AX1295" s="1"/>
    </row>
    <row r="1296" spans="47:50" ht="10.199999999999999">
      <c r="AU1296" s="1"/>
      <c r="AX1296" s="1"/>
    </row>
    <row r="1297" spans="47:50" ht="10.199999999999999">
      <c r="AU1297" s="1"/>
      <c r="AX1297" s="1"/>
    </row>
    <row r="1298" spans="47:50" ht="10.199999999999999">
      <c r="AU1298" s="1"/>
      <c r="AX1298" s="1"/>
    </row>
    <row r="1299" spans="47:50" ht="10.199999999999999">
      <c r="AU1299" s="1"/>
      <c r="AX1299" s="1"/>
    </row>
    <row r="1300" spans="47:50" ht="10.199999999999999">
      <c r="AU1300" s="1"/>
      <c r="AX1300" s="1"/>
    </row>
    <row r="1301" spans="47:50" ht="10.199999999999999">
      <c r="AU1301" s="1"/>
      <c r="AX1301" s="1"/>
    </row>
    <row r="1302" spans="47:50" ht="10.199999999999999">
      <c r="AU1302" s="1"/>
      <c r="AX1302" s="1"/>
    </row>
    <row r="1303" spans="47:50" ht="10.199999999999999">
      <c r="AU1303" s="1"/>
      <c r="AX1303" s="1"/>
    </row>
    <row r="1304" spans="47:50" ht="10.199999999999999">
      <c r="AU1304" s="1"/>
      <c r="AX1304" s="1"/>
    </row>
    <row r="1305" spans="47:50" ht="10.199999999999999">
      <c r="AU1305" s="1"/>
      <c r="AX1305" s="1"/>
    </row>
    <row r="1306" spans="47:50" ht="10.199999999999999">
      <c r="AU1306" s="1"/>
      <c r="AX1306" s="1"/>
    </row>
    <row r="1307" spans="47:50" ht="10.199999999999999">
      <c r="AU1307" s="1"/>
      <c r="AX1307" s="1"/>
    </row>
    <row r="1308" spans="47:50" ht="10.199999999999999">
      <c r="AU1308" s="1"/>
      <c r="AX1308" s="1"/>
    </row>
    <row r="1309" spans="47:50" ht="10.199999999999999">
      <c r="AU1309" s="1"/>
      <c r="AX1309" s="1"/>
    </row>
    <row r="1310" spans="47:50" ht="10.199999999999999">
      <c r="AU1310" s="1"/>
      <c r="AX1310" s="1"/>
    </row>
    <row r="1311" spans="47:50" ht="10.199999999999999">
      <c r="AU1311" s="1"/>
      <c r="AX1311" s="1"/>
    </row>
    <row r="1312" spans="47:50" ht="10.199999999999999">
      <c r="AU1312" s="1"/>
      <c r="AX1312" s="1"/>
    </row>
    <row r="1313" spans="47:50" ht="10.199999999999999">
      <c r="AU1313" s="1"/>
      <c r="AX1313" s="1"/>
    </row>
    <row r="1314" spans="47:50" ht="10.199999999999999">
      <c r="AU1314" s="1"/>
      <c r="AX1314" s="1"/>
    </row>
    <row r="1315" spans="47:50" ht="10.199999999999999">
      <c r="AU1315" s="1"/>
      <c r="AX1315" s="1"/>
    </row>
    <row r="1316" spans="47:50" ht="10.199999999999999">
      <c r="AU1316" s="1"/>
      <c r="AX1316" s="1"/>
    </row>
    <row r="1317" spans="47:50" ht="10.199999999999999">
      <c r="AU1317" s="1"/>
      <c r="AX1317" s="1"/>
    </row>
    <row r="1318" spans="47:50" ht="10.199999999999999">
      <c r="AU1318" s="1"/>
      <c r="AX1318" s="1"/>
    </row>
    <row r="1319" spans="47:50" ht="10.199999999999999">
      <c r="AU1319" s="1"/>
      <c r="AX1319" s="1"/>
    </row>
    <row r="1320" spans="47:50" ht="10.199999999999999">
      <c r="AU1320" s="1"/>
      <c r="AX1320" s="1"/>
    </row>
    <row r="1321" spans="47:50" ht="10.199999999999999">
      <c r="AU1321" s="1"/>
      <c r="AX1321" s="1"/>
    </row>
    <row r="1322" spans="47:50" ht="10.199999999999999">
      <c r="AU1322" s="1"/>
      <c r="AX1322" s="1"/>
    </row>
    <row r="1323" spans="47:50" ht="10.199999999999999">
      <c r="AU1323" s="1"/>
      <c r="AX1323" s="1"/>
    </row>
    <row r="1324" spans="47:50" ht="10.199999999999999">
      <c r="AU1324" s="1"/>
      <c r="AX1324" s="1"/>
    </row>
    <row r="1325" spans="47:50" ht="10.199999999999999">
      <c r="AU1325" s="1"/>
      <c r="AX1325" s="1"/>
    </row>
    <row r="1326" spans="47:50" ht="10.199999999999999">
      <c r="AU1326" s="1"/>
      <c r="AX1326" s="1"/>
    </row>
    <row r="1327" spans="47:50" ht="10.199999999999999">
      <c r="AU1327" s="1"/>
      <c r="AX1327" s="1"/>
    </row>
    <row r="1328" spans="47:50" ht="10.199999999999999">
      <c r="AU1328" s="1"/>
      <c r="AX1328" s="1"/>
    </row>
    <row r="1329" spans="47:50" ht="10.199999999999999">
      <c r="AU1329" s="1"/>
      <c r="AX1329" s="1"/>
    </row>
    <row r="1330" spans="47:50" ht="10.199999999999999">
      <c r="AU1330" s="1"/>
      <c r="AX1330" s="1"/>
    </row>
    <row r="1331" spans="47:50" ht="10.199999999999999">
      <c r="AU1331" s="1"/>
      <c r="AX1331" s="1"/>
    </row>
    <row r="1332" spans="47:50" ht="10.199999999999999">
      <c r="AU1332" s="1"/>
      <c r="AX1332" s="1"/>
    </row>
    <row r="1333" spans="47:50" ht="10.199999999999999">
      <c r="AU1333" s="1"/>
      <c r="AX1333" s="1"/>
    </row>
    <row r="1334" spans="47:50" ht="10.199999999999999">
      <c r="AU1334" s="1"/>
      <c r="AX1334" s="1"/>
    </row>
    <row r="1335" spans="47:50" ht="10.199999999999999">
      <c r="AU1335" s="1"/>
      <c r="AX1335" s="1"/>
    </row>
    <row r="1336" spans="47:50" ht="10.199999999999999">
      <c r="AU1336" s="1"/>
      <c r="AX1336" s="1"/>
    </row>
    <row r="1337" spans="47:50" ht="10.199999999999999">
      <c r="AU1337" s="1"/>
      <c r="AX1337" s="1"/>
    </row>
    <row r="1338" spans="47:50" ht="10.199999999999999">
      <c r="AU1338" s="1"/>
      <c r="AX1338" s="1"/>
    </row>
    <row r="1339" spans="47:50" ht="10.199999999999999">
      <c r="AU1339" s="1"/>
      <c r="AX1339" s="1"/>
    </row>
    <row r="1340" spans="47:50" ht="10.199999999999999">
      <c r="AU1340" s="1"/>
      <c r="AX1340" s="1"/>
    </row>
    <row r="1341" spans="47:50" ht="10.199999999999999">
      <c r="AU1341" s="1"/>
      <c r="AX1341" s="1"/>
    </row>
    <row r="1342" spans="47:50" ht="10.199999999999999">
      <c r="AU1342" s="1"/>
      <c r="AX1342" s="1"/>
    </row>
    <row r="1343" spans="47:50" ht="10.199999999999999">
      <c r="AU1343" s="1"/>
      <c r="AX1343" s="1"/>
    </row>
    <row r="1344" spans="47:50" ht="10.199999999999999">
      <c r="AU1344" s="1"/>
      <c r="AX1344" s="1"/>
    </row>
    <row r="1345" spans="47:50" ht="10.199999999999999">
      <c r="AU1345" s="1"/>
      <c r="AX1345" s="1"/>
    </row>
    <row r="1346" spans="47:50" ht="10.199999999999999">
      <c r="AU1346" s="1"/>
      <c r="AX1346" s="1"/>
    </row>
    <row r="1347" spans="47:50" ht="10.199999999999999">
      <c r="AU1347" s="1"/>
      <c r="AX1347" s="1"/>
    </row>
    <row r="1348" spans="47:50" ht="10.199999999999999">
      <c r="AU1348" s="1"/>
      <c r="AX1348" s="1"/>
    </row>
    <row r="1349" spans="47:50" ht="10.199999999999999">
      <c r="AU1349" s="1"/>
      <c r="AX1349" s="1"/>
    </row>
    <row r="1350" spans="47:50" ht="10.199999999999999">
      <c r="AU1350" s="1"/>
      <c r="AX1350" s="1"/>
    </row>
    <row r="1351" spans="47:50" ht="10.199999999999999">
      <c r="AU1351" s="1"/>
      <c r="AX1351" s="1"/>
    </row>
    <row r="1352" spans="47:50" ht="10.199999999999999">
      <c r="AU1352" s="1"/>
      <c r="AX1352" s="1"/>
    </row>
    <row r="1353" spans="47:50" ht="10.199999999999999">
      <c r="AU1353" s="1"/>
      <c r="AX1353" s="1"/>
    </row>
    <row r="1354" spans="47:50" ht="10.199999999999999">
      <c r="AU1354" s="1"/>
      <c r="AX1354" s="1"/>
    </row>
    <row r="1355" spans="47:50" ht="10.199999999999999">
      <c r="AU1355" s="1"/>
      <c r="AX1355" s="1"/>
    </row>
    <row r="1356" spans="47:50" ht="10.199999999999999">
      <c r="AU1356" s="1"/>
      <c r="AX1356" s="1"/>
    </row>
    <row r="1357" spans="47:50" ht="10.199999999999999">
      <c r="AU1357" s="1"/>
      <c r="AX1357" s="1"/>
    </row>
    <row r="1358" spans="47:50" ht="10.199999999999999">
      <c r="AU1358" s="1"/>
      <c r="AX1358" s="1"/>
    </row>
    <row r="1359" spans="47:50" ht="10.199999999999999">
      <c r="AU1359" s="1"/>
      <c r="AX1359" s="1"/>
    </row>
    <row r="1360" spans="47:50" ht="10.199999999999999">
      <c r="AU1360" s="1"/>
      <c r="AX1360" s="1"/>
    </row>
    <row r="1361" spans="47:50" ht="10.199999999999999">
      <c r="AU1361" s="1"/>
      <c r="AX1361" s="1"/>
    </row>
    <row r="1362" spans="47:50" ht="10.199999999999999">
      <c r="AU1362" s="1"/>
      <c r="AX1362" s="1"/>
    </row>
    <row r="1363" spans="47:50" ht="10.199999999999999">
      <c r="AU1363" s="1"/>
      <c r="AX1363" s="1"/>
    </row>
    <row r="1364" spans="47:50" ht="10.199999999999999">
      <c r="AU1364" s="1"/>
      <c r="AX1364" s="1"/>
    </row>
    <row r="1365" spans="47:50" ht="10.199999999999999">
      <c r="AU1365" s="1"/>
      <c r="AX1365" s="1"/>
    </row>
    <row r="1366" spans="47:50" ht="10.199999999999999">
      <c r="AU1366" s="1"/>
      <c r="AX1366" s="1"/>
    </row>
    <row r="1367" spans="47:50" ht="10.199999999999999">
      <c r="AU1367" s="1"/>
      <c r="AX1367" s="1"/>
    </row>
    <row r="1368" spans="47:50" ht="10.199999999999999">
      <c r="AU1368" s="1"/>
      <c r="AX1368" s="1"/>
    </row>
    <row r="1369" spans="47:50" ht="10.199999999999999">
      <c r="AU1369" s="1"/>
      <c r="AX1369" s="1"/>
    </row>
    <row r="1370" spans="47:50" ht="10.199999999999999">
      <c r="AU1370" s="1"/>
      <c r="AX1370" s="1"/>
    </row>
    <row r="1371" spans="47:50" ht="10.199999999999999">
      <c r="AU1371" s="1"/>
      <c r="AX1371" s="1"/>
    </row>
    <row r="1372" spans="47:50" ht="10.199999999999999">
      <c r="AU1372" s="1"/>
      <c r="AX1372" s="1"/>
    </row>
    <row r="1373" spans="47:50" ht="10.199999999999999">
      <c r="AU1373" s="1"/>
      <c r="AX1373" s="1"/>
    </row>
    <row r="1374" spans="47:50" ht="10.199999999999999">
      <c r="AU1374" s="1"/>
      <c r="AX1374" s="1"/>
    </row>
    <row r="1375" spans="47:50" ht="10.199999999999999">
      <c r="AU1375" s="1"/>
      <c r="AX1375" s="1"/>
    </row>
    <row r="1376" spans="47:50" ht="10.199999999999999">
      <c r="AU1376" s="1"/>
      <c r="AX1376" s="1"/>
    </row>
    <row r="1377" spans="47:50" ht="10.199999999999999">
      <c r="AU1377" s="1"/>
      <c r="AX1377" s="1"/>
    </row>
    <row r="1378" spans="47:50" ht="10.199999999999999">
      <c r="AU1378" s="1"/>
      <c r="AX1378" s="1"/>
    </row>
    <row r="1379" spans="47:50" ht="10.199999999999999">
      <c r="AU1379" s="1"/>
      <c r="AX1379" s="1"/>
    </row>
    <row r="1380" spans="47:50" ht="10.199999999999999">
      <c r="AU1380" s="1"/>
      <c r="AX1380" s="1"/>
    </row>
    <row r="1381" spans="47:50" ht="10.199999999999999">
      <c r="AU1381" s="1"/>
      <c r="AX1381" s="1"/>
    </row>
    <row r="1382" spans="47:50" ht="10.199999999999999">
      <c r="AU1382" s="1"/>
      <c r="AX1382" s="1"/>
    </row>
    <row r="1383" spans="47:50" ht="10.199999999999999">
      <c r="AU1383" s="1"/>
      <c r="AX1383" s="1"/>
    </row>
    <row r="1384" spans="47:50" ht="10.199999999999999">
      <c r="AU1384" s="1"/>
      <c r="AX1384" s="1"/>
    </row>
    <row r="1385" spans="47:50" ht="10.199999999999999">
      <c r="AU1385" s="1"/>
      <c r="AX1385" s="1"/>
    </row>
    <row r="1386" spans="47:50" ht="10.199999999999999">
      <c r="AU1386" s="1"/>
      <c r="AX1386" s="1"/>
    </row>
    <row r="1387" spans="47:50" ht="10.199999999999999">
      <c r="AU1387" s="1"/>
      <c r="AX1387" s="1"/>
    </row>
    <row r="1388" spans="47:50" ht="10.199999999999999">
      <c r="AU1388" s="1"/>
      <c r="AX1388" s="1"/>
    </row>
    <row r="1389" spans="47:50" ht="10.199999999999999">
      <c r="AU1389" s="1"/>
      <c r="AX1389" s="1"/>
    </row>
    <row r="1390" spans="47:50" ht="10.199999999999999">
      <c r="AU1390" s="1"/>
      <c r="AX1390" s="1"/>
    </row>
    <row r="1391" spans="47:50" ht="10.199999999999999">
      <c r="AU1391" s="1"/>
      <c r="AX1391" s="1"/>
    </row>
    <row r="1392" spans="47:50" ht="10.199999999999999">
      <c r="AU1392" s="1"/>
      <c r="AX1392" s="1"/>
    </row>
    <row r="1393" spans="47:50" ht="10.199999999999999">
      <c r="AU1393" s="1"/>
      <c r="AX1393" s="1"/>
    </row>
    <row r="1394" spans="47:50" ht="10.199999999999999">
      <c r="AU1394" s="1"/>
      <c r="AX1394" s="1"/>
    </row>
    <row r="1395" spans="47:50" ht="10.199999999999999">
      <c r="AU1395" s="1"/>
      <c r="AX1395" s="1"/>
    </row>
    <row r="1396" spans="47:50" ht="10.199999999999999">
      <c r="AU1396" s="1"/>
      <c r="AX1396" s="1"/>
    </row>
    <row r="1397" spans="47:50" ht="10.199999999999999">
      <c r="AU1397" s="1"/>
      <c r="AX1397" s="1"/>
    </row>
    <row r="1398" spans="47:50" ht="10.199999999999999">
      <c r="AU1398" s="1"/>
      <c r="AX1398" s="1"/>
    </row>
    <row r="1399" spans="47:50" ht="10.199999999999999">
      <c r="AU1399" s="1"/>
      <c r="AX1399" s="1"/>
    </row>
    <row r="1400" spans="47:50" ht="10.199999999999999">
      <c r="AU1400" s="1"/>
      <c r="AX1400" s="1"/>
    </row>
    <row r="1401" spans="47:50" ht="10.199999999999999">
      <c r="AU1401" s="1"/>
      <c r="AX1401" s="1"/>
    </row>
    <row r="1402" spans="47:50" ht="10.199999999999999">
      <c r="AU1402" s="1"/>
      <c r="AX1402" s="1"/>
    </row>
    <row r="1403" spans="47:50" ht="10.199999999999999">
      <c r="AU1403" s="1"/>
      <c r="AX1403" s="1"/>
    </row>
    <row r="1404" spans="47:50" ht="10.199999999999999">
      <c r="AU1404" s="1"/>
      <c r="AX1404" s="1"/>
    </row>
    <row r="1405" spans="47:50" ht="10.199999999999999">
      <c r="AU1405" s="1"/>
      <c r="AX1405" s="1"/>
    </row>
    <row r="1406" spans="47:50" ht="10.199999999999999">
      <c r="AU1406" s="1"/>
      <c r="AX1406" s="1"/>
    </row>
    <row r="1407" spans="47:50" ht="10.199999999999999">
      <c r="AU1407" s="1"/>
      <c r="AX1407" s="1"/>
    </row>
    <row r="1408" spans="47:50" ht="10.199999999999999">
      <c r="AU1408" s="1"/>
      <c r="AX1408" s="1"/>
    </row>
    <row r="1409" spans="47:50" ht="10.199999999999999">
      <c r="AU1409" s="1"/>
      <c r="AX1409" s="1"/>
    </row>
    <row r="1410" spans="47:50" ht="10.199999999999999">
      <c r="AU1410" s="1"/>
      <c r="AX1410" s="1"/>
    </row>
    <row r="1411" spans="47:50" ht="10.199999999999999">
      <c r="AU1411" s="1"/>
      <c r="AX1411" s="1"/>
    </row>
    <row r="1412" spans="47:50" ht="10.199999999999999">
      <c r="AU1412" s="1"/>
      <c r="AX1412" s="1"/>
    </row>
    <row r="1413" spans="47:50" ht="10.199999999999999">
      <c r="AU1413" s="1"/>
      <c r="AX1413" s="1"/>
    </row>
    <row r="1414" spans="47:50" ht="10.199999999999999">
      <c r="AU1414" s="1"/>
      <c r="AX1414" s="1"/>
    </row>
    <row r="1415" spans="47:50" ht="10.199999999999999">
      <c r="AU1415" s="1"/>
      <c r="AX1415" s="1"/>
    </row>
    <row r="1416" spans="47:50" ht="10.199999999999999">
      <c r="AU1416" s="1"/>
      <c r="AX1416" s="1"/>
    </row>
    <row r="1417" spans="47:50" ht="10.199999999999999">
      <c r="AU1417" s="1"/>
      <c r="AX1417" s="1"/>
    </row>
    <row r="1418" spans="47:50" ht="10.199999999999999">
      <c r="AU1418" s="1"/>
      <c r="AX1418" s="1"/>
    </row>
    <row r="1419" spans="47:50" ht="10.199999999999999">
      <c r="AU1419" s="1"/>
      <c r="AX1419" s="1"/>
    </row>
    <row r="1420" spans="47:50" ht="10.199999999999999">
      <c r="AU1420" s="1"/>
      <c r="AX1420" s="1"/>
    </row>
    <row r="1421" spans="47:50" ht="10.199999999999999">
      <c r="AU1421" s="1"/>
      <c r="AX1421" s="1"/>
    </row>
    <row r="1422" spans="47:50" ht="10.199999999999999">
      <c r="AU1422" s="1"/>
      <c r="AX1422" s="1"/>
    </row>
    <row r="1423" spans="47:50" ht="10.199999999999999">
      <c r="AU1423" s="1"/>
      <c r="AX1423" s="1"/>
    </row>
    <row r="1424" spans="47:50" ht="10.199999999999999">
      <c r="AU1424" s="1"/>
      <c r="AX1424" s="1"/>
    </row>
    <row r="1425" spans="47:50" ht="10.199999999999999">
      <c r="AU1425" s="1"/>
      <c r="AX1425" s="1"/>
    </row>
    <row r="1426" spans="47:50" ht="10.199999999999999">
      <c r="AU1426" s="1"/>
      <c r="AX1426" s="1"/>
    </row>
    <row r="1427" spans="47:50" ht="10.199999999999999">
      <c r="AU1427" s="1"/>
      <c r="AX1427" s="1"/>
    </row>
    <row r="1428" spans="47:50" ht="10.199999999999999">
      <c r="AU1428" s="1"/>
      <c r="AX1428" s="1"/>
    </row>
    <row r="1429" spans="47:50" ht="10.199999999999999">
      <c r="AU1429" s="1"/>
      <c r="AX1429" s="1"/>
    </row>
    <row r="1430" spans="47:50" ht="10.199999999999999">
      <c r="AU1430" s="1"/>
      <c r="AX1430" s="1"/>
    </row>
    <row r="1431" spans="47:50" ht="10.199999999999999">
      <c r="AU1431" s="1"/>
      <c r="AX1431" s="1"/>
    </row>
    <row r="1432" spans="47:50" ht="10.199999999999999">
      <c r="AU1432" s="1"/>
      <c r="AX1432" s="1"/>
    </row>
    <row r="1433" spans="47:50" ht="10.199999999999999">
      <c r="AU1433" s="1"/>
      <c r="AX1433" s="1"/>
    </row>
    <row r="1434" spans="47:50" ht="10.199999999999999">
      <c r="AU1434" s="1"/>
      <c r="AX1434" s="1"/>
    </row>
    <row r="1435" spans="47:50" ht="10.199999999999999">
      <c r="AU1435" s="1"/>
      <c r="AX1435" s="1"/>
    </row>
    <row r="1436" spans="47:50" ht="10.199999999999999">
      <c r="AU1436" s="1"/>
      <c r="AX1436" s="1"/>
    </row>
    <row r="1437" spans="47:50" ht="10.199999999999999">
      <c r="AU1437" s="1"/>
      <c r="AX1437" s="1"/>
    </row>
    <row r="1438" spans="47:50" ht="10.199999999999999">
      <c r="AU1438" s="1"/>
      <c r="AX1438" s="1"/>
    </row>
    <row r="1439" spans="47:50" ht="10.199999999999999">
      <c r="AU1439" s="1"/>
      <c r="AX1439" s="1"/>
    </row>
    <row r="1440" spans="47:50" ht="10.199999999999999">
      <c r="AU1440" s="1"/>
      <c r="AX1440" s="1"/>
    </row>
    <row r="1441" spans="47:50" ht="10.199999999999999">
      <c r="AU1441" s="1"/>
      <c r="AX1441" s="1"/>
    </row>
    <row r="1442" spans="47:50" ht="10.199999999999999">
      <c r="AU1442" s="1"/>
      <c r="AX1442" s="1"/>
    </row>
    <row r="1443" spans="47:50" ht="10.199999999999999">
      <c r="AU1443" s="1"/>
      <c r="AX1443" s="1"/>
    </row>
    <row r="1444" spans="47:50" ht="10.199999999999999">
      <c r="AU1444" s="1"/>
      <c r="AX1444" s="1"/>
    </row>
    <row r="1445" spans="47:50" ht="10.199999999999999">
      <c r="AU1445" s="1"/>
      <c r="AX1445" s="1"/>
    </row>
    <row r="1446" spans="47:50" ht="10.199999999999999">
      <c r="AU1446" s="1"/>
      <c r="AX1446" s="1"/>
    </row>
    <row r="1447" spans="47:50" ht="10.199999999999999">
      <c r="AU1447" s="1"/>
      <c r="AX1447" s="1"/>
    </row>
    <row r="1448" spans="47:50" ht="10.199999999999999">
      <c r="AU1448" s="1"/>
      <c r="AX1448" s="1"/>
    </row>
    <row r="1449" spans="47:50" ht="10.199999999999999">
      <c r="AU1449" s="1"/>
      <c r="AX1449" s="1"/>
    </row>
    <row r="1450" spans="47:50" ht="10.199999999999999">
      <c r="AU1450" s="1"/>
      <c r="AX1450" s="1"/>
    </row>
    <row r="1451" spans="47:50" ht="10.199999999999999">
      <c r="AU1451" s="1"/>
      <c r="AX1451" s="1"/>
    </row>
    <row r="1452" spans="47:50" ht="10.199999999999999">
      <c r="AU1452" s="1"/>
      <c r="AX1452" s="1"/>
    </row>
    <row r="1453" spans="47:50" ht="10.199999999999999">
      <c r="AU1453" s="1"/>
      <c r="AX1453" s="1"/>
    </row>
    <row r="1454" spans="47:50" ht="10.199999999999999">
      <c r="AU1454" s="1"/>
      <c r="AX1454" s="1"/>
    </row>
    <row r="1455" spans="47:50" ht="10.199999999999999">
      <c r="AU1455" s="1"/>
      <c r="AX1455" s="1"/>
    </row>
    <row r="1456" spans="47:50" ht="10.199999999999999">
      <c r="AU1456" s="1"/>
      <c r="AX1456" s="1"/>
    </row>
    <row r="1457" spans="47:50" ht="10.199999999999999">
      <c r="AU1457" s="1"/>
      <c r="AX1457" s="1"/>
    </row>
    <row r="1458" spans="47:50" ht="10.199999999999999">
      <c r="AU1458" s="1"/>
      <c r="AX1458" s="1"/>
    </row>
    <row r="1459" spans="47:50" ht="10.199999999999999">
      <c r="AU1459" s="1"/>
      <c r="AX1459" s="1"/>
    </row>
    <row r="1460" spans="47:50" ht="10.199999999999999">
      <c r="AU1460" s="1"/>
      <c r="AX1460" s="1"/>
    </row>
    <row r="1461" spans="47:50" ht="10.199999999999999">
      <c r="AU1461" s="1"/>
      <c r="AX1461" s="1"/>
    </row>
    <row r="1462" spans="47:50" ht="10.199999999999999">
      <c r="AU1462" s="1"/>
      <c r="AX1462" s="1"/>
    </row>
    <row r="1463" spans="47:50" ht="10.199999999999999">
      <c r="AU1463" s="1"/>
      <c r="AX1463" s="1"/>
    </row>
    <row r="1464" spans="47:50" ht="10.199999999999999">
      <c r="AU1464" s="1"/>
      <c r="AX1464" s="1"/>
    </row>
    <row r="1465" spans="47:50" ht="10.199999999999999">
      <c r="AU1465" s="1"/>
      <c r="AX1465" s="1"/>
    </row>
    <row r="1466" spans="47:50" ht="10.199999999999999">
      <c r="AU1466" s="1"/>
      <c r="AX1466" s="1"/>
    </row>
    <row r="1467" spans="47:50" ht="10.199999999999999">
      <c r="AU1467" s="1"/>
      <c r="AX1467" s="1"/>
    </row>
    <row r="1468" spans="47:50" ht="10.199999999999999">
      <c r="AU1468" s="1"/>
      <c r="AX1468" s="1"/>
    </row>
    <row r="1469" spans="47:50" ht="10.199999999999999">
      <c r="AU1469" s="1"/>
      <c r="AX1469" s="1"/>
    </row>
    <row r="1470" spans="47:50" ht="10.199999999999999">
      <c r="AU1470" s="1"/>
      <c r="AX1470" s="1"/>
    </row>
    <row r="1471" spans="47:50" ht="10.199999999999999">
      <c r="AU1471" s="1"/>
      <c r="AX1471" s="1"/>
    </row>
    <row r="1472" spans="47:50" ht="10.199999999999999">
      <c r="AU1472" s="1"/>
      <c r="AX1472" s="1"/>
    </row>
    <row r="1473" spans="47:50" ht="10.199999999999999">
      <c r="AU1473" s="1"/>
      <c r="AX1473" s="1"/>
    </row>
    <row r="1474" spans="47:50" ht="10.199999999999999">
      <c r="AU1474" s="1"/>
      <c r="AX1474" s="1"/>
    </row>
    <row r="1475" spans="47:50" ht="10.199999999999999">
      <c r="AU1475" s="1"/>
      <c r="AX1475" s="1"/>
    </row>
    <row r="1476" spans="47:50" ht="10.199999999999999">
      <c r="AU1476" s="1"/>
      <c r="AX1476" s="1"/>
    </row>
    <row r="1477" spans="47:50" ht="10.199999999999999">
      <c r="AU1477" s="1"/>
      <c r="AX1477" s="1"/>
    </row>
    <row r="1478" spans="47:50" ht="10.199999999999999">
      <c r="AU1478" s="1"/>
      <c r="AX1478" s="1"/>
    </row>
    <row r="1479" spans="47:50" ht="10.199999999999999">
      <c r="AU1479" s="1"/>
      <c r="AX1479" s="1"/>
    </row>
    <row r="1480" spans="47:50" ht="10.199999999999999">
      <c r="AU1480" s="1"/>
      <c r="AX1480" s="1"/>
    </row>
    <row r="1481" spans="47:50" ht="10.199999999999999">
      <c r="AU1481" s="1"/>
      <c r="AX1481" s="1"/>
    </row>
    <row r="1482" spans="47:50" ht="10.199999999999999">
      <c r="AU1482" s="1"/>
      <c r="AX1482" s="1"/>
    </row>
    <row r="1483" spans="47:50" ht="10.199999999999999">
      <c r="AU1483" s="1"/>
      <c r="AX1483" s="1"/>
    </row>
    <row r="1484" spans="47:50" ht="10.199999999999999">
      <c r="AU1484" s="1"/>
      <c r="AX1484" s="1"/>
    </row>
    <row r="1485" spans="47:50" ht="10.199999999999999">
      <c r="AU1485" s="1"/>
      <c r="AX1485" s="1"/>
    </row>
    <row r="1486" spans="47:50" ht="10.199999999999999">
      <c r="AU1486" s="1"/>
      <c r="AX1486" s="1"/>
    </row>
    <row r="1487" spans="47:50" ht="10.199999999999999">
      <c r="AU1487" s="1"/>
      <c r="AX1487" s="1"/>
    </row>
    <row r="1488" spans="47:50" ht="10.199999999999999">
      <c r="AU1488" s="1"/>
      <c r="AX1488" s="1"/>
    </row>
    <row r="1489" spans="47:50" ht="10.199999999999999">
      <c r="AU1489" s="1"/>
      <c r="AX1489" s="1"/>
    </row>
    <row r="1490" spans="47:50" ht="10.199999999999999">
      <c r="AU1490" s="1"/>
      <c r="AX1490" s="1"/>
    </row>
    <row r="1491" spans="47:50" ht="10.199999999999999">
      <c r="AU1491" s="1"/>
      <c r="AX1491" s="1"/>
    </row>
    <row r="1492" spans="47:50" ht="10.199999999999999">
      <c r="AU1492" s="1"/>
      <c r="AX1492" s="1"/>
    </row>
    <row r="1493" spans="47:50" ht="10.199999999999999">
      <c r="AU1493" s="1"/>
      <c r="AX1493" s="1"/>
    </row>
    <row r="1494" spans="47:50" ht="10.199999999999999">
      <c r="AU1494" s="1"/>
      <c r="AX1494" s="1"/>
    </row>
    <row r="1495" spans="47:50" ht="10.199999999999999">
      <c r="AU1495" s="1"/>
      <c r="AX1495" s="1"/>
    </row>
    <row r="1496" spans="47:50" ht="10.199999999999999">
      <c r="AU1496" s="1"/>
      <c r="AX1496" s="1"/>
    </row>
    <row r="1497" spans="47:50" ht="10.199999999999999">
      <c r="AU1497" s="1"/>
      <c r="AX1497" s="1"/>
    </row>
    <row r="1498" spans="47:50" ht="10.199999999999999">
      <c r="AU1498" s="1"/>
      <c r="AX1498" s="1"/>
    </row>
    <row r="1499" spans="47:50" ht="10.199999999999999">
      <c r="AU1499" s="1"/>
      <c r="AX1499" s="1"/>
    </row>
    <row r="1500" spans="47:50" ht="10.199999999999999">
      <c r="AU1500" s="1"/>
      <c r="AX1500" s="1"/>
    </row>
    <row r="1501" spans="47:50" ht="10.199999999999999">
      <c r="AU1501" s="1"/>
      <c r="AX1501" s="1"/>
    </row>
    <row r="1502" spans="47:50" ht="10.199999999999999">
      <c r="AU1502" s="1"/>
      <c r="AX1502" s="1"/>
    </row>
    <row r="1503" spans="47:50" ht="10.199999999999999">
      <c r="AU1503" s="1"/>
      <c r="AX1503" s="1"/>
    </row>
    <row r="1504" spans="47:50" ht="10.199999999999999">
      <c r="AU1504" s="1"/>
      <c r="AX1504" s="1"/>
    </row>
    <row r="1505" spans="47:50" ht="10.199999999999999">
      <c r="AU1505" s="1"/>
      <c r="AX1505" s="1"/>
    </row>
    <row r="1506" spans="47:50" ht="10.199999999999999">
      <c r="AU1506" s="1"/>
      <c r="AX1506" s="1"/>
    </row>
    <row r="1507" spans="47:50" ht="10.199999999999999">
      <c r="AU1507" s="1"/>
      <c r="AX1507" s="1"/>
    </row>
    <row r="1508" spans="47:50" ht="10.199999999999999">
      <c r="AU1508" s="1"/>
      <c r="AX1508" s="1"/>
    </row>
    <row r="1509" spans="47:50" ht="10.199999999999999">
      <c r="AU1509" s="1"/>
      <c r="AX1509" s="1"/>
    </row>
    <row r="1510" spans="47:50" ht="10.199999999999999">
      <c r="AU1510" s="1"/>
      <c r="AX1510" s="1"/>
    </row>
    <row r="1511" spans="47:50" ht="10.199999999999999">
      <c r="AU1511" s="1"/>
      <c r="AX1511" s="1"/>
    </row>
    <row r="1512" spans="47:50" ht="10.199999999999999">
      <c r="AU1512" s="1"/>
      <c r="AX1512" s="1"/>
    </row>
    <row r="1513" spans="47:50" ht="10.199999999999999">
      <c r="AU1513" s="1"/>
      <c r="AX1513" s="1"/>
    </row>
    <row r="1514" spans="47:50" ht="10.199999999999999">
      <c r="AU1514" s="1"/>
      <c r="AX1514" s="1"/>
    </row>
    <row r="1515" spans="47:50" ht="10.199999999999999">
      <c r="AU1515" s="1"/>
      <c r="AX1515" s="1"/>
    </row>
    <row r="1516" spans="47:50" ht="10.199999999999999">
      <c r="AU1516" s="1"/>
      <c r="AX1516" s="1"/>
    </row>
    <row r="1517" spans="47:50" ht="10.199999999999999">
      <c r="AU1517" s="1"/>
      <c r="AX1517" s="1"/>
    </row>
    <row r="1518" spans="47:50" ht="10.199999999999999">
      <c r="AU1518" s="1"/>
      <c r="AX1518" s="1"/>
    </row>
    <row r="1519" spans="47:50" ht="10.199999999999999">
      <c r="AU1519" s="1"/>
      <c r="AX1519" s="1"/>
    </row>
    <row r="1520" spans="47:50" ht="10.199999999999999">
      <c r="AU1520" s="1"/>
      <c r="AX1520" s="1"/>
    </row>
    <row r="1521" spans="47:50" ht="10.199999999999999">
      <c r="AU1521" s="1"/>
      <c r="AX1521" s="1"/>
    </row>
    <row r="1522" spans="47:50" ht="10.199999999999999">
      <c r="AU1522" s="1"/>
      <c r="AX1522" s="1"/>
    </row>
    <row r="1523" spans="47:50" ht="10.199999999999999">
      <c r="AU1523" s="1"/>
      <c r="AX1523" s="1"/>
    </row>
    <row r="1524" spans="47:50" ht="10.199999999999999">
      <c r="AU1524" s="1"/>
      <c r="AX1524" s="1"/>
    </row>
    <row r="1525" spans="47:50" ht="10.199999999999999">
      <c r="AU1525" s="1"/>
      <c r="AX1525" s="1"/>
    </row>
    <row r="1526" spans="47:50" ht="10.199999999999999">
      <c r="AU1526" s="1"/>
      <c r="AX1526" s="1"/>
    </row>
    <row r="1527" spans="47:50" ht="10.199999999999999">
      <c r="AU1527" s="1"/>
      <c r="AX1527" s="1"/>
    </row>
    <row r="1528" spans="47:50" ht="10.199999999999999">
      <c r="AU1528" s="1"/>
      <c r="AX1528" s="1"/>
    </row>
    <row r="1529" spans="47:50" ht="10.199999999999999">
      <c r="AU1529" s="1"/>
      <c r="AX1529" s="1"/>
    </row>
    <row r="1530" spans="47:50" ht="10.199999999999999">
      <c r="AU1530" s="1"/>
      <c r="AX1530" s="1"/>
    </row>
    <row r="1531" spans="47:50" ht="10.199999999999999">
      <c r="AU1531" s="1"/>
      <c r="AX1531" s="1"/>
    </row>
    <row r="1532" spans="47:50" ht="10.199999999999999">
      <c r="AU1532" s="1"/>
      <c r="AX1532" s="1"/>
    </row>
    <row r="1533" spans="47:50" ht="10.199999999999999">
      <c r="AU1533" s="1"/>
      <c r="AX1533" s="1"/>
    </row>
    <row r="1534" spans="47:50" ht="10.199999999999999">
      <c r="AU1534" s="1"/>
      <c r="AX1534" s="1"/>
    </row>
    <row r="1535" spans="47:50" ht="10.199999999999999">
      <c r="AU1535" s="1"/>
      <c r="AX1535" s="1"/>
    </row>
    <row r="1536" spans="47:50" ht="10.199999999999999">
      <c r="AU1536" s="1"/>
      <c r="AX1536" s="1"/>
    </row>
    <row r="1537" spans="47:50" ht="10.199999999999999">
      <c r="AU1537" s="1"/>
      <c r="AX1537" s="1"/>
    </row>
    <row r="1538" spans="47:50" ht="10.199999999999999">
      <c r="AU1538" s="1"/>
      <c r="AX1538" s="1"/>
    </row>
    <row r="1539" spans="47:50" ht="10.199999999999999">
      <c r="AU1539" s="1"/>
      <c r="AX1539" s="1"/>
    </row>
    <row r="1540" spans="47:50" ht="10.199999999999999">
      <c r="AU1540" s="1"/>
      <c r="AX1540" s="1"/>
    </row>
    <row r="1541" spans="47:50" ht="10.199999999999999">
      <c r="AU1541" s="1"/>
      <c r="AX1541" s="1"/>
    </row>
    <row r="1542" spans="47:50" ht="10.199999999999999">
      <c r="AU1542" s="1"/>
      <c r="AX1542" s="1"/>
    </row>
    <row r="1543" spans="47:50" ht="10.199999999999999">
      <c r="AU1543" s="1"/>
      <c r="AX1543" s="1"/>
    </row>
    <row r="1544" spans="47:50" ht="10.199999999999999">
      <c r="AU1544" s="1"/>
      <c r="AX1544" s="1"/>
    </row>
    <row r="1545" spans="47:50" ht="10.199999999999999">
      <c r="AU1545" s="1"/>
      <c r="AX1545" s="1"/>
    </row>
    <row r="1546" spans="47:50" ht="10.199999999999999">
      <c r="AU1546" s="1"/>
      <c r="AX1546" s="1"/>
    </row>
    <row r="1547" spans="47:50" ht="10.199999999999999">
      <c r="AU1547" s="1"/>
      <c r="AX1547" s="1"/>
    </row>
    <row r="1548" spans="47:50" ht="10.199999999999999">
      <c r="AU1548" s="1"/>
      <c r="AX1548" s="1"/>
    </row>
    <row r="1549" spans="47:50" ht="10.199999999999999">
      <c r="AU1549" s="1"/>
      <c r="AX1549" s="1"/>
    </row>
    <row r="1550" spans="47:50" ht="10.199999999999999">
      <c r="AU1550" s="1"/>
      <c r="AX1550" s="1"/>
    </row>
    <row r="1551" spans="47:50" ht="10.199999999999999">
      <c r="AU1551" s="1"/>
      <c r="AX1551" s="1"/>
    </row>
    <row r="1552" spans="47:50" ht="10.199999999999999">
      <c r="AU1552" s="1"/>
      <c r="AX1552" s="1"/>
    </row>
    <row r="1553" spans="47:50" ht="10.199999999999999">
      <c r="AU1553" s="1"/>
      <c r="AX1553" s="1"/>
    </row>
    <row r="1554" spans="47:50" ht="10.199999999999999">
      <c r="AU1554" s="1"/>
      <c r="AX1554" s="1"/>
    </row>
    <row r="1555" spans="47:50" ht="10.199999999999999">
      <c r="AU1555" s="1"/>
      <c r="AX1555" s="1"/>
    </row>
    <row r="1556" spans="47:50" ht="10.199999999999999">
      <c r="AU1556" s="1"/>
      <c r="AX1556" s="1"/>
    </row>
    <row r="1557" spans="47:50" ht="10.199999999999999">
      <c r="AU1557" s="1"/>
      <c r="AX1557" s="1"/>
    </row>
    <row r="1558" spans="47:50" ht="10.199999999999999">
      <c r="AU1558" s="1"/>
      <c r="AX1558" s="1"/>
    </row>
    <row r="1559" spans="47:50" ht="10.199999999999999">
      <c r="AU1559" s="1"/>
      <c r="AX1559" s="1"/>
    </row>
    <row r="1560" spans="47:50" ht="10.199999999999999">
      <c r="AU1560" s="1"/>
      <c r="AX1560" s="1"/>
    </row>
    <row r="1561" spans="47:50" ht="10.199999999999999">
      <c r="AU1561" s="1"/>
      <c r="AX1561" s="1"/>
    </row>
    <row r="1562" spans="47:50" ht="10.199999999999999">
      <c r="AU1562" s="1"/>
      <c r="AX1562" s="1"/>
    </row>
    <row r="1563" spans="47:50" ht="10.199999999999999">
      <c r="AU1563" s="1"/>
      <c r="AX1563" s="1"/>
    </row>
    <row r="1564" spans="47:50" ht="10.199999999999999">
      <c r="AU1564" s="1"/>
      <c r="AX1564" s="1"/>
    </row>
    <row r="1565" spans="47:50" ht="10.199999999999999">
      <c r="AU1565" s="1"/>
      <c r="AX1565" s="1"/>
    </row>
    <row r="1566" spans="47:50" ht="10.199999999999999">
      <c r="AU1566" s="1"/>
      <c r="AX1566" s="1"/>
    </row>
    <row r="1567" spans="47:50" ht="10.199999999999999">
      <c r="AU1567" s="1"/>
      <c r="AX1567" s="1"/>
    </row>
    <row r="1568" spans="47:50" ht="10.199999999999999">
      <c r="AU1568" s="1"/>
      <c r="AX1568" s="1"/>
    </row>
    <row r="1569" spans="47:50" ht="10.199999999999999">
      <c r="AU1569" s="1"/>
      <c r="AX1569" s="1"/>
    </row>
    <row r="1570" spans="47:50" ht="10.199999999999999">
      <c r="AU1570" s="1"/>
      <c r="AX1570" s="1"/>
    </row>
    <row r="1571" spans="47:50" ht="10.199999999999999">
      <c r="AU1571" s="1"/>
      <c r="AX1571" s="1"/>
    </row>
    <row r="1572" spans="47:50" ht="10.199999999999999">
      <c r="AU1572" s="1"/>
      <c r="AX1572" s="1"/>
    </row>
    <row r="1573" spans="47:50" ht="10.199999999999999">
      <c r="AU1573" s="1"/>
      <c r="AX1573" s="1"/>
    </row>
    <row r="1574" spans="47:50" ht="10.199999999999999">
      <c r="AU1574" s="1"/>
      <c r="AX1574" s="1"/>
    </row>
    <row r="1575" spans="47:50" ht="10.199999999999999">
      <c r="AU1575" s="1"/>
      <c r="AX1575" s="1"/>
    </row>
    <row r="1576" spans="47:50" ht="10.199999999999999">
      <c r="AU1576" s="1"/>
      <c r="AX1576" s="1"/>
    </row>
    <row r="1577" spans="47:50" ht="10.199999999999999">
      <c r="AU1577" s="1"/>
      <c r="AX1577" s="1"/>
    </row>
    <row r="1578" spans="47:50" ht="10.199999999999999">
      <c r="AU1578" s="1"/>
      <c r="AX1578" s="1"/>
    </row>
    <row r="1579" spans="47:50" ht="10.199999999999999">
      <c r="AU1579" s="1"/>
      <c r="AX1579" s="1"/>
    </row>
    <row r="1580" spans="47:50" ht="10.199999999999999">
      <c r="AU1580" s="1"/>
      <c r="AX1580" s="1"/>
    </row>
    <row r="1581" spans="47:50" ht="10.199999999999999">
      <c r="AU1581" s="1"/>
      <c r="AX1581" s="1"/>
    </row>
    <row r="1582" spans="47:50" ht="10.199999999999999">
      <c r="AU1582" s="1"/>
      <c r="AX1582" s="1"/>
    </row>
    <row r="1583" spans="47:50" ht="10.199999999999999">
      <c r="AU1583" s="1"/>
      <c r="AX1583" s="1"/>
    </row>
    <row r="1584" spans="47:50" ht="10.199999999999999">
      <c r="AU1584" s="1"/>
      <c r="AX1584" s="1"/>
    </row>
    <row r="1585" spans="47:50" ht="10.199999999999999">
      <c r="AU1585" s="1"/>
      <c r="AX1585" s="1"/>
    </row>
    <row r="1586" spans="47:50" ht="10.199999999999999">
      <c r="AU1586" s="1"/>
      <c r="AX1586" s="1"/>
    </row>
    <row r="1587" spans="47:50" ht="10.199999999999999">
      <c r="AU1587" s="1"/>
      <c r="AX1587" s="1"/>
    </row>
    <row r="1588" spans="47:50" ht="10.199999999999999">
      <c r="AU1588" s="1"/>
      <c r="AX1588" s="1"/>
    </row>
    <row r="1589" spans="47:50" ht="10.199999999999999">
      <c r="AU1589" s="1"/>
      <c r="AX1589" s="1"/>
    </row>
    <row r="1590" spans="47:50" ht="10.199999999999999">
      <c r="AU1590" s="1"/>
      <c r="AX1590" s="1"/>
    </row>
    <row r="1591" spans="47:50" ht="10.199999999999999">
      <c r="AU1591" s="1"/>
      <c r="AX1591" s="1"/>
    </row>
    <row r="1592" spans="47:50" ht="10.199999999999999">
      <c r="AU1592" s="1"/>
      <c r="AX1592" s="1"/>
    </row>
    <row r="1593" spans="47:50" ht="10.199999999999999">
      <c r="AU1593" s="1"/>
      <c r="AX1593" s="1"/>
    </row>
    <row r="1594" spans="47:50" ht="10.199999999999999">
      <c r="AU1594" s="1"/>
      <c r="AX1594" s="1"/>
    </row>
    <row r="1595" spans="47:50" ht="10.199999999999999">
      <c r="AU1595" s="1"/>
      <c r="AX1595" s="1"/>
    </row>
    <row r="1596" spans="47:50" ht="10.199999999999999">
      <c r="AU1596" s="1"/>
      <c r="AX1596" s="1"/>
    </row>
    <row r="1597" spans="47:50" ht="10.199999999999999">
      <c r="AU1597" s="1"/>
      <c r="AX1597" s="1"/>
    </row>
    <row r="1598" spans="47:50" ht="10.199999999999999">
      <c r="AU1598" s="1"/>
      <c r="AX1598" s="1"/>
    </row>
    <row r="1599" spans="47:50" ht="10.199999999999999">
      <c r="AU1599" s="1"/>
      <c r="AX1599" s="1"/>
    </row>
    <row r="1600" spans="47:50" ht="10.199999999999999">
      <c r="AU1600" s="1"/>
      <c r="AX1600" s="1"/>
    </row>
    <row r="1601" spans="47:50" ht="10.199999999999999">
      <c r="AU1601" s="1"/>
      <c r="AX1601" s="1"/>
    </row>
    <row r="1602" spans="47:50" ht="10.199999999999999">
      <c r="AU1602" s="1"/>
      <c r="AX1602" s="1"/>
    </row>
    <row r="1603" spans="47:50" ht="10.199999999999999">
      <c r="AU1603" s="1"/>
      <c r="AX1603" s="1"/>
    </row>
    <row r="1604" spans="47:50" ht="10.199999999999999">
      <c r="AU1604" s="1"/>
      <c r="AX1604" s="1"/>
    </row>
    <row r="1605" spans="47:50" ht="10.199999999999999">
      <c r="AU1605" s="1"/>
      <c r="AX1605" s="1"/>
    </row>
    <row r="1606" spans="47:50" ht="10.199999999999999">
      <c r="AU1606" s="1"/>
      <c r="AX1606" s="1"/>
    </row>
    <row r="1607" spans="47:50" ht="10.199999999999999">
      <c r="AU1607" s="1"/>
      <c r="AX1607" s="1"/>
    </row>
    <row r="1608" spans="47:50" ht="10.199999999999999">
      <c r="AU1608" s="1"/>
      <c r="AX1608" s="1"/>
    </row>
    <row r="1609" spans="47:50" ht="10.199999999999999">
      <c r="AU1609" s="1"/>
      <c r="AX1609" s="1"/>
    </row>
    <row r="1610" spans="47:50" ht="10.199999999999999">
      <c r="AU1610" s="1"/>
      <c r="AX1610" s="1"/>
    </row>
    <row r="1611" spans="47:50" ht="10.199999999999999">
      <c r="AU1611" s="1"/>
      <c r="AX1611" s="1"/>
    </row>
    <row r="1612" spans="47:50" ht="10.199999999999999">
      <c r="AU1612" s="1"/>
      <c r="AX1612" s="1"/>
    </row>
    <row r="1613" spans="47:50" ht="10.199999999999999">
      <c r="AU1613" s="1"/>
      <c r="AX1613" s="1"/>
    </row>
    <row r="1614" spans="47:50" ht="10.199999999999999">
      <c r="AU1614" s="1"/>
      <c r="AX1614" s="1"/>
    </row>
    <row r="1615" spans="47:50" ht="10.199999999999999">
      <c r="AU1615" s="1"/>
      <c r="AX1615" s="1"/>
    </row>
    <row r="1616" spans="47:50" ht="10.199999999999999">
      <c r="AU1616" s="1"/>
      <c r="AX1616" s="1"/>
    </row>
    <row r="1617" spans="47:50" ht="10.199999999999999">
      <c r="AU1617" s="1"/>
      <c r="AX1617" s="1"/>
    </row>
    <row r="1618" spans="47:50" ht="10.199999999999999">
      <c r="AU1618" s="1"/>
      <c r="AX1618" s="1"/>
    </row>
    <row r="1619" spans="47:50" ht="10.199999999999999">
      <c r="AU1619" s="1"/>
      <c r="AX1619" s="1"/>
    </row>
    <row r="1620" spans="47:50" ht="10.199999999999999">
      <c r="AU1620" s="1"/>
      <c r="AX1620" s="1"/>
    </row>
    <row r="1621" spans="47:50" ht="10.199999999999999">
      <c r="AU1621" s="1"/>
      <c r="AX1621" s="1"/>
    </row>
    <row r="1622" spans="47:50" ht="10.199999999999999">
      <c r="AU1622" s="1"/>
      <c r="AX1622" s="1"/>
    </row>
    <row r="1623" spans="47:50" ht="10.199999999999999">
      <c r="AU1623" s="1"/>
      <c r="AX1623" s="1"/>
    </row>
    <row r="1624" spans="47:50" ht="10.199999999999999">
      <c r="AU1624" s="1"/>
      <c r="AX1624" s="1"/>
    </row>
    <row r="1625" spans="47:50" ht="10.199999999999999">
      <c r="AU1625" s="1"/>
      <c r="AX1625" s="1"/>
    </row>
    <row r="1626" spans="47:50" ht="10.199999999999999">
      <c r="AU1626" s="1"/>
      <c r="AX1626" s="1"/>
    </row>
    <row r="1627" spans="47:50" ht="10.199999999999999">
      <c r="AU1627" s="1"/>
      <c r="AX1627" s="1"/>
    </row>
    <row r="1628" spans="47:50" ht="10.199999999999999">
      <c r="AU1628" s="1"/>
      <c r="AX1628" s="1"/>
    </row>
    <row r="1629" spans="47:50" ht="10.199999999999999">
      <c r="AU1629" s="1"/>
      <c r="AX1629" s="1"/>
    </row>
    <row r="1630" spans="47:50" ht="10.199999999999999">
      <c r="AU1630" s="1"/>
      <c r="AX1630" s="1"/>
    </row>
    <row r="1631" spans="47:50" ht="10.199999999999999">
      <c r="AU1631" s="1"/>
      <c r="AX1631" s="1"/>
    </row>
    <row r="1632" spans="47:50" ht="10.199999999999999">
      <c r="AU1632" s="1"/>
      <c r="AX1632" s="1"/>
    </row>
    <row r="1633" spans="47:50" ht="10.199999999999999">
      <c r="AU1633" s="1"/>
      <c r="AX1633" s="1"/>
    </row>
    <row r="1634" spans="47:50" ht="10.199999999999999">
      <c r="AU1634" s="1"/>
      <c r="AX1634" s="1"/>
    </row>
    <row r="1635" spans="47:50" ht="10.199999999999999">
      <c r="AU1635" s="1"/>
      <c r="AX1635" s="1"/>
    </row>
    <row r="1636" spans="47:50" ht="10.199999999999999">
      <c r="AU1636" s="1"/>
      <c r="AX1636" s="1"/>
    </row>
    <row r="1637" spans="47:50" ht="10.199999999999999">
      <c r="AU1637" s="1"/>
      <c r="AX1637" s="1"/>
    </row>
    <row r="1638" spans="47:50" ht="10.199999999999999">
      <c r="AU1638" s="1"/>
      <c r="AX1638" s="1"/>
    </row>
    <row r="1639" spans="47:50" ht="10.199999999999999">
      <c r="AU1639" s="1"/>
      <c r="AX1639" s="1"/>
    </row>
    <row r="1640" spans="47:50" ht="10.199999999999999">
      <c r="AU1640" s="1"/>
      <c r="AX1640" s="1"/>
    </row>
    <row r="1641" spans="47:50" ht="10.199999999999999">
      <c r="AU1641" s="1"/>
      <c r="AX1641" s="1"/>
    </row>
    <row r="1642" spans="47:50" ht="10.199999999999999">
      <c r="AU1642" s="1"/>
      <c r="AX1642" s="1"/>
    </row>
    <row r="1643" spans="47:50" ht="10.199999999999999">
      <c r="AU1643" s="1"/>
      <c r="AX1643" s="1"/>
    </row>
    <row r="1644" spans="47:50" ht="10.199999999999999">
      <c r="AU1644" s="1"/>
      <c r="AX1644" s="1"/>
    </row>
    <row r="1645" spans="47:50" ht="10.199999999999999">
      <c r="AU1645" s="1"/>
      <c r="AX1645" s="1"/>
    </row>
    <row r="1646" spans="47:50" ht="10.199999999999999">
      <c r="AU1646" s="1"/>
      <c r="AX1646" s="1"/>
    </row>
    <row r="1647" spans="47:50" ht="10.199999999999999">
      <c r="AU1647" s="1"/>
      <c r="AX1647" s="1"/>
    </row>
    <row r="1648" spans="47:50" ht="10.199999999999999">
      <c r="AU1648" s="1"/>
      <c r="AX1648" s="1"/>
    </row>
    <row r="1649" spans="47:50" ht="10.199999999999999">
      <c r="AU1649" s="1"/>
      <c r="AX1649" s="1"/>
    </row>
    <row r="1650" spans="47:50" ht="10.199999999999999">
      <c r="AU1650" s="1"/>
      <c r="AX1650" s="1"/>
    </row>
    <row r="1651" spans="47:50" ht="10.199999999999999">
      <c r="AU1651" s="1"/>
      <c r="AX1651" s="1"/>
    </row>
    <row r="1652" spans="47:50" ht="10.199999999999999">
      <c r="AU1652" s="1"/>
      <c r="AX1652" s="1"/>
    </row>
    <row r="1653" spans="47:50" ht="10.199999999999999">
      <c r="AU1653" s="1"/>
      <c r="AX1653" s="1"/>
    </row>
    <row r="1654" spans="47:50" ht="10.199999999999999">
      <c r="AU1654" s="1"/>
      <c r="AX1654" s="1"/>
    </row>
    <row r="1655" spans="47:50" ht="10.199999999999999">
      <c r="AU1655" s="1"/>
      <c r="AX1655" s="1"/>
    </row>
    <row r="1656" spans="47:50" ht="10.199999999999999">
      <c r="AU1656" s="1"/>
      <c r="AX1656" s="1"/>
    </row>
    <row r="1657" spans="47:50" ht="10.199999999999999">
      <c r="AU1657" s="1"/>
      <c r="AX1657" s="1"/>
    </row>
    <row r="1658" spans="47:50" ht="10.199999999999999">
      <c r="AU1658" s="1"/>
      <c r="AX1658" s="1"/>
    </row>
    <row r="1659" spans="47:50" ht="10.199999999999999">
      <c r="AU1659" s="1"/>
      <c r="AX1659" s="1"/>
    </row>
    <row r="1660" spans="47:50" ht="10.199999999999999">
      <c r="AU1660" s="1"/>
      <c r="AX1660" s="1"/>
    </row>
    <row r="1661" spans="47:50" ht="10.199999999999999">
      <c r="AU1661" s="1"/>
      <c r="AX1661" s="1"/>
    </row>
    <row r="1662" spans="47:50" ht="10.199999999999999">
      <c r="AU1662" s="1"/>
      <c r="AX1662" s="1"/>
    </row>
    <row r="1663" spans="47:50" ht="10.199999999999999">
      <c r="AU1663" s="1"/>
      <c r="AX1663" s="1"/>
    </row>
    <row r="1664" spans="47:50" ht="10.199999999999999">
      <c r="AU1664" s="1"/>
      <c r="AX1664" s="1"/>
    </row>
    <row r="1665" spans="47:50" ht="10.199999999999999">
      <c r="AU1665" s="1"/>
      <c r="AX1665" s="1"/>
    </row>
    <row r="1666" spans="47:50" ht="10.199999999999999">
      <c r="AU1666" s="1"/>
      <c r="AX1666" s="1"/>
    </row>
    <row r="1667" spans="47:50" ht="10.199999999999999">
      <c r="AU1667" s="1"/>
      <c r="AX1667" s="1"/>
    </row>
    <row r="1668" spans="47:50" ht="10.199999999999999">
      <c r="AU1668" s="1"/>
      <c r="AX1668" s="1"/>
    </row>
    <row r="1669" spans="47:50" ht="10.199999999999999">
      <c r="AU1669" s="1"/>
      <c r="AX1669" s="1"/>
    </row>
    <row r="1670" spans="47:50" ht="10.199999999999999">
      <c r="AU1670" s="1"/>
      <c r="AX1670" s="1"/>
    </row>
    <row r="1671" spans="47:50" ht="10.199999999999999">
      <c r="AU1671" s="1"/>
      <c r="AX1671" s="1"/>
    </row>
    <row r="1672" spans="47:50" ht="10.199999999999999">
      <c r="AU1672" s="1"/>
      <c r="AX1672" s="1"/>
    </row>
    <row r="1673" spans="47:50" ht="10.199999999999999">
      <c r="AU1673" s="1"/>
      <c r="AX1673" s="1"/>
    </row>
    <row r="1674" spans="47:50" ht="10.199999999999999">
      <c r="AU1674" s="1"/>
      <c r="AX1674" s="1"/>
    </row>
    <row r="1675" spans="47:50" ht="10.199999999999999">
      <c r="AU1675" s="1"/>
      <c r="AX1675" s="1"/>
    </row>
    <row r="1676" spans="47:50" ht="10.199999999999999">
      <c r="AU1676" s="1"/>
      <c r="AX1676" s="1"/>
    </row>
    <row r="1677" spans="47:50" ht="10.199999999999999">
      <c r="AU1677" s="1"/>
      <c r="AX1677" s="1"/>
    </row>
    <row r="1678" spans="47:50" ht="10.199999999999999">
      <c r="AU1678" s="1"/>
      <c r="AX1678" s="1"/>
    </row>
    <row r="1679" spans="47:50" ht="10.199999999999999">
      <c r="AU1679" s="1"/>
      <c r="AX1679" s="1"/>
    </row>
    <row r="1680" spans="47:50" ht="10.199999999999999">
      <c r="AU1680" s="1"/>
      <c r="AX1680" s="1"/>
    </row>
    <row r="1681" spans="47:50" ht="10.199999999999999">
      <c r="AU1681" s="1"/>
      <c r="AX1681" s="1"/>
    </row>
    <row r="1682" spans="47:50" ht="10.199999999999999">
      <c r="AU1682" s="1"/>
      <c r="AX1682" s="1"/>
    </row>
    <row r="1683" spans="47:50" ht="10.199999999999999">
      <c r="AU1683" s="1"/>
      <c r="AX1683" s="1"/>
    </row>
    <row r="1684" spans="47:50" ht="10.199999999999999">
      <c r="AU1684" s="1"/>
      <c r="AX1684" s="1"/>
    </row>
    <row r="1685" spans="47:50" ht="10.199999999999999">
      <c r="AU1685" s="1"/>
      <c r="AX1685" s="1"/>
    </row>
    <row r="1686" spans="47:50" ht="10.199999999999999">
      <c r="AU1686" s="1"/>
      <c r="AX1686" s="1"/>
    </row>
    <row r="1687" spans="47:50" ht="10.199999999999999">
      <c r="AU1687" s="1"/>
      <c r="AX1687" s="1"/>
    </row>
    <row r="1688" spans="47:50" ht="10.199999999999999">
      <c r="AU1688" s="1"/>
      <c r="AX1688" s="1"/>
    </row>
    <row r="1689" spans="47:50" ht="10.199999999999999">
      <c r="AU1689" s="1"/>
      <c r="AX1689" s="1"/>
    </row>
    <row r="1690" spans="47:50" ht="10.199999999999999">
      <c r="AU1690" s="1"/>
      <c r="AX1690" s="1"/>
    </row>
    <row r="1691" spans="47:50" ht="10.199999999999999">
      <c r="AU1691" s="1"/>
      <c r="AX1691" s="1"/>
    </row>
    <row r="1692" spans="47:50" ht="10.199999999999999">
      <c r="AU1692" s="1"/>
      <c r="AX1692" s="1"/>
    </row>
    <row r="1693" spans="47:50" ht="10.199999999999999">
      <c r="AU1693" s="1"/>
      <c r="AX1693" s="1"/>
    </row>
    <row r="1694" spans="47:50" ht="10.199999999999999">
      <c r="AU1694" s="1"/>
      <c r="AX1694" s="1"/>
    </row>
    <row r="1695" spans="47:50" ht="10.199999999999999">
      <c r="AU1695" s="1"/>
      <c r="AX1695" s="1"/>
    </row>
    <row r="1696" spans="47:50" ht="10.199999999999999">
      <c r="AU1696" s="1"/>
      <c r="AX1696" s="1"/>
    </row>
    <row r="1697" spans="47:50" ht="10.199999999999999">
      <c r="AU1697" s="1"/>
      <c r="AX1697" s="1"/>
    </row>
    <row r="1698" spans="47:50" ht="10.199999999999999">
      <c r="AU1698" s="1"/>
      <c r="AX1698" s="1"/>
    </row>
    <row r="1699" spans="47:50" ht="10.199999999999999">
      <c r="AU1699" s="1"/>
      <c r="AX1699" s="1"/>
    </row>
    <row r="1700" spans="47:50" ht="10.199999999999999">
      <c r="AU1700" s="1"/>
      <c r="AX1700" s="1"/>
    </row>
    <row r="1701" spans="47:50" ht="10.199999999999999">
      <c r="AU1701" s="1"/>
      <c r="AX1701" s="1"/>
    </row>
    <row r="1702" spans="47:50" ht="10.199999999999999">
      <c r="AU1702" s="1"/>
      <c r="AX1702" s="1"/>
    </row>
    <row r="1703" spans="47:50" ht="10.199999999999999">
      <c r="AU1703" s="1"/>
      <c r="AX1703" s="1"/>
    </row>
    <row r="1704" spans="47:50" ht="10.199999999999999">
      <c r="AU1704" s="1"/>
      <c r="AX1704" s="1"/>
    </row>
    <row r="1705" spans="47:50" ht="10.199999999999999">
      <c r="AU1705" s="1"/>
      <c r="AX1705" s="1"/>
    </row>
    <row r="1706" spans="47:50" ht="10.199999999999999">
      <c r="AU1706" s="1"/>
      <c r="AX1706" s="1"/>
    </row>
    <row r="1707" spans="47:50" ht="10.199999999999999">
      <c r="AU1707" s="1"/>
      <c r="AX1707" s="1"/>
    </row>
    <row r="1708" spans="47:50" ht="10.199999999999999">
      <c r="AU1708" s="1"/>
      <c r="AX1708" s="1"/>
    </row>
    <row r="1709" spans="47:50" ht="10.199999999999999">
      <c r="AU1709" s="1"/>
      <c r="AX1709" s="1"/>
    </row>
    <row r="1710" spans="47:50" ht="10.199999999999999">
      <c r="AU1710" s="1"/>
      <c r="AX1710" s="1"/>
    </row>
    <row r="1711" spans="47:50" ht="10.199999999999999">
      <c r="AU1711" s="1"/>
      <c r="AX1711" s="1"/>
    </row>
    <row r="1712" spans="47:50" ht="10.199999999999999">
      <c r="AU1712" s="1"/>
      <c r="AX1712" s="1"/>
    </row>
    <row r="1713" spans="47:50" ht="10.199999999999999">
      <c r="AU1713" s="1"/>
      <c r="AX1713" s="1"/>
    </row>
    <row r="1714" spans="47:50" ht="10.199999999999999">
      <c r="AU1714" s="1"/>
      <c r="AX1714" s="1"/>
    </row>
    <row r="1715" spans="47:50" ht="10.199999999999999">
      <c r="AU1715" s="1"/>
      <c r="AX1715" s="1"/>
    </row>
    <row r="1716" spans="47:50" ht="10.199999999999999">
      <c r="AU1716" s="1"/>
      <c r="AX1716" s="1"/>
    </row>
    <row r="1717" spans="47:50" ht="10.199999999999999">
      <c r="AU1717" s="1"/>
      <c r="AX1717" s="1"/>
    </row>
    <row r="1718" spans="47:50" ht="10.199999999999999">
      <c r="AU1718" s="1"/>
      <c r="AX1718" s="1"/>
    </row>
    <row r="1719" spans="47:50" ht="10.199999999999999">
      <c r="AU1719" s="1"/>
      <c r="AX1719" s="1"/>
    </row>
    <row r="1720" spans="47:50" ht="10.199999999999999">
      <c r="AU1720" s="1"/>
      <c r="AX1720" s="1"/>
    </row>
    <row r="1721" spans="47:50" ht="10.199999999999999">
      <c r="AU1721" s="1"/>
      <c r="AX1721" s="1"/>
    </row>
    <row r="1722" spans="47:50" ht="10.199999999999999">
      <c r="AU1722" s="1"/>
      <c r="AX1722" s="1"/>
    </row>
    <row r="1723" spans="47:50" ht="10.199999999999999">
      <c r="AU1723" s="1"/>
      <c r="AX1723" s="1"/>
    </row>
    <row r="1724" spans="47:50" ht="10.199999999999999">
      <c r="AU1724" s="1"/>
      <c r="AX1724" s="1"/>
    </row>
    <row r="1725" spans="47:50" ht="10.199999999999999">
      <c r="AU1725" s="1"/>
      <c r="AX1725" s="1"/>
    </row>
    <row r="1726" spans="47:50" ht="10.199999999999999">
      <c r="AU1726" s="1"/>
      <c r="AX1726" s="1"/>
    </row>
    <row r="1727" spans="47:50" ht="10.199999999999999">
      <c r="AU1727" s="1"/>
      <c r="AX1727" s="1"/>
    </row>
    <row r="1728" spans="47:50" ht="10.199999999999999">
      <c r="AU1728" s="1"/>
      <c r="AX1728" s="1"/>
    </row>
    <row r="1729" spans="47:50" ht="10.199999999999999">
      <c r="AU1729" s="1"/>
      <c r="AX1729" s="1"/>
    </row>
    <row r="1730" spans="47:50" ht="10.199999999999999">
      <c r="AU1730" s="1"/>
      <c r="AX1730" s="1"/>
    </row>
    <row r="1731" spans="47:50" ht="10.199999999999999">
      <c r="AU1731" s="1"/>
      <c r="AX1731" s="1"/>
    </row>
    <row r="1732" spans="47:50" ht="10.199999999999999">
      <c r="AU1732" s="1"/>
      <c r="AX1732" s="1"/>
    </row>
    <row r="1733" spans="47:50" ht="10.199999999999999">
      <c r="AU1733" s="1"/>
      <c r="AX1733" s="1"/>
    </row>
    <row r="1734" spans="47:50" ht="10.199999999999999">
      <c r="AU1734" s="1"/>
      <c r="AX1734" s="1"/>
    </row>
    <row r="1735" spans="47:50" ht="10.199999999999999">
      <c r="AU1735" s="1"/>
      <c r="AX1735" s="1"/>
    </row>
    <row r="1736" spans="47:50" ht="10.199999999999999">
      <c r="AU1736" s="1"/>
      <c r="AX1736" s="1"/>
    </row>
    <row r="1737" spans="47:50" ht="10.199999999999999">
      <c r="AU1737" s="1"/>
      <c r="AX1737" s="1"/>
    </row>
    <row r="1738" spans="47:50" ht="10.199999999999999">
      <c r="AU1738" s="1"/>
      <c r="AX1738" s="1"/>
    </row>
    <row r="1739" spans="47:50" ht="10.199999999999999">
      <c r="AU1739" s="1"/>
      <c r="AX1739" s="1"/>
    </row>
    <row r="1740" spans="47:50" ht="10.199999999999999">
      <c r="AU1740" s="1"/>
      <c r="AX1740" s="1"/>
    </row>
    <row r="1741" spans="47:50" ht="10.199999999999999">
      <c r="AU1741" s="1"/>
      <c r="AX1741" s="1"/>
    </row>
    <row r="1742" spans="47:50" ht="10.199999999999999">
      <c r="AU1742" s="1"/>
      <c r="AX1742" s="1"/>
    </row>
    <row r="1743" spans="47:50" ht="10.199999999999999">
      <c r="AU1743" s="1"/>
      <c r="AX1743" s="1"/>
    </row>
    <row r="1744" spans="47:50" ht="10.199999999999999">
      <c r="AU1744" s="1"/>
      <c r="AX1744" s="1"/>
    </row>
    <row r="1745" spans="47:50" ht="10.199999999999999">
      <c r="AU1745" s="1"/>
      <c r="AX1745" s="1"/>
    </row>
    <row r="1746" spans="47:50" ht="10.199999999999999">
      <c r="AU1746" s="1"/>
      <c r="AX1746" s="1"/>
    </row>
    <row r="1747" spans="47:50" ht="10.199999999999999">
      <c r="AU1747" s="1"/>
      <c r="AX1747" s="1"/>
    </row>
    <row r="1748" spans="47:50" ht="10.199999999999999">
      <c r="AU1748" s="1"/>
      <c r="AX1748" s="1"/>
    </row>
    <row r="1749" spans="47:50" ht="10.199999999999999">
      <c r="AU1749" s="1"/>
      <c r="AX1749" s="1"/>
    </row>
    <row r="1750" spans="47:50" ht="10.199999999999999">
      <c r="AU1750" s="1"/>
      <c r="AX1750" s="1"/>
    </row>
    <row r="1751" spans="47:50" ht="10.199999999999999">
      <c r="AU1751" s="1"/>
      <c r="AX1751" s="1"/>
    </row>
    <row r="1752" spans="47:50" ht="10.199999999999999">
      <c r="AU1752" s="1"/>
      <c r="AX1752" s="1"/>
    </row>
    <row r="1753" spans="47:50" ht="10.199999999999999">
      <c r="AU1753" s="1"/>
      <c r="AX1753" s="1"/>
    </row>
    <row r="1754" spans="47:50" ht="10.199999999999999">
      <c r="AU1754" s="1"/>
      <c r="AX1754" s="1"/>
    </row>
    <row r="1755" spans="47:50" ht="10.199999999999999">
      <c r="AU1755" s="1"/>
      <c r="AX1755" s="1"/>
    </row>
    <row r="1756" spans="47:50" ht="10.199999999999999">
      <c r="AU1756" s="1"/>
      <c r="AX1756" s="1"/>
    </row>
    <row r="1757" spans="47:50" ht="10.199999999999999">
      <c r="AU1757" s="1"/>
      <c r="AX1757" s="1"/>
    </row>
    <row r="1758" spans="47:50" ht="10.199999999999999">
      <c r="AU1758" s="1"/>
      <c r="AX1758" s="1"/>
    </row>
    <row r="1759" spans="47:50" ht="10.199999999999999">
      <c r="AU1759" s="1"/>
      <c r="AX1759" s="1"/>
    </row>
    <row r="1760" spans="47:50" ht="10.199999999999999">
      <c r="AU1760" s="1"/>
      <c r="AX1760" s="1"/>
    </row>
    <row r="1761" spans="47:50" ht="10.199999999999999">
      <c r="AU1761" s="1"/>
      <c r="AX1761" s="1"/>
    </row>
    <row r="1762" spans="47:50" ht="10.199999999999999">
      <c r="AU1762" s="1"/>
      <c r="AX1762" s="1"/>
    </row>
    <row r="1763" spans="47:50" ht="10.199999999999999">
      <c r="AU1763" s="1"/>
      <c r="AX1763" s="1"/>
    </row>
    <row r="1764" spans="47:50" ht="10.199999999999999">
      <c r="AU1764" s="1"/>
      <c r="AX1764" s="1"/>
    </row>
    <row r="1765" spans="47:50" ht="10.199999999999999">
      <c r="AU1765" s="1"/>
      <c r="AX1765" s="1"/>
    </row>
    <row r="1766" spans="47:50" ht="10.199999999999999">
      <c r="AU1766" s="1"/>
      <c r="AX1766" s="1"/>
    </row>
    <row r="1767" spans="47:50" ht="10.199999999999999">
      <c r="AU1767" s="1"/>
      <c r="AX1767" s="1"/>
    </row>
    <row r="1768" spans="47:50" ht="10.199999999999999">
      <c r="AU1768" s="1"/>
      <c r="AX1768" s="1"/>
    </row>
    <row r="1769" spans="47:50" ht="10.199999999999999">
      <c r="AU1769" s="1"/>
      <c r="AX1769" s="1"/>
    </row>
    <row r="1770" spans="47:50" ht="10.199999999999999">
      <c r="AU1770" s="1"/>
      <c r="AX1770" s="1"/>
    </row>
    <row r="1771" spans="47:50" ht="10.199999999999999">
      <c r="AU1771" s="1"/>
      <c r="AX1771" s="1"/>
    </row>
    <row r="1772" spans="47:50" ht="10.199999999999999">
      <c r="AU1772" s="1"/>
      <c r="AX1772" s="1"/>
    </row>
    <row r="1773" spans="47:50" ht="10.199999999999999">
      <c r="AU1773" s="1"/>
      <c r="AX1773" s="1"/>
    </row>
    <row r="1774" spans="47:50" ht="10.199999999999999">
      <c r="AU1774" s="1"/>
      <c r="AX1774" s="1"/>
    </row>
    <row r="1775" spans="47:50" ht="10.199999999999999">
      <c r="AU1775" s="1"/>
      <c r="AX1775" s="1"/>
    </row>
    <row r="1776" spans="47:50" ht="10.199999999999999">
      <c r="AU1776" s="1"/>
      <c r="AX1776" s="1"/>
    </row>
    <row r="1777" spans="47:50" ht="10.199999999999999">
      <c r="AU1777" s="1"/>
      <c r="AX1777" s="1"/>
    </row>
    <row r="1778" spans="47:50" ht="10.199999999999999">
      <c r="AU1778" s="1"/>
      <c r="AX1778" s="1"/>
    </row>
    <row r="1779" spans="47:50" ht="10.199999999999999">
      <c r="AU1779" s="1"/>
      <c r="AX1779" s="1"/>
    </row>
    <row r="1780" spans="47:50" ht="10.199999999999999">
      <c r="AU1780" s="1"/>
      <c r="AX1780" s="1"/>
    </row>
    <row r="1781" spans="47:50" ht="10.199999999999999">
      <c r="AU1781" s="1"/>
      <c r="AX1781" s="1"/>
    </row>
    <row r="1782" spans="47:50" ht="10.199999999999999">
      <c r="AU1782" s="1"/>
      <c r="AX1782" s="1"/>
    </row>
    <row r="1783" spans="47:50" ht="10.199999999999999">
      <c r="AU1783" s="1"/>
      <c r="AX1783" s="1"/>
    </row>
    <row r="1784" spans="47:50" ht="10.199999999999999">
      <c r="AU1784" s="1"/>
      <c r="AX1784" s="1"/>
    </row>
    <row r="1785" spans="47:50" ht="10.199999999999999">
      <c r="AU1785" s="1"/>
      <c r="AX1785" s="1"/>
    </row>
    <row r="1786" spans="47:50" ht="10.199999999999999">
      <c r="AU1786" s="1"/>
      <c r="AX1786" s="1"/>
    </row>
    <row r="1787" spans="47:50" ht="10.199999999999999">
      <c r="AU1787" s="1"/>
      <c r="AX1787" s="1"/>
    </row>
    <row r="1788" spans="47:50" ht="10.199999999999999">
      <c r="AU1788" s="1"/>
      <c r="AX1788" s="1"/>
    </row>
    <row r="1789" spans="47:50" ht="10.199999999999999">
      <c r="AU1789" s="1"/>
      <c r="AX1789" s="1"/>
    </row>
    <row r="1790" spans="47:50" ht="10.199999999999999">
      <c r="AU1790" s="1"/>
      <c r="AX1790" s="1"/>
    </row>
    <row r="1791" spans="47:50" ht="10.199999999999999">
      <c r="AU1791" s="1"/>
      <c r="AX1791" s="1"/>
    </row>
    <row r="1792" spans="47:50" ht="10.199999999999999">
      <c r="AU1792" s="1"/>
      <c r="AX1792" s="1"/>
    </row>
    <row r="1793" spans="47:50" ht="10.199999999999999">
      <c r="AU1793" s="1"/>
      <c r="AX1793" s="1"/>
    </row>
    <row r="1794" spans="47:50" ht="10.199999999999999">
      <c r="AU1794" s="1"/>
      <c r="AX1794" s="1"/>
    </row>
    <row r="1795" spans="47:50" ht="10.199999999999999">
      <c r="AU1795" s="1"/>
      <c r="AX1795" s="1"/>
    </row>
    <row r="1796" spans="47:50" ht="10.199999999999999">
      <c r="AU1796" s="1"/>
      <c r="AX1796" s="1"/>
    </row>
    <row r="1797" spans="47:50" ht="10.199999999999999">
      <c r="AU1797" s="1"/>
      <c r="AX1797" s="1"/>
    </row>
    <row r="1798" spans="47:50" ht="10.199999999999999">
      <c r="AU1798" s="1"/>
      <c r="AX1798" s="1"/>
    </row>
    <row r="1799" spans="47:50" ht="10.199999999999999">
      <c r="AU1799" s="1"/>
      <c r="AX1799" s="1"/>
    </row>
    <row r="1800" spans="47:50" ht="10.199999999999999">
      <c r="AU1800" s="1"/>
      <c r="AX1800" s="1"/>
    </row>
    <row r="1801" spans="47:50" ht="10.199999999999999">
      <c r="AU1801" s="1"/>
      <c r="AX1801" s="1"/>
    </row>
    <row r="1802" spans="47:50" ht="10.199999999999999">
      <c r="AU1802" s="1"/>
      <c r="AX1802" s="1"/>
    </row>
    <row r="1803" spans="47:50" ht="10.199999999999999">
      <c r="AU1803" s="1"/>
      <c r="AX1803" s="1"/>
    </row>
    <row r="1804" spans="47:50" ht="10.199999999999999">
      <c r="AU1804" s="1"/>
      <c r="AX1804" s="1"/>
    </row>
    <row r="1805" spans="47:50" ht="10.199999999999999">
      <c r="AU1805" s="1"/>
      <c r="AX1805" s="1"/>
    </row>
    <row r="1806" spans="47:50" ht="10.199999999999999">
      <c r="AU1806" s="1"/>
      <c r="AX1806" s="1"/>
    </row>
    <row r="1807" spans="47:50" ht="10.199999999999999">
      <c r="AU1807" s="1"/>
      <c r="AX1807" s="1"/>
    </row>
    <row r="1808" spans="47:50" ht="10.199999999999999">
      <c r="AU1808" s="1"/>
      <c r="AX1808" s="1"/>
    </row>
    <row r="1809" spans="47:50" ht="10.199999999999999">
      <c r="AU1809" s="1"/>
      <c r="AX1809" s="1"/>
    </row>
    <row r="1810" spans="47:50" ht="10.199999999999999">
      <c r="AU1810" s="1"/>
      <c r="AX1810" s="1"/>
    </row>
    <row r="1811" spans="47:50" ht="10.199999999999999">
      <c r="AU1811" s="1"/>
      <c r="AX1811" s="1"/>
    </row>
    <row r="1812" spans="47:50" ht="10.199999999999999">
      <c r="AU1812" s="1"/>
      <c r="AX1812" s="1"/>
    </row>
    <row r="1813" spans="47:50" ht="10.199999999999999">
      <c r="AU1813" s="1"/>
      <c r="AX1813" s="1"/>
    </row>
    <row r="1814" spans="47:50" ht="10.199999999999999">
      <c r="AU1814" s="1"/>
      <c r="AX1814" s="1"/>
    </row>
    <row r="1815" spans="47:50" ht="10.199999999999999">
      <c r="AU1815" s="1"/>
      <c r="AX1815" s="1"/>
    </row>
    <row r="1816" spans="47:50" ht="10.199999999999999">
      <c r="AU1816" s="1"/>
      <c r="AX1816" s="1"/>
    </row>
    <row r="1817" spans="47:50" ht="10.199999999999999">
      <c r="AU1817" s="1"/>
      <c r="AX1817" s="1"/>
    </row>
    <row r="1818" spans="47:50" ht="10.199999999999999">
      <c r="AU1818" s="1"/>
      <c r="AX1818" s="1"/>
    </row>
    <row r="1819" spans="47:50" ht="10.199999999999999">
      <c r="AU1819" s="1"/>
      <c r="AX1819" s="1"/>
    </row>
    <row r="1820" spans="47:50" ht="10.199999999999999">
      <c r="AU1820" s="1"/>
      <c r="AX1820" s="1"/>
    </row>
    <row r="1821" spans="47:50" ht="10.199999999999999">
      <c r="AU1821" s="1"/>
      <c r="AX1821" s="1"/>
    </row>
    <row r="1822" spans="47:50" ht="10.199999999999999">
      <c r="AU1822" s="1"/>
      <c r="AX1822" s="1"/>
    </row>
    <row r="1823" spans="47:50" ht="10.199999999999999">
      <c r="AU1823" s="1"/>
      <c r="AX1823" s="1"/>
    </row>
    <row r="1824" spans="47:50" ht="10.199999999999999">
      <c r="AU1824" s="1"/>
      <c r="AX1824" s="1"/>
    </row>
    <row r="1825" spans="47:50" ht="10.199999999999999">
      <c r="AU1825" s="1"/>
      <c r="AX1825" s="1"/>
    </row>
    <row r="1826" spans="47:50" ht="10.199999999999999">
      <c r="AU1826" s="1"/>
      <c r="AX1826" s="1"/>
    </row>
    <row r="1827" spans="47:50" ht="10.199999999999999">
      <c r="AU1827" s="1"/>
      <c r="AX1827" s="1"/>
    </row>
    <row r="1828" spans="47:50" ht="10.199999999999999">
      <c r="AU1828" s="1"/>
      <c r="AX1828" s="1"/>
    </row>
    <row r="1829" spans="47:50" ht="10.199999999999999">
      <c r="AU1829" s="1"/>
      <c r="AX1829" s="1"/>
    </row>
    <row r="1830" spans="47:50" ht="10.199999999999999">
      <c r="AU1830" s="1"/>
      <c r="AX1830" s="1"/>
    </row>
    <row r="1831" spans="47:50" ht="10.199999999999999">
      <c r="AU1831" s="1"/>
      <c r="AX1831" s="1"/>
    </row>
    <row r="1832" spans="47:50" ht="10.199999999999999">
      <c r="AU1832" s="1"/>
      <c r="AX1832" s="1"/>
    </row>
    <row r="1833" spans="47:50" ht="10.199999999999999">
      <c r="AU1833" s="1"/>
      <c r="AX1833" s="1"/>
    </row>
    <row r="1834" spans="47:50" ht="10.199999999999999">
      <c r="AU1834" s="1"/>
      <c r="AX1834" s="1"/>
    </row>
    <row r="1835" spans="47:50" ht="10.199999999999999">
      <c r="AU1835" s="1"/>
      <c r="AX1835" s="1"/>
    </row>
    <row r="1836" spans="47:50" ht="10.199999999999999">
      <c r="AU1836" s="1"/>
      <c r="AX1836" s="1"/>
    </row>
    <row r="1837" spans="47:50" ht="10.199999999999999">
      <c r="AU1837" s="1"/>
      <c r="AX1837" s="1"/>
    </row>
    <row r="1838" spans="47:50" ht="10.199999999999999">
      <c r="AU1838" s="1"/>
      <c r="AX1838" s="1"/>
    </row>
    <row r="1839" spans="47:50" ht="10.199999999999999">
      <c r="AU1839" s="1"/>
      <c r="AX1839" s="1"/>
    </row>
    <row r="1840" spans="47:50" ht="10.199999999999999">
      <c r="AU1840" s="1"/>
      <c r="AX1840" s="1"/>
    </row>
    <row r="1841" spans="47:50" ht="10.199999999999999">
      <c r="AU1841" s="1"/>
      <c r="AX1841" s="1"/>
    </row>
    <row r="1842" spans="47:50" ht="10.199999999999999">
      <c r="AU1842" s="1"/>
      <c r="AX1842" s="1"/>
    </row>
    <row r="1843" spans="47:50" ht="10.199999999999999">
      <c r="AU1843" s="1"/>
      <c r="AX1843" s="1"/>
    </row>
    <row r="1844" spans="47:50" ht="10.199999999999999">
      <c r="AU1844" s="1"/>
      <c r="AX1844" s="1"/>
    </row>
    <row r="1845" spans="47:50" ht="10.199999999999999">
      <c r="AU1845" s="1"/>
      <c r="AX1845" s="1"/>
    </row>
    <row r="1846" spans="47:50" ht="10.199999999999999">
      <c r="AU1846" s="1"/>
      <c r="AX1846" s="1"/>
    </row>
    <row r="1847" spans="47:50" ht="10.199999999999999">
      <c r="AU1847" s="1"/>
      <c r="AX1847" s="1"/>
    </row>
    <row r="1848" spans="47:50" ht="10.199999999999999">
      <c r="AU1848" s="1"/>
      <c r="AX1848" s="1"/>
    </row>
    <row r="1849" spans="47:50" ht="10.199999999999999">
      <c r="AU1849" s="1"/>
      <c r="AX1849" s="1"/>
    </row>
    <row r="1850" spans="47:50" ht="10.199999999999999">
      <c r="AU1850" s="1"/>
      <c r="AX1850" s="1"/>
    </row>
    <row r="1851" spans="47:50" ht="10.199999999999999">
      <c r="AU1851" s="1"/>
      <c r="AX1851" s="1"/>
    </row>
    <row r="1852" spans="47:50" ht="10.199999999999999">
      <c r="AU1852" s="1"/>
      <c r="AX1852" s="1"/>
    </row>
    <row r="1853" spans="47:50" ht="10.199999999999999">
      <c r="AU1853" s="1"/>
      <c r="AX1853" s="1"/>
    </row>
    <row r="1854" spans="47:50" ht="10.199999999999999">
      <c r="AU1854" s="1"/>
      <c r="AX1854" s="1"/>
    </row>
    <row r="1855" spans="47:50" ht="10.199999999999999">
      <c r="AU1855" s="1"/>
      <c r="AX1855" s="1"/>
    </row>
    <row r="1856" spans="47:50" ht="10.199999999999999">
      <c r="AU1856" s="1"/>
      <c r="AX1856" s="1"/>
    </row>
    <row r="1857" spans="47:50" ht="10.199999999999999">
      <c r="AU1857" s="1"/>
      <c r="AX1857" s="1"/>
    </row>
    <row r="1858" spans="47:50" ht="10.199999999999999">
      <c r="AU1858" s="1"/>
      <c r="AX1858" s="1"/>
    </row>
    <row r="1859" spans="47:50" ht="10.199999999999999">
      <c r="AU1859" s="1"/>
      <c r="AX1859" s="1"/>
    </row>
    <row r="1860" spans="47:50" ht="10.199999999999999">
      <c r="AU1860" s="1"/>
      <c r="AX1860" s="1"/>
    </row>
    <row r="1861" spans="47:50" ht="10.199999999999999">
      <c r="AU1861" s="1"/>
      <c r="AX1861" s="1"/>
    </row>
    <row r="1862" spans="47:50" ht="10.199999999999999">
      <c r="AU1862" s="1"/>
      <c r="AX1862" s="1"/>
    </row>
    <row r="1863" spans="47:50" ht="10.199999999999999">
      <c r="AU1863" s="1"/>
      <c r="AX1863" s="1"/>
    </row>
    <row r="1864" spans="47:50" ht="10.199999999999999">
      <c r="AU1864" s="1"/>
      <c r="AX1864" s="1"/>
    </row>
    <row r="1865" spans="47:50" ht="10.199999999999999">
      <c r="AU1865" s="1"/>
      <c r="AX1865" s="1"/>
    </row>
    <row r="1866" spans="47:50" ht="10.199999999999999">
      <c r="AU1866" s="1"/>
      <c r="AX1866" s="1"/>
    </row>
    <row r="1867" spans="47:50" ht="10.199999999999999">
      <c r="AU1867" s="1"/>
      <c r="AX1867" s="1"/>
    </row>
    <row r="1868" spans="47:50" ht="10.199999999999999">
      <c r="AU1868" s="1"/>
      <c r="AX1868" s="1"/>
    </row>
    <row r="1869" spans="47:50" ht="10.199999999999999">
      <c r="AU1869" s="1"/>
      <c r="AX1869" s="1"/>
    </row>
    <row r="1870" spans="47:50" ht="10.199999999999999">
      <c r="AU1870" s="1"/>
      <c r="AX1870" s="1"/>
    </row>
    <row r="1871" spans="47:50" ht="10.199999999999999">
      <c r="AU1871" s="1"/>
      <c r="AX1871" s="1"/>
    </row>
    <row r="1872" spans="47:50" ht="10.199999999999999">
      <c r="AU1872" s="1"/>
      <c r="AX1872" s="1"/>
    </row>
    <row r="1873" spans="47:50" ht="10.199999999999999">
      <c r="AU1873" s="1"/>
      <c r="AX1873" s="1"/>
    </row>
    <row r="1874" spans="47:50" ht="10.199999999999999">
      <c r="AU1874" s="1"/>
      <c r="AX1874" s="1"/>
    </row>
    <row r="1875" spans="47:50" ht="10.199999999999999">
      <c r="AU1875" s="1"/>
      <c r="AX1875" s="1"/>
    </row>
    <row r="1876" spans="47:50" ht="10.199999999999999">
      <c r="AU1876" s="1"/>
      <c r="AX1876" s="1"/>
    </row>
    <row r="1877" spans="47:50" ht="10.199999999999999">
      <c r="AU1877" s="1"/>
      <c r="AX1877" s="1"/>
    </row>
    <row r="1878" spans="47:50" ht="10.199999999999999">
      <c r="AU1878" s="1"/>
      <c r="AX1878" s="1"/>
    </row>
    <row r="1879" spans="47:50" ht="10.199999999999999">
      <c r="AU1879" s="1"/>
      <c r="AX1879" s="1"/>
    </row>
    <row r="1880" spans="47:50" ht="10.199999999999999">
      <c r="AU1880" s="1"/>
      <c r="AX1880" s="1"/>
    </row>
    <row r="1881" spans="47:50" ht="10.199999999999999">
      <c r="AU1881" s="1"/>
      <c r="AX1881" s="1"/>
    </row>
    <row r="1882" spans="47:50" ht="10.199999999999999">
      <c r="AU1882" s="1"/>
      <c r="AX1882" s="1"/>
    </row>
    <row r="1883" spans="47:50" ht="10.199999999999999">
      <c r="AU1883" s="1"/>
      <c r="AX1883" s="1"/>
    </row>
    <row r="1884" spans="47:50" ht="10.199999999999999">
      <c r="AU1884" s="1"/>
      <c r="AX1884" s="1"/>
    </row>
    <row r="1885" spans="47:50" ht="10.199999999999999">
      <c r="AU1885" s="1"/>
      <c r="AX1885" s="1"/>
    </row>
    <row r="1886" spans="47:50" ht="10.199999999999999">
      <c r="AU1886" s="1"/>
      <c r="AX1886" s="1"/>
    </row>
    <row r="1887" spans="47:50" ht="10.199999999999999">
      <c r="AU1887" s="1"/>
      <c r="AX1887" s="1"/>
    </row>
    <row r="1888" spans="47:50" ht="10.199999999999999">
      <c r="AU1888" s="1"/>
      <c r="AX1888" s="1"/>
    </row>
    <row r="1889" spans="47:50" ht="10.199999999999999">
      <c r="AU1889" s="1"/>
      <c r="AX1889" s="1"/>
    </row>
    <row r="1890" spans="47:50" ht="10.199999999999999">
      <c r="AU1890" s="1"/>
      <c r="AX1890" s="1"/>
    </row>
    <row r="1891" spans="47:50" ht="10.199999999999999">
      <c r="AU1891" s="1"/>
      <c r="AX1891" s="1"/>
    </row>
    <row r="1892" spans="47:50" ht="10.199999999999999">
      <c r="AU1892" s="1"/>
      <c r="AX1892" s="1"/>
    </row>
    <row r="1893" spans="47:50" ht="10.199999999999999">
      <c r="AU1893" s="1"/>
      <c r="AX1893" s="1"/>
    </row>
    <row r="1894" spans="47:50" ht="10.199999999999999">
      <c r="AU1894" s="1"/>
      <c r="AX1894" s="1"/>
    </row>
    <row r="1895" spans="47:50" ht="10.199999999999999">
      <c r="AU1895" s="1"/>
      <c r="AX1895" s="1"/>
    </row>
    <row r="1896" spans="47:50" ht="10.199999999999999">
      <c r="AU1896" s="1"/>
      <c r="AX1896" s="1"/>
    </row>
    <row r="1897" spans="47:50" ht="10.199999999999999">
      <c r="AU1897" s="1"/>
      <c r="AX1897" s="1"/>
    </row>
    <row r="1898" spans="47:50" ht="10.199999999999999">
      <c r="AU1898" s="1"/>
      <c r="AX1898" s="1"/>
    </row>
    <row r="1899" spans="47:50" ht="10.199999999999999">
      <c r="AU1899" s="1"/>
      <c r="AX1899" s="1"/>
    </row>
    <row r="1900" spans="47:50" ht="10.199999999999999">
      <c r="AU1900" s="1"/>
      <c r="AX1900" s="1"/>
    </row>
    <row r="1901" spans="47:50" ht="10.199999999999999">
      <c r="AU1901" s="1"/>
      <c r="AX1901" s="1"/>
    </row>
    <row r="1902" spans="47:50" ht="10.199999999999999">
      <c r="AU1902" s="1"/>
      <c r="AX1902" s="1"/>
    </row>
    <row r="1903" spans="47:50" ht="10.199999999999999">
      <c r="AU1903" s="1"/>
      <c r="AX1903" s="1"/>
    </row>
    <row r="1904" spans="47:50" ht="10.199999999999999">
      <c r="AU1904" s="1"/>
      <c r="AX1904" s="1"/>
    </row>
    <row r="1905" spans="47:50" ht="10.199999999999999">
      <c r="AU1905" s="1"/>
      <c r="AX1905" s="1"/>
    </row>
    <row r="1906" spans="47:50" ht="10.199999999999999">
      <c r="AU1906" s="1"/>
      <c r="AX1906" s="1"/>
    </row>
    <row r="1907" spans="47:50" ht="10.199999999999999">
      <c r="AU1907" s="1"/>
      <c r="AX1907" s="1"/>
    </row>
    <row r="1908" spans="47:50" ht="10.199999999999999">
      <c r="AU1908" s="1"/>
      <c r="AX1908" s="1"/>
    </row>
    <row r="1909" spans="47:50" ht="10.199999999999999">
      <c r="AU1909" s="1"/>
      <c r="AX1909" s="1"/>
    </row>
    <row r="1910" spans="47:50" ht="10.199999999999999">
      <c r="AU1910" s="1"/>
      <c r="AX1910" s="1"/>
    </row>
    <row r="1911" spans="47:50" ht="10.199999999999999">
      <c r="AU1911" s="1"/>
      <c r="AX1911" s="1"/>
    </row>
    <row r="1912" spans="47:50" ht="10.199999999999999">
      <c r="AU1912" s="1"/>
      <c r="AX1912" s="1"/>
    </row>
    <row r="1913" spans="47:50" ht="10.199999999999999">
      <c r="AU1913" s="1"/>
      <c r="AX1913" s="1"/>
    </row>
    <row r="1914" spans="47:50" ht="10.199999999999999">
      <c r="AU1914" s="1"/>
      <c r="AX1914" s="1"/>
    </row>
    <row r="1915" spans="47:50" ht="10.199999999999999">
      <c r="AU1915" s="1"/>
      <c r="AX1915" s="1"/>
    </row>
    <row r="1916" spans="47:50" ht="10.199999999999999">
      <c r="AU1916" s="1"/>
      <c r="AX1916" s="1"/>
    </row>
    <row r="1917" spans="47:50" ht="10.199999999999999">
      <c r="AU1917" s="1"/>
      <c r="AX1917" s="1"/>
    </row>
    <row r="1918" spans="47:50" ht="10.199999999999999">
      <c r="AU1918" s="1"/>
      <c r="AX1918" s="1"/>
    </row>
    <row r="1919" spans="47:50" ht="10.199999999999999">
      <c r="AU1919" s="1"/>
      <c r="AX1919" s="1"/>
    </row>
    <row r="1920" spans="47:50" ht="10.199999999999999">
      <c r="AU1920" s="1"/>
      <c r="AX1920" s="1"/>
    </row>
    <row r="1921" spans="47:50" ht="10.199999999999999">
      <c r="AU1921" s="1"/>
      <c r="AX1921" s="1"/>
    </row>
    <row r="1922" spans="47:50" ht="10.199999999999999">
      <c r="AU1922" s="1"/>
      <c r="AX1922" s="1"/>
    </row>
    <row r="1923" spans="47:50" ht="10.199999999999999">
      <c r="AU1923" s="1"/>
      <c r="AX1923" s="1"/>
    </row>
    <row r="1924" spans="47:50" ht="10.199999999999999">
      <c r="AU1924" s="1"/>
      <c r="AX1924" s="1"/>
    </row>
    <row r="1925" spans="47:50" ht="10.199999999999999">
      <c r="AU1925" s="1"/>
      <c r="AX1925" s="1"/>
    </row>
    <row r="1926" spans="47:50" ht="10.199999999999999">
      <c r="AU1926" s="1"/>
      <c r="AX1926" s="1"/>
    </row>
    <row r="1927" spans="47:50" ht="10.199999999999999">
      <c r="AU1927" s="1"/>
      <c r="AX1927" s="1"/>
    </row>
    <row r="1928" spans="47:50" ht="10.199999999999999">
      <c r="AU1928" s="1"/>
      <c r="AX1928" s="1"/>
    </row>
    <row r="1929" spans="47:50" ht="10.199999999999999">
      <c r="AU1929" s="1"/>
      <c r="AX1929" s="1"/>
    </row>
    <row r="1930" spans="47:50" ht="10.199999999999999">
      <c r="AU1930" s="1"/>
      <c r="AX1930" s="1"/>
    </row>
    <row r="1931" spans="47:50" ht="10.199999999999999">
      <c r="AU1931" s="1"/>
      <c r="AX1931" s="1"/>
    </row>
    <row r="1932" spans="47:50" ht="10.199999999999999">
      <c r="AU1932" s="1"/>
      <c r="AX1932" s="1"/>
    </row>
    <row r="1933" spans="47:50" ht="10.199999999999999">
      <c r="AU1933" s="1"/>
      <c r="AX1933" s="1"/>
    </row>
    <row r="1934" spans="47:50" ht="10.199999999999999">
      <c r="AU1934" s="1"/>
      <c r="AX1934" s="1"/>
    </row>
    <row r="1935" spans="47:50" ht="10.199999999999999">
      <c r="AU1935" s="1"/>
      <c r="AX1935" s="1"/>
    </row>
    <row r="1936" spans="47:50" ht="10.199999999999999">
      <c r="AU1936" s="1"/>
      <c r="AX1936" s="1"/>
    </row>
    <row r="1937" spans="47:50" ht="10.199999999999999">
      <c r="AU1937" s="1"/>
      <c r="AX1937" s="1"/>
    </row>
    <row r="1938" spans="47:50" ht="10.199999999999999">
      <c r="AU1938" s="1"/>
      <c r="AX1938" s="1"/>
    </row>
    <row r="1939" spans="47:50" ht="10.199999999999999">
      <c r="AU1939" s="1"/>
      <c r="AX1939" s="1"/>
    </row>
    <row r="1940" spans="47:50" ht="10.199999999999999">
      <c r="AU1940" s="1"/>
      <c r="AX1940" s="1"/>
    </row>
    <row r="1941" spans="47:50" ht="10.199999999999999">
      <c r="AU1941" s="1"/>
      <c r="AX1941" s="1"/>
    </row>
    <row r="1942" spans="47:50" ht="10.199999999999999">
      <c r="AU1942" s="1"/>
      <c r="AX1942" s="1"/>
    </row>
    <row r="1943" spans="47:50" ht="10.199999999999999">
      <c r="AU1943" s="1"/>
      <c r="AX1943" s="1"/>
    </row>
    <row r="1944" spans="47:50" ht="10.199999999999999">
      <c r="AU1944" s="1"/>
      <c r="AX1944" s="1"/>
    </row>
    <row r="1945" spans="47:50" ht="10.199999999999999">
      <c r="AU1945" s="1"/>
      <c r="AX1945" s="1"/>
    </row>
    <row r="1946" spans="47:50" ht="10.199999999999999">
      <c r="AU1946" s="1"/>
      <c r="AX1946" s="1"/>
    </row>
    <row r="1947" spans="47:50" ht="10.199999999999999">
      <c r="AU1947" s="1"/>
      <c r="AX1947" s="1"/>
    </row>
    <row r="1948" spans="47:50" ht="10.199999999999999">
      <c r="AU1948" s="1"/>
      <c r="AX1948" s="1"/>
    </row>
    <row r="1949" spans="47:50" ht="10.199999999999999">
      <c r="AU1949" s="1"/>
      <c r="AX1949" s="1"/>
    </row>
    <row r="1950" spans="47:50" ht="10.199999999999999">
      <c r="AU1950" s="1"/>
      <c r="AX1950" s="1"/>
    </row>
    <row r="1951" spans="47:50" ht="10.199999999999999">
      <c r="AU1951" s="1"/>
      <c r="AX1951" s="1"/>
    </row>
    <row r="1952" spans="47:50" ht="10.199999999999999">
      <c r="AU1952" s="1"/>
      <c r="AX1952" s="1"/>
    </row>
    <row r="1953" spans="47:50" ht="10.199999999999999">
      <c r="AU1953" s="1"/>
      <c r="AX1953" s="1"/>
    </row>
    <row r="1954" spans="47:50" ht="10.199999999999999">
      <c r="AU1954" s="1"/>
      <c r="AX1954" s="1"/>
    </row>
    <row r="1955" spans="47:50" ht="10.199999999999999">
      <c r="AU1955" s="1"/>
      <c r="AX1955" s="1"/>
    </row>
    <row r="1956" spans="47:50" ht="10.199999999999999">
      <c r="AU1956" s="1"/>
      <c r="AX1956" s="1"/>
    </row>
    <row r="1957" spans="47:50" ht="10.199999999999999">
      <c r="AU1957" s="1"/>
      <c r="AX1957" s="1"/>
    </row>
    <row r="1958" spans="47:50" ht="10.199999999999999">
      <c r="AU1958" s="1"/>
      <c r="AX1958" s="1"/>
    </row>
    <row r="1959" spans="47:50" ht="10.199999999999999">
      <c r="AU1959" s="1"/>
      <c r="AX1959" s="1"/>
    </row>
    <row r="1960" spans="47:50" ht="10.199999999999999">
      <c r="AU1960" s="1"/>
      <c r="AX1960" s="1"/>
    </row>
    <row r="1961" spans="47:50" ht="10.199999999999999">
      <c r="AU1961" s="1"/>
      <c r="AX1961" s="1"/>
    </row>
    <row r="1962" spans="47:50" ht="10.199999999999999">
      <c r="AU1962" s="1"/>
      <c r="AX1962" s="1"/>
    </row>
    <row r="1963" spans="47:50" ht="10.199999999999999">
      <c r="AU1963" s="1"/>
      <c r="AX1963" s="1"/>
    </row>
    <row r="1964" spans="47:50" ht="10.199999999999999">
      <c r="AU1964" s="1"/>
      <c r="AX1964" s="1"/>
    </row>
    <row r="1965" spans="47:50" ht="10.199999999999999">
      <c r="AU1965" s="1"/>
      <c r="AX1965" s="1"/>
    </row>
    <row r="1966" spans="47:50" ht="10.199999999999999">
      <c r="AU1966" s="1"/>
      <c r="AX1966" s="1"/>
    </row>
    <row r="1967" spans="47:50" ht="10.199999999999999">
      <c r="AU1967" s="1"/>
      <c r="AX1967" s="1"/>
    </row>
    <row r="1968" spans="47:50" ht="10.199999999999999">
      <c r="AU1968" s="1"/>
      <c r="AX1968" s="1"/>
    </row>
    <row r="1969" spans="47:50" ht="10.199999999999999">
      <c r="AU1969" s="1"/>
      <c r="AX1969" s="1"/>
    </row>
    <row r="1970" spans="47:50" ht="10.199999999999999">
      <c r="AU1970" s="1"/>
      <c r="AX1970" s="1"/>
    </row>
    <row r="1971" spans="47:50" ht="10.199999999999999">
      <c r="AU1971" s="1"/>
      <c r="AX1971" s="1"/>
    </row>
    <row r="1972" spans="47:50" ht="10.199999999999999">
      <c r="AU1972" s="1"/>
      <c r="AX1972" s="1"/>
    </row>
    <row r="1973" spans="47:50" ht="10.199999999999999">
      <c r="AU1973" s="1"/>
      <c r="AX1973" s="1"/>
    </row>
    <row r="1974" spans="47:50" ht="10.199999999999999">
      <c r="AU1974" s="1"/>
      <c r="AX1974" s="1"/>
    </row>
    <row r="1975" spans="47:50" ht="10.199999999999999">
      <c r="AU1975" s="1"/>
      <c r="AX1975" s="1"/>
    </row>
    <row r="1976" spans="47:50" ht="10.199999999999999">
      <c r="AU1976" s="1"/>
      <c r="AX1976" s="1"/>
    </row>
    <row r="1977" spans="47:50" ht="10.199999999999999">
      <c r="AU1977" s="1"/>
      <c r="AX1977" s="1"/>
    </row>
    <row r="1978" spans="47:50" ht="10.199999999999999">
      <c r="AU1978" s="1"/>
      <c r="AX1978" s="1"/>
    </row>
    <row r="1979" spans="47:50" ht="10.199999999999999">
      <c r="AU1979" s="1"/>
      <c r="AX1979" s="1"/>
    </row>
    <row r="1980" spans="47:50" ht="10.199999999999999">
      <c r="AU1980" s="1"/>
      <c r="AX1980" s="1"/>
    </row>
    <row r="1981" spans="47:50" ht="10.199999999999999">
      <c r="AU1981" s="1"/>
      <c r="AX1981" s="1"/>
    </row>
    <row r="1982" spans="47:50" ht="10.199999999999999">
      <c r="AU1982" s="1"/>
      <c r="AX1982" s="1"/>
    </row>
    <row r="1983" spans="47:50" ht="10.199999999999999">
      <c r="AU1983" s="1"/>
      <c r="AX1983" s="1"/>
    </row>
    <row r="1984" spans="47:50" ht="10.199999999999999">
      <c r="AU1984" s="1"/>
      <c r="AX1984" s="1"/>
    </row>
    <row r="1985" spans="47:50" ht="10.199999999999999">
      <c r="AU1985" s="1"/>
      <c r="AX1985" s="1"/>
    </row>
    <row r="1986" spans="47:50" ht="10.199999999999999">
      <c r="AU1986" s="1"/>
      <c r="AX1986" s="1"/>
    </row>
    <row r="1987" spans="47:50" ht="10.199999999999999">
      <c r="AU1987" s="1"/>
      <c r="AX1987" s="1"/>
    </row>
    <row r="1988" spans="47:50" ht="10.199999999999999">
      <c r="AU1988" s="1"/>
      <c r="AX1988" s="1"/>
    </row>
    <row r="1989" spans="47:50" ht="10.199999999999999">
      <c r="AU1989" s="1"/>
      <c r="AX1989" s="1"/>
    </row>
    <row r="1990" spans="47:50" ht="10.199999999999999">
      <c r="AU1990" s="1"/>
      <c r="AX1990" s="1"/>
    </row>
    <row r="1991" spans="47:50" ht="10.199999999999999">
      <c r="AU1991" s="1"/>
      <c r="AX1991" s="1"/>
    </row>
    <row r="1992" spans="47:50" ht="10.199999999999999">
      <c r="AU1992" s="1"/>
      <c r="AX1992" s="1"/>
    </row>
    <row r="1993" spans="47:50" ht="10.199999999999999">
      <c r="AU1993" s="1"/>
      <c r="AX1993" s="1"/>
    </row>
    <row r="1994" spans="47:50" ht="10.199999999999999">
      <c r="AU1994" s="1"/>
      <c r="AX1994" s="1"/>
    </row>
    <row r="1995" spans="47:50" ht="10.199999999999999">
      <c r="AU1995" s="1"/>
      <c r="AX1995" s="1"/>
    </row>
    <row r="1996" spans="47:50" ht="10.199999999999999">
      <c r="AU1996" s="1"/>
      <c r="AX1996" s="1"/>
    </row>
    <row r="1997" spans="47:50" ht="10.199999999999999">
      <c r="AU1997" s="1"/>
      <c r="AX1997" s="1"/>
    </row>
    <row r="1998" spans="47:50" ht="10.199999999999999">
      <c r="AU1998" s="1"/>
      <c r="AX1998" s="1"/>
    </row>
    <row r="1999" spans="47:50" ht="10.199999999999999">
      <c r="AU1999" s="1"/>
      <c r="AX1999" s="1"/>
    </row>
    <row r="2000" spans="47:50" ht="10.199999999999999">
      <c r="AU2000" s="1"/>
      <c r="AX2000" s="1"/>
    </row>
    <row r="2001" spans="47:50" ht="10.199999999999999">
      <c r="AU2001" s="1"/>
      <c r="AX2001" s="1"/>
    </row>
    <row r="2002" spans="47:50" ht="10.199999999999999">
      <c r="AU2002" s="1"/>
      <c r="AX2002" s="1"/>
    </row>
    <row r="2003" spans="47:50" ht="10.199999999999999">
      <c r="AU2003" s="1"/>
      <c r="AX2003" s="1"/>
    </row>
    <row r="2004" spans="47:50" ht="10.199999999999999">
      <c r="AU2004" s="1"/>
      <c r="AX2004" s="1"/>
    </row>
    <row r="2005" spans="47:50" ht="10.199999999999999">
      <c r="AU2005" s="1"/>
      <c r="AX2005" s="1"/>
    </row>
    <row r="2006" spans="47:50" ht="10.199999999999999">
      <c r="AU2006" s="1"/>
      <c r="AX2006" s="1"/>
    </row>
    <row r="2007" spans="47:50" ht="10.199999999999999">
      <c r="AU2007" s="1"/>
      <c r="AX2007" s="1"/>
    </row>
    <row r="2008" spans="47:50" ht="10.199999999999999">
      <c r="AU2008" s="1"/>
      <c r="AX2008" s="1"/>
    </row>
    <row r="2009" spans="47:50" ht="10.199999999999999">
      <c r="AU2009" s="1"/>
      <c r="AX2009" s="1"/>
    </row>
    <row r="2010" spans="47:50" ht="10.199999999999999">
      <c r="AU2010" s="1"/>
      <c r="AX2010" s="1"/>
    </row>
    <row r="2011" spans="47:50" ht="10.199999999999999">
      <c r="AU2011" s="1"/>
      <c r="AX2011" s="1"/>
    </row>
    <row r="2012" spans="47:50" ht="10.199999999999999">
      <c r="AU2012" s="1"/>
      <c r="AX2012" s="1"/>
    </row>
    <row r="2013" spans="47:50" ht="10.199999999999999">
      <c r="AU2013" s="1"/>
      <c r="AX2013" s="1"/>
    </row>
    <row r="2014" spans="47:50" ht="10.199999999999999">
      <c r="AU2014" s="1"/>
      <c r="AX2014" s="1"/>
    </row>
    <row r="2015" spans="47:50" ht="10.199999999999999">
      <c r="AU2015" s="1"/>
      <c r="AX2015" s="1"/>
    </row>
    <row r="2016" spans="47:50" ht="10.199999999999999">
      <c r="AU2016" s="1"/>
      <c r="AX2016" s="1"/>
    </row>
    <row r="2017" spans="47:50" ht="10.199999999999999">
      <c r="AU2017" s="1"/>
      <c r="AX2017" s="1"/>
    </row>
    <row r="2018" spans="47:50" ht="10.199999999999999">
      <c r="AU2018" s="1"/>
      <c r="AX2018" s="1"/>
    </row>
  </sheetData>
  <phoneticPr fontId="1" type="noConversion"/>
  <pageMargins left="0.75" right="0.75" top="1" bottom="1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8"/>
  <sheetViews>
    <sheetView zoomScale="150" zoomScaleNormal="125" zoomScalePageLayoutView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defaultColWidth="8.33203125" defaultRowHeight="10.199999999999999"/>
  <cols>
    <col min="1" max="1" width="10.77734375" style="1" customWidth="1"/>
    <col min="2" max="2" width="6.33203125" style="1" customWidth="1"/>
    <col min="3" max="3" width="78" style="1" customWidth="1"/>
    <col min="4" max="4" width="13.77734375" style="1" customWidth="1"/>
    <col min="5" max="5" width="11.44140625" style="1" customWidth="1"/>
    <col min="6" max="9" width="13.77734375" style="1" customWidth="1"/>
    <col min="10" max="10" width="9" style="1" customWidth="1"/>
    <col min="11" max="11" width="10.109375" style="1" customWidth="1"/>
    <col min="12" max="12" width="9.77734375" style="1" customWidth="1"/>
    <col min="13" max="13" width="8.44140625" style="1" customWidth="1"/>
    <col min="14" max="14" width="14.44140625" style="1" customWidth="1"/>
    <col min="15" max="15" width="12.77734375" style="1" customWidth="1"/>
    <col min="16" max="16" width="10.109375" style="1" customWidth="1"/>
    <col min="17" max="17" width="28.77734375" style="1" customWidth="1"/>
    <col min="18" max="18" width="42.44140625" style="1" customWidth="1"/>
    <col min="19" max="19" width="20" style="1" customWidth="1"/>
    <col min="20" max="20" width="30.6640625" style="1" customWidth="1"/>
    <col min="21" max="21" width="13.33203125" style="1" customWidth="1"/>
    <col min="22" max="22" width="28.33203125" style="1" customWidth="1"/>
    <col min="23" max="23" width="8.109375" style="1" customWidth="1"/>
    <col min="24" max="24" width="23.33203125" style="1" customWidth="1"/>
    <col min="25" max="25" width="6" style="1" customWidth="1"/>
    <col min="26" max="26" width="12.44140625" style="1" customWidth="1"/>
    <col min="27" max="27" width="4.88671875" style="1" customWidth="1"/>
    <col min="28" max="28" width="15" style="1" customWidth="1"/>
    <col min="29" max="30" width="7.77734375" style="1" customWidth="1"/>
    <col min="31" max="31" width="17.44140625" style="1" customWidth="1"/>
    <col min="32" max="34" width="10.6640625" style="1" customWidth="1"/>
    <col min="35" max="35" width="10.33203125" style="1" customWidth="1"/>
    <col min="36" max="36" width="12.109375" style="1" customWidth="1"/>
    <col min="37" max="37" width="19" style="1" customWidth="1"/>
    <col min="38" max="38" width="10.77734375" style="1" customWidth="1"/>
    <col min="39" max="39" width="15.33203125" style="1" customWidth="1"/>
    <col min="40" max="41" width="10.77734375" style="1" customWidth="1"/>
    <col min="42" max="42" width="14.77734375" style="1" customWidth="1"/>
    <col min="43" max="44" width="10.77734375" style="1" customWidth="1"/>
    <col min="45" max="45" width="14.44140625" style="1" bestFit="1" customWidth="1"/>
    <col min="46" max="46" width="12.77734375" style="1" customWidth="1"/>
    <col min="47" max="53" width="10.6640625" style="1" customWidth="1"/>
    <col min="54" max="16384" width="8.33203125" style="1"/>
  </cols>
  <sheetData>
    <row r="1" spans="1:53" s="3" customFormat="1" ht="10.95" customHeight="1">
      <c r="A1" s="62" t="s">
        <v>836</v>
      </c>
      <c r="B1" s="10" t="s">
        <v>87</v>
      </c>
      <c r="C1" s="10" t="s">
        <v>88</v>
      </c>
      <c r="D1" s="10" t="s">
        <v>520</v>
      </c>
      <c r="E1" s="10" t="s">
        <v>521</v>
      </c>
      <c r="F1" s="10" t="s">
        <v>89</v>
      </c>
      <c r="G1" s="10" t="s">
        <v>90</v>
      </c>
      <c r="H1" s="10" t="s">
        <v>91</v>
      </c>
      <c r="I1" s="10" t="s">
        <v>92</v>
      </c>
      <c r="J1" s="10" t="s">
        <v>522</v>
      </c>
      <c r="K1" s="62" t="s">
        <v>109</v>
      </c>
      <c r="L1" s="62" t="s">
        <v>110</v>
      </c>
      <c r="M1" s="10" t="s">
        <v>267</v>
      </c>
      <c r="N1" s="10" t="s">
        <v>268</v>
      </c>
      <c r="O1" s="10" t="s">
        <v>269</v>
      </c>
      <c r="P1" s="10" t="s">
        <v>270</v>
      </c>
      <c r="Q1" s="62" t="s">
        <v>275</v>
      </c>
      <c r="R1" s="10" t="s">
        <v>276</v>
      </c>
      <c r="S1" s="10" t="s">
        <v>277</v>
      </c>
      <c r="T1" s="10" t="s">
        <v>85</v>
      </c>
      <c r="U1" s="70" t="s">
        <v>169</v>
      </c>
      <c r="V1" s="10" t="s">
        <v>280</v>
      </c>
      <c r="W1" s="62" t="s">
        <v>462</v>
      </c>
      <c r="X1" s="62" t="s">
        <v>15</v>
      </c>
      <c r="Y1" s="12" t="s">
        <v>807</v>
      </c>
      <c r="Z1" s="10" t="s">
        <v>465</v>
      </c>
      <c r="AA1" s="10" t="s">
        <v>466</v>
      </c>
      <c r="AB1" s="10" t="s">
        <v>467</v>
      </c>
      <c r="AC1" s="62" t="s">
        <v>252</v>
      </c>
      <c r="AD1" s="62" t="s">
        <v>253</v>
      </c>
      <c r="AE1" s="62" t="s">
        <v>254</v>
      </c>
      <c r="AF1" s="62" t="s">
        <v>255</v>
      </c>
      <c r="AG1" s="62" t="s">
        <v>256</v>
      </c>
      <c r="AH1" s="62" t="s">
        <v>257</v>
      </c>
      <c r="AI1" s="62" t="s">
        <v>258</v>
      </c>
      <c r="AJ1" s="62" t="s">
        <v>259</v>
      </c>
      <c r="AK1" s="62" t="s">
        <v>260</v>
      </c>
      <c r="AL1" s="62" t="s">
        <v>261</v>
      </c>
      <c r="AM1" s="62" t="s">
        <v>262</v>
      </c>
      <c r="AN1" s="62" t="s">
        <v>263</v>
      </c>
      <c r="AO1" s="62" t="s">
        <v>264</v>
      </c>
      <c r="AP1" s="62" t="s">
        <v>117</v>
      </c>
      <c r="AQ1" s="62" t="s">
        <v>118</v>
      </c>
      <c r="AR1" s="62" t="s">
        <v>348</v>
      </c>
      <c r="AS1" s="62" t="s">
        <v>666</v>
      </c>
      <c r="AT1" s="62" t="s">
        <v>344</v>
      </c>
      <c r="AU1" s="62" t="s">
        <v>368</v>
      </c>
      <c r="AV1" s="62" t="s">
        <v>669</v>
      </c>
      <c r="AW1" s="62" t="s">
        <v>345</v>
      </c>
      <c r="AX1" s="62" t="s">
        <v>86</v>
      </c>
      <c r="AY1" s="62" t="s">
        <v>665</v>
      </c>
      <c r="AZ1" s="62" t="s">
        <v>677</v>
      </c>
      <c r="BA1" s="62" t="s">
        <v>386</v>
      </c>
    </row>
    <row r="2" spans="1:53" s="3" customFormat="1" ht="10.95" customHeight="1">
      <c r="A2" s="6" t="s">
        <v>603</v>
      </c>
      <c r="B2" s="6" t="s">
        <v>604</v>
      </c>
      <c r="C2" s="6" t="s">
        <v>278</v>
      </c>
      <c r="D2" s="6" t="s">
        <v>768</v>
      </c>
      <c r="E2" s="6" t="s">
        <v>769</v>
      </c>
      <c r="F2" s="6" t="s">
        <v>570</v>
      </c>
      <c r="G2" s="6" t="s">
        <v>570</v>
      </c>
      <c r="H2" s="6" t="s">
        <v>570</v>
      </c>
      <c r="I2" s="6" t="s">
        <v>570</v>
      </c>
      <c r="J2" s="6" t="s">
        <v>570</v>
      </c>
      <c r="K2" s="6" t="s">
        <v>570</v>
      </c>
      <c r="L2" s="6" t="s">
        <v>570</v>
      </c>
      <c r="M2" s="6" t="s">
        <v>570</v>
      </c>
      <c r="N2" s="6" t="s">
        <v>570</v>
      </c>
      <c r="O2" s="6">
        <v>2006</v>
      </c>
      <c r="P2" s="6" t="s">
        <v>570</v>
      </c>
      <c r="Q2" s="6" t="s">
        <v>570</v>
      </c>
      <c r="R2" s="6" t="s">
        <v>55</v>
      </c>
      <c r="S2" s="6" t="s">
        <v>570</v>
      </c>
      <c r="T2" s="6" t="s">
        <v>570</v>
      </c>
      <c r="U2" s="6" t="s">
        <v>605</v>
      </c>
      <c r="V2" s="6" t="s">
        <v>736</v>
      </c>
      <c r="W2" s="6" t="s">
        <v>609</v>
      </c>
      <c r="X2" s="6" t="s">
        <v>131</v>
      </c>
      <c r="Y2" s="4" t="s">
        <v>1009</v>
      </c>
      <c r="Z2" s="6" t="s">
        <v>570</v>
      </c>
      <c r="AA2" s="6" t="s">
        <v>606</v>
      </c>
      <c r="AB2" s="6" t="s">
        <v>570</v>
      </c>
      <c r="AC2" s="6">
        <v>5</v>
      </c>
      <c r="AD2" s="6">
        <v>5</v>
      </c>
      <c r="AE2" s="6" t="s">
        <v>570</v>
      </c>
      <c r="AF2" s="6" t="s">
        <v>570</v>
      </c>
      <c r="AG2" s="6" t="s">
        <v>570</v>
      </c>
      <c r="AH2" s="6" t="s">
        <v>570</v>
      </c>
      <c r="AI2" s="6" t="s">
        <v>570</v>
      </c>
      <c r="AJ2" s="6" t="s">
        <v>570</v>
      </c>
      <c r="AK2" s="6" t="s">
        <v>570</v>
      </c>
      <c r="AL2" s="6" t="s">
        <v>570</v>
      </c>
      <c r="AM2" s="6" t="s">
        <v>570</v>
      </c>
      <c r="AN2" s="6" t="s">
        <v>570</v>
      </c>
      <c r="AO2" s="6" t="s">
        <v>570</v>
      </c>
      <c r="AP2" s="6" t="s">
        <v>570</v>
      </c>
      <c r="AQ2" s="6" t="s">
        <v>570</v>
      </c>
      <c r="AR2" s="6" t="s">
        <v>570</v>
      </c>
      <c r="AS2" s="6" t="s">
        <v>570</v>
      </c>
      <c r="AT2" s="66">
        <v>1.6</v>
      </c>
      <c r="AU2" s="66">
        <v>0.2</v>
      </c>
      <c r="AV2" s="66">
        <v>0.44721359549995798</v>
      </c>
      <c r="AW2" s="66">
        <v>3.5</v>
      </c>
      <c r="AX2" s="66">
        <v>0.8</v>
      </c>
      <c r="AY2" s="66">
        <v>1.7888543819998319</v>
      </c>
      <c r="AZ2" s="66" t="s">
        <v>570</v>
      </c>
      <c r="BA2" s="11" t="s">
        <v>570</v>
      </c>
    </row>
    <row r="3" spans="1:53" s="3" customFormat="1" ht="10.95" customHeight="1">
      <c r="A3" s="1" t="s">
        <v>494</v>
      </c>
      <c r="B3" s="3" t="s">
        <v>604</v>
      </c>
      <c r="C3" s="19" t="s">
        <v>628</v>
      </c>
      <c r="D3" s="2" t="s">
        <v>570</v>
      </c>
      <c r="E3" s="2" t="s">
        <v>570</v>
      </c>
      <c r="F3" s="2" t="s">
        <v>570</v>
      </c>
      <c r="G3" s="2" t="s">
        <v>570</v>
      </c>
      <c r="H3" s="2" t="s">
        <v>570</v>
      </c>
      <c r="I3" s="2" t="s">
        <v>570</v>
      </c>
      <c r="J3" s="2" t="s">
        <v>570</v>
      </c>
      <c r="K3" s="2" t="s">
        <v>570</v>
      </c>
      <c r="L3" s="2" t="s">
        <v>570</v>
      </c>
      <c r="M3" s="2" t="s">
        <v>570</v>
      </c>
      <c r="N3" s="2" t="s">
        <v>570</v>
      </c>
      <c r="O3" s="2" t="s">
        <v>570</v>
      </c>
      <c r="P3" s="2" t="s">
        <v>570</v>
      </c>
      <c r="Q3" s="2" t="s">
        <v>570</v>
      </c>
      <c r="R3" s="2" t="s">
        <v>570</v>
      </c>
      <c r="S3" s="2" t="s">
        <v>570</v>
      </c>
      <c r="T3" s="2" t="s">
        <v>570</v>
      </c>
      <c r="U3" s="2" t="s">
        <v>570</v>
      </c>
      <c r="V3" s="2" t="s">
        <v>570</v>
      </c>
      <c r="W3" s="2" t="s">
        <v>570</v>
      </c>
      <c r="X3" s="2" t="s">
        <v>131</v>
      </c>
      <c r="Y3" s="2" t="s">
        <v>1009</v>
      </c>
      <c r="Z3" s="67" t="s">
        <v>570</v>
      </c>
      <c r="AA3" s="67" t="s">
        <v>570</v>
      </c>
      <c r="AB3" s="67" t="s">
        <v>570</v>
      </c>
      <c r="AC3" s="1">
        <v>208</v>
      </c>
      <c r="AD3" s="1">
        <v>208</v>
      </c>
      <c r="AE3" s="67" t="s">
        <v>570</v>
      </c>
      <c r="AF3" s="67" t="s">
        <v>570</v>
      </c>
      <c r="AG3" s="67" t="s">
        <v>570</v>
      </c>
      <c r="AH3" s="67" t="s">
        <v>570</v>
      </c>
      <c r="AI3" s="67" t="s">
        <v>570</v>
      </c>
      <c r="AJ3" s="67" t="s">
        <v>570</v>
      </c>
      <c r="AK3" s="67" t="s">
        <v>570</v>
      </c>
      <c r="AL3" s="67" t="s">
        <v>570</v>
      </c>
      <c r="AM3" s="67" t="s">
        <v>570</v>
      </c>
      <c r="AN3" s="67" t="s">
        <v>570</v>
      </c>
      <c r="AO3" s="67" t="s">
        <v>570</v>
      </c>
      <c r="AP3" s="67" t="s">
        <v>570</v>
      </c>
      <c r="AQ3" s="67" t="s">
        <v>570</v>
      </c>
      <c r="AR3" s="67" t="s">
        <v>570</v>
      </c>
      <c r="AS3" s="67" t="s">
        <v>570</v>
      </c>
      <c r="AT3" s="19">
        <v>1.64307547169811</v>
      </c>
      <c r="AU3" s="67" t="s">
        <v>570</v>
      </c>
      <c r="AV3" s="67" t="s">
        <v>570</v>
      </c>
      <c r="AW3" s="19">
        <v>3.328226415094341</v>
      </c>
      <c r="AX3" s="67" t="s">
        <v>570</v>
      </c>
      <c r="AY3" s="67" t="s">
        <v>570</v>
      </c>
      <c r="AZ3" s="13">
        <v>1E-3</v>
      </c>
      <c r="BA3" s="67" t="s">
        <v>570</v>
      </c>
    </row>
    <row r="4" spans="1:53" s="3" customFormat="1" ht="10.95" customHeight="1">
      <c r="A4" s="1" t="s">
        <v>494</v>
      </c>
      <c r="B4" s="3" t="s">
        <v>604</v>
      </c>
      <c r="C4" s="2" t="s">
        <v>629</v>
      </c>
      <c r="D4" s="3" t="s">
        <v>570</v>
      </c>
      <c r="E4" s="3" t="s">
        <v>570</v>
      </c>
      <c r="F4" s="3" t="s">
        <v>570</v>
      </c>
      <c r="G4" s="3" t="s">
        <v>570</v>
      </c>
      <c r="H4" s="3" t="s">
        <v>570</v>
      </c>
      <c r="I4" s="3" t="s">
        <v>570</v>
      </c>
      <c r="J4" s="3" t="s">
        <v>570</v>
      </c>
      <c r="K4" s="3" t="s">
        <v>570</v>
      </c>
      <c r="L4" s="3" t="s">
        <v>570</v>
      </c>
      <c r="M4" s="3" t="s">
        <v>570</v>
      </c>
      <c r="N4" s="3" t="s">
        <v>570</v>
      </c>
      <c r="O4" s="3" t="s">
        <v>570</v>
      </c>
      <c r="P4" s="3" t="s">
        <v>570</v>
      </c>
      <c r="Q4" s="3" t="s">
        <v>570</v>
      </c>
      <c r="R4" s="3" t="s">
        <v>570</v>
      </c>
      <c r="S4" s="3" t="s">
        <v>570</v>
      </c>
      <c r="T4" s="3" t="s">
        <v>570</v>
      </c>
      <c r="U4" s="3" t="s">
        <v>570</v>
      </c>
      <c r="V4" s="3" t="s">
        <v>570</v>
      </c>
      <c r="W4" s="3" t="s">
        <v>570</v>
      </c>
      <c r="X4" s="2" t="s">
        <v>131</v>
      </c>
      <c r="Y4" s="2" t="s">
        <v>1009</v>
      </c>
      <c r="Z4" s="68" t="s">
        <v>570</v>
      </c>
      <c r="AA4" s="68" t="s">
        <v>570</v>
      </c>
      <c r="AB4" s="68" t="s">
        <v>570</v>
      </c>
      <c r="AC4" s="1">
        <f>28*4</f>
        <v>112</v>
      </c>
      <c r="AD4" s="1">
        <f>28*4</f>
        <v>112</v>
      </c>
      <c r="AE4" s="68" t="s">
        <v>570</v>
      </c>
      <c r="AF4" s="68" t="s">
        <v>570</v>
      </c>
      <c r="AG4" s="68" t="s">
        <v>570</v>
      </c>
      <c r="AH4" s="68" t="s">
        <v>570</v>
      </c>
      <c r="AI4" s="68" t="s">
        <v>570</v>
      </c>
      <c r="AJ4" s="68" t="s">
        <v>570</v>
      </c>
      <c r="AK4" s="68" t="s">
        <v>570</v>
      </c>
      <c r="AL4" s="68" t="s">
        <v>570</v>
      </c>
      <c r="AM4" s="68" t="s">
        <v>570</v>
      </c>
      <c r="AN4" s="68" t="s">
        <v>570</v>
      </c>
      <c r="AO4" s="68" t="s">
        <v>570</v>
      </c>
      <c r="AP4" s="68" t="s">
        <v>570</v>
      </c>
      <c r="AQ4" s="68" t="s">
        <v>570</v>
      </c>
      <c r="AR4" s="68" t="s">
        <v>570</v>
      </c>
      <c r="AS4" s="68" t="s">
        <v>570</v>
      </c>
      <c r="AT4" s="19">
        <v>2.8270000000000031</v>
      </c>
      <c r="AU4" s="68" t="s">
        <v>570</v>
      </c>
      <c r="AV4" s="68" t="s">
        <v>570</v>
      </c>
      <c r="AW4" s="19">
        <v>4.8891240310077535</v>
      </c>
      <c r="AX4" s="68" t="s">
        <v>570</v>
      </c>
      <c r="AY4" s="68" t="s">
        <v>570</v>
      </c>
      <c r="AZ4" s="13">
        <v>1E-3</v>
      </c>
      <c r="BA4" s="68" t="s">
        <v>570</v>
      </c>
    </row>
    <row r="5" spans="1:53" s="3" customFormat="1" ht="10.95" customHeight="1">
      <c r="A5" s="1" t="s">
        <v>494</v>
      </c>
      <c r="B5" s="3" t="s">
        <v>604</v>
      </c>
      <c r="C5" s="2" t="s">
        <v>630</v>
      </c>
      <c r="D5" s="2" t="s">
        <v>570</v>
      </c>
      <c r="E5" s="2" t="s">
        <v>570</v>
      </c>
      <c r="F5" s="2" t="s">
        <v>570</v>
      </c>
      <c r="G5" s="2" t="s">
        <v>570</v>
      </c>
      <c r="H5" s="2" t="s">
        <v>570</v>
      </c>
      <c r="I5" s="2" t="s">
        <v>570</v>
      </c>
      <c r="J5" s="2" t="s">
        <v>570</v>
      </c>
      <c r="K5" s="2" t="s">
        <v>570</v>
      </c>
      <c r="L5" s="2" t="s">
        <v>570</v>
      </c>
      <c r="M5" s="2" t="s">
        <v>570</v>
      </c>
      <c r="N5" s="2" t="s">
        <v>570</v>
      </c>
      <c r="O5" s="2" t="s">
        <v>570</v>
      </c>
      <c r="P5" s="2" t="s">
        <v>570</v>
      </c>
      <c r="Q5" s="2" t="s">
        <v>570</v>
      </c>
      <c r="R5" s="2" t="s">
        <v>570</v>
      </c>
      <c r="S5" s="2" t="s">
        <v>570</v>
      </c>
      <c r="T5" s="2" t="s">
        <v>570</v>
      </c>
      <c r="U5" s="2" t="s">
        <v>570</v>
      </c>
      <c r="V5" s="2" t="s">
        <v>570</v>
      </c>
      <c r="W5" s="2" t="s">
        <v>570</v>
      </c>
      <c r="X5" s="2" t="s">
        <v>131</v>
      </c>
      <c r="Y5" s="2" t="s">
        <v>1009</v>
      </c>
      <c r="Z5" s="67" t="s">
        <v>570</v>
      </c>
      <c r="AA5" s="67" t="s">
        <v>570</v>
      </c>
      <c r="AB5" s="67" t="s">
        <v>570</v>
      </c>
      <c r="AC5" s="1">
        <f>26*4</f>
        <v>104</v>
      </c>
      <c r="AD5" s="1">
        <f>26*4</f>
        <v>104</v>
      </c>
      <c r="AE5" s="67" t="s">
        <v>570</v>
      </c>
      <c r="AF5" s="67" t="s">
        <v>570</v>
      </c>
      <c r="AG5" s="67" t="s">
        <v>570</v>
      </c>
      <c r="AH5" s="67" t="s">
        <v>570</v>
      </c>
      <c r="AI5" s="67" t="s">
        <v>570</v>
      </c>
      <c r="AJ5" s="67" t="s">
        <v>570</v>
      </c>
      <c r="AK5" s="67" t="s">
        <v>570</v>
      </c>
      <c r="AL5" s="67" t="s">
        <v>570</v>
      </c>
      <c r="AM5" s="67" t="s">
        <v>570</v>
      </c>
      <c r="AN5" s="67" t="s">
        <v>570</v>
      </c>
      <c r="AO5" s="67" t="s">
        <v>570</v>
      </c>
      <c r="AP5" s="67" t="s">
        <v>570</v>
      </c>
      <c r="AQ5" s="67" t="s">
        <v>570</v>
      </c>
      <c r="AR5" s="67" t="s">
        <v>570</v>
      </c>
      <c r="AS5" s="67" t="s">
        <v>570</v>
      </c>
      <c r="AT5" s="19">
        <v>6.251814814814816</v>
      </c>
      <c r="AU5" s="67" t="s">
        <v>570</v>
      </c>
      <c r="AV5" s="67" t="s">
        <v>570</v>
      </c>
      <c r="AW5" s="19">
        <v>8.1518518518518501</v>
      </c>
      <c r="AX5" s="67" t="s">
        <v>570</v>
      </c>
      <c r="AY5" s="67" t="s">
        <v>570</v>
      </c>
      <c r="AZ5" s="13">
        <v>0.1065</v>
      </c>
      <c r="BA5" s="67" t="s">
        <v>570</v>
      </c>
    </row>
    <row r="6" spans="1:53" s="3" customFormat="1" ht="10.95" customHeight="1">
      <c r="A6" s="1" t="s">
        <v>494</v>
      </c>
      <c r="B6" s="3" t="s">
        <v>604</v>
      </c>
      <c r="C6" s="2" t="s">
        <v>631</v>
      </c>
      <c r="D6" s="2" t="s">
        <v>570</v>
      </c>
      <c r="E6" s="2" t="s">
        <v>570</v>
      </c>
      <c r="F6" s="2" t="s">
        <v>570</v>
      </c>
      <c r="G6" s="2" t="s">
        <v>570</v>
      </c>
      <c r="H6" s="2" t="s">
        <v>570</v>
      </c>
      <c r="I6" s="2" t="s">
        <v>570</v>
      </c>
      <c r="J6" s="2" t="s">
        <v>570</v>
      </c>
      <c r="K6" s="2" t="s">
        <v>570</v>
      </c>
      <c r="L6" s="2" t="s">
        <v>570</v>
      </c>
      <c r="M6" s="2" t="s">
        <v>570</v>
      </c>
      <c r="N6" s="2" t="s">
        <v>570</v>
      </c>
      <c r="O6" s="2" t="s">
        <v>570</v>
      </c>
      <c r="P6" s="2" t="s">
        <v>570</v>
      </c>
      <c r="Q6" s="2" t="s">
        <v>570</v>
      </c>
      <c r="R6" s="2" t="s">
        <v>570</v>
      </c>
      <c r="S6" s="2" t="s">
        <v>570</v>
      </c>
      <c r="T6" s="2" t="s">
        <v>570</v>
      </c>
      <c r="U6" s="2" t="s">
        <v>570</v>
      </c>
      <c r="V6" s="2" t="s">
        <v>570</v>
      </c>
      <c r="W6" s="2" t="s">
        <v>570</v>
      </c>
      <c r="X6" s="2" t="s">
        <v>131</v>
      </c>
      <c r="Y6" s="2" t="s">
        <v>1009</v>
      </c>
      <c r="Z6" s="67" t="s">
        <v>570</v>
      </c>
      <c r="AA6" s="67" t="s">
        <v>570</v>
      </c>
      <c r="AB6" s="67" t="s">
        <v>570</v>
      </c>
      <c r="AC6" s="1">
        <f>15*4</f>
        <v>60</v>
      </c>
      <c r="AD6" s="1">
        <f>15*4</f>
        <v>60</v>
      </c>
      <c r="AE6" s="67" t="s">
        <v>570</v>
      </c>
      <c r="AF6" s="67" t="s">
        <v>570</v>
      </c>
      <c r="AG6" s="67" t="s">
        <v>570</v>
      </c>
      <c r="AH6" s="67" t="s">
        <v>570</v>
      </c>
      <c r="AI6" s="67" t="s">
        <v>570</v>
      </c>
      <c r="AJ6" s="67" t="s">
        <v>570</v>
      </c>
      <c r="AK6" s="67" t="s">
        <v>570</v>
      </c>
      <c r="AL6" s="67" t="s">
        <v>570</v>
      </c>
      <c r="AM6" s="67" t="s">
        <v>570</v>
      </c>
      <c r="AN6" s="67" t="s">
        <v>570</v>
      </c>
      <c r="AO6" s="67" t="s">
        <v>570</v>
      </c>
      <c r="AP6" s="67" t="s">
        <v>570</v>
      </c>
      <c r="AQ6" s="67" t="s">
        <v>570</v>
      </c>
      <c r="AR6" s="67" t="s">
        <v>570</v>
      </c>
      <c r="AS6" s="67" t="s">
        <v>570</v>
      </c>
      <c r="AT6" s="19">
        <v>4.2811874999999997</v>
      </c>
      <c r="AU6" s="67" t="s">
        <v>570</v>
      </c>
      <c r="AV6" s="67" t="s">
        <v>570</v>
      </c>
      <c r="AW6" s="19">
        <v>13.973750000000001</v>
      </c>
      <c r="AX6" s="67" t="s">
        <v>570</v>
      </c>
      <c r="AY6" s="67" t="s">
        <v>570</v>
      </c>
      <c r="AZ6" s="13">
        <v>1E-3</v>
      </c>
      <c r="BA6" s="67" t="s">
        <v>570</v>
      </c>
    </row>
    <row r="7" spans="1:53" s="3" customFormat="1" ht="10.95" customHeight="1">
      <c r="A7" s="6" t="s">
        <v>494</v>
      </c>
      <c r="B7" s="10" t="s">
        <v>604</v>
      </c>
      <c r="C7" s="6" t="s">
        <v>631</v>
      </c>
      <c r="D7" s="6" t="s">
        <v>570</v>
      </c>
      <c r="E7" s="6" t="s">
        <v>570</v>
      </c>
      <c r="F7" s="6" t="s">
        <v>570</v>
      </c>
      <c r="G7" s="6" t="s">
        <v>570</v>
      </c>
      <c r="H7" s="6" t="s">
        <v>570</v>
      </c>
      <c r="I7" s="6" t="s">
        <v>570</v>
      </c>
      <c r="J7" s="6" t="s">
        <v>570</v>
      </c>
      <c r="K7" s="6" t="s">
        <v>570</v>
      </c>
      <c r="L7" s="6" t="s">
        <v>570</v>
      </c>
      <c r="M7" s="6" t="s">
        <v>570</v>
      </c>
      <c r="N7" s="6" t="s">
        <v>570</v>
      </c>
      <c r="O7" s="6" t="s">
        <v>570</v>
      </c>
      <c r="P7" s="6" t="s">
        <v>570</v>
      </c>
      <c r="Q7" s="6" t="s">
        <v>570</v>
      </c>
      <c r="R7" s="6" t="s">
        <v>570</v>
      </c>
      <c r="S7" s="6" t="s">
        <v>570</v>
      </c>
      <c r="T7" s="6" t="s">
        <v>570</v>
      </c>
      <c r="U7" s="6" t="s">
        <v>570</v>
      </c>
      <c r="V7" s="6" t="s">
        <v>570</v>
      </c>
      <c r="W7" s="6" t="s">
        <v>570</v>
      </c>
      <c r="X7" s="2" t="s">
        <v>131</v>
      </c>
      <c r="Y7" s="2" t="s">
        <v>1009</v>
      </c>
      <c r="Z7" s="69" t="s">
        <v>570</v>
      </c>
      <c r="AA7" s="69" t="s">
        <v>570</v>
      </c>
      <c r="AB7" s="69" t="s">
        <v>570</v>
      </c>
      <c r="AC7" s="6">
        <f>9*4</f>
        <v>36</v>
      </c>
      <c r="AD7" s="6">
        <f>9*4</f>
        <v>36</v>
      </c>
      <c r="AE7" s="69" t="s">
        <v>570</v>
      </c>
      <c r="AF7" s="69" t="s">
        <v>570</v>
      </c>
      <c r="AG7" s="69" t="s">
        <v>570</v>
      </c>
      <c r="AH7" s="69" t="s">
        <v>570</v>
      </c>
      <c r="AI7" s="69" t="s">
        <v>570</v>
      </c>
      <c r="AJ7" s="69" t="s">
        <v>570</v>
      </c>
      <c r="AK7" s="69" t="s">
        <v>570</v>
      </c>
      <c r="AL7" s="69" t="s">
        <v>570</v>
      </c>
      <c r="AM7" s="69" t="s">
        <v>570</v>
      </c>
      <c r="AN7" s="69" t="s">
        <v>570</v>
      </c>
      <c r="AO7" s="69" t="s">
        <v>570</v>
      </c>
      <c r="AP7" s="69" t="s">
        <v>570</v>
      </c>
      <c r="AQ7" s="69" t="s">
        <v>570</v>
      </c>
      <c r="AR7" s="69" t="s">
        <v>570</v>
      </c>
      <c r="AS7" s="69" t="s">
        <v>570</v>
      </c>
      <c r="AT7" s="15">
        <v>3.8</v>
      </c>
      <c r="AU7" s="69" t="s">
        <v>570</v>
      </c>
      <c r="AV7" s="69" t="s">
        <v>570</v>
      </c>
      <c r="AW7" s="15">
        <v>10.722222222222221</v>
      </c>
      <c r="AX7" s="69" t="s">
        <v>570</v>
      </c>
      <c r="AY7" s="69" t="s">
        <v>570</v>
      </c>
      <c r="AZ7" s="8">
        <v>1E-3</v>
      </c>
      <c r="BA7" s="69" t="s">
        <v>570</v>
      </c>
    </row>
    <row r="8" spans="1:53" s="3" customFormat="1" ht="10.95" customHeight="1">
      <c r="A8" s="1" t="s">
        <v>294</v>
      </c>
      <c r="B8" s="1" t="s">
        <v>604</v>
      </c>
      <c r="C8" s="1" t="s">
        <v>73</v>
      </c>
      <c r="D8" s="1" t="s">
        <v>570</v>
      </c>
      <c r="E8" s="1" t="s">
        <v>570</v>
      </c>
      <c r="F8" s="1" t="s">
        <v>570</v>
      </c>
      <c r="G8" s="1" t="s">
        <v>570</v>
      </c>
      <c r="H8" s="1" t="s">
        <v>570</v>
      </c>
      <c r="I8" s="1" t="s">
        <v>570</v>
      </c>
      <c r="J8" s="1" t="s">
        <v>570</v>
      </c>
      <c r="K8" s="1" t="s">
        <v>570</v>
      </c>
      <c r="L8" s="1" t="s">
        <v>570</v>
      </c>
      <c r="M8" s="1" t="s">
        <v>570</v>
      </c>
      <c r="N8" s="1" t="s">
        <v>570</v>
      </c>
      <c r="O8" s="1" t="s">
        <v>295</v>
      </c>
      <c r="P8" s="1" t="s">
        <v>570</v>
      </c>
      <c r="Q8" s="1" t="s">
        <v>570</v>
      </c>
      <c r="R8" s="1" t="s">
        <v>55</v>
      </c>
      <c r="S8" s="1" t="s">
        <v>633</v>
      </c>
      <c r="T8" s="1" t="s">
        <v>66</v>
      </c>
      <c r="U8" s="1" t="s">
        <v>570</v>
      </c>
      <c r="V8" s="1" t="s">
        <v>736</v>
      </c>
      <c r="W8" s="1" t="s">
        <v>569</v>
      </c>
      <c r="X8" s="4" t="s">
        <v>131</v>
      </c>
      <c r="Y8" s="4" t="s">
        <v>1009</v>
      </c>
      <c r="Z8" s="1" t="s">
        <v>570</v>
      </c>
      <c r="AA8" s="1" t="s">
        <v>210</v>
      </c>
      <c r="AB8" s="1" t="s">
        <v>570</v>
      </c>
      <c r="AC8" s="1">
        <f>4*2*2*4</f>
        <v>64</v>
      </c>
      <c r="AD8" s="1">
        <f>4*2*2*4</f>
        <v>64</v>
      </c>
      <c r="AE8" s="1" t="s">
        <v>634</v>
      </c>
      <c r="AF8" s="1" t="s">
        <v>570</v>
      </c>
      <c r="AG8" s="1" t="s">
        <v>570</v>
      </c>
      <c r="AH8" s="1" t="s">
        <v>570</v>
      </c>
      <c r="AI8" s="1" t="s">
        <v>570</v>
      </c>
      <c r="AJ8" s="1" t="s">
        <v>570</v>
      </c>
      <c r="AK8" s="1" t="s">
        <v>635</v>
      </c>
      <c r="AL8" s="1" t="s">
        <v>570</v>
      </c>
      <c r="AM8" s="1" t="s">
        <v>570</v>
      </c>
      <c r="AN8" s="1" t="s">
        <v>570</v>
      </c>
      <c r="AO8" s="1" t="s">
        <v>570</v>
      </c>
      <c r="AP8" s="1" t="s">
        <v>570</v>
      </c>
      <c r="AQ8" s="1" t="s">
        <v>570</v>
      </c>
      <c r="AR8" s="1" t="s">
        <v>570</v>
      </c>
      <c r="AS8" s="1" t="s">
        <v>570</v>
      </c>
      <c r="AT8" s="19">
        <v>7.6829999999999998</v>
      </c>
      <c r="AU8" s="19" t="s">
        <v>570</v>
      </c>
      <c r="AV8" s="19">
        <v>1.6599866130651644</v>
      </c>
      <c r="AW8" s="19">
        <v>9.5820000000000007</v>
      </c>
      <c r="AX8" s="19" t="s">
        <v>570</v>
      </c>
      <c r="AY8" s="19">
        <v>1.6599866130651644</v>
      </c>
      <c r="AZ8" s="19" t="s">
        <v>570</v>
      </c>
      <c r="BA8" s="19" t="s">
        <v>570</v>
      </c>
    </row>
    <row r="9" spans="1:53" s="3" customFormat="1" ht="10.95" customHeight="1">
      <c r="A9" s="1" t="s">
        <v>294</v>
      </c>
      <c r="B9" s="1" t="s">
        <v>604</v>
      </c>
      <c r="C9" s="1" t="s">
        <v>73</v>
      </c>
      <c r="D9" s="1" t="s">
        <v>570</v>
      </c>
      <c r="E9" s="1" t="s">
        <v>570</v>
      </c>
      <c r="F9" s="1" t="s">
        <v>570</v>
      </c>
      <c r="G9" s="1" t="s">
        <v>570</v>
      </c>
      <c r="H9" s="1" t="s">
        <v>570</v>
      </c>
      <c r="I9" s="1" t="s">
        <v>570</v>
      </c>
      <c r="J9" s="1" t="s">
        <v>570</v>
      </c>
      <c r="K9" s="1" t="s">
        <v>570</v>
      </c>
      <c r="L9" s="1" t="s">
        <v>570</v>
      </c>
      <c r="M9" s="1" t="s">
        <v>570</v>
      </c>
      <c r="N9" s="1" t="s">
        <v>570</v>
      </c>
      <c r="O9" s="1" t="s">
        <v>295</v>
      </c>
      <c r="P9" s="1" t="s">
        <v>570</v>
      </c>
      <c r="Q9" s="1" t="s">
        <v>570</v>
      </c>
      <c r="R9" s="1" t="s">
        <v>55</v>
      </c>
      <c r="S9" s="1" t="s">
        <v>633</v>
      </c>
      <c r="T9" s="1" t="s">
        <v>66</v>
      </c>
      <c r="U9" s="1" t="s">
        <v>570</v>
      </c>
      <c r="V9" s="1" t="s">
        <v>736</v>
      </c>
      <c r="W9" s="1" t="s">
        <v>569</v>
      </c>
      <c r="X9" s="1" t="s">
        <v>131</v>
      </c>
      <c r="Y9" s="2" t="s">
        <v>1009</v>
      </c>
      <c r="Z9" s="1" t="s">
        <v>570</v>
      </c>
      <c r="AA9" s="1" t="s">
        <v>210</v>
      </c>
      <c r="AB9" s="1" t="s">
        <v>570</v>
      </c>
      <c r="AC9" s="1">
        <f t="shared" ref="AC9:AD17" si="0">4*2*2*4</f>
        <v>64</v>
      </c>
      <c r="AD9" s="1">
        <f t="shared" si="0"/>
        <v>64</v>
      </c>
      <c r="AE9" s="1" t="s">
        <v>636</v>
      </c>
      <c r="AF9" s="1" t="s">
        <v>570</v>
      </c>
      <c r="AG9" s="1" t="s">
        <v>570</v>
      </c>
      <c r="AH9" s="1" t="s">
        <v>570</v>
      </c>
      <c r="AI9" s="1" t="s">
        <v>570</v>
      </c>
      <c r="AJ9" s="1" t="s">
        <v>570</v>
      </c>
      <c r="AK9" s="1" t="s">
        <v>635</v>
      </c>
      <c r="AL9" s="1" t="s">
        <v>570</v>
      </c>
      <c r="AM9" s="1" t="s">
        <v>570</v>
      </c>
      <c r="AN9" s="1" t="s">
        <v>570</v>
      </c>
      <c r="AO9" s="1" t="s">
        <v>570</v>
      </c>
      <c r="AP9" s="1" t="s">
        <v>570</v>
      </c>
      <c r="AQ9" s="1" t="s">
        <v>570</v>
      </c>
      <c r="AR9" s="1" t="s">
        <v>570</v>
      </c>
      <c r="AS9" s="1" t="s">
        <v>570</v>
      </c>
      <c r="AT9" s="19">
        <v>7.3570000000000002</v>
      </c>
      <c r="AU9" s="19" t="s">
        <v>570</v>
      </c>
      <c r="AV9" s="19">
        <v>1.6599866130651644</v>
      </c>
      <c r="AW9" s="19">
        <v>7.4580000000000002</v>
      </c>
      <c r="AX9" s="19" t="s">
        <v>570</v>
      </c>
      <c r="AY9" s="19">
        <v>1.6599866130651644</v>
      </c>
      <c r="AZ9" s="19" t="s">
        <v>570</v>
      </c>
      <c r="BA9" s="19" t="s">
        <v>570</v>
      </c>
    </row>
    <row r="10" spans="1:53" s="3" customFormat="1" ht="10.95" customHeight="1">
      <c r="A10" s="1" t="s">
        <v>294</v>
      </c>
      <c r="B10" s="1" t="s">
        <v>604</v>
      </c>
      <c r="C10" s="1" t="s">
        <v>73</v>
      </c>
      <c r="D10" s="1" t="s">
        <v>570</v>
      </c>
      <c r="E10" s="1" t="s">
        <v>570</v>
      </c>
      <c r="F10" s="1" t="s">
        <v>570</v>
      </c>
      <c r="G10" s="1" t="s">
        <v>570</v>
      </c>
      <c r="H10" s="1" t="s">
        <v>570</v>
      </c>
      <c r="I10" s="1" t="s">
        <v>570</v>
      </c>
      <c r="J10" s="1" t="s">
        <v>570</v>
      </c>
      <c r="K10" s="1" t="s">
        <v>570</v>
      </c>
      <c r="L10" s="1" t="s">
        <v>570</v>
      </c>
      <c r="M10" s="1" t="s">
        <v>570</v>
      </c>
      <c r="N10" s="1" t="s">
        <v>570</v>
      </c>
      <c r="O10" s="1" t="s">
        <v>295</v>
      </c>
      <c r="P10" s="1" t="s">
        <v>570</v>
      </c>
      <c r="Q10" s="1" t="s">
        <v>570</v>
      </c>
      <c r="R10" s="2" t="s">
        <v>55</v>
      </c>
      <c r="S10" s="1" t="s">
        <v>633</v>
      </c>
      <c r="T10" s="1" t="s">
        <v>66</v>
      </c>
      <c r="U10" s="1" t="s">
        <v>570</v>
      </c>
      <c r="V10" s="1" t="s">
        <v>736</v>
      </c>
      <c r="W10" s="1" t="s">
        <v>569</v>
      </c>
      <c r="X10" s="1" t="s">
        <v>131</v>
      </c>
      <c r="Y10" s="2" t="s">
        <v>1009</v>
      </c>
      <c r="Z10" s="1" t="s">
        <v>570</v>
      </c>
      <c r="AA10" s="1" t="s">
        <v>210</v>
      </c>
      <c r="AB10" s="1" t="s">
        <v>570</v>
      </c>
      <c r="AC10" s="1">
        <f t="shared" si="0"/>
        <v>64</v>
      </c>
      <c r="AD10" s="1">
        <f t="shared" si="0"/>
        <v>64</v>
      </c>
      <c r="AE10" s="1" t="s">
        <v>221</v>
      </c>
      <c r="AF10" s="1" t="s">
        <v>570</v>
      </c>
      <c r="AG10" s="1" t="s">
        <v>570</v>
      </c>
      <c r="AH10" s="1" t="s">
        <v>570</v>
      </c>
      <c r="AI10" s="1" t="s">
        <v>570</v>
      </c>
      <c r="AJ10" s="1" t="s">
        <v>570</v>
      </c>
      <c r="AK10" s="1" t="s">
        <v>635</v>
      </c>
      <c r="AL10" s="1" t="s">
        <v>570</v>
      </c>
      <c r="AM10" s="1" t="s">
        <v>570</v>
      </c>
      <c r="AN10" s="1" t="s">
        <v>570</v>
      </c>
      <c r="AO10" s="1" t="s">
        <v>570</v>
      </c>
      <c r="AP10" s="1" t="s">
        <v>570</v>
      </c>
      <c r="AQ10" s="1" t="s">
        <v>570</v>
      </c>
      <c r="AR10" s="1" t="s">
        <v>570</v>
      </c>
      <c r="AS10" s="1" t="s">
        <v>570</v>
      </c>
      <c r="AT10" s="19">
        <v>5.7169999999999996</v>
      </c>
      <c r="AU10" s="19" t="s">
        <v>570</v>
      </c>
      <c r="AV10" s="19">
        <v>1.6599866130651644</v>
      </c>
      <c r="AW10" s="19">
        <v>8.7140000000000004</v>
      </c>
      <c r="AX10" s="19" t="s">
        <v>570</v>
      </c>
      <c r="AY10" s="19">
        <v>1.6599866130651644</v>
      </c>
      <c r="AZ10" s="19" t="s">
        <v>570</v>
      </c>
      <c r="BA10" s="19" t="s">
        <v>570</v>
      </c>
    </row>
    <row r="11" spans="1:53" s="3" customFormat="1" ht="10.95" customHeight="1">
      <c r="A11" s="1" t="s">
        <v>294</v>
      </c>
      <c r="B11" s="1" t="s">
        <v>604</v>
      </c>
      <c r="C11" s="1" t="s">
        <v>73</v>
      </c>
      <c r="D11" s="1" t="s">
        <v>570</v>
      </c>
      <c r="E11" s="1" t="s">
        <v>570</v>
      </c>
      <c r="F11" s="1" t="s">
        <v>570</v>
      </c>
      <c r="G11" s="1" t="s">
        <v>570</v>
      </c>
      <c r="H11" s="1" t="s">
        <v>570</v>
      </c>
      <c r="I11" s="1" t="s">
        <v>570</v>
      </c>
      <c r="J11" s="1" t="s">
        <v>570</v>
      </c>
      <c r="K11" s="1" t="s">
        <v>570</v>
      </c>
      <c r="L11" s="1" t="s">
        <v>570</v>
      </c>
      <c r="M11" s="1" t="s">
        <v>570</v>
      </c>
      <c r="N11" s="1" t="s">
        <v>570</v>
      </c>
      <c r="O11" s="1" t="s">
        <v>295</v>
      </c>
      <c r="P11" s="1" t="s">
        <v>570</v>
      </c>
      <c r="Q11" s="1" t="s">
        <v>570</v>
      </c>
      <c r="R11" s="2" t="s">
        <v>55</v>
      </c>
      <c r="S11" s="1" t="s">
        <v>633</v>
      </c>
      <c r="T11" s="1" t="s">
        <v>66</v>
      </c>
      <c r="U11" s="1" t="s">
        <v>570</v>
      </c>
      <c r="V11" s="1" t="s">
        <v>736</v>
      </c>
      <c r="W11" s="1" t="s">
        <v>569</v>
      </c>
      <c r="X11" s="1" t="s">
        <v>131</v>
      </c>
      <c r="Y11" s="2" t="s">
        <v>1009</v>
      </c>
      <c r="Z11" s="1" t="s">
        <v>570</v>
      </c>
      <c r="AA11" s="1" t="s">
        <v>210</v>
      </c>
      <c r="AB11" s="1" t="s">
        <v>570</v>
      </c>
      <c r="AC11" s="1">
        <f t="shared" si="0"/>
        <v>64</v>
      </c>
      <c r="AD11" s="1">
        <f t="shared" si="0"/>
        <v>64</v>
      </c>
      <c r="AE11" s="1" t="s">
        <v>313</v>
      </c>
      <c r="AF11" s="1" t="s">
        <v>570</v>
      </c>
      <c r="AG11" s="1" t="s">
        <v>570</v>
      </c>
      <c r="AH11" s="1" t="s">
        <v>570</v>
      </c>
      <c r="AI11" s="1" t="s">
        <v>570</v>
      </c>
      <c r="AJ11" s="1" t="s">
        <v>570</v>
      </c>
      <c r="AK11" s="1" t="s">
        <v>215</v>
      </c>
      <c r="AL11" s="1" t="s">
        <v>570</v>
      </c>
      <c r="AM11" s="1" t="s">
        <v>570</v>
      </c>
      <c r="AN11" s="1" t="s">
        <v>570</v>
      </c>
      <c r="AO11" s="1" t="s">
        <v>570</v>
      </c>
      <c r="AP11" s="1" t="s">
        <v>570</v>
      </c>
      <c r="AQ11" s="1" t="s">
        <v>570</v>
      </c>
      <c r="AR11" s="1" t="s">
        <v>570</v>
      </c>
      <c r="AS11" s="1" t="s">
        <v>570</v>
      </c>
      <c r="AT11" s="19">
        <v>2.7250000000000001</v>
      </c>
      <c r="AU11" s="19" t="s">
        <v>570</v>
      </c>
      <c r="AV11" s="19">
        <v>1.6599866130651644</v>
      </c>
      <c r="AW11" s="19">
        <v>5.6310000000000002</v>
      </c>
      <c r="AX11" s="19" t="s">
        <v>570</v>
      </c>
      <c r="AY11" s="19">
        <v>1.6599866130651644</v>
      </c>
      <c r="AZ11" s="19" t="s">
        <v>570</v>
      </c>
      <c r="BA11" s="19" t="s">
        <v>570</v>
      </c>
    </row>
    <row r="12" spans="1:53" s="3" customFormat="1" ht="10.95" customHeight="1">
      <c r="A12" s="1" t="s">
        <v>294</v>
      </c>
      <c r="B12" s="1" t="s">
        <v>604</v>
      </c>
      <c r="C12" s="1" t="s">
        <v>73</v>
      </c>
      <c r="D12" s="1" t="s">
        <v>570</v>
      </c>
      <c r="E12" s="1" t="s">
        <v>570</v>
      </c>
      <c r="F12" s="1" t="s">
        <v>570</v>
      </c>
      <c r="G12" s="1" t="s">
        <v>570</v>
      </c>
      <c r="H12" s="1" t="s">
        <v>570</v>
      </c>
      <c r="I12" s="1" t="s">
        <v>570</v>
      </c>
      <c r="J12" s="1" t="s">
        <v>570</v>
      </c>
      <c r="K12" s="1" t="s">
        <v>570</v>
      </c>
      <c r="L12" s="1" t="s">
        <v>570</v>
      </c>
      <c r="M12" s="1" t="s">
        <v>570</v>
      </c>
      <c r="N12" s="1" t="s">
        <v>570</v>
      </c>
      <c r="O12" s="1" t="s">
        <v>295</v>
      </c>
      <c r="P12" s="1" t="s">
        <v>570</v>
      </c>
      <c r="Q12" s="1" t="s">
        <v>570</v>
      </c>
      <c r="R12" s="2" t="s">
        <v>55</v>
      </c>
      <c r="S12" s="1" t="s">
        <v>633</v>
      </c>
      <c r="T12" s="1" t="s">
        <v>66</v>
      </c>
      <c r="U12" s="1" t="s">
        <v>570</v>
      </c>
      <c r="V12" s="1" t="s">
        <v>736</v>
      </c>
      <c r="W12" s="1" t="s">
        <v>569</v>
      </c>
      <c r="X12" s="1" t="s">
        <v>131</v>
      </c>
      <c r="Y12" s="2" t="s">
        <v>1009</v>
      </c>
      <c r="Z12" s="1" t="s">
        <v>570</v>
      </c>
      <c r="AA12" s="1" t="s">
        <v>210</v>
      </c>
      <c r="AB12" s="1" t="s">
        <v>570</v>
      </c>
      <c r="AC12" s="1">
        <f t="shared" si="0"/>
        <v>64</v>
      </c>
      <c r="AD12" s="1">
        <f t="shared" si="0"/>
        <v>64</v>
      </c>
      <c r="AE12" s="1" t="s">
        <v>140</v>
      </c>
      <c r="AF12" s="1" t="s">
        <v>570</v>
      </c>
      <c r="AG12" s="1" t="s">
        <v>570</v>
      </c>
      <c r="AH12" s="1" t="s">
        <v>570</v>
      </c>
      <c r="AI12" s="1" t="s">
        <v>570</v>
      </c>
      <c r="AJ12" s="1" t="s">
        <v>570</v>
      </c>
      <c r="AK12" s="1" t="s">
        <v>215</v>
      </c>
      <c r="AL12" s="1" t="s">
        <v>570</v>
      </c>
      <c r="AM12" s="1" t="s">
        <v>570</v>
      </c>
      <c r="AN12" s="1" t="s">
        <v>570</v>
      </c>
      <c r="AO12" s="1" t="s">
        <v>570</v>
      </c>
      <c r="AP12" s="1" t="s">
        <v>570</v>
      </c>
      <c r="AQ12" s="1" t="s">
        <v>570</v>
      </c>
      <c r="AR12" s="1" t="s">
        <v>570</v>
      </c>
      <c r="AS12" s="1" t="s">
        <v>570</v>
      </c>
      <c r="AT12" s="19">
        <v>3.1459999999999999</v>
      </c>
      <c r="AU12" s="19" t="s">
        <v>570</v>
      </c>
      <c r="AV12" s="19">
        <v>1.6599866130651644</v>
      </c>
      <c r="AW12" s="19">
        <v>3.51</v>
      </c>
      <c r="AX12" s="19" t="s">
        <v>570</v>
      </c>
      <c r="AY12" s="19">
        <v>1.6599866130651644</v>
      </c>
      <c r="AZ12" s="19" t="s">
        <v>570</v>
      </c>
      <c r="BA12" s="19" t="s">
        <v>570</v>
      </c>
    </row>
    <row r="13" spans="1:53" s="3" customFormat="1" ht="10.95" customHeight="1">
      <c r="A13" s="1" t="s">
        <v>294</v>
      </c>
      <c r="B13" s="1" t="s">
        <v>604</v>
      </c>
      <c r="C13" s="1" t="s">
        <v>73</v>
      </c>
      <c r="D13" s="2" t="s">
        <v>570</v>
      </c>
      <c r="E13" s="2" t="s">
        <v>570</v>
      </c>
      <c r="F13" s="2" t="s">
        <v>570</v>
      </c>
      <c r="G13" s="2" t="s">
        <v>570</v>
      </c>
      <c r="H13" s="2" t="s">
        <v>570</v>
      </c>
      <c r="I13" s="2" t="s">
        <v>570</v>
      </c>
      <c r="J13" s="2" t="s">
        <v>570</v>
      </c>
      <c r="K13" s="2" t="s">
        <v>570</v>
      </c>
      <c r="L13" s="2" t="s">
        <v>570</v>
      </c>
      <c r="M13" s="2" t="s">
        <v>570</v>
      </c>
      <c r="N13" s="2" t="s">
        <v>570</v>
      </c>
      <c r="O13" s="1" t="s">
        <v>295</v>
      </c>
      <c r="P13" s="2" t="s">
        <v>570</v>
      </c>
      <c r="Q13" s="2" t="s">
        <v>570</v>
      </c>
      <c r="R13" s="2" t="s">
        <v>55</v>
      </c>
      <c r="S13" s="1" t="s">
        <v>633</v>
      </c>
      <c r="T13" s="1" t="s">
        <v>66</v>
      </c>
      <c r="U13" s="2" t="s">
        <v>570</v>
      </c>
      <c r="V13" s="1" t="s">
        <v>736</v>
      </c>
      <c r="W13" s="1" t="s">
        <v>569</v>
      </c>
      <c r="X13" s="1" t="s">
        <v>131</v>
      </c>
      <c r="Y13" s="2" t="s">
        <v>1009</v>
      </c>
      <c r="Z13" s="2" t="s">
        <v>570</v>
      </c>
      <c r="AA13" s="1" t="s">
        <v>210</v>
      </c>
      <c r="AB13" s="2" t="s">
        <v>570</v>
      </c>
      <c r="AC13" s="1">
        <f t="shared" si="0"/>
        <v>64</v>
      </c>
      <c r="AD13" s="1">
        <f t="shared" si="0"/>
        <v>64</v>
      </c>
      <c r="AE13" s="1" t="s">
        <v>221</v>
      </c>
      <c r="AF13" s="2" t="s">
        <v>570</v>
      </c>
      <c r="AG13" s="2" t="s">
        <v>570</v>
      </c>
      <c r="AH13" s="2" t="s">
        <v>570</v>
      </c>
      <c r="AI13" s="2" t="s">
        <v>570</v>
      </c>
      <c r="AJ13" s="2" t="s">
        <v>570</v>
      </c>
      <c r="AK13" s="1" t="s">
        <v>215</v>
      </c>
      <c r="AL13" s="2" t="s">
        <v>570</v>
      </c>
      <c r="AM13" s="2" t="s">
        <v>570</v>
      </c>
      <c r="AN13" s="2" t="s">
        <v>570</v>
      </c>
      <c r="AO13" s="2" t="s">
        <v>570</v>
      </c>
      <c r="AP13" s="2" t="s">
        <v>570</v>
      </c>
      <c r="AQ13" s="2" t="s">
        <v>570</v>
      </c>
      <c r="AR13" s="2" t="s">
        <v>570</v>
      </c>
      <c r="AS13" s="2" t="s">
        <v>570</v>
      </c>
      <c r="AT13" s="19">
        <v>2.2080000000000002</v>
      </c>
      <c r="AU13" s="19" t="s">
        <v>570</v>
      </c>
      <c r="AV13" s="19">
        <v>1.6599866130651644</v>
      </c>
      <c r="AW13" s="19">
        <v>2.88</v>
      </c>
      <c r="AX13" s="19" t="s">
        <v>570</v>
      </c>
      <c r="AY13" s="19">
        <v>1.6599866130651644</v>
      </c>
      <c r="AZ13" s="19" t="s">
        <v>570</v>
      </c>
      <c r="BA13" s="19" t="s">
        <v>570</v>
      </c>
    </row>
    <row r="14" spans="1:53" s="3" customFormat="1" ht="10.95" customHeight="1">
      <c r="A14" s="1" t="s">
        <v>294</v>
      </c>
      <c r="B14" s="1" t="s">
        <v>604</v>
      </c>
      <c r="C14" s="1" t="s">
        <v>73</v>
      </c>
      <c r="D14" s="2" t="s">
        <v>570</v>
      </c>
      <c r="E14" s="2" t="s">
        <v>570</v>
      </c>
      <c r="F14" s="2" t="s">
        <v>570</v>
      </c>
      <c r="G14" s="2" t="s">
        <v>570</v>
      </c>
      <c r="H14" s="2" t="s">
        <v>570</v>
      </c>
      <c r="I14" s="2" t="s">
        <v>570</v>
      </c>
      <c r="J14" s="2" t="s">
        <v>570</v>
      </c>
      <c r="K14" s="2" t="s">
        <v>570</v>
      </c>
      <c r="L14" s="2" t="s">
        <v>570</v>
      </c>
      <c r="M14" s="2" t="s">
        <v>570</v>
      </c>
      <c r="N14" s="2" t="s">
        <v>570</v>
      </c>
      <c r="O14" s="1" t="s">
        <v>295</v>
      </c>
      <c r="P14" s="2" t="s">
        <v>570</v>
      </c>
      <c r="Q14" s="2" t="s">
        <v>570</v>
      </c>
      <c r="R14" s="2" t="s">
        <v>55</v>
      </c>
      <c r="S14" s="1" t="s">
        <v>463</v>
      </c>
      <c r="T14" s="1" t="s">
        <v>244</v>
      </c>
      <c r="U14" s="2" t="s">
        <v>570</v>
      </c>
      <c r="V14" s="1" t="s">
        <v>736</v>
      </c>
      <c r="W14" s="1" t="s">
        <v>569</v>
      </c>
      <c r="X14" s="1" t="s">
        <v>131</v>
      </c>
      <c r="Y14" s="2" t="s">
        <v>1009</v>
      </c>
      <c r="Z14" s="2" t="s">
        <v>570</v>
      </c>
      <c r="AA14" s="1" t="s">
        <v>299</v>
      </c>
      <c r="AB14" s="2" t="s">
        <v>570</v>
      </c>
      <c r="AC14" s="1">
        <f t="shared" si="0"/>
        <v>64</v>
      </c>
      <c r="AD14" s="1">
        <f t="shared" si="0"/>
        <v>64</v>
      </c>
      <c r="AE14" s="2" t="s">
        <v>221</v>
      </c>
      <c r="AF14" s="2" t="s">
        <v>570</v>
      </c>
      <c r="AG14" s="2" t="s">
        <v>570</v>
      </c>
      <c r="AH14" s="2" t="s">
        <v>570</v>
      </c>
      <c r="AI14" s="2" t="s">
        <v>570</v>
      </c>
      <c r="AJ14" s="2" t="s">
        <v>570</v>
      </c>
      <c r="AK14" s="2" t="s">
        <v>635</v>
      </c>
      <c r="AL14" s="2" t="s">
        <v>570</v>
      </c>
      <c r="AM14" s="2" t="s">
        <v>570</v>
      </c>
      <c r="AN14" s="2" t="s">
        <v>570</v>
      </c>
      <c r="AO14" s="2" t="s">
        <v>570</v>
      </c>
      <c r="AP14" s="2" t="s">
        <v>570</v>
      </c>
      <c r="AQ14" s="2" t="s">
        <v>570</v>
      </c>
      <c r="AR14" s="2" t="s">
        <v>570</v>
      </c>
      <c r="AS14" s="2" t="s">
        <v>570</v>
      </c>
      <c r="AT14" s="19">
        <v>3.556</v>
      </c>
      <c r="AU14" s="19" t="s">
        <v>570</v>
      </c>
      <c r="AV14" s="19">
        <v>1.6599866130651644</v>
      </c>
      <c r="AW14" s="19">
        <v>3.5979999999999999</v>
      </c>
      <c r="AX14" s="19" t="s">
        <v>570</v>
      </c>
      <c r="AY14" s="19">
        <v>1.6599866130651644</v>
      </c>
      <c r="AZ14" s="19" t="s">
        <v>570</v>
      </c>
      <c r="BA14" s="19" t="s">
        <v>570</v>
      </c>
    </row>
    <row r="15" spans="1:53" s="3" customFormat="1" ht="10.95" customHeight="1">
      <c r="A15" s="1" t="s">
        <v>294</v>
      </c>
      <c r="B15" s="1" t="s">
        <v>604</v>
      </c>
      <c r="C15" s="1" t="s">
        <v>73</v>
      </c>
      <c r="D15" s="2" t="s">
        <v>570</v>
      </c>
      <c r="E15" s="2" t="s">
        <v>570</v>
      </c>
      <c r="F15" s="2" t="s">
        <v>570</v>
      </c>
      <c r="G15" s="2" t="s">
        <v>570</v>
      </c>
      <c r="H15" s="2" t="s">
        <v>570</v>
      </c>
      <c r="I15" s="2" t="s">
        <v>570</v>
      </c>
      <c r="J15" s="2" t="s">
        <v>570</v>
      </c>
      <c r="K15" s="2" t="s">
        <v>570</v>
      </c>
      <c r="L15" s="2" t="s">
        <v>570</v>
      </c>
      <c r="M15" s="2" t="s">
        <v>570</v>
      </c>
      <c r="N15" s="2" t="s">
        <v>570</v>
      </c>
      <c r="O15" s="1" t="s">
        <v>295</v>
      </c>
      <c r="P15" s="2" t="s">
        <v>570</v>
      </c>
      <c r="Q15" s="2" t="s">
        <v>570</v>
      </c>
      <c r="R15" s="2" t="s">
        <v>55</v>
      </c>
      <c r="S15" s="2" t="s">
        <v>288</v>
      </c>
      <c r="T15" s="1" t="s">
        <v>296</v>
      </c>
      <c r="U15" s="2" t="s">
        <v>570</v>
      </c>
      <c r="V15" s="1" t="s">
        <v>736</v>
      </c>
      <c r="W15" s="1" t="s">
        <v>569</v>
      </c>
      <c r="X15" s="1" t="s">
        <v>131</v>
      </c>
      <c r="Y15" s="2" t="s">
        <v>1009</v>
      </c>
      <c r="Z15" s="2" t="s">
        <v>570</v>
      </c>
      <c r="AA15" s="1" t="s">
        <v>297</v>
      </c>
      <c r="AB15" s="2" t="s">
        <v>570</v>
      </c>
      <c r="AC15" s="1">
        <f t="shared" si="0"/>
        <v>64</v>
      </c>
      <c r="AD15" s="1">
        <f t="shared" si="0"/>
        <v>64</v>
      </c>
      <c r="AE15" s="2" t="s">
        <v>221</v>
      </c>
      <c r="AF15" s="2" t="s">
        <v>570</v>
      </c>
      <c r="AG15" s="2" t="s">
        <v>570</v>
      </c>
      <c r="AH15" s="2" t="s">
        <v>570</v>
      </c>
      <c r="AI15" s="2" t="s">
        <v>570</v>
      </c>
      <c r="AJ15" s="2" t="s">
        <v>570</v>
      </c>
      <c r="AK15" s="2" t="s">
        <v>635</v>
      </c>
      <c r="AL15" s="2" t="s">
        <v>570</v>
      </c>
      <c r="AM15" s="2" t="s">
        <v>570</v>
      </c>
      <c r="AN15" s="2" t="s">
        <v>570</v>
      </c>
      <c r="AO15" s="2" t="s">
        <v>570</v>
      </c>
      <c r="AP15" s="2" t="s">
        <v>570</v>
      </c>
      <c r="AQ15" s="2" t="s">
        <v>570</v>
      </c>
      <c r="AR15" s="2" t="s">
        <v>570</v>
      </c>
      <c r="AS15" s="2" t="s">
        <v>570</v>
      </c>
      <c r="AT15" s="19">
        <v>3.556</v>
      </c>
      <c r="AU15" s="19" t="s">
        <v>570</v>
      </c>
      <c r="AV15" s="19">
        <v>1.6599866130651644</v>
      </c>
      <c r="AW15" s="19">
        <v>4.9790000000000001</v>
      </c>
      <c r="AX15" s="19" t="s">
        <v>570</v>
      </c>
      <c r="AY15" s="19">
        <v>1.6599866130651644</v>
      </c>
      <c r="AZ15" s="19" t="s">
        <v>570</v>
      </c>
      <c r="BA15" s="19" t="s">
        <v>570</v>
      </c>
    </row>
    <row r="16" spans="1:53" s="3" customFormat="1" ht="10.95" customHeight="1">
      <c r="A16" s="1" t="s">
        <v>294</v>
      </c>
      <c r="B16" s="1" t="s">
        <v>604</v>
      </c>
      <c r="C16" s="1" t="s">
        <v>73</v>
      </c>
      <c r="D16" s="2" t="s">
        <v>570</v>
      </c>
      <c r="E16" s="2" t="s">
        <v>570</v>
      </c>
      <c r="F16" s="2" t="s">
        <v>570</v>
      </c>
      <c r="G16" s="2" t="s">
        <v>570</v>
      </c>
      <c r="H16" s="2" t="s">
        <v>570</v>
      </c>
      <c r="I16" s="2" t="s">
        <v>570</v>
      </c>
      <c r="J16" s="2" t="s">
        <v>570</v>
      </c>
      <c r="K16" s="2" t="s">
        <v>570</v>
      </c>
      <c r="L16" s="2" t="s">
        <v>570</v>
      </c>
      <c r="M16" s="2" t="s">
        <v>570</v>
      </c>
      <c r="N16" s="2" t="s">
        <v>570</v>
      </c>
      <c r="O16" s="1" t="s">
        <v>295</v>
      </c>
      <c r="P16" s="2" t="s">
        <v>570</v>
      </c>
      <c r="Q16" s="2" t="s">
        <v>570</v>
      </c>
      <c r="R16" s="2" t="s">
        <v>55</v>
      </c>
      <c r="S16" s="1" t="s">
        <v>463</v>
      </c>
      <c r="T16" s="1" t="s">
        <v>230</v>
      </c>
      <c r="U16" s="2" t="s">
        <v>570</v>
      </c>
      <c r="V16" s="1" t="s">
        <v>736</v>
      </c>
      <c r="W16" s="1" t="s">
        <v>569</v>
      </c>
      <c r="X16" s="1" t="s">
        <v>131</v>
      </c>
      <c r="Y16" s="2" t="s">
        <v>1009</v>
      </c>
      <c r="Z16" s="2" t="s">
        <v>570</v>
      </c>
      <c r="AA16" s="1" t="s">
        <v>300</v>
      </c>
      <c r="AB16" s="2" t="s">
        <v>570</v>
      </c>
      <c r="AC16" s="1">
        <f t="shared" si="0"/>
        <v>64</v>
      </c>
      <c r="AD16" s="1">
        <f t="shared" si="0"/>
        <v>64</v>
      </c>
      <c r="AE16" s="2" t="s">
        <v>221</v>
      </c>
      <c r="AF16" s="2" t="s">
        <v>570</v>
      </c>
      <c r="AG16" s="2" t="s">
        <v>570</v>
      </c>
      <c r="AH16" s="2" t="s">
        <v>570</v>
      </c>
      <c r="AI16" s="2" t="s">
        <v>570</v>
      </c>
      <c r="AJ16" s="2" t="s">
        <v>570</v>
      </c>
      <c r="AK16" s="2" t="s">
        <v>635</v>
      </c>
      <c r="AL16" s="2" t="s">
        <v>570</v>
      </c>
      <c r="AM16" s="2" t="s">
        <v>570</v>
      </c>
      <c r="AN16" s="2" t="s">
        <v>570</v>
      </c>
      <c r="AO16" s="2" t="s">
        <v>570</v>
      </c>
      <c r="AP16" s="2" t="s">
        <v>570</v>
      </c>
      <c r="AQ16" s="2" t="s">
        <v>570</v>
      </c>
      <c r="AR16" s="2" t="s">
        <v>570</v>
      </c>
      <c r="AS16" s="2" t="s">
        <v>570</v>
      </c>
      <c r="AT16" s="19">
        <v>3.9329999999999998</v>
      </c>
      <c r="AU16" s="19" t="s">
        <v>570</v>
      </c>
      <c r="AV16" s="19">
        <v>1.6599866130651644</v>
      </c>
      <c r="AW16" s="19">
        <v>6.0250000000000004</v>
      </c>
      <c r="AX16" s="19" t="s">
        <v>570</v>
      </c>
      <c r="AY16" s="19">
        <v>1.6599866130651644</v>
      </c>
      <c r="AZ16" s="19" t="s">
        <v>570</v>
      </c>
      <c r="BA16" s="19" t="s">
        <v>570</v>
      </c>
    </row>
    <row r="17" spans="1:53" s="3" customFormat="1" ht="10.95" customHeight="1">
      <c r="A17" s="6" t="s">
        <v>294</v>
      </c>
      <c r="B17" s="6" t="s">
        <v>604</v>
      </c>
      <c r="C17" s="6" t="s">
        <v>73</v>
      </c>
      <c r="D17" s="6" t="s">
        <v>570</v>
      </c>
      <c r="E17" s="6" t="s">
        <v>570</v>
      </c>
      <c r="F17" s="6" t="s">
        <v>570</v>
      </c>
      <c r="G17" s="6" t="s">
        <v>570</v>
      </c>
      <c r="H17" s="6" t="s">
        <v>570</v>
      </c>
      <c r="I17" s="6" t="s">
        <v>570</v>
      </c>
      <c r="J17" s="6" t="s">
        <v>570</v>
      </c>
      <c r="K17" s="6" t="s">
        <v>570</v>
      </c>
      <c r="L17" s="6" t="s">
        <v>570</v>
      </c>
      <c r="M17" s="6" t="s">
        <v>570</v>
      </c>
      <c r="N17" s="6" t="s">
        <v>570</v>
      </c>
      <c r="O17" s="6" t="s">
        <v>295</v>
      </c>
      <c r="P17" s="6" t="s">
        <v>570</v>
      </c>
      <c r="Q17" s="6" t="s">
        <v>570</v>
      </c>
      <c r="R17" s="6" t="s">
        <v>55</v>
      </c>
      <c r="S17" s="6" t="s">
        <v>288</v>
      </c>
      <c r="T17" s="6" t="s">
        <v>894</v>
      </c>
      <c r="U17" s="6" t="s">
        <v>570</v>
      </c>
      <c r="V17" s="6" t="s">
        <v>736</v>
      </c>
      <c r="W17" s="6" t="s">
        <v>569</v>
      </c>
      <c r="X17" s="6" t="s">
        <v>131</v>
      </c>
      <c r="Y17" s="6" t="s">
        <v>1009</v>
      </c>
      <c r="Z17" s="6" t="s">
        <v>570</v>
      </c>
      <c r="AA17" s="6" t="s">
        <v>298</v>
      </c>
      <c r="AB17" s="6" t="s">
        <v>570</v>
      </c>
      <c r="AC17" s="6">
        <f t="shared" si="0"/>
        <v>64</v>
      </c>
      <c r="AD17" s="6">
        <f t="shared" si="0"/>
        <v>64</v>
      </c>
      <c r="AE17" s="6" t="s">
        <v>221</v>
      </c>
      <c r="AF17" s="6" t="s">
        <v>570</v>
      </c>
      <c r="AG17" s="6" t="s">
        <v>570</v>
      </c>
      <c r="AH17" s="6" t="s">
        <v>570</v>
      </c>
      <c r="AI17" s="6" t="s">
        <v>570</v>
      </c>
      <c r="AJ17" s="6" t="s">
        <v>570</v>
      </c>
      <c r="AK17" s="6" t="s">
        <v>635</v>
      </c>
      <c r="AL17" s="6" t="s">
        <v>570</v>
      </c>
      <c r="AM17" s="6" t="s">
        <v>570</v>
      </c>
      <c r="AN17" s="6" t="s">
        <v>570</v>
      </c>
      <c r="AO17" s="6" t="s">
        <v>570</v>
      </c>
      <c r="AP17" s="6" t="s">
        <v>570</v>
      </c>
      <c r="AQ17" s="6" t="s">
        <v>570</v>
      </c>
      <c r="AR17" s="6" t="s">
        <v>570</v>
      </c>
      <c r="AS17" s="6" t="s">
        <v>570</v>
      </c>
      <c r="AT17" s="15">
        <v>6.0250000000000004</v>
      </c>
      <c r="AU17" s="15" t="s">
        <v>570</v>
      </c>
      <c r="AV17" s="15">
        <v>1.6599866130651644</v>
      </c>
      <c r="AW17" s="15">
        <v>9.2889999999999997</v>
      </c>
      <c r="AX17" s="15" t="s">
        <v>570</v>
      </c>
      <c r="AY17" s="15">
        <v>1.6599866130651644</v>
      </c>
      <c r="AZ17" s="15" t="s">
        <v>570</v>
      </c>
      <c r="BA17" s="15" t="s">
        <v>570</v>
      </c>
    </row>
    <row r="18" spans="1:53" s="3" customFormat="1" ht="10.95" customHeight="1">
      <c r="A18" s="1" t="s">
        <v>709</v>
      </c>
      <c r="B18" s="1" t="s">
        <v>604</v>
      </c>
      <c r="C18" s="1" t="s">
        <v>710</v>
      </c>
      <c r="D18" s="1" t="s">
        <v>424</v>
      </c>
      <c r="E18" s="1" t="s">
        <v>423</v>
      </c>
      <c r="F18" s="1" t="s">
        <v>570</v>
      </c>
      <c r="G18" s="1" t="s">
        <v>570</v>
      </c>
      <c r="H18" s="1" t="s">
        <v>570</v>
      </c>
      <c r="I18" s="1" t="s">
        <v>570</v>
      </c>
      <c r="J18" s="1" t="s">
        <v>570</v>
      </c>
      <c r="K18" s="1" t="s">
        <v>570</v>
      </c>
      <c r="L18" s="1" t="s">
        <v>570</v>
      </c>
      <c r="M18" s="1" t="s">
        <v>570</v>
      </c>
      <c r="N18" s="1" t="s">
        <v>570</v>
      </c>
      <c r="O18" s="1">
        <v>2000</v>
      </c>
      <c r="P18" s="1" t="s">
        <v>570</v>
      </c>
      <c r="Q18" s="1" t="s">
        <v>570</v>
      </c>
      <c r="R18" s="2" t="s">
        <v>55</v>
      </c>
      <c r="S18" s="1" t="s">
        <v>272</v>
      </c>
      <c r="T18" s="1" t="s">
        <v>72</v>
      </c>
      <c r="U18" s="1" t="s">
        <v>570</v>
      </c>
      <c r="V18" s="1" t="s">
        <v>736</v>
      </c>
      <c r="W18" s="1" t="s">
        <v>569</v>
      </c>
      <c r="X18" s="1" t="s">
        <v>131</v>
      </c>
      <c r="Y18" s="2" t="s">
        <v>1009</v>
      </c>
      <c r="Z18" s="1" t="s">
        <v>570</v>
      </c>
      <c r="AA18" s="1" t="s">
        <v>962</v>
      </c>
      <c r="AB18" s="1" t="s">
        <v>570</v>
      </c>
      <c r="AC18" s="1">
        <v>5</v>
      </c>
      <c r="AD18" s="1">
        <v>5</v>
      </c>
      <c r="AE18" s="1" t="s">
        <v>570</v>
      </c>
      <c r="AF18" s="1" t="s">
        <v>570</v>
      </c>
      <c r="AG18" s="1" t="s">
        <v>570</v>
      </c>
      <c r="AH18" s="1" t="s">
        <v>570</v>
      </c>
      <c r="AI18" s="1" t="s">
        <v>570</v>
      </c>
      <c r="AJ18" s="1" t="s">
        <v>570</v>
      </c>
      <c r="AK18" s="1" t="s">
        <v>570</v>
      </c>
      <c r="AL18" s="1" t="s">
        <v>570</v>
      </c>
      <c r="AM18" s="1" t="s">
        <v>570</v>
      </c>
      <c r="AN18" s="1" t="s">
        <v>570</v>
      </c>
      <c r="AO18" s="1" t="s">
        <v>570</v>
      </c>
      <c r="AP18" s="1" t="s">
        <v>570</v>
      </c>
      <c r="AQ18" s="1" t="s">
        <v>570</v>
      </c>
      <c r="AR18" s="1" t="s">
        <v>570</v>
      </c>
      <c r="AS18" s="1" t="s">
        <v>570</v>
      </c>
      <c r="AT18" s="19">
        <v>1</v>
      </c>
      <c r="AU18" s="19" t="s">
        <v>570</v>
      </c>
      <c r="AV18" s="19">
        <v>0.04</v>
      </c>
      <c r="AW18" s="19">
        <v>1.3</v>
      </c>
      <c r="AX18" s="19" t="s">
        <v>570</v>
      </c>
      <c r="AY18" s="19">
        <v>0.04</v>
      </c>
      <c r="AZ18" s="19" t="s">
        <v>570</v>
      </c>
      <c r="BA18" s="19" t="s">
        <v>570</v>
      </c>
    </row>
    <row r="19" spans="1:53" s="3" customFormat="1" ht="10.95" customHeight="1">
      <c r="A19" s="1" t="s">
        <v>709</v>
      </c>
      <c r="B19" s="1" t="s">
        <v>604</v>
      </c>
      <c r="C19" s="1" t="s">
        <v>710</v>
      </c>
      <c r="D19" s="1" t="s">
        <v>424</v>
      </c>
      <c r="E19" s="1" t="s">
        <v>423</v>
      </c>
      <c r="F19" s="1" t="s">
        <v>570</v>
      </c>
      <c r="G19" s="1" t="s">
        <v>570</v>
      </c>
      <c r="H19" s="1" t="s">
        <v>570</v>
      </c>
      <c r="I19" s="1" t="s">
        <v>570</v>
      </c>
      <c r="J19" s="1" t="s">
        <v>570</v>
      </c>
      <c r="K19" s="1" t="s">
        <v>570</v>
      </c>
      <c r="L19" s="1" t="s">
        <v>570</v>
      </c>
      <c r="M19" s="1" t="s">
        <v>570</v>
      </c>
      <c r="N19" s="1" t="s">
        <v>570</v>
      </c>
      <c r="O19" s="1">
        <v>2000</v>
      </c>
      <c r="P19" s="1" t="s">
        <v>570</v>
      </c>
      <c r="Q19" s="1" t="s">
        <v>570</v>
      </c>
      <c r="R19" s="2" t="s">
        <v>55</v>
      </c>
      <c r="S19" s="1" t="s">
        <v>963</v>
      </c>
      <c r="T19" s="1" t="s">
        <v>637</v>
      </c>
      <c r="U19" s="1" t="s">
        <v>570</v>
      </c>
      <c r="V19" s="1" t="s">
        <v>862</v>
      </c>
      <c r="W19" s="1" t="s">
        <v>569</v>
      </c>
      <c r="X19" s="1" t="s">
        <v>1003</v>
      </c>
      <c r="Y19" s="2" t="s">
        <v>1010</v>
      </c>
      <c r="Z19" s="1" t="s">
        <v>570</v>
      </c>
      <c r="AA19" s="1" t="s">
        <v>964</v>
      </c>
      <c r="AB19" s="1" t="s">
        <v>570</v>
      </c>
      <c r="AC19" s="1">
        <v>5</v>
      </c>
      <c r="AD19" s="1">
        <v>5</v>
      </c>
      <c r="AE19" s="1" t="s">
        <v>570</v>
      </c>
      <c r="AF19" s="1" t="s">
        <v>570</v>
      </c>
      <c r="AG19" s="1" t="s">
        <v>570</v>
      </c>
      <c r="AH19" s="1" t="s">
        <v>570</v>
      </c>
      <c r="AI19" s="1" t="s">
        <v>570</v>
      </c>
      <c r="AJ19" s="1" t="s">
        <v>570</v>
      </c>
      <c r="AK19" s="1" t="s">
        <v>570</v>
      </c>
      <c r="AL19" s="1" t="s">
        <v>570</v>
      </c>
      <c r="AM19" s="1" t="s">
        <v>570</v>
      </c>
      <c r="AN19" s="1" t="s">
        <v>570</v>
      </c>
      <c r="AO19" s="1" t="s">
        <v>570</v>
      </c>
      <c r="AP19" s="1" t="s">
        <v>570</v>
      </c>
      <c r="AQ19" s="1" t="s">
        <v>570</v>
      </c>
      <c r="AR19" s="1" t="s">
        <v>570</v>
      </c>
      <c r="AS19" s="1" t="s">
        <v>570</v>
      </c>
      <c r="AT19" s="19">
        <v>0.5</v>
      </c>
      <c r="AU19" s="19" t="s">
        <v>570</v>
      </c>
      <c r="AV19" s="19">
        <v>0.04</v>
      </c>
      <c r="AW19" s="19">
        <v>1</v>
      </c>
      <c r="AX19" s="19" t="s">
        <v>570</v>
      </c>
      <c r="AY19" s="19">
        <v>0.04</v>
      </c>
      <c r="AZ19" s="19" t="s">
        <v>570</v>
      </c>
      <c r="BA19" s="19" t="s">
        <v>570</v>
      </c>
    </row>
    <row r="20" spans="1:53" s="3" customFormat="1" ht="10.95" customHeight="1">
      <c r="A20" s="1" t="s">
        <v>709</v>
      </c>
      <c r="B20" s="1" t="s">
        <v>604</v>
      </c>
      <c r="C20" s="1" t="s">
        <v>710</v>
      </c>
      <c r="D20" s="1" t="s">
        <v>424</v>
      </c>
      <c r="E20" s="1" t="s">
        <v>423</v>
      </c>
      <c r="F20" s="1" t="s">
        <v>570</v>
      </c>
      <c r="G20" s="1" t="s">
        <v>570</v>
      </c>
      <c r="H20" s="1" t="s">
        <v>570</v>
      </c>
      <c r="I20" s="1" t="s">
        <v>570</v>
      </c>
      <c r="J20" s="1" t="s">
        <v>570</v>
      </c>
      <c r="K20" s="1" t="s">
        <v>570</v>
      </c>
      <c r="L20" s="1" t="s">
        <v>570</v>
      </c>
      <c r="M20" s="1" t="s">
        <v>570</v>
      </c>
      <c r="N20" s="1" t="s">
        <v>570</v>
      </c>
      <c r="O20" s="1">
        <v>2001</v>
      </c>
      <c r="P20" s="1" t="s">
        <v>570</v>
      </c>
      <c r="Q20" s="1" t="s">
        <v>570</v>
      </c>
      <c r="R20" s="2" t="s">
        <v>55</v>
      </c>
      <c r="S20" s="1" t="s">
        <v>272</v>
      </c>
      <c r="T20" s="1" t="s">
        <v>72</v>
      </c>
      <c r="U20" s="1" t="s">
        <v>570</v>
      </c>
      <c r="V20" s="1" t="s">
        <v>736</v>
      </c>
      <c r="W20" s="1" t="s">
        <v>569</v>
      </c>
      <c r="X20" s="1" t="s">
        <v>131</v>
      </c>
      <c r="Y20" s="2" t="s">
        <v>1013</v>
      </c>
      <c r="Z20" s="1" t="s">
        <v>570</v>
      </c>
      <c r="AA20" s="1" t="s">
        <v>962</v>
      </c>
      <c r="AB20" s="1" t="s">
        <v>570</v>
      </c>
      <c r="AC20" s="1">
        <v>5</v>
      </c>
      <c r="AD20" s="1">
        <v>5</v>
      </c>
      <c r="AE20" s="1" t="s">
        <v>570</v>
      </c>
      <c r="AF20" s="1" t="s">
        <v>570</v>
      </c>
      <c r="AG20" s="1" t="s">
        <v>570</v>
      </c>
      <c r="AH20" s="1" t="s">
        <v>570</v>
      </c>
      <c r="AI20" s="1" t="s">
        <v>570</v>
      </c>
      <c r="AJ20" s="1" t="s">
        <v>570</v>
      </c>
      <c r="AK20" s="1" t="s">
        <v>570</v>
      </c>
      <c r="AL20" s="1" t="s">
        <v>570</v>
      </c>
      <c r="AM20" s="1" t="s">
        <v>570</v>
      </c>
      <c r="AN20" s="1" t="s">
        <v>570</v>
      </c>
      <c r="AO20" s="1" t="s">
        <v>570</v>
      </c>
      <c r="AP20" s="1" t="s">
        <v>570</v>
      </c>
      <c r="AQ20" s="1" t="s">
        <v>570</v>
      </c>
      <c r="AR20" s="1" t="s">
        <v>570</v>
      </c>
      <c r="AS20" s="1" t="s">
        <v>570</v>
      </c>
      <c r="AT20" s="19">
        <v>6.2</v>
      </c>
      <c r="AU20" s="19" t="s">
        <v>570</v>
      </c>
      <c r="AV20" s="19">
        <v>0.04</v>
      </c>
      <c r="AW20" s="19">
        <v>6.3</v>
      </c>
      <c r="AX20" s="19" t="s">
        <v>570</v>
      </c>
      <c r="AY20" s="19">
        <v>0.04</v>
      </c>
      <c r="AZ20" s="19" t="s">
        <v>570</v>
      </c>
      <c r="BA20" s="19" t="s">
        <v>570</v>
      </c>
    </row>
    <row r="21" spans="1:53" s="3" customFormat="1" ht="10.95" customHeight="1">
      <c r="A21" s="6" t="s">
        <v>709</v>
      </c>
      <c r="B21" s="6" t="s">
        <v>604</v>
      </c>
      <c r="C21" s="6" t="s">
        <v>710</v>
      </c>
      <c r="D21" s="6" t="s">
        <v>424</v>
      </c>
      <c r="E21" s="6" t="s">
        <v>423</v>
      </c>
      <c r="F21" s="6" t="s">
        <v>570</v>
      </c>
      <c r="G21" s="6" t="s">
        <v>570</v>
      </c>
      <c r="H21" s="6" t="s">
        <v>570</v>
      </c>
      <c r="I21" s="6" t="s">
        <v>570</v>
      </c>
      <c r="J21" s="6" t="s">
        <v>570</v>
      </c>
      <c r="K21" s="6" t="s">
        <v>570</v>
      </c>
      <c r="L21" s="6" t="s">
        <v>570</v>
      </c>
      <c r="M21" s="6" t="s">
        <v>570</v>
      </c>
      <c r="N21" s="6" t="s">
        <v>570</v>
      </c>
      <c r="O21" s="6">
        <v>2001</v>
      </c>
      <c r="P21" s="6" t="s">
        <v>570</v>
      </c>
      <c r="Q21" s="6" t="s">
        <v>570</v>
      </c>
      <c r="R21" s="6" t="s">
        <v>55</v>
      </c>
      <c r="S21" s="6" t="s">
        <v>963</v>
      </c>
      <c r="T21" s="6" t="s">
        <v>637</v>
      </c>
      <c r="U21" s="6" t="s">
        <v>570</v>
      </c>
      <c r="V21" s="6" t="s">
        <v>862</v>
      </c>
      <c r="W21" s="6" t="s">
        <v>569</v>
      </c>
      <c r="X21" s="6" t="s">
        <v>1003</v>
      </c>
      <c r="Y21" s="2" t="s">
        <v>1010</v>
      </c>
      <c r="Z21" s="6" t="s">
        <v>570</v>
      </c>
      <c r="AA21" s="6" t="s">
        <v>964</v>
      </c>
      <c r="AB21" s="6" t="s">
        <v>570</v>
      </c>
      <c r="AC21" s="6">
        <v>5</v>
      </c>
      <c r="AD21" s="6">
        <v>5</v>
      </c>
      <c r="AE21" s="6" t="s">
        <v>570</v>
      </c>
      <c r="AF21" s="6" t="s">
        <v>570</v>
      </c>
      <c r="AG21" s="6" t="s">
        <v>570</v>
      </c>
      <c r="AH21" s="6" t="s">
        <v>570</v>
      </c>
      <c r="AI21" s="6" t="s">
        <v>570</v>
      </c>
      <c r="AJ21" s="6" t="s">
        <v>570</v>
      </c>
      <c r="AK21" s="6" t="s">
        <v>570</v>
      </c>
      <c r="AL21" s="6" t="s">
        <v>570</v>
      </c>
      <c r="AM21" s="6" t="s">
        <v>570</v>
      </c>
      <c r="AN21" s="6" t="s">
        <v>570</v>
      </c>
      <c r="AO21" s="6" t="s">
        <v>570</v>
      </c>
      <c r="AP21" s="6" t="s">
        <v>570</v>
      </c>
      <c r="AQ21" s="6" t="s">
        <v>570</v>
      </c>
      <c r="AR21" s="6" t="s">
        <v>570</v>
      </c>
      <c r="AS21" s="6" t="s">
        <v>570</v>
      </c>
      <c r="AT21" s="19">
        <v>5.7</v>
      </c>
      <c r="AU21" s="19" t="s">
        <v>570</v>
      </c>
      <c r="AV21" s="19">
        <v>0.04</v>
      </c>
      <c r="AW21" s="19">
        <v>7.9</v>
      </c>
      <c r="AX21" s="19" t="s">
        <v>570</v>
      </c>
      <c r="AY21" s="19">
        <v>0.04</v>
      </c>
      <c r="AZ21" s="19" t="s">
        <v>570</v>
      </c>
      <c r="BA21" s="19" t="s">
        <v>570</v>
      </c>
    </row>
    <row r="22" spans="1:53" s="3" customFormat="1" ht="10.050000000000001" customHeight="1">
      <c r="A22" s="4" t="s">
        <v>678</v>
      </c>
      <c r="B22" s="4" t="s">
        <v>508</v>
      </c>
      <c r="C22" s="4" t="s">
        <v>528</v>
      </c>
      <c r="D22" s="4" t="s">
        <v>570</v>
      </c>
      <c r="E22" s="4" t="s">
        <v>570</v>
      </c>
      <c r="F22" s="4" t="s">
        <v>570</v>
      </c>
      <c r="G22" s="4" t="s">
        <v>570</v>
      </c>
      <c r="H22" s="4" t="s">
        <v>570</v>
      </c>
      <c r="I22" s="4" t="s">
        <v>570</v>
      </c>
      <c r="J22" s="4" t="s">
        <v>570</v>
      </c>
      <c r="K22" s="4" t="s">
        <v>570</v>
      </c>
      <c r="L22" s="4" t="s">
        <v>570</v>
      </c>
      <c r="M22" s="4" t="s">
        <v>570</v>
      </c>
      <c r="N22" s="4" t="s">
        <v>570</v>
      </c>
      <c r="O22" s="4">
        <v>2005</v>
      </c>
      <c r="P22" s="4" t="s">
        <v>570</v>
      </c>
      <c r="Q22" s="4" t="s">
        <v>570</v>
      </c>
      <c r="R22" s="4" t="s">
        <v>55</v>
      </c>
      <c r="S22" s="4" t="s">
        <v>570</v>
      </c>
      <c r="T22" s="4" t="s">
        <v>570</v>
      </c>
      <c r="U22" s="4" t="s">
        <v>732</v>
      </c>
      <c r="V22" s="14" t="s">
        <v>736</v>
      </c>
      <c r="W22" s="4" t="s">
        <v>569</v>
      </c>
      <c r="X22" s="4" t="s">
        <v>131</v>
      </c>
      <c r="Y22" s="4" t="s">
        <v>1009</v>
      </c>
      <c r="Z22" s="4" t="s">
        <v>570</v>
      </c>
      <c r="AA22" s="4" t="s">
        <v>733</v>
      </c>
      <c r="AB22" s="4" t="s">
        <v>570</v>
      </c>
      <c r="AC22" s="4">
        <v>21</v>
      </c>
      <c r="AD22" s="4">
        <v>21</v>
      </c>
      <c r="AE22" s="4" t="s">
        <v>570</v>
      </c>
      <c r="AF22" s="4" t="s">
        <v>570</v>
      </c>
      <c r="AG22" s="4" t="s">
        <v>570</v>
      </c>
      <c r="AH22" s="4" t="s">
        <v>570</v>
      </c>
      <c r="AI22" s="4" t="s">
        <v>570</v>
      </c>
      <c r="AJ22" s="4" t="s">
        <v>570</v>
      </c>
      <c r="AK22" s="4" t="s">
        <v>570</v>
      </c>
      <c r="AL22" s="4" t="s">
        <v>570</v>
      </c>
      <c r="AM22" s="4" t="s">
        <v>570</v>
      </c>
      <c r="AN22" s="4" t="s">
        <v>570</v>
      </c>
      <c r="AO22" s="4" t="s">
        <v>570</v>
      </c>
      <c r="AP22" s="4" t="s">
        <v>570</v>
      </c>
      <c r="AQ22" s="4" t="s">
        <v>570</v>
      </c>
      <c r="AR22" s="4" t="s">
        <v>570</v>
      </c>
      <c r="AS22" s="4" t="s">
        <v>667</v>
      </c>
      <c r="AT22" s="4">
        <f>185.7/1000</f>
        <v>0.18569999999999998</v>
      </c>
      <c r="AU22" s="4">
        <f>46.8/1000</f>
        <v>4.6799999999999994E-2</v>
      </c>
      <c r="AV22" s="4"/>
      <c r="AW22" s="4">
        <f>113.6/1000</f>
        <v>0.11359999999999999</v>
      </c>
      <c r="AX22" s="4">
        <f>57.2/1000</f>
        <v>5.7200000000000001E-2</v>
      </c>
      <c r="AY22" s="4"/>
      <c r="AZ22" s="4">
        <v>0.04</v>
      </c>
      <c r="BA22" s="4"/>
    </row>
    <row r="23" spans="1:53" s="3" customFormat="1">
      <c r="A23" s="6" t="s">
        <v>678</v>
      </c>
      <c r="B23" s="6" t="s">
        <v>508</v>
      </c>
      <c r="C23" s="6" t="s">
        <v>528</v>
      </c>
      <c r="D23" s="6" t="s">
        <v>570</v>
      </c>
      <c r="E23" s="6" t="s">
        <v>570</v>
      </c>
      <c r="F23" s="6" t="s">
        <v>570</v>
      </c>
      <c r="G23" s="6" t="s">
        <v>570</v>
      </c>
      <c r="H23" s="6" t="s">
        <v>570</v>
      </c>
      <c r="I23" s="6" t="s">
        <v>570</v>
      </c>
      <c r="J23" s="6" t="s">
        <v>570</v>
      </c>
      <c r="K23" s="6" t="s">
        <v>570</v>
      </c>
      <c r="L23" s="6" t="s">
        <v>570</v>
      </c>
      <c r="M23" s="6" t="s">
        <v>570</v>
      </c>
      <c r="N23" s="6" t="s">
        <v>570</v>
      </c>
      <c r="O23" s="6">
        <v>2006</v>
      </c>
      <c r="P23" s="6" t="s">
        <v>570</v>
      </c>
      <c r="Q23" s="6" t="s">
        <v>570</v>
      </c>
      <c r="R23" s="6" t="s">
        <v>55</v>
      </c>
      <c r="S23" s="6" t="s">
        <v>570</v>
      </c>
      <c r="T23" s="6" t="s">
        <v>570</v>
      </c>
      <c r="U23" s="6" t="s">
        <v>732</v>
      </c>
      <c r="V23" s="15" t="s">
        <v>736</v>
      </c>
      <c r="W23" s="6" t="s">
        <v>569</v>
      </c>
      <c r="X23" s="6" t="s">
        <v>131</v>
      </c>
      <c r="Y23" s="6" t="s">
        <v>1009</v>
      </c>
      <c r="Z23" s="6" t="s">
        <v>570</v>
      </c>
      <c r="AA23" s="6" t="s">
        <v>733</v>
      </c>
      <c r="AB23" s="6" t="s">
        <v>570</v>
      </c>
      <c r="AC23" s="6">
        <v>21</v>
      </c>
      <c r="AD23" s="6">
        <v>21</v>
      </c>
      <c r="AE23" s="6" t="s">
        <v>570</v>
      </c>
      <c r="AF23" s="6" t="s">
        <v>570</v>
      </c>
      <c r="AG23" s="6" t="s">
        <v>570</v>
      </c>
      <c r="AH23" s="6" t="s">
        <v>570</v>
      </c>
      <c r="AI23" s="6" t="s">
        <v>570</v>
      </c>
      <c r="AJ23" s="6" t="s">
        <v>570</v>
      </c>
      <c r="AK23" s="6" t="s">
        <v>570</v>
      </c>
      <c r="AL23" s="6" t="s">
        <v>570</v>
      </c>
      <c r="AM23" s="6" t="s">
        <v>570</v>
      </c>
      <c r="AN23" s="6" t="s">
        <v>570</v>
      </c>
      <c r="AO23" s="6" t="s">
        <v>570</v>
      </c>
      <c r="AP23" s="6" t="s">
        <v>570</v>
      </c>
      <c r="AQ23" s="6" t="s">
        <v>570</v>
      </c>
      <c r="AR23" s="6" t="s">
        <v>570</v>
      </c>
      <c r="AS23" s="6" t="s">
        <v>667</v>
      </c>
      <c r="AT23" s="6">
        <f>975.6/1000</f>
        <v>0.97560000000000002</v>
      </c>
      <c r="AU23" s="6">
        <f>471.8/1000</f>
        <v>0.4718</v>
      </c>
      <c r="AV23" s="6"/>
      <c r="AW23" s="6">
        <f>238.8/1000</f>
        <v>0.23880000000000001</v>
      </c>
      <c r="AX23" s="6">
        <f>56.1*1000</f>
        <v>56100</v>
      </c>
      <c r="AY23" s="6"/>
      <c r="AZ23" s="6">
        <v>0.01</v>
      </c>
      <c r="BA23" s="6"/>
    </row>
    <row r="24" spans="1:53" ht="12" customHeight="1">
      <c r="A24" s="1" t="s">
        <v>495</v>
      </c>
      <c r="B24" s="1" t="s">
        <v>604</v>
      </c>
      <c r="C24" s="1" t="s">
        <v>265</v>
      </c>
      <c r="D24" s="2" t="s">
        <v>570</v>
      </c>
      <c r="E24" s="2" t="s">
        <v>570</v>
      </c>
      <c r="F24" s="2" t="s">
        <v>570</v>
      </c>
      <c r="G24" s="2" t="s">
        <v>570</v>
      </c>
      <c r="H24" s="2" t="s">
        <v>570</v>
      </c>
      <c r="I24" s="2" t="s">
        <v>570</v>
      </c>
      <c r="J24" s="2" t="s">
        <v>570</v>
      </c>
      <c r="K24" s="2" t="s">
        <v>570</v>
      </c>
      <c r="L24" s="2" t="s">
        <v>570</v>
      </c>
      <c r="M24" s="2" t="s">
        <v>570</v>
      </c>
      <c r="N24" s="2" t="s">
        <v>570</v>
      </c>
      <c r="O24" s="1">
        <v>2000</v>
      </c>
      <c r="P24" s="2" t="s">
        <v>570</v>
      </c>
      <c r="Q24" s="2" t="s">
        <v>570</v>
      </c>
      <c r="R24" s="1" t="s">
        <v>55</v>
      </c>
      <c r="S24" s="2" t="s">
        <v>570</v>
      </c>
      <c r="T24" s="1" t="s">
        <v>51</v>
      </c>
      <c r="U24" s="1" t="s">
        <v>570</v>
      </c>
      <c r="V24" s="1" t="s">
        <v>824</v>
      </c>
      <c r="W24" s="1" t="s">
        <v>719</v>
      </c>
      <c r="X24" s="1" t="s">
        <v>1003</v>
      </c>
      <c r="Y24" s="1" t="s">
        <v>1012</v>
      </c>
      <c r="Z24" s="1" t="s">
        <v>570</v>
      </c>
      <c r="AA24" s="1" t="s">
        <v>52</v>
      </c>
      <c r="AB24" s="1" t="s">
        <v>570</v>
      </c>
      <c r="AC24" s="2">
        <f t="shared" ref="AC24:AD31" si="1">5*2</f>
        <v>10</v>
      </c>
      <c r="AD24" s="2">
        <f t="shared" si="1"/>
        <v>10</v>
      </c>
      <c r="AE24" s="1" t="s">
        <v>570</v>
      </c>
      <c r="AF24" s="1" t="s">
        <v>570</v>
      </c>
      <c r="AG24" s="1" t="s">
        <v>570</v>
      </c>
      <c r="AH24" s="1" t="s">
        <v>570</v>
      </c>
      <c r="AI24" s="1" t="s">
        <v>570</v>
      </c>
      <c r="AJ24" s="1" t="s">
        <v>570</v>
      </c>
      <c r="AK24" s="1" t="s">
        <v>69</v>
      </c>
      <c r="AL24" s="1" t="s">
        <v>570</v>
      </c>
      <c r="AM24" s="1" t="s">
        <v>570</v>
      </c>
      <c r="AN24" s="1" t="s">
        <v>570</v>
      </c>
      <c r="AO24" s="1" t="s">
        <v>570</v>
      </c>
      <c r="AP24" s="1" t="s">
        <v>570</v>
      </c>
      <c r="AQ24" s="1" t="s">
        <v>570</v>
      </c>
      <c r="AR24" s="1" t="s">
        <v>570</v>
      </c>
      <c r="AS24" s="1" t="s">
        <v>668</v>
      </c>
      <c r="AT24" s="1">
        <f>41/1000</f>
        <v>4.1000000000000002E-2</v>
      </c>
      <c r="AU24" s="1" t="s">
        <v>570</v>
      </c>
      <c r="AV24" s="1">
        <v>84.997272231314795</v>
      </c>
      <c r="AW24" s="1">
        <f>35.8/1000</f>
        <v>3.5799999999999998E-2</v>
      </c>
      <c r="AX24" s="1" t="s">
        <v>570</v>
      </c>
      <c r="AY24" s="1">
        <v>84.997272231314795</v>
      </c>
      <c r="AZ24" s="1" t="s">
        <v>457</v>
      </c>
      <c r="BA24" s="13">
        <v>155.80000000000001</v>
      </c>
    </row>
    <row r="25" spans="1:53" ht="12" customHeight="1">
      <c r="A25" s="1" t="s">
        <v>495</v>
      </c>
      <c r="B25" s="1" t="s">
        <v>604</v>
      </c>
      <c r="C25" s="1" t="s">
        <v>265</v>
      </c>
      <c r="D25" s="2" t="s">
        <v>570</v>
      </c>
      <c r="E25" s="2" t="s">
        <v>570</v>
      </c>
      <c r="F25" s="2" t="s">
        <v>570</v>
      </c>
      <c r="G25" s="2" t="s">
        <v>570</v>
      </c>
      <c r="H25" s="2" t="s">
        <v>570</v>
      </c>
      <c r="I25" s="2" t="s">
        <v>570</v>
      </c>
      <c r="J25" s="2" t="s">
        <v>570</v>
      </c>
      <c r="K25" s="2" t="s">
        <v>570</v>
      </c>
      <c r="L25" s="2" t="s">
        <v>570</v>
      </c>
      <c r="M25" s="2" t="s">
        <v>570</v>
      </c>
      <c r="N25" s="2" t="s">
        <v>570</v>
      </c>
      <c r="O25" s="1">
        <v>2000</v>
      </c>
      <c r="P25" s="2" t="s">
        <v>570</v>
      </c>
      <c r="Q25" s="2" t="s">
        <v>570</v>
      </c>
      <c r="R25" s="1" t="s">
        <v>55</v>
      </c>
      <c r="S25" s="1" t="s">
        <v>570</v>
      </c>
      <c r="T25" s="1" t="s">
        <v>53</v>
      </c>
      <c r="U25" s="1" t="s">
        <v>570</v>
      </c>
      <c r="V25" s="1" t="s">
        <v>824</v>
      </c>
      <c r="W25" s="1" t="s">
        <v>719</v>
      </c>
      <c r="X25" s="1" t="s">
        <v>1003</v>
      </c>
      <c r="Y25" s="1" t="s">
        <v>1010</v>
      </c>
      <c r="Z25" s="1" t="s">
        <v>570</v>
      </c>
      <c r="AA25" s="1" t="s">
        <v>50</v>
      </c>
      <c r="AB25" s="1" t="s">
        <v>570</v>
      </c>
      <c r="AC25" s="2">
        <f t="shared" si="1"/>
        <v>10</v>
      </c>
      <c r="AD25" s="2">
        <f t="shared" si="1"/>
        <v>10</v>
      </c>
      <c r="AE25" s="1" t="s">
        <v>570</v>
      </c>
      <c r="AF25" s="1" t="s">
        <v>570</v>
      </c>
      <c r="AG25" s="1" t="s">
        <v>570</v>
      </c>
      <c r="AH25" s="1" t="s">
        <v>570</v>
      </c>
      <c r="AI25" s="1" t="s">
        <v>570</v>
      </c>
      <c r="AJ25" s="1" t="s">
        <v>570</v>
      </c>
      <c r="AK25" s="1" t="s">
        <v>69</v>
      </c>
      <c r="AL25" s="1" t="s">
        <v>570</v>
      </c>
      <c r="AM25" s="1" t="s">
        <v>570</v>
      </c>
      <c r="AN25" s="1" t="s">
        <v>570</v>
      </c>
      <c r="AO25" s="1" t="s">
        <v>570</v>
      </c>
      <c r="AP25" s="1" t="s">
        <v>570</v>
      </c>
      <c r="AQ25" s="1" t="s">
        <v>570</v>
      </c>
      <c r="AR25" s="1" t="s">
        <v>570</v>
      </c>
      <c r="AS25" s="1" t="s">
        <v>668</v>
      </c>
      <c r="AT25" s="1">
        <f>49.8/1000</f>
        <v>4.9799999999999997E-2</v>
      </c>
      <c r="AU25" s="1" t="s">
        <v>570</v>
      </c>
      <c r="AV25" s="1">
        <v>84.997272231314795</v>
      </c>
      <c r="AW25" s="1">
        <f>102.8/1000</f>
        <v>0.1028</v>
      </c>
      <c r="AX25" s="1" t="s">
        <v>570</v>
      </c>
      <c r="AY25" s="1">
        <v>84.997272231314795</v>
      </c>
      <c r="AZ25" s="1" t="s">
        <v>457</v>
      </c>
      <c r="BA25" s="13">
        <v>155.80000000000001</v>
      </c>
    </row>
    <row r="26" spans="1:53" ht="12" customHeight="1">
      <c r="A26" s="1" t="s">
        <v>495</v>
      </c>
      <c r="B26" s="1" t="s">
        <v>604</v>
      </c>
      <c r="C26" s="1" t="s">
        <v>265</v>
      </c>
      <c r="D26" s="2" t="s">
        <v>570</v>
      </c>
      <c r="E26" s="2" t="s">
        <v>570</v>
      </c>
      <c r="F26" s="2" t="s">
        <v>570</v>
      </c>
      <c r="G26" s="2" t="s">
        <v>570</v>
      </c>
      <c r="H26" s="2" t="s">
        <v>570</v>
      </c>
      <c r="I26" s="2" t="s">
        <v>570</v>
      </c>
      <c r="J26" s="2" t="s">
        <v>570</v>
      </c>
      <c r="K26" s="2" t="s">
        <v>570</v>
      </c>
      <c r="L26" s="2" t="s">
        <v>570</v>
      </c>
      <c r="M26" s="2" t="s">
        <v>570</v>
      </c>
      <c r="N26" s="2" t="s">
        <v>570</v>
      </c>
      <c r="O26" s="1">
        <v>2000</v>
      </c>
      <c r="P26" s="2" t="s">
        <v>570</v>
      </c>
      <c r="Q26" s="2" t="s">
        <v>570</v>
      </c>
      <c r="R26" s="2" t="s">
        <v>55</v>
      </c>
      <c r="S26" s="1" t="s">
        <v>570</v>
      </c>
      <c r="T26" s="1" t="s">
        <v>54</v>
      </c>
      <c r="U26" s="1" t="s">
        <v>570</v>
      </c>
      <c r="V26" s="1" t="s">
        <v>736</v>
      </c>
      <c r="W26" s="2" t="s">
        <v>720</v>
      </c>
      <c r="X26" s="2" t="s">
        <v>131</v>
      </c>
      <c r="Y26" s="2" t="s">
        <v>1009</v>
      </c>
      <c r="Z26" s="1" t="s">
        <v>570</v>
      </c>
      <c r="AA26" s="1" t="s">
        <v>80</v>
      </c>
      <c r="AB26" s="1" t="s">
        <v>570</v>
      </c>
      <c r="AC26" s="2">
        <f t="shared" si="1"/>
        <v>10</v>
      </c>
      <c r="AD26" s="2">
        <f t="shared" si="1"/>
        <v>10</v>
      </c>
      <c r="AE26" s="1" t="s">
        <v>570</v>
      </c>
      <c r="AF26" s="1" t="s">
        <v>570</v>
      </c>
      <c r="AG26" s="1" t="s">
        <v>570</v>
      </c>
      <c r="AH26" s="1" t="s">
        <v>570</v>
      </c>
      <c r="AI26" s="1" t="s">
        <v>570</v>
      </c>
      <c r="AJ26" s="1" t="s">
        <v>570</v>
      </c>
      <c r="AK26" s="1" t="s">
        <v>69</v>
      </c>
      <c r="AL26" s="1" t="s">
        <v>570</v>
      </c>
      <c r="AM26" s="1" t="s">
        <v>570</v>
      </c>
      <c r="AN26" s="1" t="s">
        <v>570</v>
      </c>
      <c r="AO26" s="1" t="s">
        <v>570</v>
      </c>
      <c r="AP26" s="1" t="s">
        <v>570</v>
      </c>
      <c r="AQ26" s="1" t="s">
        <v>570</v>
      </c>
      <c r="AR26" s="1" t="s">
        <v>570</v>
      </c>
      <c r="AS26" s="1" t="s">
        <v>668</v>
      </c>
      <c r="AT26" s="1">
        <f>77.6/1000</f>
        <v>7.7599999999999988E-2</v>
      </c>
      <c r="AU26" s="1" t="s">
        <v>570</v>
      </c>
      <c r="AV26" s="1">
        <v>84.997272231314795</v>
      </c>
      <c r="AW26" s="1">
        <f>112.2/1000</f>
        <v>0.11220000000000001</v>
      </c>
      <c r="AX26" s="1" t="s">
        <v>570</v>
      </c>
      <c r="AY26" s="1">
        <v>84.997272231314795</v>
      </c>
      <c r="AZ26" s="1" t="s">
        <v>457</v>
      </c>
      <c r="BA26" s="13">
        <v>155.80000000000001</v>
      </c>
    </row>
    <row r="27" spans="1:53" ht="12" customHeight="1">
      <c r="A27" s="1" t="s">
        <v>495</v>
      </c>
      <c r="B27" s="1" t="s">
        <v>604</v>
      </c>
      <c r="C27" s="1" t="s">
        <v>265</v>
      </c>
      <c r="D27" s="2" t="s">
        <v>570</v>
      </c>
      <c r="E27" s="2" t="s">
        <v>570</v>
      </c>
      <c r="F27" s="2" t="s">
        <v>570</v>
      </c>
      <c r="G27" s="2" t="s">
        <v>570</v>
      </c>
      <c r="H27" s="2" t="s">
        <v>570</v>
      </c>
      <c r="I27" s="2" t="s">
        <v>570</v>
      </c>
      <c r="J27" s="2" t="s">
        <v>570</v>
      </c>
      <c r="K27" s="2" t="s">
        <v>570</v>
      </c>
      <c r="L27" s="2" t="s">
        <v>570</v>
      </c>
      <c r="M27" s="2" t="s">
        <v>570</v>
      </c>
      <c r="N27" s="2" t="s">
        <v>570</v>
      </c>
      <c r="O27" s="1">
        <v>2000</v>
      </c>
      <c r="P27" s="2" t="s">
        <v>570</v>
      </c>
      <c r="Q27" s="2" t="s">
        <v>570</v>
      </c>
      <c r="R27" s="2" t="s">
        <v>55</v>
      </c>
      <c r="S27" s="1" t="s">
        <v>570</v>
      </c>
      <c r="T27" s="1" t="s">
        <v>70</v>
      </c>
      <c r="U27" s="1" t="s">
        <v>570</v>
      </c>
      <c r="V27" s="1" t="s">
        <v>736</v>
      </c>
      <c r="W27" s="2" t="s">
        <v>720</v>
      </c>
      <c r="X27" s="2" t="s">
        <v>131</v>
      </c>
      <c r="Y27" s="2" t="s">
        <v>1009</v>
      </c>
      <c r="Z27" s="1" t="s">
        <v>570</v>
      </c>
      <c r="AA27" s="1" t="s">
        <v>71</v>
      </c>
      <c r="AB27" s="1" t="s">
        <v>570</v>
      </c>
      <c r="AC27" s="2">
        <f t="shared" si="1"/>
        <v>10</v>
      </c>
      <c r="AD27" s="2">
        <f t="shared" si="1"/>
        <v>10</v>
      </c>
      <c r="AE27" s="1" t="s">
        <v>570</v>
      </c>
      <c r="AF27" s="1" t="s">
        <v>570</v>
      </c>
      <c r="AG27" s="1" t="s">
        <v>570</v>
      </c>
      <c r="AH27" s="1" t="s">
        <v>570</v>
      </c>
      <c r="AI27" s="1" t="s">
        <v>570</v>
      </c>
      <c r="AJ27" s="1" t="s">
        <v>570</v>
      </c>
      <c r="AK27" s="1" t="s">
        <v>69</v>
      </c>
      <c r="AL27" s="1" t="s">
        <v>570</v>
      </c>
      <c r="AM27" s="1" t="s">
        <v>570</v>
      </c>
      <c r="AN27" s="1" t="s">
        <v>570</v>
      </c>
      <c r="AO27" s="1" t="s">
        <v>570</v>
      </c>
      <c r="AP27" s="1" t="s">
        <v>570</v>
      </c>
      <c r="AQ27" s="1" t="s">
        <v>570</v>
      </c>
      <c r="AR27" s="1" t="s">
        <v>570</v>
      </c>
      <c r="AS27" s="1" t="s">
        <v>668</v>
      </c>
      <c r="AT27" s="1">
        <f>27.9/1000</f>
        <v>2.7899999999999998E-2</v>
      </c>
      <c r="AU27" s="1" t="s">
        <v>570</v>
      </c>
      <c r="AV27" s="1">
        <v>84.997272231314795</v>
      </c>
      <c r="AW27" s="1">
        <f>146.5/1000</f>
        <v>0.14649999999999999</v>
      </c>
      <c r="AX27" s="1" t="s">
        <v>570</v>
      </c>
      <c r="AY27" s="1">
        <v>84.997272231314795</v>
      </c>
      <c r="AZ27" s="1" t="s">
        <v>457</v>
      </c>
      <c r="BA27" s="13">
        <v>155.80000000000001</v>
      </c>
    </row>
    <row r="28" spans="1:53" ht="12" customHeight="1">
      <c r="A28" s="1" t="s">
        <v>495</v>
      </c>
      <c r="B28" s="1" t="s">
        <v>604</v>
      </c>
      <c r="C28" s="1" t="s">
        <v>265</v>
      </c>
      <c r="D28" s="2" t="s">
        <v>570</v>
      </c>
      <c r="E28" s="2" t="s">
        <v>570</v>
      </c>
      <c r="F28" s="2" t="s">
        <v>570</v>
      </c>
      <c r="G28" s="2" t="s">
        <v>570</v>
      </c>
      <c r="H28" s="2" t="s">
        <v>570</v>
      </c>
      <c r="I28" s="2" t="s">
        <v>570</v>
      </c>
      <c r="J28" s="2" t="s">
        <v>570</v>
      </c>
      <c r="K28" s="2" t="s">
        <v>570</v>
      </c>
      <c r="L28" s="2" t="s">
        <v>570</v>
      </c>
      <c r="M28" s="2" t="s">
        <v>570</v>
      </c>
      <c r="N28" s="2" t="s">
        <v>570</v>
      </c>
      <c r="O28" s="1">
        <v>2000</v>
      </c>
      <c r="P28" s="2" t="s">
        <v>570</v>
      </c>
      <c r="Q28" s="2" t="s">
        <v>570</v>
      </c>
      <c r="R28" s="2" t="s">
        <v>55</v>
      </c>
      <c r="S28" s="1" t="s">
        <v>570</v>
      </c>
      <c r="T28" s="1" t="s">
        <v>51</v>
      </c>
      <c r="U28" s="1" t="s">
        <v>570</v>
      </c>
      <c r="V28" s="1" t="s">
        <v>824</v>
      </c>
      <c r="W28" s="1" t="s">
        <v>719</v>
      </c>
      <c r="X28" s="1" t="s">
        <v>131</v>
      </c>
      <c r="Y28" s="1" t="s">
        <v>1010</v>
      </c>
      <c r="Z28" s="1" t="s">
        <v>570</v>
      </c>
      <c r="AA28" s="1" t="s">
        <v>52</v>
      </c>
      <c r="AB28" s="1" t="s">
        <v>570</v>
      </c>
      <c r="AC28" s="2">
        <f t="shared" si="1"/>
        <v>10</v>
      </c>
      <c r="AD28" s="2">
        <f t="shared" si="1"/>
        <v>10</v>
      </c>
      <c r="AE28" s="1" t="s">
        <v>570</v>
      </c>
      <c r="AF28" s="1" t="s">
        <v>570</v>
      </c>
      <c r="AG28" s="1" t="s">
        <v>570</v>
      </c>
      <c r="AH28" s="1" t="s">
        <v>570</v>
      </c>
      <c r="AI28" s="1" t="s">
        <v>570</v>
      </c>
      <c r="AJ28" s="1" t="s">
        <v>570</v>
      </c>
      <c r="AK28" s="1" t="s">
        <v>313</v>
      </c>
      <c r="AL28" s="1" t="s">
        <v>570</v>
      </c>
      <c r="AM28" s="1" t="s">
        <v>570</v>
      </c>
      <c r="AN28" s="1" t="s">
        <v>570</v>
      </c>
      <c r="AO28" s="1" t="s">
        <v>570</v>
      </c>
      <c r="AP28" s="1" t="s">
        <v>570</v>
      </c>
      <c r="AQ28" s="1" t="s">
        <v>570</v>
      </c>
      <c r="AR28" s="1" t="s">
        <v>570</v>
      </c>
      <c r="AS28" s="1" t="s">
        <v>668</v>
      </c>
      <c r="AT28" s="1">
        <f>127.6/1000</f>
        <v>0.12759999999999999</v>
      </c>
      <c r="AU28" s="1" t="s">
        <v>570</v>
      </c>
      <c r="AV28" s="1">
        <v>84.997272231314795</v>
      </c>
      <c r="AW28" s="1">
        <f>345.9/1000</f>
        <v>0.34589999999999999</v>
      </c>
      <c r="AX28" s="1" t="s">
        <v>570</v>
      </c>
      <c r="AY28" s="1">
        <v>84.997272231314795</v>
      </c>
      <c r="AZ28" s="1" t="s">
        <v>632</v>
      </c>
      <c r="BA28" s="13">
        <v>155.80000000000001</v>
      </c>
    </row>
    <row r="29" spans="1:53" ht="12" customHeight="1">
      <c r="A29" s="1" t="s">
        <v>495</v>
      </c>
      <c r="B29" s="1" t="s">
        <v>604</v>
      </c>
      <c r="C29" s="1" t="s">
        <v>265</v>
      </c>
      <c r="D29" s="2" t="s">
        <v>570</v>
      </c>
      <c r="E29" s="2" t="s">
        <v>570</v>
      </c>
      <c r="F29" s="2" t="s">
        <v>570</v>
      </c>
      <c r="G29" s="2" t="s">
        <v>570</v>
      </c>
      <c r="H29" s="2" t="s">
        <v>570</v>
      </c>
      <c r="I29" s="2" t="s">
        <v>570</v>
      </c>
      <c r="J29" s="2" t="s">
        <v>570</v>
      </c>
      <c r="K29" s="2" t="s">
        <v>570</v>
      </c>
      <c r="L29" s="2" t="s">
        <v>570</v>
      </c>
      <c r="M29" s="2" t="s">
        <v>570</v>
      </c>
      <c r="N29" s="2" t="s">
        <v>570</v>
      </c>
      <c r="O29" s="1">
        <v>2000</v>
      </c>
      <c r="P29" s="2" t="s">
        <v>570</v>
      </c>
      <c r="Q29" s="2" t="s">
        <v>570</v>
      </c>
      <c r="R29" s="2" t="s">
        <v>55</v>
      </c>
      <c r="S29" s="1" t="s">
        <v>570</v>
      </c>
      <c r="T29" s="1" t="s">
        <v>53</v>
      </c>
      <c r="U29" s="1" t="s">
        <v>570</v>
      </c>
      <c r="V29" s="1" t="s">
        <v>824</v>
      </c>
      <c r="W29" s="1" t="s">
        <v>719</v>
      </c>
      <c r="X29" s="1" t="s">
        <v>131</v>
      </c>
      <c r="Y29" s="1" t="s">
        <v>1010</v>
      </c>
      <c r="Z29" s="1" t="s">
        <v>570</v>
      </c>
      <c r="AA29" s="1" t="s">
        <v>50</v>
      </c>
      <c r="AB29" s="1" t="s">
        <v>570</v>
      </c>
      <c r="AC29" s="2">
        <f t="shared" si="1"/>
        <v>10</v>
      </c>
      <c r="AD29" s="2">
        <f t="shared" si="1"/>
        <v>10</v>
      </c>
      <c r="AE29" s="1" t="s">
        <v>570</v>
      </c>
      <c r="AF29" s="1" t="s">
        <v>570</v>
      </c>
      <c r="AG29" s="1" t="s">
        <v>570</v>
      </c>
      <c r="AH29" s="1" t="s">
        <v>570</v>
      </c>
      <c r="AI29" s="1" t="s">
        <v>570</v>
      </c>
      <c r="AJ29" s="1" t="s">
        <v>570</v>
      </c>
      <c r="AK29" s="1" t="s">
        <v>313</v>
      </c>
      <c r="AL29" s="1" t="s">
        <v>570</v>
      </c>
      <c r="AM29" s="1" t="s">
        <v>570</v>
      </c>
      <c r="AN29" s="1" t="s">
        <v>570</v>
      </c>
      <c r="AO29" s="1" t="s">
        <v>570</v>
      </c>
      <c r="AP29" s="1" t="s">
        <v>570</v>
      </c>
      <c r="AQ29" s="1" t="s">
        <v>570</v>
      </c>
      <c r="AR29" s="1" t="s">
        <v>570</v>
      </c>
      <c r="AS29" s="1" t="s">
        <v>668</v>
      </c>
      <c r="AT29" s="1">
        <f>134/1000</f>
        <v>0.13400000000000001</v>
      </c>
      <c r="AU29" s="1" t="s">
        <v>570</v>
      </c>
      <c r="AV29" s="1">
        <v>84.997272231314795</v>
      </c>
      <c r="AW29" s="1">
        <f>285.3/1000</f>
        <v>0.2853</v>
      </c>
      <c r="AX29" s="1" t="s">
        <v>570</v>
      </c>
      <c r="AY29" s="1">
        <v>84.997272231314795</v>
      </c>
      <c r="AZ29" s="1" t="s">
        <v>632</v>
      </c>
      <c r="BA29" s="13">
        <v>155.80000000000001</v>
      </c>
    </row>
    <row r="30" spans="1:53" ht="12" customHeight="1">
      <c r="A30" s="1" t="s">
        <v>495</v>
      </c>
      <c r="B30" s="1" t="s">
        <v>604</v>
      </c>
      <c r="C30" s="1" t="s">
        <v>265</v>
      </c>
      <c r="D30" s="2" t="s">
        <v>570</v>
      </c>
      <c r="E30" s="2" t="s">
        <v>570</v>
      </c>
      <c r="F30" s="2" t="s">
        <v>570</v>
      </c>
      <c r="G30" s="2" t="s">
        <v>570</v>
      </c>
      <c r="H30" s="2" t="s">
        <v>570</v>
      </c>
      <c r="I30" s="2" t="s">
        <v>570</v>
      </c>
      <c r="J30" s="2" t="s">
        <v>570</v>
      </c>
      <c r="K30" s="2" t="s">
        <v>570</v>
      </c>
      <c r="L30" s="2" t="s">
        <v>570</v>
      </c>
      <c r="M30" s="2" t="s">
        <v>570</v>
      </c>
      <c r="N30" s="2" t="s">
        <v>570</v>
      </c>
      <c r="O30" s="1">
        <v>2000</v>
      </c>
      <c r="P30" s="2" t="s">
        <v>570</v>
      </c>
      <c r="Q30" s="2" t="s">
        <v>570</v>
      </c>
      <c r="R30" s="2" t="s">
        <v>55</v>
      </c>
      <c r="S30" s="1" t="s">
        <v>570</v>
      </c>
      <c r="T30" s="1" t="s">
        <v>54</v>
      </c>
      <c r="U30" s="1" t="s">
        <v>570</v>
      </c>
      <c r="V30" s="1" t="s">
        <v>736</v>
      </c>
      <c r="W30" s="2" t="s">
        <v>720</v>
      </c>
      <c r="X30" s="2" t="s">
        <v>131</v>
      </c>
      <c r="Y30" s="2" t="s">
        <v>1009</v>
      </c>
      <c r="Z30" s="1" t="s">
        <v>570</v>
      </c>
      <c r="AA30" s="1" t="s">
        <v>80</v>
      </c>
      <c r="AB30" s="1" t="s">
        <v>570</v>
      </c>
      <c r="AC30" s="2">
        <f t="shared" si="1"/>
        <v>10</v>
      </c>
      <c r="AD30" s="2">
        <f t="shared" si="1"/>
        <v>10</v>
      </c>
      <c r="AE30" s="1" t="s">
        <v>570</v>
      </c>
      <c r="AF30" s="1" t="s">
        <v>570</v>
      </c>
      <c r="AG30" s="1" t="s">
        <v>570</v>
      </c>
      <c r="AH30" s="1" t="s">
        <v>570</v>
      </c>
      <c r="AI30" s="1" t="s">
        <v>570</v>
      </c>
      <c r="AJ30" s="1" t="s">
        <v>570</v>
      </c>
      <c r="AK30" s="1" t="s">
        <v>313</v>
      </c>
      <c r="AL30" s="1" t="s">
        <v>570</v>
      </c>
      <c r="AM30" s="1" t="s">
        <v>570</v>
      </c>
      <c r="AN30" s="1" t="s">
        <v>570</v>
      </c>
      <c r="AO30" s="1" t="s">
        <v>570</v>
      </c>
      <c r="AP30" s="1" t="s">
        <v>570</v>
      </c>
      <c r="AQ30" s="1" t="s">
        <v>570</v>
      </c>
      <c r="AR30" s="1" t="s">
        <v>570</v>
      </c>
      <c r="AS30" s="1" t="s">
        <v>668</v>
      </c>
      <c r="AT30" s="1">
        <f>218.8/1000</f>
        <v>0.21880000000000002</v>
      </c>
      <c r="AU30" s="1" t="s">
        <v>570</v>
      </c>
      <c r="AV30" s="1">
        <v>84.997272231314795</v>
      </c>
      <c r="AW30" s="1">
        <f>539.7/1000</f>
        <v>0.53970000000000007</v>
      </c>
      <c r="AX30" s="1" t="s">
        <v>570</v>
      </c>
      <c r="AY30" s="1">
        <v>84.997272231314795</v>
      </c>
      <c r="AZ30" s="1" t="s">
        <v>632</v>
      </c>
      <c r="BA30" s="13">
        <v>155.80000000000001</v>
      </c>
    </row>
    <row r="31" spans="1:53" ht="12" customHeight="1">
      <c r="A31" s="6" t="s">
        <v>495</v>
      </c>
      <c r="B31" s="6" t="s">
        <v>604</v>
      </c>
      <c r="C31" s="6" t="s">
        <v>265</v>
      </c>
      <c r="D31" s="6" t="s">
        <v>570</v>
      </c>
      <c r="E31" s="6" t="s">
        <v>570</v>
      </c>
      <c r="F31" s="6" t="s">
        <v>570</v>
      </c>
      <c r="G31" s="6" t="s">
        <v>570</v>
      </c>
      <c r="H31" s="6" t="s">
        <v>570</v>
      </c>
      <c r="I31" s="6" t="s">
        <v>570</v>
      </c>
      <c r="J31" s="6" t="s">
        <v>570</v>
      </c>
      <c r="K31" s="6" t="s">
        <v>570</v>
      </c>
      <c r="L31" s="6" t="s">
        <v>570</v>
      </c>
      <c r="M31" s="6" t="s">
        <v>570</v>
      </c>
      <c r="N31" s="6" t="s">
        <v>570</v>
      </c>
      <c r="O31" s="6">
        <v>2000</v>
      </c>
      <c r="P31" s="6" t="s">
        <v>570</v>
      </c>
      <c r="Q31" s="6" t="s">
        <v>570</v>
      </c>
      <c r="R31" s="6" t="s">
        <v>55</v>
      </c>
      <c r="S31" s="6" t="s">
        <v>570</v>
      </c>
      <c r="T31" s="6" t="s">
        <v>70</v>
      </c>
      <c r="U31" s="6" t="s">
        <v>570</v>
      </c>
      <c r="V31" s="6" t="s">
        <v>736</v>
      </c>
      <c r="W31" s="6" t="s">
        <v>720</v>
      </c>
      <c r="X31" s="6" t="s">
        <v>131</v>
      </c>
      <c r="Y31" s="2" t="s">
        <v>1009</v>
      </c>
      <c r="Z31" s="6" t="s">
        <v>570</v>
      </c>
      <c r="AA31" s="6" t="s">
        <v>71</v>
      </c>
      <c r="AB31" s="6" t="s">
        <v>570</v>
      </c>
      <c r="AC31" s="2">
        <f t="shared" si="1"/>
        <v>10</v>
      </c>
      <c r="AD31" s="2">
        <f t="shared" si="1"/>
        <v>10</v>
      </c>
      <c r="AE31" s="6" t="s">
        <v>570</v>
      </c>
      <c r="AF31" s="6" t="s">
        <v>570</v>
      </c>
      <c r="AG31" s="6" t="s">
        <v>570</v>
      </c>
      <c r="AH31" s="6" t="s">
        <v>570</v>
      </c>
      <c r="AI31" s="6" t="s">
        <v>570</v>
      </c>
      <c r="AJ31" s="6" t="s">
        <v>570</v>
      </c>
      <c r="AK31" s="6" t="s">
        <v>313</v>
      </c>
      <c r="AL31" s="6" t="s">
        <v>570</v>
      </c>
      <c r="AM31" s="6" t="s">
        <v>570</v>
      </c>
      <c r="AN31" s="6" t="s">
        <v>570</v>
      </c>
      <c r="AO31" s="6" t="s">
        <v>570</v>
      </c>
      <c r="AP31" s="6" t="s">
        <v>570</v>
      </c>
      <c r="AQ31" s="6" t="s">
        <v>570</v>
      </c>
      <c r="AR31" s="6" t="s">
        <v>570</v>
      </c>
      <c r="AS31" s="6" t="s">
        <v>668</v>
      </c>
      <c r="AT31" s="6">
        <f>133.5/1000</f>
        <v>0.13350000000000001</v>
      </c>
      <c r="AU31" s="6" t="s">
        <v>570</v>
      </c>
      <c r="AV31" s="6">
        <v>84.997272231314795</v>
      </c>
      <c r="AW31" s="6">
        <f>175.8/1000</f>
        <v>0.17580000000000001</v>
      </c>
      <c r="AX31" s="6" t="s">
        <v>570</v>
      </c>
      <c r="AY31" s="6">
        <v>84.997272231314795</v>
      </c>
      <c r="AZ31" s="6" t="s">
        <v>632</v>
      </c>
      <c r="BA31" s="13">
        <v>155.80000000000001</v>
      </c>
    </row>
    <row r="32" spans="1:53" ht="12" customHeight="1">
      <c r="A32" s="4" t="s">
        <v>711</v>
      </c>
      <c r="B32" s="4" t="s">
        <v>604</v>
      </c>
      <c r="C32" s="4" t="s">
        <v>557</v>
      </c>
      <c r="D32" s="4" t="s">
        <v>721</v>
      </c>
      <c r="E32" s="4" t="s">
        <v>722</v>
      </c>
      <c r="F32" s="4" t="s">
        <v>570</v>
      </c>
      <c r="G32" s="4" t="s">
        <v>570</v>
      </c>
      <c r="H32" s="4" t="s">
        <v>570</v>
      </c>
      <c r="I32" s="4" t="s">
        <v>570</v>
      </c>
      <c r="J32" s="4" t="s">
        <v>570</v>
      </c>
      <c r="K32" s="4" t="s">
        <v>570</v>
      </c>
      <c r="L32" s="4" t="s">
        <v>570</v>
      </c>
      <c r="M32" s="4" t="s">
        <v>570</v>
      </c>
      <c r="N32" s="4" t="s">
        <v>570</v>
      </c>
      <c r="O32" s="4">
        <v>1996</v>
      </c>
      <c r="P32" s="4" t="s">
        <v>570</v>
      </c>
      <c r="Q32" s="4" t="s">
        <v>570</v>
      </c>
      <c r="R32" s="4" t="s">
        <v>55</v>
      </c>
      <c r="S32" s="4" t="s">
        <v>963</v>
      </c>
      <c r="T32" s="4" t="s">
        <v>753</v>
      </c>
      <c r="U32" s="4"/>
      <c r="V32" s="4" t="s">
        <v>723</v>
      </c>
      <c r="W32" s="4" t="s">
        <v>569</v>
      </c>
      <c r="X32" s="4" t="s">
        <v>1003</v>
      </c>
      <c r="Y32" s="1" t="s">
        <v>1010</v>
      </c>
      <c r="Z32" s="4"/>
      <c r="AA32" s="4" t="s">
        <v>754</v>
      </c>
      <c r="AB32" s="4" t="s">
        <v>570</v>
      </c>
      <c r="AC32" s="4">
        <v>17</v>
      </c>
      <c r="AD32" s="4">
        <v>17</v>
      </c>
      <c r="AE32" s="4" t="s">
        <v>570</v>
      </c>
      <c r="AF32" s="4" t="s">
        <v>570</v>
      </c>
      <c r="AG32" s="4" t="s">
        <v>570</v>
      </c>
      <c r="AH32" s="4" t="s">
        <v>570</v>
      </c>
      <c r="AI32" s="4" t="s">
        <v>570</v>
      </c>
      <c r="AJ32" s="4" t="s">
        <v>570</v>
      </c>
      <c r="AK32" s="4" t="s">
        <v>570</v>
      </c>
      <c r="AL32" s="4" t="s">
        <v>570</v>
      </c>
      <c r="AM32" s="4" t="s">
        <v>570</v>
      </c>
      <c r="AN32" s="4" t="s">
        <v>570</v>
      </c>
      <c r="AO32" s="4" t="s">
        <v>570</v>
      </c>
      <c r="AP32" s="4" t="s">
        <v>570</v>
      </c>
      <c r="AQ32" s="4" t="s">
        <v>570</v>
      </c>
      <c r="AR32" s="4" t="s">
        <v>570</v>
      </c>
      <c r="AS32" s="4" t="s">
        <v>667</v>
      </c>
      <c r="AT32" s="4">
        <f>0.45/1000</f>
        <v>4.4999999999999999E-4</v>
      </c>
      <c r="AU32" s="4" t="s">
        <v>570</v>
      </c>
      <c r="AV32" s="4" t="s">
        <v>570</v>
      </c>
      <c r="AW32" s="4">
        <f>1.25/1000</f>
        <v>1.25E-3</v>
      </c>
      <c r="AX32" s="4" t="s">
        <v>570</v>
      </c>
      <c r="AY32" s="4" t="s">
        <v>570</v>
      </c>
      <c r="AZ32" s="4">
        <v>1E-4</v>
      </c>
      <c r="BA32" s="4" t="s">
        <v>570</v>
      </c>
    </row>
    <row r="33" spans="1:53" ht="12" customHeight="1">
      <c r="A33" s="1" t="s">
        <v>711</v>
      </c>
      <c r="B33" s="1" t="s">
        <v>604</v>
      </c>
      <c r="C33" s="1" t="s">
        <v>557</v>
      </c>
      <c r="D33" s="2" t="s">
        <v>721</v>
      </c>
      <c r="E33" s="2" t="s">
        <v>722</v>
      </c>
      <c r="F33" s="2" t="s">
        <v>570</v>
      </c>
      <c r="G33" s="2" t="s">
        <v>570</v>
      </c>
      <c r="H33" s="2" t="s">
        <v>570</v>
      </c>
      <c r="I33" s="2" t="s">
        <v>570</v>
      </c>
      <c r="J33" s="2" t="s">
        <v>570</v>
      </c>
      <c r="K33" s="2" t="s">
        <v>570</v>
      </c>
      <c r="L33" s="2" t="s">
        <v>570</v>
      </c>
      <c r="M33" s="2" t="s">
        <v>570</v>
      </c>
      <c r="N33" s="2" t="s">
        <v>570</v>
      </c>
      <c r="O33" s="1">
        <v>1997</v>
      </c>
      <c r="P33" s="2" t="s">
        <v>570</v>
      </c>
      <c r="Q33" s="2" t="s">
        <v>570</v>
      </c>
      <c r="R33" s="2" t="s">
        <v>55</v>
      </c>
      <c r="S33" s="1" t="s">
        <v>963</v>
      </c>
      <c r="T33" s="1" t="s">
        <v>755</v>
      </c>
      <c r="V33" s="2" t="s">
        <v>723</v>
      </c>
      <c r="W33" s="2" t="s">
        <v>569</v>
      </c>
      <c r="X33" s="2" t="s">
        <v>1011</v>
      </c>
      <c r="Y33" s="1" t="s">
        <v>1010</v>
      </c>
      <c r="AA33" s="1" t="s">
        <v>756</v>
      </c>
      <c r="AB33" s="2" t="s">
        <v>570</v>
      </c>
      <c r="AC33" s="1">
        <v>27</v>
      </c>
      <c r="AD33" s="1">
        <v>27</v>
      </c>
      <c r="AE33" s="2" t="s">
        <v>570</v>
      </c>
      <c r="AF33" s="2" t="s">
        <v>570</v>
      </c>
      <c r="AG33" s="2" t="s">
        <v>570</v>
      </c>
      <c r="AH33" s="2" t="s">
        <v>570</v>
      </c>
      <c r="AI33" s="2" t="s">
        <v>570</v>
      </c>
      <c r="AJ33" s="2" t="s">
        <v>570</v>
      </c>
      <c r="AK33" s="2" t="s">
        <v>570</v>
      </c>
      <c r="AL33" s="2" t="s">
        <v>570</v>
      </c>
      <c r="AM33" s="2" t="s">
        <v>570</v>
      </c>
      <c r="AN33" s="2" t="s">
        <v>570</v>
      </c>
      <c r="AO33" s="2" t="s">
        <v>570</v>
      </c>
      <c r="AP33" s="2" t="s">
        <v>570</v>
      </c>
      <c r="AQ33" s="2" t="s">
        <v>570</v>
      </c>
      <c r="AR33" s="2" t="s">
        <v>570</v>
      </c>
      <c r="AS33" s="2" t="s">
        <v>667</v>
      </c>
      <c r="AT33" s="1">
        <f>0.36/1000</f>
        <v>3.5999999999999997E-4</v>
      </c>
      <c r="AU33" s="1" t="s">
        <v>570</v>
      </c>
      <c r="AV33" s="1" t="s">
        <v>570</v>
      </c>
      <c r="AW33" s="1">
        <f>0.51/1000</f>
        <v>5.1000000000000004E-4</v>
      </c>
      <c r="AX33" s="1" t="s">
        <v>570</v>
      </c>
      <c r="AY33" s="1" t="s">
        <v>570</v>
      </c>
      <c r="AZ33" s="1">
        <v>0.02</v>
      </c>
      <c r="BA33" s="1" t="s">
        <v>570</v>
      </c>
    </row>
    <row r="34" spans="1:53" ht="12" customHeight="1">
      <c r="A34" s="1" t="s">
        <v>711</v>
      </c>
      <c r="B34" s="1" t="s">
        <v>604</v>
      </c>
      <c r="C34" s="1" t="s">
        <v>557</v>
      </c>
      <c r="D34" s="2" t="s">
        <v>721</v>
      </c>
      <c r="E34" s="2" t="s">
        <v>722</v>
      </c>
      <c r="F34" s="1" t="s">
        <v>570</v>
      </c>
      <c r="G34" s="1" t="s">
        <v>570</v>
      </c>
      <c r="H34" s="1" t="s">
        <v>570</v>
      </c>
      <c r="I34" s="1" t="s">
        <v>570</v>
      </c>
      <c r="J34" s="1" t="s">
        <v>570</v>
      </c>
      <c r="K34" s="1" t="s">
        <v>570</v>
      </c>
      <c r="L34" s="1" t="s">
        <v>570</v>
      </c>
      <c r="M34" s="1" t="s">
        <v>570</v>
      </c>
      <c r="N34" s="1" t="s">
        <v>570</v>
      </c>
      <c r="O34" s="1">
        <v>1998</v>
      </c>
      <c r="P34" s="1" t="s">
        <v>570</v>
      </c>
      <c r="Q34" s="1" t="s">
        <v>570</v>
      </c>
      <c r="R34" s="1" t="s">
        <v>55</v>
      </c>
      <c r="S34" s="1" t="s">
        <v>963</v>
      </c>
      <c r="T34" s="1" t="s">
        <v>757</v>
      </c>
      <c r="V34" s="2" t="s">
        <v>723</v>
      </c>
      <c r="W34" s="2" t="s">
        <v>569</v>
      </c>
      <c r="X34" s="2" t="s">
        <v>1003</v>
      </c>
      <c r="Y34" s="1" t="s">
        <v>1010</v>
      </c>
      <c r="AA34" s="1" t="s">
        <v>139</v>
      </c>
      <c r="AB34" s="1" t="s">
        <v>570</v>
      </c>
      <c r="AC34" s="1">
        <v>31</v>
      </c>
      <c r="AD34" s="1">
        <v>31</v>
      </c>
      <c r="AE34" s="1" t="s">
        <v>570</v>
      </c>
      <c r="AF34" s="1" t="s">
        <v>570</v>
      </c>
      <c r="AG34" s="1" t="s">
        <v>570</v>
      </c>
      <c r="AH34" s="1" t="s">
        <v>570</v>
      </c>
      <c r="AI34" s="1" t="s">
        <v>570</v>
      </c>
      <c r="AJ34" s="1" t="s">
        <v>570</v>
      </c>
      <c r="AK34" s="1" t="s">
        <v>570</v>
      </c>
      <c r="AL34" s="1" t="s">
        <v>570</v>
      </c>
      <c r="AM34" s="1" t="s">
        <v>570</v>
      </c>
      <c r="AN34" s="1" t="s">
        <v>570</v>
      </c>
      <c r="AO34" s="1" t="s">
        <v>570</v>
      </c>
      <c r="AP34" s="1" t="s">
        <v>570</v>
      </c>
      <c r="AQ34" s="1" t="s">
        <v>570</v>
      </c>
      <c r="AR34" s="1" t="s">
        <v>570</v>
      </c>
      <c r="AS34" s="1" t="s">
        <v>667</v>
      </c>
      <c r="AT34" s="1">
        <f>0.69/1000</f>
        <v>6.8999999999999997E-4</v>
      </c>
      <c r="AU34" s="1" t="s">
        <v>570</v>
      </c>
      <c r="AV34" s="1" t="s">
        <v>570</v>
      </c>
      <c r="AW34" s="1">
        <f>1.15/1000</f>
        <v>1.15E-3</v>
      </c>
      <c r="AX34" s="1" t="s">
        <v>570</v>
      </c>
      <c r="AY34" s="1" t="s">
        <v>570</v>
      </c>
      <c r="AZ34" s="1">
        <v>1.9E-3</v>
      </c>
      <c r="BA34" s="1" t="s">
        <v>570</v>
      </c>
    </row>
    <row r="35" spans="1:53" ht="12" customHeight="1">
      <c r="A35" s="2" t="s">
        <v>711</v>
      </c>
      <c r="B35" s="2" t="s">
        <v>604</v>
      </c>
      <c r="C35" s="2" t="s">
        <v>557</v>
      </c>
      <c r="D35" s="2" t="s">
        <v>721</v>
      </c>
      <c r="E35" s="2" t="s">
        <v>722</v>
      </c>
      <c r="F35" s="2" t="s">
        <v>570</v>
      </c>
      <c r="G35" s="2" t="s">
        <v>570</v>
      </c>
      <c r="H35" s="2" t="s">
        <v>570</v>
      </c>
      <c r="I35" s="2" t="s">
        <v>570</v>
      </c>
      <c r="J35" s="2" t="s">
        <v>570</v>
      </c>
      <c r="K35" s="2" t="s">
        <v>570</v>
      </c>
      <c r="L35" s="2" t="s">
        <v>570</v>
      </c>
      <c r="M35" s="2" t="s">
        <v>570</v>
      </c>
      <c r="N35" s="2" t="s">
        <v>570</v>
      </c>
      <c r="O35" s="2">
        <v>1999</v>
      </c>
      <c r="P35" s="2" t="s">
        <v>570</v>
      </c>
      <c r="Q35" s="2" t="s">
        <v>570</v>
      </c>
      <c r="R35" s="2" t="s">
        <v>55</v>
      </c>
      <c r="S35" s="2" t="s">
        <v>963</v>
      </c>
      <c r="T35" s="2" t="s">
        <v>755</v>
      </c>
      <c r="U35" s="2"/>
      <c r="V35" s="2" t="s">
        <v>723</v>
      </c>
      <c r="W35" s="2" t="s">
        <v>569</v>
      </c>
      <c r="X35" s="2" t="s">
        <v>1003</v>
      </c>
      <c r="Y35" s="1" t="s">
        <v>1010</v>
      </c>
      <c r="Z35" s="2"/>
      <c r="AA35" s="2" t="s">
        <v>756</v>
      </c>
      <c r="AB35" s="2" t="s">
        <v>570</v>
      </c>
      <c r="AC35" s="2">
        <v>27</v>
      </c>
      <c r="AD35" s="2">
        <v>27</v>
      </c>
      <c r="AE35" s="2" t="s">
        <v>570</v>
      </c>
      <c r="AF35" s="2" t="s">
        <v>570</v>
      </c>
      <c r="AG35" s="2" t="s">
        <v>570</v>
      </c>
      <c r="AH35" s="2" t="s">
        <v>570</v>
      </c>
      <c r="AI35" s="2" t="s">
        <v>570</v>
      </c>
      <c r="AJ35" s="2" t="s">
        <v>570</v>
      </c>
      <c r="AK35" s="2" t="s">
        <v>570</v>
      </c>
      <c r="AL35" s="2" t="s">
        <v>570</v>
      </c>
      <c r="AM35" s="2" t="s">
        <v>570</v>
      </c>
      <c r="AN35" s="2" t="s">
        <v>570</v>
      </c>
      <c r="AO35" s="2" t="s">
        <v>570</v>
      </c>
      <c r="AP35" s="2" t="s">
        <v>570</v>
      </c>
      <c r="AQ35" s="2" t="s">
        <v>570</v>
      </c>
      <c r="AR35" s="2" t="s">
        <v>570</v>
      </c>
      <c r="AS35" s="2" t="s">
        <v>667</v>
      </c>
      <c r="AT35" s="2">
        <f>1.06/1000</f>
        <v>1.06E-3</v>
      </c>
      <c r="AU35" s="2" t="s">
        <v>570</v>
      </c>
      <c r="AV35" s="2" t="s">
        <v>570</v>
      </c>
      <c r="AW35" s="2">
        <f>1.19/1000</f>
        <v>1.1899999999999999E-3</v>
      </c>
      <c r="AX35" s="2" t="s">
        <v>570</v>
      </c>
      <c r="AY35" s="2" t="s">
        <v>570</v>
      </c>
      <c r="AZ35" s="2">
        <v>0.51</v>
      </c>
      <c r="BA35" s="2" t="s">
        <v>570</v>
      </c>
    </row>
    <row r="36" spans="1:53" ht="122.4">
      <c r="A36" s="4" t="s">
        <v>216</v>
      </c>
      <c r="B36" s="4" t="s">
        <v>604</v>
      </c>
      <c r="C36" s="4" t="s">
        <v>217</v>
      </c>
      <c r="D36" s="4" t="s">
        <v>570</v>
      </c>
      <c r="E36" s="4" t="s">
        <v>570</v>
      </c>
      <c r="F36" s="4" t="s">
        <v>570</v>
      </c>
      <c r="G36" s="4" t="s">
        <v>570</v>
      </c>
      <c r="H36" s="4" t="s">
        <v>570</v>
      </c>
      <c r="I36" s="4" t="s">
        <v>570</v>
      </c>
      <c r="J36" s="4" t="s">
        <v>570</v>
      </c>
      <c r="K36" s="4" t="s">
        <v>570</v>
      </c>
      <c r="L36" s="4" t="s">
        <v>570</v>
      </c>
      <c r="M36" s="4" t="s">
        <v>570</v>
      </c>
      <c r="N36" s="4" t="s">
        <v>570</v>
      </c>
      <c r="O36" s="4" t="s">
        <v>724</v>
      </c>
      <c r="P36" s="4" t="s">
        <v>570</v>
      </c>
      <c r="Q36" s="4" t="s">
        <v>570</v>
      </c>
      <c r="R36" s="4" t="s">
        <v>55</v>
      </c>
      <c r="S36" s="4" t="s">
        <v>570</v>
      </c>
      <c r="T36" s="16" t="s">
        <v>498</v>
      </c>
      <c r="U36" s="4" t="s">
        <v>570</v>
      </c>
      <c r="V36" s="4" t="s">
        <v>499</v>
      </c>
      <c r="W36" s="4" t="s">
        <v>569</v>
      </c>
      <c r="X36" s="4" t="s">
        <v>1015</v>
      </c>
      <c r="Y36" s="4" t="s">
        <v>1014</v>
      </c>
      <c r="Z36" s="4" t="s">
        <v>570</v>
      </c>
      <c r="AA36" s="14" t="s">
        <v>662</v>
      </c>
      <c r="AB36" s="4" t="s">
        <v>570</v>
      </c>
      <c r="AC36" s="4">
        <f t="shared" ref="AC36:AD43" si="2">2*5</f>
        <v>10</v>
      </c>
      <c r="AD36" s="4">
        <f t="shared" si="2"/>
        <v>10</v>
      </c>
      <c r="AE36" s="4" t="s">
        <v>570</v>
      </c>
      <c r="AF36" s="4" t="s">
        <v>570</v>
      </c>
      <c r="AG36" s="4" t="s">
        <v>570</v>
      </c>
      <c r="AH36" s="4" t="s">
        <v>570</v>
      </c>
      <c r="AI36" s="4" t="s">
        <v>570</v>
      </c>
      <c r="AJ36" s="4" t="s">
        <v>570</v>
      </c>
      <c r="AK36" s="4" t="s">
        <v>570</v>
      </c>
      <c r="AL36" s="4" t="s">
        <v>570</v>
      </c>
      <c r="AM36" s="4" t="s">
        <v>570</v>
      </c>
      <c r="AN36" s="4" t="s">
        <v>570</v>
      </c>
      <c r="AO36" s="4" t="s">
        <v>570</v>
      </c>
      <c r="AP36" s="4" t="s">
        <v>570</v>
      </c>
      <c r="AQ36" s="4" t="s">
        <v>570</v>
      </c>
      <c r="AR36" s="4" t="s">
        <v>570</v>
      </c>
      <c r="AS36" s="4" t="s">
        <v>667</v>
      </c>
      <c r="AT36" s="4">
        <f>69.5/1000</f>
        <v>6.9500000000000006E-2</v>
      </c>
      <c r="AU36" s="4" t="s">
        <v>570</v>
      </c>
      <c r="AV36" s="4" t="s">
        <v>570</v>
      </c>
      <c r="AW36" s="4">
        <f>138.3/1000</f>
        <v>0.13830000000000001</v>
      </c>
      <c r="AX36" s="4" t="s">
        <v>570</v>
      </c>
      <c r="AY36" s="4" t="s">
        <v>570</v>
      </c>
      <c r="AZ36" s="5">
        <v>0.05</v>
      </c>
      <c r="BA36" s="4" t="s">
        <v>570</v>
      </c>
    </row>
    <row r="37" spans="1:53" s="2" customFormat="1" ht="102">
      <c r="A37" s="2" t="s">
        <v>216</v>
      </c>
      <c r="B37" s="2" t="s">
        <v>604</v>
      </c>
      <c r="C37" s="2" t="s">
        <v>217</v>
      </c>
      <c r="D37" s="2" t="s">
        <v>570</v>
      </c>
      <c r="E37" s="2" t="s">
        <v>570</v>
      </c>
      <c r="F37" s="2" t="s">
        <v>570</v>
      </c>
      <c r="G37" s="2" t="s">
        <v>570</v>
      </c>
      <c r="H37" s="2" t="s">
        <v>570</v>
      </c>
      <c r="I37" s="2" t="s">
        <v>570</v>
      </c>
      <c r="J37" s="2" t="s">
        <v>570</v>
      </c>
      <c r="K37" s="2" t="s">
        <v>570</v>
      </c>
      <c r="L37" s="2" t="s">
        <v>570</v>
      </c>
      <c r="M37" s="2" t="s">
        <v>570</v>
      </c>
      <c r="N37" s="2" t="s">
        <v>570</v>
      </c>
      <c r="O37" s="2" t="s">
        <v>663</v>
      </c>
      <c r="P37" s="2" t="s">
        <v>570</v>
      </c>
      <c r="Q37" s="2" t="s">
        <v>570</v>
      </c>
      <c r="R37" s="2" t="s">
        <v>55</v>
      </c>
      <c r="S37" s="2" t="s">
        <v>570</v>
      </c>
      <c r="T37" s="18" t="s">
        <v>498</v>
      </c>
      <c r="U37" s="2" t="s">
        <v>570</v>
      </c>
      <c r="V37" s="2" t="s">
        <v>499</v>
      </c>
      <c r="W37" s="2" t="s">
        <v>569</v>
      </c>
      <c r="X37" s="2" t="s">
        <v>1015</v>
      </c>
      <c r="Y37" s="2" t="s">
        <v>1014</v>
      </c>
      <c r="Z37" s="2" t="s">
        <v>570</v>
      </c>
      <c r="AA37" s="19" t="s">
        <v>664</v>
      </c>
      <c r="AB37" s="2" t="s">
        <v>570</v>
      </c>
      <c r="AC37" s="2">
        <f t="shared" si="2"/>
        <v>10</v>
      </c>
      <c r="AD37" s="2">
        <f t="shared" si="2"/>
        <v>10</v>
      </c>
      <c r="AE37" s="2" t="s">
        <v>570</v>
      </c>
      <c r="AF37" s="2" t="s">
        <v>570</v>
      </c>
      <c r="AG37" s="2" t="s">
        <v>570</v>
      </c>
      <c r="AH37" s="2" t="s">
        <v>570</v>
      </c>
      <c r="AI37" s="2" t="s">
        <v>570</v>
      </c>
      <c r="AJ37" s="2" t="s">
        <v>570</v>
      </c>
      <c r="AK37" s="2" t="s">
        <v>570</v>
      </c>
      <c r="AL37" s="2" t="s">
        <v>570</v>
      </c>
      <c r="AM37" s="2" t="s">
        <v>570</v>
      </c>
      <c r="AN37" s="2" t="s">
        <v>570</v>
      </c>
      <c r="AO37" s="2" t="s">
        <v>570</v>
      </c>
      <c r="AP37" s="2" t="s">
        <v>570</v>
      </c>
      <c r="AQ37" s="2" t="s">
        <v>570</v>
      </c>
      <c r="AR37" s="2" t="s">
        <v>570</v>
      </c>
      <c r="AS37" s="2" t="s">
        <v>667</v>
      </c>
      <c r="AT37" s="2">
        <f>716.7/1000</f>
        <v>0.7167</v>
      </c>
      <c r="AU37" s="2" t="s">
        <v>570</v>
      </c>
      <c r="AV37" s="2" t="s">
        <v>570</v>
      </c>
      <c r="AW37" s="2">
        <f>867.5/1000</f>
        <v>0.86750000000000005</v>
      </c>
      <c r="AX37" s="2" t="s">
        <v>570</v>
      </c>
      <c r="AY37" s="2" t="s">
        <v>570</v>
      </c>
      <c r="AZ37" s="7">
        <v>0.05</v>
      </c>
      <c r="BA37" s="2" t="s">
        <v>570</v>
      </c>
    </row>
    <row r="38" spans="1:53" ht="122.4">
      <c r="A38" s="2" t="s">
        <v>216</v>
      </c>
      <c r="B38" s="2" t="s">
        <v>604</v>
      </c>
      <c r="C38" s="2" t="s">
        <v>217</v>
      </c>
      <c r="D38" s="2" t="s">
        <v>570</v>
      </c>
      <c r="E38" s="2" t="s">
        <v>570</v>
      </c>
      <c r="F38" s="2" t="s">
        <v>570</v>
      </c>
      <c r="G38" s="2" t="s">
        <v>570</v>
      </c>
      <c r="H38" s="2" t="s">
        <v>570</v>
      </c>
      <c r="I38" s="2" t="s">
        <v>570</v>
      </c>
      <c r="J38" s="2" t="s">
        <v>570</v>
      </c>
      <c r="K38" s="2" t="s">
        <v>570</v>
      </c>
      <c r="L38" s="2" t="s">
        <v>570</v>
      </c>
      <c r="M38" s="2" t="s">
        <v>570</v>
      </c>
      <c r="N38" s="2" t="s">
        <v>570</v>
      </c>
      <c r="O38" s="2" t="s">
        <v>724</v>
      </c>
      <c r="P38" s="2" t="s">
        <v>570</v>
      </c>
      <c r="Q38" s="2" t="s">
        <v>570</v>
      </c>
      <c r="R38" s="2" t="s">
        <v>55</v>
      </c>
      <c r="S38" s="2" t="s">
        <v>570</v>
      </c>
      <c r="T38" s="18" t="s">
        <v>498</v>
      </c>
      <c r="U38" s="2" t="s">
        <v>570</v>
      </c>
      <c r="V38" s="2" t="s">
        <v>499</v>
      </c>
      <c r="W38" s="2" t="s">
        <v>569</v>
      </c>
      <c r="X38" s="2" t="s">
        <v>1015</v>
      </c>
      <c r="Y38" s="2" t="s">
        <v>1014</v>
      </c>
      <c r="Z38" s="2" t="s">
        <v>570</v>
      </c>
      <c r="AA38" s="19" t="s">
        <v>662</v>
      </c>
      <c r="AB38" s="2" t="s">
        <v>570</v>
      </c>
      <c r="AC38" s="2">
        <f t="shared" si="2"/>
        <v>10</v>
      </c>
      <c r="AD38" s="2">
        <f t="shared" si="2"/>
        <v>10</v>
      </c>
      <c r="AE38" s="2" t="s">
        <v>570</v>
      </c>
      <c r="AF38" s="2" t="s">
        <v>570</v>
      </c>
      <c r="AG38" s="2" t="s">
        <v>570</v>
      </c>
      <c r="AH38" s="2" t="s">
        <v>570</v>
      </c>
      <c r="AI38" s="2" t="s">
        <v>570</v>
      </c>
      <c r="AJ38" s="2" t="s">
        <v>570</v>
      </c>
      <c r="AK38" s="2" t="s">
        <v>570</v>
      </c>
      <c r="AL38" s="2" t="s">
        <v>570</v>
      </c>
      <c r="AM38" s="2" t="s">
        <v>570</v>
      </c>
      <c r="AN38" s="2" t="s">
        <v>570</v>
      </c>
      <c r="AO38" s="2" t="s">
        <v>570</v>
      </c>
      <c r="AP38" s="2" t="s">
        <v>570</v>
      </c>
      <c r="AQ38" s="2" t="s">
        <v>570</v>
      </c>
      <c r="AR38" s="2" t="s">
        <v>570</v>
      </c>
      <c r="AS38" s="2" t="s">
        <v>672</v>
      </c>
      <c r="AT38" s="2">
        <f>19.3/1000</f>
        <v>1.9300000000000001E-2</v>
      </c>
      <c r="AU38" s="2" t="s">
        <v>570</v>
      </c>
      <c r="AV38" s="2" t="s">
        <v>570</v>
      </c>
      <c r="AW38" s="2">
        <f>21/1000</f>
        <v>2.1000000000000001E-2</v>
      </c>
      <c r="AX38" s="2" t="s">
        <v>570</v>
      </c>
      <c r="AY38" s="2" t="s">
        <v>570</v>
      </c>
      <c r="AZ38" s="7">
        <v>0.06</v>
      </c>
      <c r="BA38" s="2" t="s">
        <v>570</v>
      </c>
    </row>
    <row r="39" spans="1:53" s="65" customFormat="1" ht="102">
      <c r="A39" s="2" t="s">
        <v>216</v>
      </c>
      <c r="B39" s="2" t="s">
        <v>604</v>
      </c>
      <c r="C39" s="2" t="s">
        <v>217</v>
      </c>
      <c r="D39" s="2" t="s">
        <v>570</v>
      </c>
      <c r="E39" s="2" t="s">
        <v>570</v>
      </c>
      <c r="F39" s="2" t="s">
        <v>570</v>
      </c>
      <c r="G39" s="2" t="s">
        <v>570</v>
      </c>
      <c r="H39" s="2" t="s">
        <v>570</v>
      </c>
      <c r="I39" s="2" t="s">
        <v>570</v>
      </c>
      <c r="J39" s="2" t="s">
        <v>570</v>
      </c>
      <c r="K39" s="2" t="s">
        <v>570</v>
      </c>
      <c r="L39" s="2" t="s">
        <v>570</v>
      </c>
      <c r="M39" s="2" t="s">
        <v>570</v>
      </c>
      <c r="N39" s="2" t="s">
        <v>570</v>
      </c>
      <c r="O39" s="2" t="s">
        <v>663</v>
      </c>
      <c r="P39" s="2" t="s">
        <v>570</v>
      </c>
      <c r="Q39" s="2" t="s">
        <v>570</v>
      </c>
      <c r="R39" s="2" t="s">
        <v>55</v>
      </c>
      <c r="S39" s="2" t="s">
        <v>570</v>
      </c>
      <c r="T39" s="18" t="s">
        <v>498</v>
      </c>
      <c r="U39" s="2" t="s">
        <v>570</v>
      </c>
      <c r="V39" s="2" t="s">
        <v>499</v>
      </c>
      <c r="W39" s="2" t="s">
        <v>569</v>
      </c>
      <c r="X39" s="2" t="s">
        <v>1015</v>
      </c>
      <c r="Y39" s="2" t="s">
        <v>1014</v>
      </c>
      <c r="Z39" s="2" t="s">
        <v>570</v>
      </c>
      <c r="AA39" s="19" t="s">
        <v>664</v>
      </c>
      <c r="AB39" s="2" t="s">
        <v>570</v>
      </c>
      <c r="AC39" s="2">
        <f t="shared" si="2"/>
        <v>10</v>
      </c>
      <c r="AD39" s="2">
        <f t="shared" si="2"/>
        <v>10</v>
      </c>
      <c r="AE39" s="2" t="s">
        <v>570</v>
      </c>
      <c r="AF39" s="2" t="s">
        <v>570</v>
      </c>
      <c r="AG39" s="2" t="s">
        <v>570</v>
      </c>
      <c r="AH39" s="2" t="s">
        <v>570</v>
      </c>
      <c r="AI39" s="2" t="s">
        <v>570</v>
      </c>
      <c r="AJ39" s="2" t="s">
        <v>570</v>
      </c>
      <c r="AK39" s="2" t="s">
        <v>570</v>
      </c>
      <c r="AL39" s="2" t="s">
        <v>570</v>
      </c>
      <c r="AM39" s="2" t="s">
        <v>570</v>
      </c>
      <c r="AN39" s="2" t="s">
        <v>570</v>
      </c>
      <c r="AO39" s="2" t="s">
        <v>570</v>
      </c>
      <c r="AP39" s="2" t="s">
        <v>570</v>
      </c>
      <c r="AQ39" s="2" t="s">
        <v>570</v>
      </c>
      <c r="AR39" s="2" t="s">
        <v>570</v>
      </c>
      <c r="AS39" s="2" t="s">
        <v>672</v>
      </c>
      <c r="AT39" s="2">
        <f>7.7/1000</f>
        <v>7.7000000000000002E-3</v>
      </c>
      <c r="AU39" s="2" t="s">
        <v>570</v>
      </c>
      <c r="AV39" s="2" t="s">
        <v>570</v>
      </c>
      <c r="AW39" s="2">
        <f>36.8/1000</f>
        <v>3.6799999999999999E-2</v>
      </c>
      <c r="AX39" s="2" t="s">
        <v>570</v>
      </c>
      <c r="AY39" s="2" t="s">
        <v>570</v>
      </c>
      <c r="AZ39" s="7">
        <v>0.05</v>
      </c>
      <c r="BA39" s="2" t="s">
        <v>570</v>
      </c>
    </row>
    <row r="40" spans="1:53" ht="122.4">
      <c r="A40" s="2" t="s">
        <v>216</v>
      </c>
      <c r="B40" s="2" t="s">
        <v>604</v>
      </c>
      <c r="C40" s="2" t="s">
        <v>217</v>
      </c>
      <c r="D40" s="2" t="s">
        <v>570</v>
      </c>
      <c r="E40" s="2" t="s">
        <v>570</v>
      </c>
      <c r="F40" s="2" t="s">
        <v>570</v>
      </c>
      <c r="G40" s="2" t="s">
        <v>570</v>
      </c>
      <c r="H40" s="2" t="s">
        <v>570</v>
      </c>
      <c r="I40" s="2" t="s">
        <v>570</v>
      </c>
      <c r="J40" s="2" t="s">
        <v>570</v>
      </c>
      <c r="K40" s="2" t="s">
        <v>570</v>
      </c>
      <c r="L40" s="2" t="s">
        <v>570</v>
      </c>
      <c r="M40" s="2" t="s">
        <v>570</v>
      </c>
      <c r="N40" s="2" t="s">
        <v>570</v>
      </c>
      <c r="O40" s="2" t="s">
        <v>724</v>
      </c>
      <c r="P40" s="2" t="s">
        <v>570</v>
      </c>
      <c r="Q40" s="2" t="s">
        <v>570</v>
      </c>
      <c r="R40" s="2" t="s">
        <v>55</v>
      </c>
      <c r="S40" s="2" t="s">
        <v>570</v>
      </c>
      <c r="T40" s="18" t="s">
        <v>498</v>
      </c>
      <c r="U40" s="2" t="s">
        <v>570</v>
      </c>
      <c r="V40" s="2" t="s">
        <v>499</v>
      </c>
      <c r="W40" s="2" t="s">
        <v>569</v>
      </c>
      <c r="X40" s="2" t="s">
        <v>1015</v>
      </c>
      <c r="Y40" s="2" t="s">
        <v>1014</v>
      </c>
      <c r="Z40" s="2" t="s">
        <v>570</v>
      </c>
      <c r="AA40" s="19" t="s">
        <v>662</v>
      </c>
      <c r="AB40" s="2" t="s">
        <v>570</v>
      </c>
      <c r="AC40" s="2">
        <f t="shared" si="2"/>
        <v>10</v>
      </c>
      <c r="AD40" s="2">
        <f t="shared" si="2"/>
        <v>10</v>
      </c>
      <c r="AE40" s="2" t="s">
        <v>570</v>
      </c>
      <c r="AF40" s="2" t="s">
        <v>570</v>
      </c>
      <c r="AG40" s="2" t="s">
        <v>570</v>
      </c>
      <c r="AH40" s="2" t="s">
        <v>570</v>
      </c>
      <c r="AI40" s="2" t="s">
        <v>570</v>
      </c>
      <c r="AJ40" s="2" t="s">
        <v>570</v>
      </c>
      <c r="AK40" s="2" t="s">
        <v>570</v>
      </c>
      <c r="AL40" s="2" t="s">
        <v>570</v>
      </c>
      <c r="AM40" s="2" t="s">
        <v>570</v>
      </c>
      <c r="AN40" s="2" t="s">
        <v>570</v>
      </c>
      <c r="AO40" s="2" t="s">
        <v>570</v>
      </c>
      <c r="AP40" s="2" t="s">
        <v>570</v>
      </c>
      <c r="AQ40" s="2" t="s">
        <v>570</v>
      </c>
      <c r="AR40" s="2" t="s">
        <v>570</v>
      </c>
      <c r="AS40" s="2" t="s">
        <v>673</v>
      </c>
      <c r="AT40" s="2">
        <f>4.8/1000</f>
        <v>4.7999999999999996E-3</v>
      </c>
      <c r="AU40" s="2" t="s">
        <v>570</v>
      </c>
      <c r="AV40" s="2" t="s">
        <v>570</v>
      </c>
      <c r="AW40" s="2">
        <f>19.5/1000</f>
        <v>1.95E-2</v>
      </c>
      <c r="AX40" s="2" t="s">
        <v>570</v>
      </c>
      <c r="AY40" s="2" t="s">
        <v>570</v>
      </c>
      <c r="AZ40" s="7">
        <v>0.05</v>
      </c>
      <c r="BA40" s="2" t="s">
        <v>570</v>
      </c>
    </row>
    <row r="41" spans="1:53" ht="102">
      <c r="A41" s="2" t="s">
        <v>216</v>
      </c>
      <c r="B41" s="2" t="s">
        <v>604</v>
      </c>
      <c r="C41" s="2" t="s">
        <v>217</v>
      </c>
      <c r="D41" s="2" t="s">
        <v>570</v>
      </c>
      <c r="E41" s="2" t="s">
        <v>570</v>
      </c>
      <c r="F41" s="2" t="s">
        <v>570</v>
      </c>
      <c r="G41" s="2" t="s">
        <v>570</v>
      </c>
      <c r="H41" s="2" t="s">
        <v>570</v>
      </c>
      <c r="I41" s="2" t="s">
        <v>570</v>
      </c>
      <c r="J41" s="2" t="s">
        <v>570</v>
      </c>
      <c r="K41" s="2" t="s">
        <v>570</v>
      </c>
      <c r="L41" s="2" t="s">
        <v>570</v>
      </c>
      <c r="M41" s="2" t="s">
        <v>570</v>
      </c>
      <c r="N41" s="2" t="s">
        <v>570</v>
      </c>
      <c r="O41" s="2" t="s">
        <v>663</v>
      </c>
      <c r="P41" s="2" t="s">
        <v>570</v>
      </c>
      <c r="Q41" s="2" t="s">
        <v>570</v>
      </c>
      <c r="R41" s="2" t="s">
        <v>55</v>
      </c>
      <c r="S41" s="2" t="s">
        <v>570</v>
      </c>
      <c r="T41" s="18" t="s">
        <v>498</v>
      </c>
      <c r="U41" s="2" t="s">
        <v>570</v>
      </c>
      <c r="V41" s="2" t="s">
        <v>499</v>
      </c>
      <c r="W41" s="2" t="s">
        <v>569</v>
      </c>
      <c r="X41" s="2" t="s">
        <v>1015</v>
      </c>
      <c r="Y41" s="2" t="s">
        <v>1014</v>
      </c>
      <c r="Z41" s="2" t="s">
        <v>570</v>
      </c>
      <c r="AA41" s="19" t="s">
        <v>664</v>
      </c>
      <c r="AB41" s="2" t="s">
        <v>570</v>
      </c>
      <c r="AC41" s="2">
        <f t="shared" si="2"/>
        <v>10</v>
      </c>
      <c r="AD41" s="2">
        <f t="shared" si="2"/>
        <v>10</v>
      </c>
      <c r="AE41" s="2" t="s">
        <v>570</v>
      </c>
      <c r="AF41" s="2" t="s">
        <v>570</v>
      </c>
      <c r="AG41" s="2" t="s">
        <v>570</v>
      </c>
      <c r="AH41" s="2" t="s">
        <v>570</v>
      </c>
      <c r="AI41" s="2" t="s">
        <v>570</v>
      </c>
      <c r="AJ41" s="2" t="s">
        <v>570</v>
      </c>
      <c r="AK41" s="2" t="s">
        <v>570</v>
      </c>
      <c r="AL41" s="2" t="s">
        <v>570</v>
      </c>
      <c r="AM41" s="2" t="s">
        <v>570</v>
      </c>
      <c r="AN41" s="2" t="s">
        <v>570</v>
      </c>
      <c r="AO41" s="2" t="s">
        <v>570</v>
      </c>
      <c r="AP41" s="2" t="s">
        <v>570</v>
      </c>
      <c r="AQ41" s="2" t="s">
        <v>570</v>
      </c>
      <c r="AR41" s="2" t="s">
        <v>570</v>
      </c>
      <c r="AS41" s="2" t="s">
        <v>673</v>
      </c>
      <c r="AT41" s="2">
        <f>247.5/1000</f>
        <v>0.2475</v>
      </c>
      <c r="AU41" s="2" t="s">
        <v>570</v>
      </c>
      <c r="AV41" s="2" t="s">
        <v>570</v>
      </c>
      <c r="AW41" s="2">
        <f>262/1000</f>
        <v>0.26200000000000001</v>
      </c>
      <c r="AX41" s="2" t="s">
        <v>570</v>
      </c>
      <c r="AY41" s="2" t="s">
        <v>570</v>
      </c>
      <c r="AZ41" s="7">
        <v>0.06</v>
      </c>
      <c r="BA41" s="2" t="s">
        <v>570</v>
      </c>
    </row>
    <row r="42" spans="1:53" ht="122.4">
      <c r="A42" s="2" t="s">
        <v>216</v>
      </c>
      <c r="B42" s="2" t="s">
        <v>604</v>
      </c>
      <c r="C42" s="2" t="s">
        <v>217</v>
      </c>
      <c r="D42" s="2" t="s">
        <v>570</v>
      </c>
      <c r="E42" s="2" t="s">
        <v>570</v>
      </c>
      <c r="F42" s="2" t="s">
        <v>570</v>
      </c>
      <c r="G42" s="2" t="s">
        <v>570</v>
      </c>
      <c r="H42" s="2" t="s">
        <v>570</v>
      </c>
      <c r="I42" s="2" t="s">
        <v>570</v>
      </c>
      <c r="J42" s="2" t="s">
        <v>570</v>
      </c>
      <c r="K42" s="2" t="s">
        <v>570</v>
      </c>
      <c r="L42" s="2" t="s">
        <v>570</v>
      </c>
      <c r="M42" s="2" t="s">
        <v>570</v>
      </c>
      <c r="N42" s="2" t="s">
        <v>570</v>
      </c>
      <c r="O42" s="2" t="s">
        <v>724</v>
      </c>
      <c r="P42" s="2" t="s">
        <v>570</v>
      </c>
      <c r="Q42" s="2" t="s">
        <v>570</v>
      </c>
      <c r="R42" s="2" t="s">
        <v>55</v>
      </c>
      <c r="S42" s="2" t="s">
        <v>570</v>
      </c>
      <c r="T42" s="18" t="s">
        <v>498</v>
      </c>
      <c r="U42" s="2" t="s">
        <v>570</v>
      </c>
      <c r="V42" s="2" t="s">
        <v>499</v>
      </c>
      <c r="W42" s="2" t="s">
        <v>569</v>
      </c>
      <c r="X42" s="2" t="s">
        <v>1015</v>
      </c>
      <c r="Y42" s="2" t="s">
        <v>1014</v>
      </c>
      <c r="Z42" s="2" t="s">
        <v>570</v>
      </c>
      <c r="AA42" s="19" t="s">
        <v>662</v>
      </c>
      <c r="AB42" s="2" t="s">
        <v>570</v>
      </c>
      <c r="AC42" s="2">
        <f t="shared" si="2"/>
        <v>10</v>
      </c>
      <c r="AD42" s="2">
        <f t="shared" si="2"/>
        <v>10</v>
      </c>
      <c r="AE42" s="2" t="s">
        <v>570</v>
      </c>
      <c r="AF42" s="2" t="s">
        <v>570</v>
      </c>
      <c r="AG42" s="2" t="s">
        <v>570</v>
      </c>
      <c r="AH42" s="2" t="s">
        <v>570</v>
      </c>
      <c r="AI42" s="2" t="s">
        <v>570</v>
      </c>
      <c r="AJ42" s="2" t="s">
        <v>570</v>
      </c>
      <c r="AK42" s="2" t="s">
        <v>570</v>
      </c>
      <c r="AL42" s="2" t="s">
        <v>570</v>
      </c>
      <c r="AM42" s="2" t="s">
        <v>570</v>
      </c>
      <c r="AN42" s="2" t="s">
        <v>570</v>
      </c>
      <c r="AO42" s="2" t="s">
        <v>570</v>
      </c>
      <c r="AP42" s="2" t="s">
        <v>570</v>
      </c>
      <c r="AQ42" s="2" t="s">
        <v>570</v>
      </c>
      <c r="AR42" s="2" t="s">
        <v>570</v>
      </c>
      <c r="AS42" s="2" t="s">
        <v>79</v>
      </c>
      <c r="AT42" s="2">
        <f>3.8/1000</f>
        <v>3.8E-3</v>
      </c>
      <c r="AU42" s="2" t="s">
        <v>570</v>
      </c>
      <c r="AV42" s="2" t="s">
        <v>570</v>
      </c>
      <c r="AW42" s="2">
        <f>5/1000</f>
        <v>5.0000000000000001E-3</v>
      </c>
      <c r="AX42" s="2" t="s">
        <v>570</v>
      </c>
      <c r="AY42" s="2" t="s">
        <v>570</v>
      </c>
      <c r="AZ42" s="7">
        <v>0.05</v>
      </c>
      <c r="BA42" s="2" t="s">
        <v>570</v>
      </c>
    </row>
    <row r="43" spans="1:53" ht="102">
      <c r="A43" s="6" t="s">
        <v>216</v>
      </c>
      <c r="B43" s="6" t="s">
        <v>604</v>
      </c>
      <c r="C43" s="6" t="s">
        <v>217</v>
      </c>
      <c r="D43" s="6" t="s">
        <v>570</v>
      </c>
      <c r="E43" s="6" t="s">
        <v>570</v>
      </c>
      <c r="F43" s="6" t="s">
        <v>570</v>
      </c>
      <c r="G43" s="6" t="s">
        <v>570</v>
      </c>
      <c r="H43" s="6" t="s">
        <v>570</v>
      </c>
      <c r="I43" s="6" t="s">
        <v>570</v>
      </c>
      <c r="J43" s="6" t="s">
        <v>570</v>
      </c>
      <c r="K43" s="6" t="s">
        <v>570</v>
      </c>
      <c r="L43" s="6" t="s">
        <v>570</v>
      </c>
      <c r="M43" s="6" t="s">
        <v>570</v>
      </c>
      <c r="N43" s="6" t="s">
        <v>570</v>
      </c>
      <c r="O43" s="6" t="s">
        <v>663</v>
      </c>
      <c r="P43" s="6" t="s">
        <v>570</v>
      </c>
      <c r="Q43" s="6" t="s">
        <v>570</v>
      </c>
      <c r="R43" s="6" t="s">
        <v>55</v>
      </c>
      <c r="S43" s="6" t="s">
        <v>570</v>
      </c>
      <c r="T43" s="21" t="s">
        <v>498</v>
      </c>
      <c r="U43" s="6" t="s">
        <v>570</v>
      </c>
      <c r="V43" s="6" t="s">
        <v>499</v>
      </c>
      <c r="W43" s="6" t="s">
        <v>569</v>
      </c>
      <c r="X43" s="6" t="s">
        <v>1015</v>
      </c>
      <c r="Y43" s="6" t="s">
        <v>1014</v>
      </c>
      <c r="Z43" s="6" t="s">
        <v>570</v>
      </c>
      <c r="AA43" s="15" t="s">
        <v>664</v>
      </c>
      <c r="AB43" s="6" t="s">
        <v>570</v>
      </c>
      <c r="AC43" s="6">
        <f t="shared" si="2"/>
        <v>10</v>
      </c>
      <c r="AD43" s="6">
        <f t="shared" si="2"/>
        <v>10</v>
      </c>
      <c r="AE43" s="6" t="s">
        <v>570</v>
      </c>
      <c r="AF43" s="6" t="s">
        <v>570</v>
      </c>
      <c r="AG43" s="6" t="s">
        <v>570</v>
      </c>
      <c r="AH43" s="6" t="s">
        <v>570</v>
      </c>
      <c r="AI43" s="6" t="s">
        <v>570</v>
      </c>
      <c r="AJ43" s="6" t="s">
        <v>570</v>
      </c>
      <c r="AK43" s="6" t="s">
        <v>570</v>
      </c>
      <c r="AL43" s="6" t="s">
        <v>570</v>
      </c>
      <c r="AM43" s="6" t="s">
        <v>570</v>
      </c>
      <c r="AN43" s="6" t="s">
        <v>570</v>
      </c>
      <c r="AO43" s="6" t="s">
        <v>570</v>
      </c>
      <c r="AP43" s="6" t="s">
        <v>570</v>
      </c>
      <c r="AQ43" s="6" t="s">
        <v>570</v>
      </c>
      <c r="AR43" s="6" t="s">
        <v>570</v>
      </c>
      <c r="AS43" s="6" t="s">
        <v>79</v>
      </c>
      <c r="AT43" s="6">
        <f>78.5/1000</f>
        <v>7.85E-2</v>
      </c>
      <c r="AU43" s="6" t="s">
        <v>570</v>
      </c>
      <c r="AV43" s="6" t="s">
        <v>570</v>
      </c>
      <c r="AW43" s="6">
        <f>85.6/1000</f>
        <v>8.5599999999999996E-2</v>
      </c>
      <c r="AX43" s="6" t="s">
        <v>570</v>
      </c>
      <c r="AY43" s="6" t="s">
        <v>570</v>
      </c>
      <c r="AZ43" s="8">
        <v>0.06</v>
      </c>
      <c r="BA43" s="6" t="s">
        <v>570</v>
      </c>
    </row>
    <row r="44" spans="1:53" ht="40.799999999999997">
      <c r="A44" s="1" t="s">
        <v>47</v>
      </c>
      <c r="B44" s="1" t="s">
        <v>508</v>
      </c>
      <c r="C44" s="22" t="s">
        <v>419</v>
      </c>
      <c r="D44" s="1" t="s">
        <v>48</v>
      </c>
      <c r="E44" s="1" t="s">
        <v>181</v>
      </c>
      <c r="F44" s="1" t="s">
        <v>570</v>
      </c>
      <c r="G44" s="1" t="s">
        <v>570</v>
      </c>
      <c r="H44" s="1" t="s">
        <v>570</v>
      </c>
      <c r="I44" s="1" t="s">
        <v>570</v>
      </c>
      <c r="J44" s="23" t="s">
        <v>570</v>
      </c>
      <c r="K44" s="23" t="s">
        <v>570</v>
      </c>
      <c r="L44" s="23" t="s">
        <v>570</v>
      </c>
      <c r="M44" s="23" t="s">
        <v>570</v>
      </c>
      <c r="N44" s="23" t="s">
        <v>570</v>
      </c>
      <c r="O44" s="1" t="s">
        <v>182</v>
      </c>
      <c r="P44" s="1" t="s">
        <v>570</v>
      </c>
      <c r="Q44" s="1" t="s">
        <v>570</v>
      </c>
      <c r="R44" s="24" t="s">
        <v>183</v>
      </c>
      <c r="S44" s="24" t="s">
        <v>288</v>
      </c>
      <c r="T44" s="24"/>
      <c r="U44" s="1" t="s">
        <v>184</v>
      </c>
      <c r="V44" s="25" t="s">
        <v>185</v>
      </c>
      <c r="W44" s="1" t="s">
        <v>317</v>
      </c>
      <c r="X44" s="1" t="s">
        <v>1016</v>
      </c>
      <c r="Y44" s="1" t="s">
        <v>1017</v>
      </c>
      <c r="Z44" s="1">
        <v>113</v>
      </c>
      <c r="AA44" s="1" t="s">
        <v>318</v>
      </c>
      <c r="AB44" s="1" t="s">
        <v>570</v>
      </c>
      <c r="AC44" s="1">
        <v>6</v>
      </c>
      <c r="AD44" s="1">
        <v>6</v>
      </c>
      <c r="AF44" s="1" t="s">
        <v>570</v>
      </c>
      <c r="AG44" s="1" t="s">
        <v>570</v>
      </c>
      <c r="AH44" s="1" t="s">
        <v>570</v>
      </c>
      <c r="AI44" s="24" t="s">
        <v>319</v>
      </c>
      <c r="AJ44" s="1" t="s">
        <v>570</v>
      </c>
      <c r="AK44" s="1" t="s">
        <v>570</v>
      </c>
      <c r="AL44" s="1" t="s">
        <v>570</v>
      </c>
      <c r="AM44" s="1" t="s">
        <v>570</v>
      </c>
      <c r="AN44" s="1" t="s">
        <v>570</v>
      </c>
      <c r="AO44" s="1" t="s">
        <v>570</v>
      </c>
      <c r="AP44" s="1" t="s">
        <v>570</v>
      </c>
      <c r="AQ44" s="1" t="s">
        <v>570</v>
      </c>
      <c r="AR44" s="1" t="s">
        <v>570</v>
      </c>
      <c r="AS44" s="1" t="s">
        <v>346</v>
      </c>
      <c r="AT44" s="1">
        <v>5.78</v>
      </c>
      <c r="AU44" s="1" t="s">
        <v>570</v>
      </c>
      <c r="AV44" s="1">
        <v>0.43</v>
      </c>
      <c r="AW44" s="1">
        <v>4.9800000000000004</v>
      </c>
      <c r="AX44" s="1" t="s">
        <v>570</v>
      </c>
      <c r="AY44" s="1">
        <v>0.35</v>
      </c>
      <c r="AZ44" s="1" t="s">
        <v>570</v>
      </c>
      <c r="BA44" s="1" t="s">
        <v>570</v>
      </c>
    </row>
    <row r="45" spans="1:53" ht="40.799999999999997">
      <c r="A45" s="1" t="s">
        <v>47</v>
      </c>
      <c r="B45" s="1" t="s">
        <v>508</v>
      </c>
      <c r="C45" s="22" t="s">
        <v>419</v>
      </c>
      <c r="D45" s="1" t="s">
        <v>48</v>
      </c>
      <c r="E45" s="1" t="s">
        <v>181</v>
      </c>
      <c r="F45" s="1" t="s">
        <v>570</v>
      </c>
      <c r="G45" s="1" t="s">
        <v>570</v>
      </c>
      <c r="H45" s="1" t="s">
        <v>570</v>
      </c>
      <c r="I45" s="1" t="s">
        <v>570</v>
      </c>
      <c r="J45" s="23" t="s">
        <v>570</v>
      </c>
      <c r="K45" s="23" t="s">
        <v>570</v>
      </c>
      <c r="L45" s="23" t="s">
        <v>570</v>
      </c>
      <c r="M45" s="23" t="s">
        <v>570</v>
      </c>
      <c r="N45" s="23" t="s">
        <v>570</v>
      </c>
      <c r="O45" s="1" t="s">
        <v>320</v>
      </c>
      <c r="P45" s="1" t="s">
        <v>570</v>
      </c>
      <c r="Q45" s="1" t="s">
        <v>570</v>
      </c>
      <c r="R45" s="24" t="s">
        <v>183</v>
      </c>
      <c r="S45" s="24" t="s">
        <v>288</v>
      </c>
      <c r="T45" s="24"/>
      <c r="U45" s="1" t="s">
        <v>184</v>
      </c>
      <c r="V45" s="25" t="s">
        <v>185</v>
      </c>
      <c r="W45" s="1" t="s">
        <v>317</v>
      </c>
      <c r="X45" s="1" t="s">
        <v>14</v>
      </c>
      <c r="Y45" s="1" t="s">
        <v>1017</v>
      </c>
      <c r="Z45" s="1">
        <v>113</v>
      </c>
      <c r="AA45" s="1" t="s">
        <v>318</v>
      </c>
      <c r="AB45" s="1" t="s">
        <v>570</v>
      </c>
      <c r="AC45" s="1">
        <v>6</v>
      </c>
      <c r="AD45" s="1">
        <v>6</v>
      </c>
      <c r="AF45" s="1" t="s">
        <v>570</v>
      </c>
      <c r="AG45" s="1" t="s">
        <v>570</v>
      </c>
      <c r="AH45" s="1" t="s">
        <v>570</v>
      </c>
      <c r="AI45" s="24" t="s">
        <v>319</v>
      </c>
      <c r="AJ45" s="1" t="s">
        <v>570</v>
      </c>
      <c r="AK45" s="1" t="s">
        <v>570</v>
      </c>
      <c r="AL45" s="1" t="s">
        <v>570</v>
      </c>
      <c r="AM45" s="1" t="s">
        <v>570</v>
      </c>
      <c r="AN45" s="1" t="s">
        <v>570</v>
      </c>
      <c r="AO45" s="1" t="s">
        <v>570</v>
      </c>
      <c r="AP45" s="1" t="s">
        <v>570</v>
      </c>
      <c r="AQ45" s="1" t="s">
        <v>570</v>
      </c>
      <c r="AR45" s="1" t="s">
        <v>570</v>
      </c>
      <c r="AS45" s="1" t="s">
        <v>346</v>
      </c>
      <c r="AT45" s="1">
        <v>10.06</v>
      </c>
      <c r="AU45" s="1" t="s">
        <v>570</v>
      </c>
      <c r="AV45" s="1">
        <v>0.43</v>
      </c>
      <c r="AW45" s="1">
        <v>7.07</v>
      </c>
      <c r="AX45" s="1" t="s">
        <v>570</v>
      </c>
      <c r="AY45" s="1">
        <v>0.26</v>
      </c>
      <c r="AZ45" s="1" t="s">
        <v>570</v>
      </c>
      <c r="BA45" s="1" t="s">
        <v>570</v>
      </c>
    </row>
    <row r="46" spans="1:53" ht="51">
      <c r="A46" s="1" t="s">
        <v>47</v>
      </c>
      <c r="B46" s="1" t="s">
        <v>508</v>
      </c>
      <c r="C46" s="22" t="s">
        <v>419</v>
      </c>
      <c r="D46" s="1" t="s">
        <v>48</v>
      </c>
      <c r="E46" s="1" t="s">
        <v>181</v>
      </c>
      <c r="F46" s="1" t="s">
        <v>570</v>
      </c>
      <c r="G46" s="1" t="s">
        <v>570</v>
      </c>
      <c r="H46" s="1" t="s">
        <v>570</v>
      </c>
      <c r="I46" s="1" t="s">
        <v>570</v>
      </c>
      <c r="J46" s="23" t="s">
        <v>570</v>
      </c>
      <c r="K46" s="23" t="s">
        <v>570</v>
      </c>
      <c r="L46" s="23" t="s">
        <v>570</v>
      </c>
      <c r="M46" s="23" t="s">
        <v>570</v>
      </c>
      <c r="N46" s="23" t="s">
        <v>570</v>
      </c>
      <c r="O46" s="1" t="s">
        <v>182</v>
      </c>
      <c r="P46" s="1" t="s">
        <v>570</v>
      </c>
      <c r="Q46" s="1" t="s">
        <v>570</v>
      </c>
      <c r="R46" s="24" t="s">
        <v>183</v>
      </c>
      <c r="S46" s="24" t="s">
        <v>288</v>
      </c>
      <c r="T46" s="24"/>
      <c r="U46" s="1" t="s">
        <v>184</v>
      </c>
      <c r="V46" s="25" t="s">
        <v>185</v>
      </c>
      <c r="W46" s="1" t="s">
        <v>317</v>
      </c>
      <c r="X46" s="1" t="s">
        <v>14</v>
      </c>
      <c r="Y46" s="1" t="s">
        <v>1017</v>
      </c>
      <c r="Z46" s="1">
        <v>113</v>
      </c>
      <c r="AA46" s="1" t="s">
        <v>318</v>
      </c>
      <c r="AB46" s="1" t="s">
        <v>570</v>
      </c>
      <c r="AC46" s="1">
        <v>6</v>
      </c>
      <c r="AD46" s="1">
        <v>6</v>
      </c>
      <c r="AF46" s="1" t="s">
        <v>570</v>
      </c>
      <c r="AG46" s="1" t="s">
        <v>570</v>
      </c>
      <c r="AH46" s="1" t="s">
        <v>570</v>
      </c>
      <c r="AI46" s="24" t="s">
        <v>186</v>
      </c>
      <c r="AJ46" s="1" t="s">
        <v>570</v>
      </c>
      <c r="AK46" s="1" t="s">
        <v>570</v>
      </c>
      <c r="AL46" s="1" t="s">
        <v>570</v>
      </c>
      <c r="AM46" s="1" t="s">
        <v>570</v>
      </c>
      <c r="AN46" s="1" t="s">
        <v>570</v>
      </c>
      <c r="AO46" s="1" t="s">
        <v>570</v>
      </c>
      <c r="AP46" s="1" t="s">
        <v>570</v>
      </c>
      <c r="AQ46" s="1" t="s">
        <v>570</v>
      </c>
      <c r="AR46" s="1" t="s">
        <v>570</v>
      </c>
      <c r="AS46" s="1" t="s">
        <v>346</v>
      </c>
      <c r="AT46" s="1">
        <v>4.8600000000000003</v>
      </c>
      <c r="AU46" s="1" t="s">
        <v>570</v>
      </c>
      <c r="AV46" s="1">
        <v>0.43</v>
      </c>
      <c r="AW46" s="1">
        <v>5.16</v>
      </c>
      <c r="AX46" s="1" t="s">
        <v>570</v>
      </c>
      <c r="AY46" s="1">
        <v>0.34</v>
      </c>
      <c r="AZ46" s="1" t="s">
        <v>570</v>
      </c>
      <c r="BA46" s="1" t="s">
        <v>570</v>
      </c>
    </row>
    <row r="47" spans="1:53" ht="51">
      <c r="A47" s="1" t="s">
        <v>47</v>
      </c>
      <c r="B47" s="1" t="s">
        <v>508</v>
      </c>
      <c r="C47" s="22" t="s">
        <v>419</v>
      </c>
      <c r="D47" s="1" t="s">
        <v>48</v>
      </c>
      <c r="E47" s="1" t="s">
        <v>181</v>
      </c>
      <c r="F47" s="1" t="s">
        <v>570</v>
      </c>
      <c r="G47" s="1" t="s">
        <v>570</v>
      </c>
      <c r="H47" s="1" t="s">
        <v>570</v>
      </c>
      <c r="I47" s="1" t="s">
        <v>570</v>
      </c>
      <c r="J47" s="23" t="s">
        <v>570</v>
      </c>
      <c r="K47" s="23" t="s">
        <v>570</v>
      </c>
      <c r="L47" s="23" t="s">
        <v>570</v>
      </c>
      <c r="M47" s="23" t="s">
        <v>570</v>
      </c>
      <c r="N47" s="23" t="s">
        <v>570</v>
      </c>
      <c r="O47" s="1" t="s">
        <v>320</v>
      </c>
      <c r="P47" s="1" t="s">
        <v>570</v>
      </c>
      <c r="Q47" s="1" t="s">
        <v>570</v>
      </c>
      <c r="R47" s="24" t="s">
        <v>183</v>
      </c>
      <c r="S47" s="24" t="s">
        <v>288</v>
      </c>
      <c r="T47" s="24"/>
      <c r="U47" s="1" t="s">
        <v>184</v>
      </c>
      <c r="V47" s="25" t="s">
        <v>185</v>
      </c>
      <c r="W47" s="1" t="s">
        <v>317</v>
      </c>
      <c r="X47" s="1" t="s">
        <v>14</v>
      </c>
      <c r="Y47" s="1" t="s">
        <v>1017</v>
      </c>
      <c r="Z47" s="1">
        <v>113</v>
      </c>
      <c r="AA47" s="1" t="s">
        <v>318</v>
      </c>
      <c r="AB47" s="1" t="s">
        <v>570</v>
      </c>
      <c r="AC47" s="1">
        <v>6</v>
      </c>
      <c r="AD47" s="1">
        <v>6</v>
      </c>
      <c r="AF47" s="1" t="s">
        <v>570</v>
      </c>
      <c r="AG47" s="1" t="s">
        <v>570</v>
      </c>
      <c r="AH47" s="1" t="s">
        <v>570</v>
      </c>
      <c r="AI47" s="24" t="s">
        <v>186</v>
      </c>
      <c r="AJ47" s="1" t="s">
        <v>570</v>
      </c>
      <c r="AK47" s="1" t="s">
        <v>570</v>
      </c>
      <c r="AL47" s="1" t="s">
        <v>570</v>
      </c>
      <c r="AM47" s="1" t="s">
        <v>570</v>
      </c>
      <c r="AN47" s="1" t="s">
        <v>570</v>
      </c>
      <c r="AO47" s="1" t="s">
        <v>570</v>
      </c>
      <c r="AP47" s="1" t="s">
        <v>570</v>
      </c>
      <c r="AQ47" s="1" t="s">
        <v>570</v>
      </c>
      <c r="AR47" s="1" t="s">
        <v>570</v>
      </c>
      <c r="AS47" s="1" t="s">
        <v>346</v>
      </c>
      <c r="AT47" s="1">
        <v>2.92</v>
      </c>
      <c r="AU47" s="1" t="s">
        <v>570</v>
      </c>
      <c r="AV47" s="1">
        <v>0.42</v>
      </c>
      <c r="AW47" s="1">
        <v>3.09</v>
      </c>
      <c r="AX47" s="1" t="s">
        <v>570</v>
      </c>
      <c r="AY47" s="1">
        <v>0.28999999999999998</v>
      </c>
      <c r="AZ47" s="1" t="s">
        <v>570</v>
      </c>
      <c r="BA47" s="1" t="s">
        <v>570</v>
      </c>
    </row>
    <row r="48" spans="1:53" ht="51">
      <c r="A48" s="1" t="s">
        <v>47</v>
      </c>
      <c r="B48" s="1" t="s">
        <v>508</v>
      </c>
      <c r="C48" s="22" t="s">
        <v>419</v>
      </c>
      <c r="D48" s="1" t="s">
        <v>48</v>
      </c>
      <c r="E48" s="1" t="s">
        <v>181</v>
      </c>
      <c r="F48" s="1" t="s">
        <v>570</v>
      </c>
      <c r="G48" s="1" t="s">
        <v>570</v>
      </c>
      <c r="H48" s="1" t="s">
        <v>570</v>
      </c>
      <c r="I48" s="1" t="s">
        <v>570</v>
      </c>
      <c r="J48" s="23" t="s">
        <v>570</v>
      </c>
      <c r="K48" s="23" t="s">
        <v>570</v>
      </c>
      <c r="L48" s="23" t="s">
        <v>570</v>
      </c>
      <c r="M48" s="23" t="s">
        <v>570</v>
      </c>
      <c r="N48" s="23" t="s">
        <v>570</v>
      </c>
      <c r="O48" s="1" t="s">
        <v>182</v>
      </c>
      <c r="P48" s="1" t="s">
        <v>570</v>
      </c>
      <c r="Q48" s="1" t="s">
        <v>570</v>
      </c>
      <c r="R48" s="24" t="s">
        <v>183</v>
      </c>
      <c r="S48" s="24" t="s">
        <v>288</v>
      </c>
      <c r="T48" s="24"/>
      <c r="U48" s="1" t="s">
        <v>184</v>
      </c>
      <c r="V48" s="25" t="s">
        <v>185</v>
      </c>
      <c r="W48" s="1" t="s">
        <v>317</v>
      </c>
      <c r="X48" s="1" t="s">
        <v>14</v>
      </c>
      <c r="Y48" s="1" t="s">
        <v>1017</v>
      </c>
      <c r="Z48" s="1">
        <v>113</v>
      </c>
      <c r="AA48" s="1" t="s">
        <v>318</v>
      </c>
      <c r="AB48" s="1" t="s">
        <v>570</v>
      </c>
      <c r="AC48" s="1">
        <v>6</v>
      </c>
      <c r="AD48" s="1">
        <v>6</v>
      </c>
      <c r="AF48" s="1" t="s">
        <v>570</v>
      </c>
      <c r="AG48" s="1" t="s">
        <v>570</v>
      </c>
      <c r="AH48" s="1" t="s">
        <v>570</v>
      </c>
      <c r="AI48" s="24" t="s">
        <v>765</v>
      </c>
      <c r="AJ48" s="1" t="s">
        <v>570</v>
      </c>
      <c r="AK48" s="1" t="s">
        <v>570</v>
      </c>
      <c r="AL48" s="1" t="s">
        <v>570</v>
      </c>
      <c r="AM48" s="1" t="s">
        <v>570</v>
      </c>
      <c r="AN48" s="1" t="s">
        <v>570</v>
      </c>
      <c r="AO48" s="1" t="s">
        <v>570</v>
      </c>
      <c r="AP48" s="1" t="s">
        <v>570</v>
      </c>
      <c r="AQ48" s="1" t="s">
        <v>570</v>
      </c>
      <c r="AR48" s="1" t="s">
        <v>570</v>
      </c>
      <c r="AS48" s="1" t="s">
        <v>346</v>
      </c>
      <c r="AT48" s="1">
        <v>6.39</v>
      </c>
      <c r="AU48" s="1" t="s">
        <v>570</v>
      </c>
      <c r="AV48" s="1">
        <v>0.34</v>
      </c>
      <c r="AW48" s="1">
        <v>4.5</v>
      </c>
      <c r="AX48" s="1" t="s">
        <v>570</v>
      </c>
      <c r="AY48" s="1">
        <v>0.38</v>
      </c>
      <c r="AZ48" s="1" t="s">
        <v>570</v>
      </c>
      <c r="BA48" s="1" t="s">
        <v>570</v>
      </c>
    </row>
    <row r="49" spans="1:62" ht="51">
      <c r="A49" s="1" t="s">
        <v>47</v>
      </c>
      <c r="B49" s="1" t="s">
        <v>508</v>
      </c>
      <c r="C49" s="22" t="s">
        <v>419</v>
      </c>
      <c r="D49" s="1" t="s">
        <v>48</v>
      </c>
      <c r="E49" s="1" t="s">
        <v>181</v>
      </c>
      <c r="F49" s="1" t="s">
        <v>570</v>
      </c>
      <c r="G49" s="1" t="s">
        <v>570</v>
      </c>
      <c r="H49" s="1" t="s">
        <v>570</v>
      </c>
      <c r="I49" s="1" t="s">
        <v>570</v>
      </c>
      <c r="J49" s="23" t="s">
        <v>570</v>
      </c>
      <c r="K49" s="23" t="s">
        <v>570</v>
      </c>
      <c r="L49" s="23" t="s">
        <v>570</v>
      </c>
      <c r="M49" s="23" t="s">
        <v>570</v>
      </c>
      <c r="N49" s="23" t="s">
        <v>570</v>
      </c>
      <c r="O49" s="1" t="s">
        <v>320</v>
      </c>
      <c r="P49" s="1" t="s">
        <v>570</v>
      </c>
      <c r="Q49" s="1" t="s">
        <v>570</v>
      </c>
      <c r="R49" s="24" t="s">
        <v>183</v>
      </c>
      <c r="S49" s="24" t="s">
        <v>288</v>
      </c>
      <c r="T49" s="24"/>
      <c r="U49" s="1" t="s">
        <v>184</v>
      </c>
      <c r="V49" s="25" t="s">
        <v>185</v>
      </c>
      <c r="W49" s="1" t="s">
        <v>317</v>
      </c>
      <c r="X49" s="1" t="s">
        <v>14</v>
      </c>
      <c r="Y49" s="1" t="s">
        <v>1017</v>
      </c>
      <c r="Z49" s="1">
        <v>113</v>
      </c>
      <c r="AA49" s="1" t="s">
        <v>318</v>
      </c>
      <c r="AB49" s="1" t="s">
        <v>570</v>
      </c>
      <c r="AC49" s="1">
        <v>6</v>
      </c>
      <c r="AD49" s="1">
        <v>6</v>
      </c>
      <c r="AF49" s="1" t="s">
        <v>570</v>
      </c>
      <c r="AG49" s="1" t="s">
        <v>570</v>
      </c>
      <c r="AH49" s="1" t="s">
        <v>570</v>
      </c>
      <c r="AI49" s="24" t="s">
        <v>765</v>
      </c>
      <c r="AJ49" s="1" t="s">
        <v>570</v>
      </c>
      <c r="AK49" s="1" t="s">
        <v>570</v>
      </c>
      <c r="AL49" s="1" t="s">
        <v>570</v>
      </c>
      <c r="AM49" s="1" t="s">
        <v>570</v>
      </c>
      <c r="AN49" s="1" t="s">
        <v>570</v>
      </c>
      <c r="AO49" s="1" t="s">
        <v>570</v>
      </c>
      <c r="AP49" s="1" t="s">
        <v>570</v>
      </c>
      <c r="AQ49" s="1" t="s">
        <v>570</v>
      </c>
      <c r="AR49" s="1" t="s">
        <v>570</v>
      </c>
      <c r="AS49" s="1" t="s">
        <v>346</v>
      </c>
      <c r="AT49" s="1">
        <v>1.39</v>
      </c>
      <c r="AU49" s="1" t="s">
        <v>570</v>
      </c>
      <c r="AV49" s="1">
        <v>0.51</v>
      </c>
      <c r="AW49" s="1">
        <v>1.03</v>
      </c>
      <c r="AX49" s="1" t="s">
        <v>570</v>
      </c>
      <c r="AY49" s="1">
        <v>0.36</v>
      </c>
      <c r="AZ49" s="1" t="s">
        <v>570</v>
      </c>
      <c r="BA49" s="1" t="s">
        <v>570</v>
      </c>
    </row>
    <row r="50" spans="1:62" ht="40.799999999999997">
      <c r="A50" s="1" t="s">
        <v>47</v>
      </c>
      <c r="B50" s="1" t="s">
        <v>508</v>
      </c>
      <c r="C50" s="22" t="s">
        <v>419</v>
      </c>
      <c r="D50" s="1" t="s">
        <v>48</v>
      </c>
      <c r="E50" s="1" t="s">
        <v>181</v>
      </c>
      <c r="F50" s="1" t="s">
        <v>570</v>
      </c>
      <c r="G50" s="1" t="s">
        <v>570</v>
      </c>
      <c r="H50" s="1" t="s">
        <v>570</v>
      </c>
      <c r="I50" s="1" t="s">
        <v>570</v>
      </c>
      <c r="J50" s="23" t="s">
        <v>570</v>
      </c>
      <c r="K50" s="23" t="s">
        <v>570</v>
      </c>
      <c r="L50" s="23" t="s">
        <v>570</v>
      </c>
      <c r="M50" s="23" t="s">
        <v>570</v>
      </c>
      <c r="N50" s="23" t="s">
        <v>570</v>
      </c>
      <c r="O50" s="1">
        <v>2012</v>
      </c>
      <c r="P50" s="1" t="s">
        <v>570</v>
      </c>
      <c r="Q50" s="1" t="s">
        <v>570</v>
      </c>
      <c r="R50" s="24" t="s">
        <v>183</v>
      </c>
      <c r="S50" s="24" t="s">
        <v>288</v>
      </c>
      <c r="T50" s="24"/>
      <c r="U50" s="1" t="s">
        <v>184</v>
      </c>
      <c r="V50" s="25" t="s">
        <v>185</v>
      </c>
      <c r="W50" s="1" t="s">
        <v>317</v>
      </c>
      <c r="X50" s="1" t="s">
        <v>14</v>
      </c>
      <c r="Y50" s="1" t="s">
        <v>1017</v>
      </c>
      <c r="Z50" s="1">
        <v>113</v>
      </c>
      <c r="AA50" s="1" t="s">
        <v>318</v>
      </c>
      <c r="AB50" s="1" t="s">
        <v>570</v>
      </c>
      <c r="AC50" s="1">
        <v>8</v>
      </c>
      <c r="AD50" s="1">
        <v>8</v>
      </c>
      <c r="AF50" s="1" t="s">
        <v>570</v>
      </c>
      <c r="AG50" s="1" t="s">
        <v>570</v>
      </c>
      <c r="AH50" s="1" t="s">
        <v>570</v>
      </c>
      <c r="AI50" s="24" t="s">
        <v>319</v>
      </c>
      <c r="AJ50" s="1" t="s">
        <v>570</v>
      </c>
      <c r="AK50" s="1" t="s">
        <v>570</v>
      </c>
      <c r="AL50" s="1" t="s">
        <v>570</v>
      </c>
      <c r="AM50" s="1" t="s">
        <v>570</v>
      </c>
      <c r="AN50" s="1" t="s">
        <v>570</v>
      </c>
      <c r="AO50" s="1" t="s">
        <v>570</v>
      </c>
      <c r="AP50" s="1" t="s">
        <v>570</v>
      </c>
      <c r="AQ50" s="1" t="s">
        <v>570</v>
      </c>
      <c r="AR50" s="1" t="s">
        <v>570</v>
      </c>
      <c r="AS50" s="1" t="s">
        <v>346</v>
      </c>
      <c r="AT50" s="1">
        <v>135.37</v>
      </c>
      <c r="AU50" s="1" t="s">
        <v>570</v>
      </c>
      <c r="AV50" s="1">
        <v>8.8699999999999992</v>
      </c>
      <c r="AW50" s="1">
        <v>56.78</v>
      </c>
      <c r="AX50" s="1" t="s">
        <v>570</v>
      </c>
      <c r="AY50" s="1">
        <v>5.32</v>
      </c>
      <c r="AZ50" s="1" t="s">
        <v>570</v>
      </c>
      <c r="BA50" s="1" t="s">
        <v>570</v>
      </c>
    </row>
    <row r="51" spans="1:62" ht="51">
      <c r="A51" s="1" t="s">
        <v>47</v>
      </c>
      <c r="B51" s="1" t="s">
        <v>508</v>
      </c>
      <c r="C51" s="22" t="s">
        <v>419</v>
      </c>
      <c r="D51" s="1" t="s">
        <v>48</v>
      </c>
      <c r="E51" s="1" t="s">
        <v>181</v>
      </c>
      <c r="F51" s="1" t="s">
        <v>570</v>
      </c>
      <c r="G51" s="1" t="s">
        <v>570</v>
      </c>
      <c r="H51" s="1" t="s">
        <v>570</v>
      </c>
      <c r="I51" s="1" t="s">
        <v>570</v>
      </c>
      <c r="J51" s="23" t="s">
        <v>570</v>
      </c>
      <c r="K51" s="23" t="s">
        <v>570</v>
      </c>
      <c r="L51" s="23" t="s">
        <v>570</v>
      </c>
      <c r="M51" s="23" t="s">
        <v>570</v>
      </c>
      <c r="N51" s="23" t="s">
        <v>570</v>
      </c>
      <c r="O51" s="1">
        <v>2012</v>
      </c>
      <c r="P51" s="1" t="s">
        <v>570</v>
      </c>
      <c r="Q51" s="1" t="s">
        <v>570</v>
      </c>
      <c r="R51" s="24" t="s">
        <v>183</v>
      </c>
      <c r="S51" s="24" t="s">
        <v>288</v>
      </c>
      <c r="T51" s="24"/>
      <c r="U51" s="1" t="s">
        <v>184</v>
      </c>
      <c r="V51" s="25" t="s">
        <v>185</v>
      </c>
      <c r="W51" s="1" t="s">
        <v>317</v>
      </c>
      <c r="X51" s="1" t="s">
        <v>14</v>
      </c>
      <c r="Y51" s="1" t="s">
        <v>1017</v>
      </c>
      <c r="Z51" s="1">
        <v>113</v>
      </c>
      <c r="AA51" s="1" t="s">
        <v>318</v>
      </c>
      <c r="AB51" s="1" t="s">
        <v>570</v>
      </c>
      <c r="AC51" s="1">
        <v>8</v>
      </c>
      <c r="AD51" s="1">
        <v>8</v>
      </c>
      <c r="AF51" s="1" t="s">
        <v>570</v>
      </c>
      <c r="AG51" s="1" t="s">
        <v>570</v>
      </c>
      <c r="AH51" s="1" t="s">
        <v>570</v>
      </c>
      <c r="AI51" s="24" t="s">
        <v>186</v>
      </c>
      <c r="AJ51" s="1" t="s">
        <v>570</v>
      </c>
      <c r="AK51" s="1" t="s">
        <v>570</v>
      </c>
      <c r="AL51" s="1" t="s">
        <v>570</v>
      </c>
      <c r="AM51" s="1" t="s">
        <v>570</v>
      </c>
      <c r="AN51" s="1" t="s">
        <v>570</v>
      </c>
      <c r="AO51" s="1" t="s">
        <v>570</v>
      </c>
      <c r="AP51" s="1" t="s">
        <v>570</v>
      </c>
      <c r="AQ51" s="1" t="s">
        <v>570</v>
      </c>
      <c r="AR51" s="1" t="s">
        <v>570</v>
      </c>
      <c r="AS51" s="1" t="s">
        <v>346</v>
      </c>
      <c r="AT51" s="1">
        <v>7.76</v>
      </c>
      <c r="AU51" s="1" t="s">
        <v>570</v>
      </c>
      <c r="AV51" s="1">
        <v>3.93</v>
      </c>
      <c r="AW51" s="1">
        <v>5.69</v>
      </c>
      <c r="AX51" s="1" t="s">
        <v>570</v>
      </c>
      <c r="AY51" s="1">
        <v>2.99</v>
      </c>
      <c r="AZ51" s="1" t="s">
        <v>570</v>
      </c>
      <c r="BA51" s="1" t="s">
        <v>570</v>
      </c>
    </row>
    <row r="52" spans="1:62" ht="51">
      <c r="A52" s="2" t="s">
        <v>47</v>
      </c>
      <c r="B52" s="2" t="s">
        <v>508</v>
      </c>
      <c r="C52" s="26" t="s">
        <v>419</v>
      </c>
      <c r="D52" s="2" t="s">
        <v>48</v>
      </c>
      <c r="E52" s="2" t="s">
        <v>181</v>
      </c>
      <c r="F52" s="2" t="s">
        <v>570</v>
      </c>
      <c r="G52" s="2" t="s">
        <v>570</v>
      </c>
      <c r="H52" s="2" t="s">
        <v>570</v>
      </c>
      <c r="I52" s="2" t="s">
        <v>570</v>
      </c>
      <c r="J52" s="27" t="s">
        <v>570</v>
      </c>
      <c r="K52" s="27" t="s">
        <v>570</v>
      </c>
      <c r="L52" s="27" t="s">
        <v>570</v>
      </c>
      <c r="M52" s="27" t="s">
        <v>570</v>
      </c>
      <c r="N52" s="27" t="s">
        <v>570</v>
      </c>
      <c r="O52" s="2">
        <v>2012</v>
      </c>
      <c r="P52" s="2" t="s">
        <v>570</v>
      </c>
      <c r="Q52" s="2" t="s">
        <v>570</v>
      </c>
      <c r="R52" s="19" t="s">
        <v>183</v>
      </c>
      <c r="S52" s="19" t="s">
        <v>288</v>
      </c>
      <c r="T52" s="19"/>
      <c r="U52" s="2" t="s">
        <v>184</v>
      </c>
      <c r="V52" s="18" t="s">
        <v>185</v>
      </c>
      <c r="W52" s="2" t="s">
        <v>341</v>
      </c>
      <c r="X52" s="1" t="s">
        <v>14</v>
      </c>
      <c r="Y52" s="1" t="s">
        <v>1017</v>
      </c>
      <c r="Z52" s="2">
        <v>113</v>
      </c>
      <c r="AA52" s="2" t="s">
        <v>318</v>
      </c>
      <c r="AB52" s="2" t="s">
        <v>570</v>
      </c>
      <c r="AC52" s="2">
        <v>8</v>
      </c>
      <c r="AD52" s="2">
        <v>8</v>
      </c>
      <c r="AE52" s="2"/>
      <c r="AF52" s="2" t="s">
        <v>570</v>
      </c>
      <c r="AG52" s="2" t="s">
        <v>570</v>
      </c>
      <c r="AH52" s="2" t="s">
        <v>570</v>
      </c>
      <c r="AI52" s="19" t="s">
        <v>765</v>
      </c>
      <c r="AJ52" s="2" t="s">
        <v>570</v>
      </c>
      <c r="AK52" s="2" t="s">
        <v>570</v>
      </c>
      <c r="AL52" s="2" t="s">
        <v>570</v>
      </c>
      <c r="AM52" s="2" t="s">
        <v>570</v>
      </c>
      <c r="AN52" s="2" t="s">
        <v>570</v>
      </c>
      <c r="AO52" s="2" t="s">
        <v>570</v>
      </c>
      <c r="AP52" s="2" t="s">
        <v>570</v>
      </c>
      <c r="AQ52" s="2" t="s">
        <v>570</v>
      </c>
      <c r="AR52" s="2" t="s">
        <v>570</v>
      </c>
      <c r="AS52" s="2" t="s">
        <v>346</v>
      </c>
      <c r="AT52" s="2">
        <v>17.89</v>
      </c>
      <c r="AU52" s="2" t="s">
        <v>570</v>
      </c>
      <c r="AV52" s="6">
        <v>6.82</v>
      </c>
      <c r="AW52" s="2">
        <v>7.47</v>
      </c>
      <c r="AX52" s="2" t="s">
        <v>570</v>
      </c>
      <c r="AY52" s="6">
        <v>1.88</v>
      </c>
      <c r="AZ52" s="2" t="s">
        <v>570</v>
      </c>
      <c r="BA52" s="2" t="s">
        <v>570</v>
      </c>
    </row>
    <row r="53" spans="1:62">
      <c r="A53" s="4" t="s">
        <v>603</v>
      </c>
      <c r="B53" s="4" t="s">
        <v>604</v>
      </c>
      <c r="C53" s="4" t="s">
        <v>278</v>
      </c>
      <c r="D53" s="4" t="s">
        <v>768</v>
      </c>
      <c r="E53" s="4" t="s">
        <v>769</v>
      </c>
      <c r="F53" s="4" t="s">
        <v>570</v>
      </c>
      <c r="G53" s="4" t="s">
        <v>570</v>
      </c>
      <c r="H53" s="4" t="s">
        <v>570</v>
      </c>
      <c r="I53" s="4" t="s">
        <v>570</v>
      </c>
      <c r="J53" s="4" t="s">
        <v>570</v>
      </c>
      <c r="K53" s="4" t="s">
        <v>570</v>
      </c>
      <c r="L53" s="4" t="s">
        <v>570</v>
      </c>
      <c r="M53" s="4" t="s">
        <v>570</v>
      </c>
      <c r="N53" s="4" t="s">
        <v>570</v>
      </c>
      <c r="O53" s="4">
        <v>2006</v>
      </c>
      <c r="P53" s="4" t="s">
        <v>570</v>
      </c>
      <c r="Q53" s="4" t="s">
        <v>570</v>
      </c>
      <c r="R53" s="4" t="s">
        <v>55</v>
      </c>
      <c r="S53" s="4" t="s">
        <v>570</v>
      </c>
      <c r="T53" s="4" t="s">
        <v>570</v>
      </c>
      <c r="U53" s="4" t="s">
        <v>605</v>
      </c>
      <c r="V53" s="4" t="s">
        <v>736</v>
      </c>
      <c r="W53" s="4" t="s">
        <v>609</v>
      </c>
      <c r="X53" s="4" t="s">
        <v>131</v>
      </c>
      <c r="Y53" s="2" t="s">
        <v>1009</v>
      </c>
      <c r="Z53" s="4" t="s">
        <v>570</v>
      </c>
      <c r="AA53" s="4" t="s">
        <v>606</v>
      </c>
      <c r="AB53" s="4" t="s">
        <v>570</v>
      </c>
      <c r="AC53" s="4">
        <v>5</v>
      </c>
      <c r="AD53" s="4">
        <v>5</v>
      </c>
      <c r="AE53" s="4" t="s">
        <v>570</v>
      </c>
      <c r="AF53" s="4" t="s">
        <v>570</v>
      </c>
      <c r="AG53" s="4" t="s">
        <v>570</v>
      </c>
      <c r="AH53" s="4" t="s">
        <v>570</v>
      </c>
      <c r="AI53" s="4" t="s">
        <v>570</v>
      </c>
      <c r="AJ53" s="4" t="s">
        <v>570</v>
      </c>
      <c r="AK53" s="4" t="s">
        <v>570</v>
      </c>
      <c r="AL53" s="4" t="s">
        <v>570</v>
      </c>
      <c r="AM53" s="4" t="s">
        <v>570</v>
      </c>
      <c r="AN53" s="4" t="s">
        <v>570</v>
      </c>
      <c r="AO53" s="4" t="s">
        <v>570</v>
      </c>
      <c r="AP53" s="4" t="s">
        <v>570</v>
      </c>
      <c r="AQ53" s="4" t="s">
        <v>570</v>
      </c>
      <c r="AR53" s="4" t="s">
        <v>570</v>
      </c>
      <c r="AS53" s="4" t="s">
        <v>347</v>
      </c>
      <c r="AT53" s="4">
        <v>4.9000000000000004</v>
      </c>
      <c r="AU53" s="4">
        <v>1.4</v>
      </c>
      <c r="AV53" s="7">
        <f>AU53*SQRT(AC53)</f>
        <v>3.1304951684997055</v>
      </c>
      <c r="AW53" s="4">
        <v>10.8</v>
      </c>
      <c r="AX53" s="4">
        <v>8.4</v>
      </c>
      <c r="AY53" s="28">
        <f>AX53*SQRT(AD53)</f>
        <v>18.782971010998235</v>
      </c>
      <c r="AZ53" s="4">
        <v>0.10199999999999999</v>
      </c>
      <c r="BA53" s="4" t="s">
        <v>570</v>
      </c>
    </row>
    <row r="54" spans="1:62">
      <c r="A54" s="6" t="s">
        <v>603</v>
      </c>
      <c r="B54" s="6" t="s">
        <v>604</v>
      </c>
      <c r="C54" s="6" t="s">
        <v>944</v>
      </c>
      <c r="D54" s="6" t="s">
        <v>59</v>
      </c>
      <c r="E54" s="6" t="s">
        <v>340</v>
      </c>
      <c r="F54" s="6" t="s">
        <v>102</v>
      </c>
      <c r="G54" s="6" t="s">
        <v>102</v>
      </c>
      <c r="H54" s="6" t="s">
        <v>102</v>
      </c>
      <c r="I54" s="6" t="s">
        <v>102</v>
      </c>
      <c r="J54" s="6" t="s">
        <v>102</v>
      </c>
      <c r="K54" s="6" t="s">
        <v>102</v>
      </c>
      <c r="L54" s="6" t="s">
        <v>102</v>
      </c>
      <c r="M54" s="6" t="s">
        <v>102</v>
      </c>
      <c r="N54" s="6" t="s">
        <v>102</v>
      </c>
      <c r="O54" s="6">
        <v>2006</v>
      </c>
      <c r="P54" s="6" t="s">
        <v>102</v>
      </c>
      <c r="Q54" s="6" t="s">
        <v>102</v>
      </c>
      <c r="R54" s="6" t="s">
        <v>103</v>
      </c>
      <c r="S54" s="6" t="s">
        <v>102</v>
      </c>
      <c r="T54" s="6" t="s">
        <v>102</v>
      </c>
      <c r="U54" s="6" t="s">
        <v>605</v>
      </c>
      <c r="V54" s="6" t="s">
        <v>736</v>
      </c>
      <c r="W54" s="6" t="s">
        <v>609</v>
      </c>
      <c r="X54" s="6" t="s">
        <v>131</v>
      </c>
      <c r="Y54" s="6" t="s">
        <v>1009</v>
      </c>
      <c r="Z54" s="6" t="s">
        <v>102</v>
      </c>
      <c r="AA54" s="6" t="s">
        <v>606</v>
      </c>
      <c r="AB54" s="6" t="s">
        <v>102</v>
      </c>
      <c r="AC54" s="6">
        <v>5</v>
      </c>
      <c r="AD54" s="6">
        <v>5</v>
      </c>
      <c r="AE54" s="6" t="s">
        <v>102</v>
      </c>
      <c r="AF54" s="6" t="s">
        <v>102</v>
      </c>
      <c r="AG54" s="6" t="s">
        <v>102</v>
      </c>
      <c r="AH54" s="6" t="s">
        <v>102</v>
      </c>
      <c r="AI54" s="6" t="s">
        <v>570</v>
      </c>
      <c r="AJ54" s="6" t="s">
        <v>570</v>
      </c>
      <c r="AK54" s="6" t="s">
        <v>570</v>
      </c>
      <c r="AL54" s="6" t="s">
        <v>570</v>
      </c>
      <c r="AM54" s="6" t="s">
        <v>570</v>
      </c>
      <c r="AN54" s="6" t="s">
        <v>570</v>
      </c>
      <c r="AO54" s="6" t="s">
        <v>570</v>
      </c>
      <c r="AP54" s="6" t="s">
        <v>570</v>
      </c>
      <c r="AQ54" s="6" t="s">
        <v>570</v>
      </c>
      <c r="AR54" s="6" t="s">
        <v>570</v>
      </c>
      <c r="AS54" s="6" t="s">
        <v>347</v>
      </c>
      <c r="AT54" s="6">
        <v>61</v>
      </c>
      <c r="AU54" s="6">
        <v>14.3</v>
      </c>
      <c r="AV54" s="8">
        <f>AU54*SQRT(AC54)</f>
        <v>31.975772078246997</v>
      </c>
      <c r="AW54" s="6">
        <v>72.2</v>
      </c>
      <c r="AX54" s="6">
        <v>19.100000000000001</v>
      </c>
      <c r="AY54" s="29">
        <f>AX54*SQRT(AD54)</f>
        <v>42.70889837024599</v>
      </c>
      <c r="AZ54" s="6">
        <v>0.4763</v>
      </c>
      <c r="BA54" s="6" t="s">
        <v>570</v>
      </c>
    </row>
    <row r="55" spans="1:62" ht="13.2">
      <c r="A55" s="6" t="s">
        <v>603</v>
      </c>
      <c r="B55" s="6" t="s">
        <v>604</v>
      </c>
      <c r="C55" s="6" t="s">
        <v>278</v>
      </c>
      <c r="D55" s="6" t="s">
        <v>768</v>
      </c>
      <c r="E55" s="6" t="s">
        <v>769</v>
      </c>
      <c r="F55" s="6" t="s">
        <v>570</v>
      </c>
      <c r="G55" s="6" t="s">
        <v>570</v>
      </c>
      <c r="H55" s="6" t="s">
        <v>570</v>
      </c>
      <c r="I55" s="6" t="s">
        <v>570</v>
      </c>
      <c r="J55" s="6" t="s">
        <v>570</v>
      </c>
      <c r="K55" s="6" t="s">
        <v>570</v>
      </c>
      <c r="L55" s="6" t="s">
        <v>570</v>
      </c>
      <c r="M55" s="6" t="s">
        <v>570</v>
      </c>
      <c r="N55" s="6" t="s">
        <v>570</v>
      </c>
      <c r="O55" s="9">
        <v>2006</v>
      </c>
      <c r="P55" s="6" t="s">
        <v>570</v>
      </c>
      <c r="Q55" s="6" t="s">
        <v>570</v>
      </c>
      <c r="R55" s="6" t="s">
        <v>55</v>
      </c>
      <c r="S55" s="6" t="s">
        <v>570</v>
      </c>
      <c r="T55" s="6" t="s">
        <v>570</v>
      </c>
      <c r="U55" s="9" t="s">
        <v>605</v>
      </c>
      <c r="V55" s="9" t="s">
        <v>736</v>
      </c>
      <c r="W55" s="6" t="s">
        <v>609</v>
      </c>
      <c r="X55" s="6" t="s">
        <v>131</v>
      </c>
      <c r="Y55" s="9" t="s">
        <v>1009</v>
      </c>
      <c r="Z55" s="9" t="s">
        <v>570</v>
      </c>
      <c r="AA55" s="9" t="s">
        <v>606</v>
      </c>
      <c r="AB55" s="9" t="s">
        <v>570</v>
      </c>
      <c r="AC55" s="9">
        <v>5</v>
      </c>
      <c r="AD55" s="9">
        <v>5</v>
      </c>
      <c r="AE55" s="6" t="s">
        <v>570</v>
      </c>
      <c r="AF55" s="6" t="s">
        <v>570</v>
      </c>
      <c r="AG55" s="6" t="s">
        <v>570</v>
      </c>
      <c r="AH55" s="6" t="s">
        <v>570</v>
      </c>
      <c r="AI55" s="9" t="s">
        <v>570</v>
      </c>
      <c r="AJ55" s="9" t="s">
        <v>570</v>
      </c>
      <c r="AK55" s="9" t="s">
        <v>570</v>
      </c>
      <c r="AL55" s="9" t="s">
        <v>570</v>
      </c>
      <c r="AM55" s="9" t="s">
        <v>570</v>
      </c>
      <c r="AN55" s="9" t="s">
        <v>570</v>
      </c>
      <c r="AO55" s="9" t="s">
        <v>570</v>
      </c>
      <c r="AP55" s="9" t="s">
        <v>570</v>
      </c>
      <c r="AQ55" s="9" t="s">
        <v>570</v>
      </c>
      <c r="AR55" s="9" t="s">
        <v>570</v>
      </c>
      <c r="AS55" s="15" t="s">
        <v>518</v>
      </c>
      <c r="AT55" s="9">
        <v>104</v>
      </c>
      <c r="AU55" s="9">
        <v>30</v>
      </c>
      <c r="AV55" s="8">
        <v>67.082039324993701</v>
      </c>
      <c r="AW55" s="9">
        <v>200</v>
      </c>
      <c r="AX55" s="9">
        <v>53.8</v>
      </c>
      <c r="AY55" s="6">
        <v>120.30045718948868</v>
      </c>
      <c r="AZ55" s="9">
        <v>3.9E-2</v>
      </c>
      <c r="BA55" s="9">
        <v>1.4</v>
      </c>
      <c r="BB55" s="65"/>
      <c r="BC55" s="65"/>
      <c r="BD55" s="65"/>
      <c r="BE55" s="65"/>
      <c r="BF55" s="65"/>
      <c r="BG55" s="65"/>
      <c r="BH55" s="65"/>
      <c r="BI55" s="65"/>
      <c r="BJ55" s="65"/>
    </row>
    <row r="56" spans="1:62" ht="13.2">
      <c r="A56" s="6" t="s">
        <v>603</v>
      </c>
      <c r="B56" s="6" t="s">
        <v>604</v>
      </c>
      <c r="C56" s="6" t="s">
        <v>278</v>
      </c>
      <c r="D56" s="6" t="s">
        <v>768</v>
      </c>
      <c r="E56" s="6" t="s">
        <v>769</v>
      </c>
      <c r="F56" s="6" t="s">
        <v>570</v>
      </c>
      <c r="G56" s="6" t="s">
        <v>570</v>
      </c>
      <c r="H56" s="6" t="s">
        <v>570</v>
      </c>
      <c r="I56" s="6" t="s">
        <v>570</v>
      </c>
      <c r="J56" s="6" t="s">
        <v>570</v>
      </c>
      <c r="K56" s="6" t="s">
        <v>570</v>
      </c>
      <c r="L56" s="6" t="s">
        <v>570</v>
      </c>
      <c r="M56" s="6" t="s">
        <v>570</v>
      </c>
      <c r="N56" s="6" t="s">
        <v>570</v>
      </c>
      <c r="O56" s="9">
        <v>2006</v>
      </c>
      <c r="P56" s="6" t="s">
        <v>570</v>
      </c>
      <c r="Q56" s="6" t="s">
        <v>570</v>
      </c>
      <c r="R56" s="6" t="s">
        <v>55</v>
      </c>
      <c r="S56" s="6" t="s">
        <v>570</v>
      </c>
      <c r="T56" s="6" t="s">
        <v>570</v>
      </c>
      <c r="U56" s="9" t="s">
        <v>605</v>
      </c>
      <c r="V56" s="9" t="s">
        <v>736</v>
      </c>
      <c r="W56" s="6" t="s">
        <v>609</v>
      </c>
      <c r="X56" s="6" t="s">
        <v>131</v>
      </c>
      <c r="Y56" s="9" t="s">
        <v>1009</v>
      </c>
      <c r="Z56" s="9" t="s">
        <v>570</v>
      </c>
      <c r="AA56" s="9" t="s">
        <v>606</v>
      </c>
      <c r="AB56" s="9" t="s">
        <v>570</v>
      </c>
      <c r="AC56" s="9">
        <v>5</v>
      </c>
      <c r="AD56" s="9">
        <v>5</v>
      </c>
      <c r="AE56" s="6" t="s">
        <v>570</v>
      </c>
      <c r="AF56" s="6" t="s">
        <v>570</v>
      </c>
      <c r="AG56" s="6" t="s">
        <v>570</v>
      </c>
      <c r="AH56" s="6" t="s">
        <v>570</v>
      </c>
      <c r="AI56" s="9" t="s">
        <v>570</v>
      </c>
      <c r="AJ56" s="9" t="s">
        <v>570</v>
      </c>
      <c r="AK56" s="9" t="s">
        <v>570</v>
      </c>
      <c r="AL56" s="9" t="s">
        <v>570</v>
      </c>
      <c r="AM56" s="9" t="s">
        <v>570</v>
      </c>
      <c r="AN56" s="9" t="s">
        <v>570</v>
      </c>
      <c r="AO56" s="9" t="s">
        <v>570</v>
      </c>
      <c r="AP56" s="9" t="s">
        <v>570</v>
      </c>
      <c r="AQ56" s="9" t="s">
        <v>570</v>
      </c>
      <c r="AR56" s="9" t="s">
        <v>570</v>
      </c>
      <c r="AS56" s="15" t="s">
        <v>534</v>
      </c>
      <c r="AT56" s="9">
        <v>4.9000000000000004</v>
      </c>
      <c r="AU56" s="9">
        <v>1.4</v>
      </c>
      <c r="AV56" s="9">
        <v>10.8</v>
      </c>
      <c r="AW56" s="9">
        <v>8.4</v>
      </c>
      <c r="AX56" s="9">
        <v>0.10199999999999999</v>
      </c>
      <c r="AY56" s="9">
        <v>3.9E-2</v>
      </c>
      <c r="AZ56" s="9">
        <v>4.9000000000000004</v>
      </c>
      <c r="BA56" s="9">
        <v>1.4</v>
      </c>
      <c r="BB56" s="65"/>
      <c r="BC56" s="65"/>
      <c r="BD56" s="65"/>
      <c r="BE56" s="65"/>
      <c r="BF56" s="65"/>
      <c r="BG56" s="65"/>
      <c r="BH56" s="65"/>
      <c r="BI56" s="65"/>
      <c r="BJ56" s="65"/>
    </row>
    <row r="57" spans="1:62">
      <c r="A57" s="4" t="s">
        <v>678</v>
      </c>
      <c r="B57" s="4" t="s">
        <v>508</v>
      </c>
      <c r="C57" s="4" t="s">
        <v>528</v>
      </c>
      <c r="D57" s="4" t="s">
        <v>102</v>
      </c>
      <c r="E57" s="4" t="s">
        <v>102</v>
      </c>
      <c r="F57" s="4" t="s">
        <v>102</v>
      </c>
      <c r="G57" s="4" t="s">
        <v>102</v>
      </c>
      <c r="H57" s="4" t="s">
        <v>102</v>
      </c>
      <c r="I57" s="4" t="s">
        <v>102</v>
      </c>
      <c r="J57" s="4" t="s">
        <v>102</v>
      </c>
      <c r="K57" s="4" t="s">
        <v>102</v>
      </c>
      <c r="L57" s="4" t="s">
        <v>102</v>
      </c>
      <c r="M57" s="4" t="s">
        <v>102</v>
      </c>
      <c r="N57" s="4" t="s">
        <v>102</v>
      </c>
      <c r="O57" s="4">
        <v>2005</v>
      </c>
      <c r="P57" s="4" t="s">
        <v>102</v>
      </c>
      <c r="Q57" s="4" t="s">
        <v>102</v>
      </c>
      <c r="R57" s="4" t="s">
        <v>103</v>
      </c>
      <c r="S57" s="4" t="s">
        <v>102</v>
      </c>
      <c r="T57" s="4" t="s">
        <v>102</v>
      </c>
      <c r="U57" s="4" t="s">
        <v>732</v>
      </c>
      <c r="V57" s="14" t="s">
        <v>324</v>
      </c>
      <c r="W57" s="4" t="s">
        <v>569</v>
      </c>
      <c r="X57" s="4" t="s">
        <v>131</v>
      </c>
      <c r="Y57" s="2" t="s">
        <v>1009</v>
      </c>
      <c r="Z57" s="4" t="s">
        <v>102</v>
      </c>
      <c r="AA57" s="4" t="s">
        <v>733</v>
      </c>
      <c r="AB57" s="4" t="s">
        <v>102</v>
      </c>
      <c r="AC57" s="4">
        <v>21</v>
      </c>
      <c r="AD57" s="4">
        <v>21</v>
      </c>
      <c r="AE57" s="4" t="s">
        <v>102</v>
      </c>
      <c r="AF57" s="4" t="s">
        <v>102</v>
      </c>
      <c r="AG57" s="4" t="s">
        <v>102</v>
      </c>
      <c r="AH57" s="4" t="s">
        <v>102</v>
      </c>
      <c r="AI57" s="4" t="s">
        <v>102</v>
      </c>
      <c r="AJ57" s="4" t="s">
        <v>102</v>
      </c>
      <c r="AK57" s="4" t="s">
        <v>102</v>
      </c>
      <c r="AL57" s="4" t="s">
        <v>102</v>
      </c>
      <c r="AM57" s="4" t="s">
        <v>102</v>
      </c>
      <c r="AN57" s="4" t="s">
        <v>102</v>
      </c>
      <c r="AO57" s="4" t="s">
        <v>102</v>
      </c>
      <c r="AP57" s="4" t="s">
        <v>102</v>
      </c>
      <c r="AQ57" s="4" t="s">
        <v>102</v>
      </c>
      <c r="AR57" s="4" t="s">
        <v>102</v>
      </c>
      <c r="AS57" s="4" t="s">
        <v>529</v>
      </c>
      <c r="AT57" s="4">
        <f>9.4/1000</f>
        <v>9.4000000000000004E-3</v>
      </c>
      <c r="AU57" s="4">
        <f>3/1000</f>
        <v>3.0000000000000001E-3</v>
      </c>
      <c r="AV57" s="28">
        <f>AU57*SQRT(AC57)</f>
        <v>1.3747727084867521E-2</v>
      </c>
      <c r="AW57" s="4">
        <f>19/1000</f>
        <v>1.9E-2</v>
      </c>
      <c r="AX57" s="4">
        <f>8.9/1000</f>
        <v>8.8999999999999999E-3</v>
      </c>
      <c r="AY57" s="30">
        <f>AX57*SQRT(AD57)</f>
        <v>4.0784923685106972E-2</v>
      </c>
      <c r="AZ57" s="9">
        <v>0.24</v>
      </c>
      <c r="BA57" s="9" t="s">
        <v>570</v>
      </c>
    </row>
    <row r="58" spans="1:62">
      <c r="A58" s="6" t="s">
        <v>678</v>
      </c>
      <c r="B58" s="6" t="s">
        <v>508</v>
      </c>
      <c r="C58" s="6" t="s">
        <v>528</v>
      </c>
      <c r="D58" s="6" t="s">
        <v>102</v>
      </c>
      <c r="E58" s="6" t="s">
        <v>102</v>
      </c>
      <c r="F58" s="6" t="s">
        <v>102</v>
      </c>
      <c r="G58" s="6" t="s">
        <v>102</v>
      </c>
      <c r="H58" s="6" t="s">
        <v>102</v>
      </c>
      <c r="I58" s="6" t="s">
        <v>102</v>
      </c>
      <c r="J58" s="6" t="s">
        <v>102</v>
      </c>
      <c r="K58" s="6" t="s">
        <v>102</v>
      </c>
      <c r="L58" s="6" t="s">
        <v>102</v>
      </c>
      <c r="M58" s="6" t="s">
        <v>102</v>
      </c>
      <c r="N58" s="6" t="s">
        <v>102</v>
      </c>
      <c r="O58" s="6">
        <v>2006</v>
      </c>
      <c r="P58" s="6" t="s">
        <v>102</v>
      </c>
      <c r="Q58" s="6" t="s">
        <v>102</v>
      </c>
      <c r="R58" s="6" t="s">
        <v>103</v>
      </c>
      <c r="S58" s="6" t="s">
        <v>102</v>
      </c>
      <c r="T58" s="6" t="s">
        <v>102</v>
      </c>
      <c r="U58" s="6" t="s">
        <v>732</v>
      </c>
      <c r="V58" s="15" t="s">
        <v>324</v>
      </c>
      <c r="W58" s="6" t="s">
        <v>569</v>
      </c>
      <c r="X58" s="6" t="s">
        <v>131</v>
      </c>
      <c r="Y58" s="6" t="s">
        <v>1009</v>
      </c>
      <c r="Z58" s="6" t="s">
        <v>102</v>
      </c>
      <c r="AA58" s="6" t="s">
        <v>733</v>
      </c>
      <c r="AB58" s="6" t="s">
        <v>102</v>
      </c>
      <c r="AC58" s="6">
        <v>21</v>
      </c>
      <c r="AD58" s="6">
        <v>21</v>
      </c>
      <c r="AE58" s="6" t="s">
        <v>102</v>
      </c>
      <c r="AF58" s="6" t="s">
        <v>102</v>
      </c>
      <c r="AG58" s="6" t="s">
        <v>102</v>
      </c>
      <c r="AH58" s="6" t="s">
        <v>102</v>
      </c>
      <c r="AI58" s="6" t="s">
        <v>102</v>
      </c>
      <c r="AJ58" s="6" t="s">
        <v>102</v>
      </c>
      <c r="AK58" s="6" t="s">
        <v>102</v>
      </c>
      <c r="AL58" s="6" t="s">
        <v>102</v>
      </c>
      <c r="AM58" s="6" t="s">
        <v>102</v>
      </c>
      <c r="AN58" s="6" t="s">
        <v>102</v>
      </c>
      <c r="AO58" s="6" t="s">
        <v>102</v>
      </c>
      <c r="AP58" s="6" t="s">
        <v>102</v>
      </c>
      <c r="AQ58" s="6" t="s">
        <v>102</v>
      </c>
      <c r="AR58" s="6" t="s">
        <v>102</v>
      </c>
      <c r="AS58" s="6" t="s">
        <v>529</v>
      </c>
      <c r="AT58" s="6">
        <f>1.6/1000</f>
        <v>1.6000000000000001E-3</v>
      </c>
      <c r="AU58" s="6">
        <f>1.4/1000</f>
        <v>1.4E-3</v>
      </c>
      <c r="AV58" s="29">
        <f>AU58*SQRT(AC58)</f>
        <v>6.4156059729381758E-3</v>
      </c>
      <c r="AW58" s="6">
        <f>3.5/1000</f>
        <v>3.5000000000000001E-3</v>
      </c>
      <c r="AX58" s="6">
        <f>2.3/1000</f>
        <v>2.3E-3</v>
      </c>
      <c r="AY58" s="31">
        <f>AX58*SQRT(AD58)</f>
        <v>1.0539924098398431E-2</v>
      </c>
      <c r="AZ58" s="6">
        <v>0.27</v>
      </c>
      <c r="BA58" s="6" t="s">
        <v>570</v>
      </c>
    </row>
  </sheetData>
  <phoneticPr fontId="1" type="noConversion"/>
  <pageMargins left="0.75" right="0.75" top="1" bottom="1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282"/>
  <sheetViews>
    <sheetView tabSelected="1" topLeftCell="AH1" zoomScaleNormal="100" zoomScalePageLayoutView="125" workbookViewId="0">
      <pane ySplit="1" topLeftCell="A79" activePane="bottomLeft" state="frozen"/>
      <selection activeCell="AC1" sqref="AC1"/>
      <selection pane="bottomLeft" activeCell="AR87" sqref="AR87"/>
    </sheetView>
  </sheetViews>
  <sheetFormatPr defaultColWidth="11.44140625" defaultRowHeight="15" customHeight="1"/>
  <cols>
    <col min="1" max="1" width="11.44140625" style="46"/>
    <col min="2" max="2" width="4.6640625" style="46" bestFit="1" customWidth="1"/>
    <col min="3" max="3" width="10.21875" style="46" customWidth="1"/>
    <col min="4" max="6" width="11.44140625" style="46"/>
    <col min="7" max="7" width="20" style="46" bestFit="1" customWidth="1"/>
    <col min="8" max="8" width="20" style="46" customWidth="1"/>
    <col min="9" max="9" width="25.77734375" style="46" bestFit="1" customWidth="1"/>
    <col min="10" max="10" width="28.33203125" style="46" bestFit="1" customWidth="1"/>
    <col min="11" max="11" width="31.33203125" style="46" customWidth="1"/>
    <col min="12" max="12" width="11.44140625" style="46"/>
    <col min="13" max="13" width="59.33203125" style="46" bestFit="1" customWidth="1"/>
    <col min="14" max="14" width="5.109375" style="46" bestFit="1" customWidth="1"/>
    <col min="15" max="15" width="5.6640625" style="46" bestFit="1" customWidth="1"/>
    <col min="16" max="16" width="4.77734375" style="46" bestFit="1" customWidth="1"/>
    <col min="17" max="17" width="7.33203125" style="46" bestFit="1" customWidth="1"/>
    <col min="18" max="20" width="11.44140625" style="46"/>
    <col min="21" max="21" width="9.33203125" style="46" customWidth="1"/>
    <col min="22" max="22" width="11.44140625" style="46"/>
    <col min="23" max="23" width="17" style="46" customWidth="1"/>
    <col min="24" max="26" width="11.44140625" style="46"/>
    <col min="27" max="27" width="36.77734375" style="46" bestFit="1" customWidth="1"/>
    <col min="28" max="28" width="48.6640625" style="46" customWidth="1"/>
    <col min="29" max="33" width="11.44140625" style="46"/>
    <col min="34" max="34" width="9.33203125" style="46" bestFit="1" customWidth="1"/>
    <col min="35" max="37" width="8.44140625" style="46" customWidth="1"/>
    <col min="38" max="38" width="12" style="46" customWidth="1"/>
    <col min="39" max="39" width="11.44140625" style="46"/>
    <col min="40" max="40" width="9" style="46" customWidth="1"/>
    <col min="41" max="45" width="11.44140625" style="46"/>
    <col min="46" max="51" width="11.44140625" style="110"/>
    <col min="52" max="16384" width="11.44140625" style="46"/>
  </cols>
  <sheetData>
    <row r="1" spans="1:51" s="108" customFormat="1" ht="30.6">
      <c r="A1" s="106" t="s">
        <v>980</v>
      </c>
      <c r="B1" s="107" t="s">
        <v>778</v>
      </c>
      <c r="C1" s="107" t="s">
        <v>779</v>
      </c>
      <c r="D1" s="107" t="s">
        <v>520</v>
      </c>
      <c r="E1" s="107" t="s">
        <v>521</v>
      </c>
      <c r="F1" s="107" t="s">
        <v>486</v>
      </c>
      <c r="G1" s="107" t="s">
        <v>908</v>
      </c>
      <c r="H1" s="107" t="s">
        <v>85</v>
      </c>
      <c r="I1" s="106" t="s">
        <v>990</v>
      </c>
      <c r="J1" s="107" t="s">
        <v>938</v>
      </c>
      <c r="K1" s="106" t="s">
        <v>1030</v>
      </c>
      <c r="L1" s="106" t="s">
        <v>232</v>
      </c>
      <c r="M1" s="106" t="s">
        <v>917</v>
      </c>
      <c r="N1" s="106" t="s">
        <v>828</v>
      </c>
      <c r="O1" s="106" t="s">
        <v>829</v>
      </c>
      <c r="P1" s="106" t="s">
        <v>827</v>
      </c>
      <c r="Q1" s="106" t="s">
        <v>834</v>
      </c>
      <c r="R1" s="107" t="s">
        <v>597</v>
      </c>
      <c r="S1" s="106" t="s">
        <v>420</v>
      </c>
      <c r="T1" s="106" t="s">
        <v>571</v>
      </c>
      <c r="U1" s="106" t="s">
        <v>775</v>
      </c>
      <c r="V1" s="106" t="s">
        <v>506</v>
      </c>
      <c r="W1" s="106" t="s">
        <v>780</v>
      </c>
      <c r="X1" s="106" t="s">
        <v>642</v>
      </c>
      <c r="Y1" s="106" t="s">
        <v>660</v>
      </c>
      <c r="Z1" s="106" t="s">
        <v>380</v>
      </c>
      <c r="AA1" s="107" t="s">
        <v>729</v>
      </c>
      <c r="AB1" s="107" t="s">
        <v>507</v>
      </c>
      <c r="AC1" s="106" t="s">
        <v>96</v>
      </c>
      <c r="AD1" s="106" t="s">
        <v>491</v>
      </c>
      <c r="AE1" s="106" t="s">
        <v>621</v>
      </c>
      <c r="AF1" s="106" t="s">
        <v>57</v>
      </c>
      <c r="AG1" s="106" t="s">
        <v>1018</v>
      </c>
      <c r="AH1" s="106" t="s">
        <v>1019</v>
      </c>
      <c r="AI1" s="106" t="s">
        <v>129</v>
      </c>
      <c r="AJ1" s="106" t="s">
        <v>274</v>
      </c>
      <c r="AK1" s="106" t="s">
        <v>130</v>
      </c>
      <c r="AL1" s="106" t="s">
        <v>58</v>
      </c>
      <c r="AM1" s="106" t="s">
        <v>1020</v>
      </c>
      <c r="AN1" s="106" t="s">
        <v>1021</v>
      </c>
      <c r="AO1" s="106" t="s">
        <v>129</v>
      </c>
      <c r="AP1" s="106" t="s">
        <v>274</v>
      </c>
      <c r="AQ1" s="106" t="s">
        <v>130</v>
      </c>
      <c r="AR1" s="106" t="s">
        <v>1022</v>
      </c>
      <c r="AS1" s="106" t="s">
        <v>1023</v>
      </c>
      <c r="AT1" s="110" t="s">
        <v>1036</v>
      </c>
      <c r="AU1" s="110" t="s">
        <v>665</v>
      </c>
      <c r="AV1" s="110" t="s">
        <v>1037</v>
      </c>
      <c r="AW1" s="110" t="s">
        <v>1038</v>
      </c>
      <c r="AX1" s="110" t="s">
        <v>1039</v>
      </c>
      <c r="AY1" s="110" t="s">
        <v>1040</v>
      </c>
    </row>
    <row r="2" spans="1:51" s="63" customFormat="1" ht="15" hidden="1" customHeight="1">
      <c r="A2" s="73" t="s">
        <v>883</v>
      </c>
      <c r="B2" s="73" t="s">
        <v>884</v>
      </c>
      <c r="C2" s="73" t="s">
        <v>885</v>
      </c>
      <c r="D2" s="73" t="s">
        <v>572</v>
      </c>
      <c r="E2" s="73" t="s">
        <v>573</v>
      </c>
      <c r="F2" s="73">
        <v>2011</v>
      </c>
      <c r="G2" s="73" t="s">
        <v>697</v>
      </c>
      <c r="H2" s="73"/>
      <c r="I2" s="73" t="s">
        <v>950</v>
      </c>
      <c r="J2" s="73" t="s">
        <v>352</v>
      </c>
      <c r="K2" s="74" t="s">
        <v>837</v>
      </c>
      <c r="L2" s="74" t="s">
        <v>890</v>
      </c>
      <c r="M2" s="74" t="s">
        <v>761</v>
      </c>
      <c r="N2" s="74"/>
      <c r="O2" s="74"/>
      <c r="P2" s="74">
        <v>1</v>
      </c>
      <c r="Q2" s="74"/>
      <c r="R2" s="73" t="s">
        <v>728</v>
      </c>
      <c r="S2" s="73">
        <v>36</v>
      </c>
      <c r="T2" s="73">
        <v>36</v>
      </c>
      <c r="U2" s="75" t="s">
        <v>892</v>
      </c>
      <c r="V2" s="73" t="s">
        <v>950</v>
      </c>
      <c r="W2" s="74" t="s">
        <v>703</v>
      </c>
      <c r="X2" s="73" t="s">
        <v>739</v>
      </c>
      <c r="Y2" s="73" t="s">
        <v>950</v>
      </c>
      <c r="Z2" s="73" t="s">
        <v>950</v>
      </c>
      <c r="AA2" s="73" t="s">
        <v>950</v>
      </c>
      <c r="AB2" s="74" t="s">
        <v>138</v>
      </c>
      <c r="AC2" s="73" t="s">
        <v>950</v>
      </c>
      <c r="AD2" s="73" t="s">
        <v>950</v>
      </c>
      <c r="AE2" s="74" t="s">
        <v>622</v>
      </c>
      <c r="AF2" s="76">
        <v>2.3310808170000001</v>
      </c>
      <c r="AG2" s="76">
        <v>0.163665482</v>
      </c>
      <c r="AH2" s="76">
        <f t="shared" ref="AH2:AH11" si="0">AG2*SQRT(S2)</f>
        <v>0.98199289200000006</v>
      </c>
      <c r="AI2" s="76"/>
      <c r="AJ2" s="76"/>
      <c r="AK2" s="76"/>
      <c r="AL2" s="76">
        <v>1.490410531</v>
      </c>
      <c r="AM2" s="76">
        <v>0.15124409199999991</v>
      </c>
      <c r="AN2" s="76">
        <f t="shared" ref="AN2:AN11" si="1">AM2*SQRT(T2)</f>
        <v>0.90746455199999954</v>
      </c>
      <c r="AO2" s="73" t="s">
        <v>950</v>
      </c>
      <c r="AP2" s="73" t="s">
        <v>950</v>
      </c>
      <c r="AQ2" s="73" t="s">
        <v>950</v>
      </c>
      <c r="AR2" s="73" t="s">
        <v>950</v>
      </c>
      <c r="AS2" s="73" t="s">
        <v>373</v>
      </c>
      <c r="AX2" s="109"/>
      <c r="AY2" s="109"/>
    </row>
    <row r="3" spans="1:51" ht="15" hidden="1" customHeight="1">
      <c r="A3" s="73" t="s">
        <v>883</v>
      </c>
      <c r="B3" s="73" t="s">
        <v>884</v>
      </c>
      <c r="C3" s="73" t="s">
        <v>885</v>
      </c>
      <c r="D3" s="73" t="s">
        <v>572</v>
      </c>
      <c r="E3" s="73" t="s">
        <v>573</v>
      </c>
      <c r="F3" s="73">
        <v>2011</v>
      </c>
      <c r="G3" s="73" t="s">
        <v>697</v>
      </c>
      <c r="H3" s="73"/>
      <c r="I3" s="73" t="s">
        <v>950</v>
      </c>
      <c r="J3" s="73" t="s">
        <v>352</v>
      </c>
      <c r="K3" s="74" t="s">
        <v>916</v>
      </c>
      <c r="L3" s="74" t="s">
        <v>891</v>
      </c>
      <c r="M3" s="74" t="s">
        <v>889</v>
      </c>
      <c r="N3" s="74"/>
      <c r="O3" s="74"/>
      <c r="P3" s="74">
        <v>1</v>
      </c>
      <c r="Q3" s="74"/>
      <c r="R3" s="73" t="s">
        <v>728</v>
      </c>
      <c r="S3" s="73">
        <v>36</v>
      </c>
      <c r="T3" s="73">
        <v>36</v>
      </c>
      <c r="U3" s="75" t="s">
        <v>892</v>
      </c>
      <c r="V3" s="73" t="s">
        <v>950</v>
      </c>
      <c r="W3" s="74" t="s">
        <v>703</v>
      </c>
      <c r="X3" s="73" t="s">
        <v>739</v>
      </c>
      <c r="Y3" s="73" t="s">
        <v>950</v>
      </c>
      <c r="Z3" s="73" t="s">
        <v>950</v>
      </c>
      <c r="AA3" s="73" t="s">
        <v>950</v>
      </c>
      <c r="AB3" s="74" t="s">
        <v>497</v>
      </c>
      <c r="AC3" s="73" t="s">
        <v>950</v>
      </c>
      <c r="AD3" s="73" t="s">
        <v>950</v>
      </c>
      <c r="AE3" s="74" t="s">
        <v>622</v>
      </c>
      <c r="AF3" s="76">
        <v>2.6451310499999998</v>
      </c>
      <c r="AG3" s="76">
        <v>0.16382172500000025</v>
      </c>
      <c r="AH3" s="76">
        <f t="shared" si="0"/>
        <v>0.98293035000000151</v>
      </c>
      <c r="AI3" s="76"/>
      <c r="AJ3" s="76"/>
      <c r="AK3" s="76"/>
      <c r="AL3" s="76">
        <v>2.4920120310000002</v>
      </c>
      <c r="AM3" s="76">
        <v>0.13874457999999959</v>
      </c>
      <c r="AN3" s="76">
        <f t="shared" si="1"/>
        <v>0.83246747999999759</v>
      </c>
      <c r="AO3" s="73" t="s">
        <v>950</v>
      </c>
      <c r="AP3" s="73" t="s">
        <v>950</v>
      </c>
      <c r="AQ3" s="73" t="s">
        <v>950</v>
      </c>
      <c r="AR3" s="73" t="s">
        <v>950</v>
      </c>
      <c r="AS3" s="73" t="s">
        <v>658</v>
      </c>
      <c r="AT3" s="46"/>
      <c r="AU3" s="46"/>
      <c r="AV3" s="46"/>
      <c r="AW3" s="46"/>
      <c r="AX3" s="46"/>
      <c r="AY3" s="46"/>
    </row>
    <row r="4" spans="1:51" ht="15" hidden="1" customHeight="1">
      <c r="A4" s="73" t="s">
        <v>883</v>
      </c>
      <c r="B4" s="73" t="s">
        <v>884</v>
      </c>
      <c r="C4" s="73" t="s">
        <v>885</v>
      </c>
      <c r="D4" s="73" t="s">
        <v>572</v>
      </c>
      <c r="E4" s="73" t="s">
        <v>573</v>
      </c>
      <c r="F4" s="73">
        <v>2011</v>
      </c>
      <c r="G4" s="73" t="s">
        <v>697</v>
      </c>
      <c r="H4" s="73"/>
      <c r="I4" s="73" t="s">
        <v>950</v>
      </c>
      <c r="J4" s="73" t="s">
        <v>352</v>
      </c>
      <c r="K4" s="74" t="s">
        <v>916</v>
      </c>
      <c r="L4" s="74" t="s">
        <v>891</v>
      </c>
      <c r="M4" s="74" t="s">
        <v>889</v>
      </c>
      <c r="N4" s="74"/>
      <c r="O4" s="74"/>
      <c r="P4" s="74">
        <v>1</v>
      </c>
      <c r="Q4" s="74"/>
      <c r="R4" s="73" t="s">
        <v>728</v>
      </c>
      <c r="S4" s="73">
        <v>36</v>
      </c>
      <c r="T4" s="73">
        <v>36</v>
      </c>
      <c r="U4" s="75" t="s">
        <v>892</v>
      </c>
      <c r="V4" s="73" t="s">
        <v>950</v>
      </c>
      <c r="W4" s="74" t="s">
        <v>509</v>
      </c>
      <c r="X4" s="73" t="s">
        <v>739</v>
      </c>
      <c r="Y4" s="73" t="s">
        <v>950</v>
      </c>
      <c r="Z4" s="73" t="s">
        <v>950</v>
      </c>
      <c r="AA4" s="73" t="s">
        <v>950</v>
      </c>
      <c r="AB4" s="74" t="s">
        <v>138</v>
      </c>
      <c r="AC4" s="73" t="s">
        <v>950</v>
      </c>
      <c r="AD4" s="73" t="s">
        <v>950</v>
      </c>
      <c r="AE4" s="74" t="s">
        <v>622</v>
      </c>
      <c r="AF4" s="76">
        <v>5.0592554980000006</v>
      </c>
      <c r="AG4" s="76">
        <v>0.17639935900000001</v>
      </c>
      <c r="AH4" s="76">
        <f t="shared" si="0"/>
        <v>1.058396154</v>
      </c>
      <c r="AI4" s="76"/>
      <c r="AJ4" s="76"/>
      <c r="AK4" s="76"/>
      <c r="AL4" s="76">
        <v>3.7936018119999999</v>
      </c>
      <c r="AM4" s="76">
        <v>0.23874067500000001</v>
      </c>
      <c r="AN4" s="76">
        <f t="shared" si="1"/>
        <v>1.43244405</v>
      </c>
      <c r="AO4" s="73" t="s">
        <v>950</v>
      </c>
      <c r="AP4" s="73" t="s">
        <v>950</v>
      </c>
      <c r="AQ4" s="73" t="s">
        <v>950</v>
      </c>
      <c r="AR4" s="73" t="s">
        <v>950</v>
      </c>
      <c r="AS4" s="73" t="s">
        <v>373</v>
      </c>
      <c r="AT4" s="46"/>
      <c r="AU4" s="46"/>
      <c r="AV4" s="46"/>
      <c r="AW4" s="46"/>
      <c r="AX4" s="46"/>
      <c r="AY4" s="46"/>
    </row>
    <row r="5" spans="1:51" ht="15" hidden="1" customHeight="1">
      <c r="A5" s="73" t="s">
        <v>883</v>
      </c>
      <c r="B5" s="73" t="s">
        <v>884</v>
      </c>
      <c r="C5" s="73" t="s">
        <v>885</v>
      </c>
      <c r="D5" s="73" t="s">
        <v>572</v>
      </c>
      <c r="E5" s="73" t="s">
        <v>573</v>
      </c>
      <c r="F5" s="73">
        <v>2011</v>
      </c>
      <c r="G5" s="73" t="s">
        <v>697</v>
      </c>
      <c r="H5" s="73"/>
      <c r="I5" s="73" t="s">
        <v>950</v>
      </c>
      <c r="J5" s="73" t="s">
        <v>352</v>
      </c>
      <c r="K5" s="74" t="s">
        <v>916</v>
      </c>
      <c r="L5" s="74" t="s">
        <v>891</v>
      </c>
      <c r="M5" s="74" t="s">
        <v>889</v>
      </c>
      <c r="N5" s="74"/>
      <c r="O5" s="74"/>
      <c r="P5" s="74">
        <v>1</v>
      </c>
      <c r="Q5" s="74"/>
      <c r="R5" s="73" t="s">
        <v>728</v>
      </c>
      <c r="S5" s="73">
        <v>36</v>
      </c>
      <c r="T5" s="73">
        <v>36</v>
      </c>
      <c r="U5" s="75" t="s">
        <v>892</v>
      </c>
      <c r="V5" s="73" t="s">
        <v>950</v>
      </c>
      <c r="W5" s="74" t="s">
        <v>509</v>
      </c>
      <c r="X5" s="73" t="s">
        <v>739</v>
      </c>
      <c r="Y5" s="73" t="s">
        <v>950</v>
      </c>
      <c r="Z5" s="73" t="s">
        <v>950</v>
      </c>
      <c r="AA5" s="73" t="s">
        <v>950</v>
      </c>
      <c r="AB5" s="74" t="s">
        <v>497</v>
      </c>
      <c r="AC5" s="73" t="s">
        <v>950</v>
      </c>
      <c r="AD5" s="73" t="s">
        <v>950</v>
      </c>
      <c r="AE5" s="74" t="s">
        <v>622</v>
      </c>
      <c r="AF5" s="76">
        <v>6.0485137299999998</v>
      </c>
      <c r="AG5" s="76">
        <v>0.11374555700000019</v>
      </c>
      <c r="AH5" s="76">
        <f t="shared" si="0"/>
        <v>0.68247334200000109</v>
      </c>
      <c r="AI5" s="76"/>
      <c r="AJ5" s="76"/>
      <c r="AK5" s="76"/>
      <c r="AL5" s="76">
        <v>5.3202609270000005</v>
      </c>
      <c r="AM5" s="76">
        <v>0.16382172600000014</v>
      </c>
      <c r="AN5" s="76">
        <f t="shared" si="1"/>
        <v>0.98293035600000089</v>
      </c>
      <c r="AO5" s="73" t="s">
        <v>950</v>
      </c>
      <c r="AP5" s="73" t="s">
        <v>950</v>
      </c>
      <c r="AQ5" s="73" t="s">
        <v>950</v>
      </c>
      <c r="AR5" s="73" t="s">
        <v>950</v>
      </c>
      <c r="AS5" s="73" t="s">
        <v>373</v>
      </c>
      <c r="AT5" s="46"/>
      <c r="AU5" s="46"/>
      <c r="AV5" s="46"/>
      <c r="AW5" s="46"/>
      <c r="AX5" s="46"/>
      <c r="AY5" s="46"/>
    </row>
    <row r="6" spans="1:51" ht="15" hidden="1" customHeight="1">
      <c r="A6" s="73" t="s">
        <v>883</v>
      </c>
      <c r="B6" s="73" t="s">
        <v>884</v>
      </c>
      <c r="C6" s="73" t="s">
        <v>885</v>
      </c>
      <c r="D6" s="73" t="s">
        <v>572</v>
      </c>
      <c r="E6" s="73" t="s">
        <v>573</v>
      </c>
      <c r="F6" s="73">
        <v>2011</v>
      </c>
      <c r="G6" s="73" t="s">
        <v>697</v>
      </c>
      <c r="H6" s="73"/>
      <c r="I6" s="73" t="s">
        <v>950</v>
      </c>
      <c r="J6" s="73" t="s">
        <v>680</v>
      </c>
      <c r="K6" s="74" t="s">
        <v>792</v>
      </c>
      <c r="L6" s="74" t="s">
        <v>527</v>
      </c>
      <c r="M6" s="74" t="s">
        <v>688</v>
      </c>
      <c r="N6" s="74"/>
      <c r="O6" s="74"/>
      <c r="P6" s="74"/>
      <c r="Q6" s="74">
        <v>1</v>
      </c>
      <c r="R6" s="73" t="s">
        <v>728</v>
      </c>
      <c r="S6" s="73">
        <v>36</v>
      </c>
      <c r="T6" s="73">
        <v>36</v>
      </c>
      <c r="U6" s="75" t="s">
        <v>892</v>
      </c>
      <c r="V6" s="73" t="s">
        <v>950</v>
      </c>
      <c r="W6" s="74" t="s">
        <v>703</v>
      </c>
      <c r="X6" s="73" t="s">
        <v>739</v>
      </c>
      <c r="Y6" s="73" t="s">
        <v>950</v>
      </c>
      <c r="Z6" s="73" t="s">
        <v>950</v>
      </c>
      <c r="AA6" s="73" t="s">
        <v>950</v>
      </c>
      <c r="AB6" s="74" t="s">
        <v>138</v>
      </c>
      <c r="AC6" s="73" t="s">
        <v>950</v>
      </c>
      <c r="AD6" s="73" t="s">
        <v>950</v>
      </c>
      <c r="AE6" s="74" t="s">
        <v>504</v>
      </c>
      <c r="AF6" s="76">
        <v>2.634037733</v>
      </c>
      <c r="AG6" s="76">
        <v>0.16374360399999977</v>
      </c>
      <c r="AH6" s="76">
        <f t="shared" si="0"/>
        <v>0.98246162399999859</v>
      </c>
      <c r="AI6" s="76"/>
      <c r="AJ6" s="76"/>
      <c r="AK6" s="76"/>
      <c r="AL6" s="76">
        <v>1.490410531</v>
      </c>
      <c r="AM6" s="76">
        <v>0.15124409199999991</v>
      </c>
      <c r="AN6" s="76">
        <f t="shared" si="1"/>
        <v>0.90746455199999954</v>
      </c>
      <c r="AO6" s="73" t="s">
        <v>950</v>
      </c>
      <c r="AP6" s="73" t="s">
        <v>950</v>
      </c>
      <c r="AQ6" s="73" t="s">
        <v>950</v>
      </c>
      <c r="AR6" s="73" t="s">
        <v>950</v>
      </c>
      <c r="AS6" s="73" t="s">
        <v>373</v>
      </c>
      <c r="AT6" s="46"/>
      <c r="AU6" s="46"/>
      <c r="AV6" s="46"/>
      <c r="AW6" s="46"/>
      <c r="AX6" s="46"/>
      <c r="AY6" s="46"/>
    </row>
    <row r="7" spans="1:51" ht="15" hidden="1" customHeight="1">
      <c r="A7" s="73" t="s">
        <v>883</v>
      </c>
      <c r="B7" s="73" t="s">
        <v>884</v>
      </c>
      <c r="C7" s="73" t="s">
        <v>885</v>
      </c>
      <c r="D7" s="73" t="s">
        <v>572</v>
      </c>
      <c r="E7" s="73" t="s">
        <v>573</v>
      </c>
      <c r="F7" s="73">
        <v>2011</v>
      </c>
      <c r="G7" s="73" t="s">
        <v>697</v>
      </c>
      <c r="H7" s="73"/>
      <c r="I7" s="73" t="s">
        <v>950</v>
      </c>
      <c r="J7" s="73" t="s">
        <v>680</v>
      </c>
      <c r="K7" s="74" t="s">
        <v>792</v>
      </c>
      <c r="L7" s="74" t="s">
        <v>527</v>
      </c>
      <c r="M7" s="74" t="s">
        <v>688</v>
      </c>
      <c r="N7" s="74"/>
      <c r="O7" s="74"/>
      <c r="P7" s="74"/>
      <c r="Q7" s="74">
        <v>1</v>
      </c>
      <c r="R7" s="73" t="s">
        <v>728</v>
      </c>
      <c r="S7" s="73">
        <v>36</v>
      </c>
      <c r="T7" s="73">
        <v>36</v>
      </c>
      <c r="U7" s="75" t="s">
        <v>892</v>
      </c>
      <c r="V7" s="73" t="s">
        <v>950</v>
      </c>
      <c r="W7" s="74" t="s">
        <v>703</v>
      </c>
      <c r="X7" s="73" t="s">
        <v>739</v>
      </c>
      <c r="Y7" s="73" t="s">
        <v>950</v>
      </c>
      <c r="Z7" s="73" t="s">
        <v>950</v>
      </c>
      <c r="AA7" s="73" t="s">
        <v>950</v>
      </c>
      <c r="AB7" s="74" t="s">
        <v>497</v>
      </c>
      <c r="AC7" s="73" t="s">
        <v>950</v>
      </c>
      <c r="AD7" s="73" t="s">
        <v>950</v>
      </c>
      <c r="AE7" s="74" t="s">
        <v>504</v>
      </c>
      <c r="AF7" s="76">
        <v>3.0108980120000002</v>
      </c>
      <c r="AG7" s="76">
        <v>0.15124409199999991</v>
      </c>
      <c r="AH7" s="76">
        <f t="shared" si="0"/>
        <v>0.90746455199999954</v>
      </c>
      <c r="AI7" s="76"/>
      <c r="AJ7" s="76"/>
      <c r="AK7" s="76"/>
      <c r="AL7" s="76">
        <v>2.4920120310000002</v>
      </c>
      <c r="AM7" s="76">
        <v>0.13874457999999959</v>
      </c>
      <c r="AN7" s="76">
        <f t="shared" si="1"/>
        <v>0.83246747999999759</v>
      </c>
      <c r="AO7" s="73" t="s">
        <v>950</v>
      </c>
      <c r="AP7" s="73" t="s">
        <v>950</v>
      </c>
      <c r="AQ7" s="73" t="s">
        <v>950</v>
      </c>
      <c r="AR7" s="73" t="s">
        <v>950</v>
      </c>
      <c r="AS7" s="73" t="s">
        <v>658</v>
      </c>
      <c r="AT7" s="46"/>
      <c r="AU7" s="46"/>
      <c r="AV7" s="46"/>
      <c r="AW7" s="46"/>
      <c r="AX7" s="46"/>
      <c r="AY7" s="46"/>
    </row>
    <row r="8" spans="1:51" ht="15" hidden="1" customHeight="1">
      <c r="A8" s="73" t="s">
        <v>883</v>
      </c>
      <c r="B8" s="73" t="s">
        <v>884</v>
      </c>
      <c r="C8" s="73" t="s">
        <v>885</v>
      </c>
      <c r="D8" s="73" t="s">
        <v>572</v>
      </c>
      <c r="E8" s="73" t="s">
        <v>573</v>
      </c>
      <c r="F8" s="73">
        <v>2011</v>
      </c>
      <c r="G8" s="73" t="s">
        <v>697</v>
      </c>
      <c r="H8" s="73"/>
      <c r="I8" s="73" t="s">
        <v>950</v>
      </c>
      <c r="J8" s="73" t="s">
        <v>680</v>
      </c>
      <c r="K8" s="74" t="s">
        <v>830</v>
      </c>
      <c r="L8" s="74" t="s">
        <v>527</v>
      </c>
      <c r="M8" s="74" t="s">
        <v>688</v>
      </c>
      <c r="N8" s="74"/>
      <c r="O8" s="74"/>
      <c r="P8" s="74"/>
      <c r="Q8" s="74">
        <v>1</v>
      </c>
      <c r="R8" s="73" t="s">
        <v>728</v>
      </c>
      <c r="S8" s="73">
        <v>36</v>
      </c>
      <c r="T8" s="73">
        <v>36</v>
      </c>
      <c r="U8" s="75" t="s">
        <v>892</v>
      </c>
      <c r="V8" s="73" t="s">
        <v>950</v>
      </c>
      <c r="W8" s="74" t="s">
        <v>509</v>
      </c>
      <c r="X8" s="73" t="s">
        <v>739</v>
      </c>
      <c r="Y8" s="73" t="s">
        <v>950</v>
      </c>
      <c r="Z8" s="73" t="s">
        <v>950</v>
      </c>
      <c r="AA8" s="73" t="s">
        <v>950</v>
      </c>
      <c r="AB8" s="74" t="s">
        <v>138</v>
      </c>
      <c r="AC8" s="73" t="s">
        <v>950</v>
      </c>
      <c r="AD8" s="73" t="s">
        <v>950</v>
      </c>
      <c r="AE8" s="74" t="s">
        <v>504</v>
      </c>
      <c r="AF8" s="76">
        <v>5.650013671</v>
      </c>
      <c r="AG8" s="76">
        <v>0.27616108800000072</v>
      </c>
      <c r="AH8" s="76">
        <f t="shared" si="0"/>
        <v>1.6569665280000043</v>
      </c>
      <c r="AI8" s="76"/>
      <c r="AJ8" s="76"/>
      <c r="AK8" s="76"/>
      <c r="AL8" s="76">
        <v>3.7936018119999999</v>
      </c>
      <c r="AM8" s="76">
        <v>0.23874067500000001</v>
      </c>
      <c r="AN8" s="76">
        <f t="shared" si="1"/>
        <v>1.43244405</v>
      </c>
      <c r="AO8" s="73" t="s">
        <v>950</v>
      </c>
      <c r="AP8" s="73" t="s">
        <v>950</v>
      </c>
      <c r="AQ8" s="73" t="s">
        <v>950</v>
      </c>
      <c r="AR8" s="73" t="s">
        <v>950</v>
      </c>
      <c r="AS8" s="73" t="s">
        <v>373</v>
      </c>
      <c r="AT8" s="46"/>
      <c r="AU8" s="46"/>
      <c r="AV8" s="46"/>
      <c r="AW8" s="46"/>
      <c r="AX8" s="46"/>
      <c r="AY8" s="46"/>
    </row>
    <row r="9" spans="1:51" ht="15" hidden="1" customHeight="1">
      <c r="A9" s="73" t="s">
        <v>883</v>
      </c>
      <c r="B9" s="73" t="s">
        <v>884</v>
      </c>
      <c r="C9" s="73" t="s">
        <v>885</v>
      </c>
      <c r="D9" s="73" t="s">
        <v>572</v>
      </c>
      <c r="E9" s="73" t="s">
        <v>573</v>
      </c>
      <c r="F9" s="73">
        <v>2011</v>
      </c>
      <c r="G9" s="73" t="s">
        <v>697</v>
      </c>
      <c r="H9" s="73"/>
      <c r="I9" s="73" t="s">
        <v>950</v>
      </c>
      <c r="J9" s="73" t="s">
        <v>680</v>
      </c>
      <c r="K9" s="74" t="s">
        <v>830</v>
      </c>
      <c r="L9" s="74" t="s">
        <v>527</v>
      </c>
      <c r="M9" s="74" t="s">
        <v>688</v>
      </c>
      <c r="N9" s="74"/>
      <c r="O9" s="74"/>
      <c r="P9" s="74"/>
      <c r="Q9" s="74">
        <v>1</v>
      </c>
      <c r="R9" s="73" t="s">
        <v>728</v>
      </c>
      <c r="S9" s="73">
        <v>30</v>
      </c>
      <c r="T9" s="73">
        <v>30</v>
      </c>
      <c r="U9" s="75" t="s">
        <v>892</v>
      </c>
      <c r="V9" s="73" t="s">
        <v>950</v>
      </c>
      <c r="W9" s="74" t="s">
        <v>509</v>
      </c>
      <c r="X9" s="73" t="s">
        <v>739</v>
      </c>
      <c r="Y9" s="73" t="s">
        <v>950</v>
      </c>
      <c r="Z9" s="73" t="s">
        <v>950</v>
      </c>
      <c r="AA9" s="73" t="s">
        <v>950</v>
      </c>
      <c r="AB9" s="74" t="s">
        <v>497</v>
      </c>
      <c r="AC9" s="73" t="s">
        <v>950</v>
      </c>
      <c r="AD9" s="73" t="s">
        <v>950</v>
      </c>
      <c r="AE9" s="74" t="s">
        <v>504</v>
      </c>
      <c r="AF9" s="76">
        <v>5.6766532559999998</v>
      </c>
      <c r="AG9" s="76">
        <v>0.13874458000000051</v>
      </c>
      <c r="AH9" s="76">
        <f t="shared" si="0"/>
        <v>0.75993536197580402</v>
      </c>
      <c r="AI9" s="76"/>
      <c r="AJ9" s="76"/>
      <c r="AK9" s="76"/>
      <c r="AL9" s="76">
        <v>5.3202609270000005</v>
      </c>
      <c r="AM9" s="76">
        <v>0.16382172600000014</v>
      </c>
      <c r="AN9" s="76">
        <f t="shared" si="1"/>
        <v>0.89728854739630648</v>
      </c>
      <c r="AO9" s="73" t="s">
        <v>950</v>
      </c>
      <c r="AP9" s="73" t="s">
        <v>950</v>
      </c>
      <c r="AQ9" s="73" t="s">
        <v>950</v>
      </c>
      <c r="AR9" s="73" t="s">
        <v>950</v>
      </c>
      <c r="AS9" s="73" t="s">
        <v>658</v>
      </c>
      <c r="AT9" s="46"/>
      <c r="AU9" s="46"/>
      <c r="AV9" s="46"/>
      <c r="AW9" s="46"/>
      <c r="AX9" s="46"/>
      <c r="AY9" s="46"/>
    </row>
    <row r="10" spans="1:51" ht="15" hidden="1" customHeight="1">
      <c r="A10" s="73" t="s">
        <v>883</v>
      </c>
      <c r="B10" s="73" t="s">
        <v>884</v>
      </c>
      <c r="C10" s="73" t="s">
        <v>885</v>
      </c>
      <c r="D10" s="73" t="s">
        <v>572</v>
      </c>
      <c r="E10" s="73" t="s">
        <v>573</v>
      </c>
      <c r="F10" s="73">
        <v>2012</v>
      </c>
      <c r="G10" s="73" t="s">
        <v>697</v>
      </c>
      <c r="H10" s="73"/>
      <c r="I10" s="73" t="s">
        <v>950</v>
      </c>
      <c r="J10" s="73" t="s">
        <v>352</v>
      </c>
      <c r="K10" s="74" t="s">
        <v>831</v>
      </c>
      <c r="L10" s="74" t="s">
        <v>231</v>
      </c>
      <c r="M10" s="74" t="s">
        <v>889</v>
      </c>
      <c r="N10" s="74"/>
      <c r="O10" s="74"/>
      <c r="P10" s="74">
        <v>1</v>
      </c>
      <c r="Q10" s="74"/>
      <c r="R10" s="73" t="s">
        <v>728</v>
      </c>
      <c r="S10" s="73">
        <v>30</v>
      </c>
      <c r="T10" s="73">
        <v>30</v>
      </c>
      <c r="U10" s="75" t="s">
        <v>892</v>
      </c>
      <c r="V10" s="73" t="s">
        <v>950</v>
      </c>
      <c r="W10" s="74" t="s">
        <v>509</v>
      </c>
      <c r="X10" s="73" t="s">
        <v>739</v>
      </c>
      <c r="Y10" s="73" t="s">
        <v>950</v>
      </c>
      <c r="Z10" s="73" t="s">
        <v>950</v>
      </c>
      <c r="AA10" s="73" t="s">
        <v>950</v>
      </c>
      <c r="AB10" s="74" t="s">
        <v>138</v>
      </c>
      <c r="AC10" s="73" t="s">
        <v>950</v>
      </c>
      <c r="AD10" s="73" t="s">
        <v>950</v>
      </c>
      <c r="AE10" s="74" t="s">
        <v>880</v>
      </c>
      <c r="AF10" s="76">
        <v>1.6003785318372299</v>
      </c>
      <c r="AG10" s="76"/>
      <c r="AH10" s="76">
        <f t="shared" si="0"/>
        <v>0</v>
      </c>
      <c r="AI10" s="76"/>
      <c r="AJ10" s="76"/>
      <c r="AK10" s="76"/>
      <c r="AL10" s="76">
        <v>1.3832364472083201</v>
      </c>
      <c r="AM10" s="77"/>
      <c r="AN10" s="76">
        <f t="shared" si="1"/>
        <v>0</v>
      </c>
      <c r="AO10" s="73" t="s">
        <v>950</v>
      </c>
      <c r="AP10" s="73" t="s">
        <v>950</v>
      </c>
      <c r="AQ10" s="73" t="s">
        <v>950</v>
      </c>
      <c r="AR10" s="73" t="s">
        <v>950</v>
      </c>
      <c r="AS10" s="73" t="s">
        <v>585</v>
      </c>
      <c r="AT10" s="46"/>
      <c r="AU10" s="46"/>
      <c r="AV10" s="46"/>
      <c r="AW10" s="46"/>
      <c r="AX10" s="46"/>
      <c r="AY10" s="46"/>
    </row>
    <row r="11" spans="1:51" ht="15" hidden="1" customHeight="1">
      <c r="A11" s="73" t="s">
        <v>883</v>
      </c>
      <c r="B11" s="73" t="s">
        <v>884</v>
      </c>
      <c r="C11" s="73" t="s">
        <v>885</v>
      </c>
      <c r="D11" s="73" t="s">
        <v>572</v>
      </c>
      <c r="E11" s="73" t="s">
        <v>573</v>
      </c>
      <c r="F11" s="73">
        <v>2012</v>
      </c>
      <c r="G11" s="73" t="s">
        <v>697</v>
      </c>
      <c r="H11" s="73"/>
      <c r="I11" s="73" t="s">
        <v>950</v>
      </c>
      <c r="J11" s="73" t="s">
        <v>352</v>
      </c>
      <c r="K11" s="74" t="s">
        <v>831</v>
      </c>
      <c r="L11" s="74" t="s">
        <v>231</v>
      </c>
      <c r="M11" s="74" t="s">
        <v>889</v>
      </c>
      <c r="N11" s="74"/>
      <c r="O11" s="74"/>
      <c r="P11" s="74">
        <v>1</v>
      </c>
      <c r="Q11" s="74"/>
      <c r="R11" s="73" t="s">
        <v>728</v>
      </c>
      <c r="S11" s="73">
        <v>30</v>
      </c>
      <c r="T11" s="73">
        <v>30</v>
      </c>
      <c r="U11" s="75" t="s">
        <v>892</v>
      </c>
      <c r="V11" s="73" t="s">
        <v>950</v>
      </c>
      <c r="W11" s="74" t="s">
        <v>509</v>
      </c>
      <c r="X11" s="73" t="s">
        <v>739</v>
      </c>
      <c r="Y11" s="73" t="s">
        <v>950</v>
      </c>
      <c r="Z11" s="73" t="s">
        <v>950</v>
      </c>
      <c r="AA11" s="73" t="s">
        <v>950</v>
      </c>
      <c r="AB11" s="74" t="s">
        <v>497</v>
      </c>
      <c r="AC11" s="73" t="s">
        <v>950</v>
      </c>
      <c r="AD11" s="73" t="s">
        <v>950</v>
      </c>
      <c r="AE11" s="74" t="s">
        <v>881</v>
      </c>
      <c r="AF11" s="76">
        <v>1.9296201162633499</v>
      </c>
      <c r="AG11" s="76"/>
      <c r="AH11" s="76">
        <f t="shared" si="0"/>
        <v>0</v>
      </c>
      <c r="AI11" s="76"/>
      <c r="AJ11" s="76"/>
      <c r="AK11" s="76"/>
      <c r="AL11" s="76">
        <v>1.47538191158577</v>
      </c>
      <c r="AM11" s="77"/>
      <c r="AN11" s="76">
        <f t="shared" si="1"/>
        <v>0</v>
      </c>
      <c r="AO11" s="73" t="s">
        <v>950</v>
      </c>
      <c r="AP11" s="73" t="s">
        <v>950</v>
      </c>
      <c r="AQ11" s="73" t="s">
        <v>950</v>
      </c>
      <c r="AR11" s="73" t="s">
        <v>950</v>
      </c>
      <c r="AS11" s="73" t="s">
        <v>585</v>
      </c>
      <c r="AT11" s="46"/>
      <c r="AU11" s="46"/>
      <c r="AV11" s="46"/>
      <c r="AW11" s="46"/>
      <c r="AX11" s="46"/>
      <c r="AY11" s="46"/>
    </row>
    <row r="12" spans="1:51" ht="15" hidden="1" customHeight="1">
      <c r="A12" s="73" t="s">
        <v>883</v>
      </c>
      <c r="B12" s="73" t="s">
        <v>884</v>
      </c>
      <c r="C12" s="73" t="s">
        <v>885</v>
      </c>
      <c r="D12" s="73" t="s">
        <v>519</v>
      </c>
      <c r="E12" s="73" t="s">
        <v>573</v>
      </c>
      <c r="F12" s="73">
        <v>2012</v>
      </c>
      <c r="G12" s="73" t="s">
        <v>697</v>
      </c>
      <c r="H12" s="73"/>
      <c r="I12" s="73" t="s">
        <v>950</v>
      </c>
      <c r="J12" s="73" t="s">
        <v>680</v>
      </c>
      <c r="K12" s="74" t="s">
        <v>830</v>
      </c>
      <c r="L12" s="74" t="s">
        <v>527</v>
      </c>
      <c r="M12" s="74" t="s">
        <v>688</v>
      </c>
      <c r="N12" s="74"/>
      <c r="O12" s="74"/>
      <c r="P12" s="74"/>
      <c r="Q12" s="74">
        <v>1</v>
      </c>
      <c r="R12" s="73" t="s">
        <v>728</v>
      </c>
      <c r="S12" s="73">
        <v>30</v>
      </c>
      <c r="T12" s="73">
        <v>30</v>
      </c>
      <c r="U12" s="75" t="s">
        <v>892</v>
      </c>
      <c r="V12" s="73" t="s">
        <v>950</v>
      </c>
      <c r="W12" s="74" t="s">
        <v>509</v>
      </c>
      <c r="X12" s="73" t="s">
        <v>739</v>
      </c>
      <c r="Y12" s="73" t="s">
        <v>950</v>
      </c>
      <c r="Z12" s="73" t="s">
        <v>950</v>
      </c>
      <c r="AA12" s="73" t="s">
        <v>950</v>
      </c>
      <c r="AB12" s="74" t="s">
        <v>138</v>
      </c>
      <c r="AC12" s="73" t="s">
        <v>950</v>
      </c>
      <c r="AD12" s="73" t="s">
        <v>950</v>
      </c>
      <c r="AE12" s="74" t="s">
        <v>882</v>
      </c>
      <c r="AF12" s="76">
        <v>1.76852778153305</v>
      </c>
      <c r="AG12" s="73" t="s">
        <v>950</v>
      </c>
      <c r="AH12" s="76">
        <v>0.21057999999999999</v>
      </c>
      <c r="AI12" s="76"/>
      <c r="AJ12" s="76"/>
      <c r="AK12" s="76"/>
      <c r="AL12" s="76">
        <v>1.3832364472083201</v>
      </c>
      <c r="AM12" s="73" t="s">
        <v>950</v>
      </c>
      <c r="AN12" s="76">
        <v>0.13541666666666666</v>
      </c>
      <c r="AO12" s="73" t="s">
        <v>950</v>
      </c>
      <c r="AP12" s="73" t="s">
        <v>950</v>
      </c>
      <c r="AQ12" s="73" t="s">
        <v>950</v>
      </c>
      <c r="AR12" s="73" t="s">
        <v>950</v>
      </c>
      <c r="AS12" s="73" t="s">
        <v>585</v>
      </c>
      <c r="AT12" s="46"/>
      <c r="AU12" s="46"/>
      <c r="AV12" s="46"/>
      <c r="AW12" s="46"/>
      <c r="AX12" s="46"/>
      <c r="AY12" s="46"/>
    </row>
    <row r="13" spans="1:51" ht="15" hidden="1" customHeight="1">
      <c r="A13" s="73" t="s">
        <v>883</v>
      </c>
      <c r="B13" s="73" t="s">
        <v>884</v>
      </c>
      <c r="C13" s="73" t="s">
        <v>885</v>
      </c>
      <c r="D13" s="73" t="s">
        <v>572</v>
      </c>
      <c r="E13" s="73" t="s">
        <v>573</v>
      </c>
      <c r="F13" s="73">
        <v>2012</v>
      </c>
      <c r="G13" s="73" t="s">
        <v>697</v>
      </c>
      <c r="H13" s="73"/>
      <c r="I13" s="73" t="s">
        <v>950</v>
      </c>
      <c r="J13" s="73" t="s">
        <v>680</v>
      </c>
      <c r="K13" s="74" t="s">
        <v>830</v>
      </c>
      <c r="L13" s="74" t="s">
        <v>527</v>
      </c>
      <c r="M13" s="74" t="s">
        <v>688</v>
      </c>
      <c r="N13" s="74"/>
      <c r="O13" s="74"/>
      <c r="P13" s="74"/>
      <c r="Q13" s="74">
        <v>1</v>
      </c>
      <c r="R13" s="73" t="s">
        <v>728</v>
      </c>
      <c r="S13" s="73">
        <v>30</v>
      </c>
      <c r="T13" s="73">
        <v>30</v>
      </c>
      <c r="U13" s="75" t="s">
        <v>892</v>
      </c>
      <c r="V13" s="73" t="s">
        <v>950</v>
      </c>
      <c r="W13" s="74" t="s">
        <v>509</v>
      </c>
      <c r="X13" s="73" t="s">
        <v>739</v>
      </c>
      <c r="Y13" s="73" t="s">
        <v>950</v>
      </c>
      <c r="Z13" s="73" t="s">
        <v>950</v>
      </c>
      <c r="AA13" s="73" t="s">
        <v>950</v>
      </c>
      <c r="AB13" s="74" t="s">
        <v>497</v>
      </c>
      <c r="AC13" s="73" t="s">
        <v>950</v>
      </c>
      <c r="AD13" s="73" t="s">
        <v>950</v>
      </c>
      <c r="AE13" s="74" t="s">
        <v>882</v>
      </c>
      <c r="AF13" s="76">
        <v>2.0772475327835602</v>
      </c>
      <c r="AG13" s="73" t="s">
        <v>950</v>
      </c>
      <c r="AH13" s="76">
        <v>0.26319999999999999</v>
      </c>
      <c r="AI13" s="76"/>
      <c r="AJ13" s="76"/>
      <c r="AK13" s="76"/>
      <c r="AL13" s="76">
        <v>1.47538191158577</v>
      </c>
      <c r="AM13" s="77"/>
      <c r="AN13" s="76">
        <v>0.23300000000000001</v>
      </c>
      <c r="AO13" s="73" t="s">
        <v>950</v>
      </c>
      <c r="AP13" s="73" t="s">
        <v>950</v>
      </c>
      <c r="AQ13" s="73" t="s">
        <v>950</v>
      </c>
      <c r="AR13" s="73" t="s">
        <v>950</v>
      </c>
      <c r="AS13" s="73" t="s">
        <v>373</v>
      </c>
      <c r="AT13" s="46"/>
      <c r="AU13" s="46"/>
      <c r="AV13" s="46"/>
      <c r="AW13" s="46"/>
      <c r="AX13" s="46"/>
      <c r="AY13" s="46"/>
    </row>
    <row r="14" spans="1:51" ht="15" hidden="1" customHeight="1">
      <c r="A14" s="73" t="s">
        <v>883</v>
      </c>
      <c r="B14" s="73" t="s">
        <v>884</v>
      </c>
      <c r="C14" s="73" t="s">
        <v>885</v>
      </c>
      <c r="D14" s="73" t="s">
        <v>572</v>
      </c>
      <c r="E14" s="73" t="s">
        <v>573</v>
      </c>
      <c r="F14" s="73">
        <v>2011</v>
      </c>
      <c r="G14" s="73" t="s">
        <v>697</v>
      </c>
      <c r="H14" s="73"/>
      <c r="I14" s="73" t="s">
        <v>950</v>
      </c>
      <c r="J14" s="73" t="s">
        <v>352</v>
      </c>
      <c r="K14" s="74" t="s">
        <v>831</v>
      </c>
      <c r="L14" s="74" t="s">
        <v>231</v>
      </c>
      <c r="M14" s="74" t="s">
        <v>889</v>
      </c>
      <c r="N14" s="74"/>
      <c r="O14" s="74"/>
      <c r="P14" s="74">
        <v>1</v>
      </c>
      <c r="Q14" s="74"/>
      <c r="R14" s="73" t="s">
        <v>728</v>
      </c>
      <c r="S14" s="73">
        <v>24</v>
      </c>
      <c r="T14" s="73">
        <v>24</v>
      </c>
      <c r="U14" s="75" t="s">
        <v>892</v>
      </c>
      <c r="V14" s="73" t="s">
        <v>950</v>
      </c>
      <c r="W14" s="74" t="s">
        <v>696</v>
      </c>
      <c r="X14" s="73" t="s">
        <v>739</v>
      </c>
      <c r="Y14" s="73" t="s">
        <v>950</v>
      </c>
      <c r="Z14" s="73" t="s">
        <v>950</v>
      </c>
      <c r="AA14" s="73" t="s">
        <v>950</v>
      </c>
      <c r="AB14" s="74" t="s">
        <v>696</v>
      </c>
      <c r="AC14" s="73" t="s">
        <v>950</v>
      </c>
      <c r="AD14" s="73" t="s">
        <v>950</v>
      </c>
      <c r="AE14" s="74" t="s">
        <v>622</v>
      </c>
      <c r="AF14" s="76">
        <v>4.0979737168825707</v>
      </c>
      <c r="AG14" s="76">
        <v>0.29903722270373967</v>
      </c>
      <c r="AH14" s="76">
        <f t="shared" ref="AH14:AH45" si="2">AG14*SQRT(S14)</f>
        <v>1.4649772194463584</v>
      </c>
      <c r="AI14" s="76"/>
      <c r="AJ14" s="76"/>
      <c r="AK14" s="76"/>
      <c r="AL14" s="76">
        <v>3.71511162126074</v>
      </c>
      <c r="AM14" s="76">
        <v>0.35098503127270031</v>
      </c>
      <c r="AN14" s="76">
        <f t="shared" ref="AN14:AN45" si="3">AM14*SQRT(T14)</f>
        <v>1.7194684679458248</v>
      </c>
      <c r="AO14" s="73" t="s">
        <v>950</v>
      </c>
      <c r="AP14" s="73" t="s">
        <v>950</v>
      </c>
      <c r="AQ14" s="73" t="s">
        <v>950</v>
      </c>
      <c r="AR14" s="73" t="s">
        <v>950</v>
      </c>
      <c r="AS14" s="73" t="s">
        <v>596</v>
      </c>
      <c r="AT14" s="46"/>
      <c r="AU14" s="46"/>
      <c r="AV14" s="46"/>
      <c r="AW14" s="46"/>
      <c r="AX14" s="46"/>
      <c r="AY14" s="46"/>
    </row>
    <row r="15" spans="1:51" ht="15" hidden="1" customHeight="1">
      <c r="A15" s="73" t="s">
        <v>883</v>
      </c>
      <c r="B15" s="73" t="s">
        <v>884</v>
      </c>
      <c r="C15" s="73" t="s">
        <v>885</v>
      </c>
      <c r="D15" s="73" t="s">
        <v>572</v>
      </c>
      <c r="E15" s="73" t="s">
        <v>573</v>
      </c>
      <c r="F15" s="73">
        <v>2011</v>
      </c>
      <c r="G15" s="73" t="s">
        <v>697</v>
      </c>
      <c r="H15" s="73"/>
      <c r="I15" s="73" t="s">
        <v>950</v>
      </c>
      <c r="J15" s="73" t="s">
        <v>352</v>
      </c>
      <c r="K15" s="74" t="s">
        <v>831</v>
      </c>
      <c r="L15" s="74" t="s">
        <v>231</v>
      </c>
      <c r="M15" s="74" t="s">
        <v>889</v>
      </c>
      <c r="N15" s="74"/>
      <c r="O15" s="74"/>
      <c r="P15" s="74">
        <v>1</v>
      </c>
      <c r="Q15" s="74"/>
      <c r="R15" s="73" t="s">
        <v>728</v>
      </c>
      <c r="S15" s="73">
        <v>24</v>
      </c>
      <c r="T15" s="73">
        <v>24</v>
      </c>
      <c r="U15" s="75" t="s">
        <v>892</v>
      </c>
      <c r="V15" s="73" t="s">
        <v>950</v>
      </c>
      <c r="W15" s="74" t="s">
        <v>696</v>
      </c>
      <c r="X15" s="73" t="s">
        <v>739</v>
      </c>
      <c r="Y15" s="73" t="s">
        <v>950</v>
      </c>
      <c r="Z15" s="73" t="s">
        <v>950</v>
      </c>
      <c r="AA15" s="73" t="s">
        <v>950</v>
      </c>
      <c r="AB15" s="74" t="s">
        <v>696</v>
      </c>
      <c r="AC15" s="73" t="s">
        <v>950</v>
      </c>
      <c r="AD15" s="73" t="s">
        <v>950</v>
      </c>
      <c r="AE15" s="74" t="s">
        <v>622</v>
      </c>
      <c r="AF15" s="76">
        <v>4.3066925905971001</v>
      </c>
      <c r="AG15" s="76">
        <v>0.51975918854974956</v>
      </c>
      <c r="AH15" s="76">
        <f t="shared" si="2"/>
        <v>2.5462896021398387</v>
      </c>
      <c r="AI15" s="76"/>
      <c r="AJ15" s="76"/>
      <c r="AK15" s="76"/>
      <c r="AL15" s="76">
        <v>3.5991848017053498</v>
      </c>
      <c r="AM15" s="76">
        <v>0.27303520813325033</v>
      </c>
      <c r="AN15" s="76">
        <f t="shared" si="3"/>
        <v>1.3375938834821335</v>
      </c>
      <c r="AO15" s="73" t="s">
        <v>950</v>
      </c>
      <c r="AP15" s="73" t="s">
        <v>950</v>
      </c>
      <c r="AQ15" s="73" t="s">
        <v>950</v>
      </c>
      <c r="AR15" s="73" t="s">
        <v>950</v>
      </c>
      <c r="AS15" s="73" t="s">
        <v>585</v>
      </c>
      <c r="AT15" s="46"/>
      <c r="AU15" s="46"/>
      <c r="AV15" s="46"/>
      <c r="AW15" s="46"/>
      <c r="AX15" s="46"/>
      <c r="AY15" s="46"/>
    </row>
    <row r="16" spans="1:51" ht="15" hidden="1" customHeight="1">
      <c r="A16" s="73" t="s">
        <v>883</v>
      </c>
      <c r="B16" s="73" t="s">
        <v>884</v>
      </c>
      <c r="C16" s="73" t="s">
        <v>885</v>
      </c>
      <c r="D16" s="73" t="s">
        <v>572</v>
      </c>
      <c r="E16" s="73" t="s">
        <v>573</v>
      </c>
      <c r="F16" s="73">
        <v>2011</v>
      </c>
      <c r="G16" s="73" t="s">
        <v>697</v>
      </c>
      <c r="H16" s="73"/>
      <c r="I16" s="73" t="s">
        <v>950</v>
      </c>
      <c r="J16" s="73" t="s">
        <v>352</v>
      </c>
      <c r="K16" s="74" t="s">
        <v>831</v>
      </c>
      <c r="L16" s="74" t="s">
        <v>231</v>
      </c>
      <c r="M16" s="74" t="s">
        <v>889</v>
      </c>
      <c r="N16" s="74"/>
      <c r="O16" s="74"/>
      <c r="P16" s="74">
        <v>1</v>
      </c>
      <c r="Q16" s="74"/>
      <c r="R16" s="73" t="s">
        <v>728</v>
      </c>
      <c r="S16" s="73">
        <v>24</v>
      </c>
      <c r="T16" s="73">
        <v>24</v>
      </c>
      <c r="U16" s="75" t="s">
        <v>892</v>
      </c>
      <c r="V16" s="73" t="s">
        <v>950</v>
      </c>
      <c r="W16" s="74" t="s">
        <v>696</v>
      </c>
      <c r="X16" s="73" t="s">
        <v>739</v>
      </c>
      <c r="Y16" s="73" t="s">
        <v>950</v>
      </c>
      <c r="Z16" s="73" t="s">
        <v>950</v>
      </c>
      <c r="AA16" s="73" t="s">
        <v>950</v>
      </c>
      <c r="AB16" s="74" t="s">
        <v>696</v>
      </c>
      <c r="AC16" s="73" t="s">
        <v>950</v>
      </c>
      <c r="AD16" s="73" t="s">
        <v>950</v>
      </c>
      <c r="AE16" s="74" t="s">
        <v>622</v>
      </c>
      <c r="AF16" s="76">
        <v>4.6841856215886999</v>
      </c>
      <c r="AG16" s="76">
        <v>0.35095692098666953</v>
      </c>
      <c r="AH16" s="76">
        <f t="shared" si="2"/>
        <v>1.7193307562312266</v>
      </c>
      <c r="AI16" s="76"/>
      <c r="AJ16" s="76"/>
      <c r="AK16" s="76"/>
      <c r="AL16" s="76">
        <v>3.91171496169973</v>
      </c>
      <c r="AM16" s="76">
        <v>0.2860502705615004</v>
      </c>
      <c r="AN16" s="76">
        <f t="shared" si="3"/>
        <v>1.4013544073214961</v>
      </c>
      <c r="AO16" s="73" t="s">
        <v>950</v>
      </c>
      <c r="AP16" s="73" t="s">
        <v>950</v>
      </c>
      <c r="AQ16" s="73" t="s">
        <v>950</v>
      </c>
      <c r="AR16" s="73" t="s">
        <v>950</v>
      </c>
      <c r="AS16" s="73" t="s">
        <v>585</v>
      </c>
      <c r="AT16" s="46"/>
      <c r="AU16" s="46"/>
      <c r="AV16" s="46"/>
      <c r="AW16" s="46"/>
      <c r="AX16" s="46"/>
      <c r="AY16" s="46"/>
    </row>
    <row r="17" spans="1:45" s="46" customFormat="1" ht="15" hidden="1" customHeight="1">
      <c r="A17" s="73" t="s">
        <v>883</v>
      </c>
      <c r="B17" s="73" t="s">
        <v>884</v>
      </c>
      <c r="C17" s="73" t="s">
        <v>885</v>
      </c>
      <c r="D17" s="73" t="s">
        <v>572</v>
      </c>
      <c r="E17" s="73" t="s">
        <v>573</v>
      </c>
      <c r="F17" s="73">
        <v>2011</v>
      </c>
      <c r="G17" s="73" t="s">
        <v>697</v>
      </c>
      <c r="H17" s="73"/>
      <c r="I17" s="73" t="s">
        <v>950</v>
      </c>
      <c r="J17" s="73" t="s">
        <v>352</v>
      </c>
      <c r="K17" s="74" t="s">
        <v>831</v>
      </c>
      <c r="L17" s="74" t="s">
        <v>231</v>
      </c>
      <c r="M17" s="74" t="s">
        <v>889</v>
      </c>
      <c r="N17" s="74"/>
      <c r="O17" s="74"/>
      <c r="P17" s="74">
        <v>1</v>
      </c>
      <c r="Q17" s="74"/>
      <c r="R17" s="73" t="s">
        <v>728</v>
      </c>
      <c r="S17" s="73">
        <v>24</v>
      </c>
      <c r="T17" s="73">
        <v>24</v>
      </c>
      <c r="U17" s="75" t="s">
        <v>892</v>
      </c>
      <c r="V17" s="73" t="s">
        <v>950</v>
      </c>
      <c r="W17" s="74" t="s">
        <v>696</v>
      </c>
      <c r="X17" s="73" t="s">
        <v>739</v>
      </c>
      <c r="Y17" s="73" t="s">
        <v>950</v>
      </c>
      <c r="Z17" s="73" t="s">
        <v>950</v>
      </c>
      <c r="AA17" s="73" t="s">
        <v>950</v>
      </c>
      <c r="AB17" s="74" t="s">
        <v>696</v>
      </c>
      <c r="AC17" s="73" t="s">
        <v>950</v>
      </c>
      <c r="AD17" s="73" t="s">
        <v>950</v>
      </c>
      <c r="AE17" s="74" t="s">
        <v>622</v>
      </c>
      <c r="AF17" s="76">
        <v>3.7240506922157901</v>
      </c>
      <c r="AG17" s="76">
        <v>0.4678676005528396</v>
      </c>
      <c r="AH17" s="76">
        <f t="shared" si="2"/>
        <v>2.2920737770695152</v>
      </c>
      <c r="AI17" s="76"/>
      <c r="AJ17" s="76"/>
      <c r="AK17" s="76"/>
      <c r="AL17" s="76">
        <v>2.8347255733327001</v>
      </c>
      <c r="AM17" s="76">
        <v>0.49381339455129003</v>
      </c>
      <c r="AN17" s="76">
        <f t="shared" si="3"/>
        <v>2.4191816896046547</v>
      </c>
      <c r="AO17" s="73" t="s">
        <v>950</v>
      </c>
      <c r="AP17" s="73" t="s">
        <v>950</v>
      </c>
      <c r="AQ17" s="73" t="s">
        <v>950</v>
      </c>
      <c r="AR17" s="73" t="s">
        <v>950</v>
      </c>
      <c r="AS17" s="73" t="s">
        <v>585</v>
      </c>
    </row>
    <row r="18" spans="1:45" s="46" customFormat="1" ht="15" hidden="1" customHeight="1">
      <c r="A18" s="73" t="s">
        <v>883</v>
      </c>
      <c r="B18" s="73" t="s">
        <v>884</v>
      </c>
      <c r="C18" s="73" t="s">
        <v>885</v>
      </c>
      <c r="D18" s="73" t="s">
        <v>572</v>
      </c>
      <c r="E18" s="73" t="s">
        <v>573</v>
      </c>
      <c r="F18" s="73">
        <v>2011</v>
      </c>
      <c r="G18" s="73" t="s">
        <v>697</v>
      </c>
      <c r="H18" s="73"/>
      <c r="I18" s="73" t="s">
        <v>950</v>
      </c>
      <c r="J18" s="73" t="s">
        <v>352</v>
      </c>
      <c r="K18" s="74" t="s">
        <v>831</v>
      </c>
      <c r="L18" s="74" t="s">
        <v>231</v>
      </c>
      <c r="M18" s="74" t="s">
        <v>889</v>
      </c>
      <c r="N18" s="74"/>
      <c r="O18" s="74"/>
      <c r="P18" s="74">
        <v>1</v>
      </c>
      <c r="Q18" s="74"/>
      <c r="R18" s="73" t="s">
        <v>728</v>
      </c>
      <c r="S18" s="73">
        <v>24</v>
      </c>
      <c r="T18" s="73">
        <v>24</v>
      </c>
      <c r="U18" s="75" t="s">
        <v>892</v>
      </c>
      <c r="V18" s="73" t="s">
        <v>950</v>
      </c>
      <c r="W18" s="74" t="s">
        <v>696</v>
      </c>
      <c r="X18" s="73" t="s">
        <v>739</v>
      </c>
      <c r="Y18" s="73" t="s">
        <v>950</v>
      </c>
      <c r="Z18" s="73" t="s">
        <v>950</v>
      </c>
      <c r="AA18" s="73" t="s">
        <v>950</v>
      </c>
      <c r="AB18" s="74" t="s">
        <v>696</v>
      </c>
      <c r="AC18" s="73" t="s">
        <v>950</v>
      </c>
      <c r="AD18" s="73" t="s">
        <v>950</v>
      </c>
      <c r="AE18" s="74" t="s">
        <v>622</v>
      </c>
      <c r="AF18" s="76">
        <v>3.3613717819578799</v>
      </c>
      <c r="AG18" s="76">
        <v>0.46778326969476985</v>
      </c>
      <c r="AH18" s="76">
        <f t="shared" si="2"/>
        <v>2.2916606419258314</v>
      </c>
      <c r="AI18" s="76"/>
      <c r="AJ18" s="76"/>
      <c r="AK18" s="76"/>
      <c r="AL18" s="76">
        <v>2.4589753800744902</v>
      </c>
      <c r="AM18" s="76">
        <v>0.51978729883575991</v>
      </c>
      <c r="AN18" s="76">
        <f t="shared" si="3"/>
        <v>2.5464273138543367</v>
      </c>
      <c r="AO18" s="73" t="s">
        <v>950</v>
      </c>
      <c r="AP18" s="73" t="s">
        <v>950</v>
      </c>
      <c r="AQ18" s="73" t="s">
        <v>950</v>
      </c>
      <c r="AR18" s="73" t="s">
        <v>950</v>
      </c>
      <c r="AS18" s="73" t="s">
        <v>585</v>
      </c>
    </row>
    <row r="19" spans="1:45" s="46" customFormat="1" ht="15" hidden="1" customHeight="1">
      <c r="A19" s="73" t="s">
        <v>883</v>
      </c>
      <c r="B19" s="73" t="s">
        <v>884</v>
      </c>
      <c r="C19" s="73" t="s">
        <v>885</v>
      </c>
      <c r="D19" s="73" t="s">
        <v>572</v>
      </c>
      <c r="E19" s="73" t="s">
        <v>573</v>
      </c>
      <c r="F19" s="73">
        <v>2011</v>
      </c>
      <c r="G19" s="73" t="s">
        <v>697</v>
      </c>
      <c r="H19" s="73"/>
      <c r="I19" s="73" t="s">
        <v>950</v>
      </c>
      <c r="J19" s="73" t="s">
        <v>352</v>
      </c>
      <c r="K19" s="74" t="s">
        <v>831</v>
      </c>
      <c r="L19" s="74" t="s">
        <v>231</v>
      </c>
      <c r="M19" s="74" t="s">
        <v>889</v>
      </c>
      <c r="N19" s="74"/>
      <c r="O19" s="74"/>
      <c r="P19" s="74">
        <v>1</v>
      </c>
      <c r="Q19" s="74"/>
      <c r="R19" s="73" t="s">
        <v>728</v>
      </c>
      <c r="S19" s="73">
        <v>24</v>
      </c>
      <c r="T19" s="73">
        <v>24</v>
      </c>
      <c r="U19" s="75" t="s">
        <v>892</v>
      </c>
      <c r="V19" s="73" t="s">
        <v>950</v>
      </c>
      <c r="W19" s="74" t="s">
        <v>696</v>
      </c>
      <c r="X19" s="73" t="s">
        <v>739</v>
      </c>
      <c r="Y19" s="73" t="s">
        <v>950</v>
      </c>
      <c r="Z19" s="73" t="s">
        <v>950</v>
      </c>
      <c r="AA19" s="73" t="s">
        <v>950</v>
      </c>
      <c r="AB19" s="74" t="s">
        <v>696</v>
      </c>
      <c r="AC19" s="73" t="s">
        <v>950</v>
      </c>
      <c r="AD19" s="73" t="s">
        <v>950</v>
      </c>
      <c r="AE19" s="74" t="s">
        <v>622</v>
      </c>
      <c r="AF19" s="76">
        <v>3.9205978120827298</v>
      </c>
      <c r="AG19" s="76">
        <v>0.44183747569631987</v>
      </c>
      <c r="AH19" s="76">
        <f t="shared" si="2"/>
        <v>2.1645527293906945</v>
      </c>
      <c r="AI19" s="76"/>
      <c r="AJ19" s="76"/>
      <c r="AK19" s="76"/>
      <c r="AL19" s="76">
        <v>3.1091662957670603</v>
      </c>
      <c r="AM19" s="76">
        <v>0.54578931340626013</v>
      </c>
      <c r="AN19" s="76">
        <f t="shared" si="3"/>
        <v>2.6738106498186149</v>
      </c>
      <c r="AO19" s="73" t="s">
        <v>950</v>
      </c>
      <c r="AP19" s="73" t="s">
        <v>950</v>
      </c>
      <c r="AQ19" s="73" t="s">
        <v>950</v>
      </c>
      <c r="AR19" s="73" t="s">
        <v>950</v>
      </c>
      <c r="AS19" s="73" t="s">
        <v>585</v>
      </c>
    </row>
    <row r="20" spans="1:45" s="46" customFormat="1" ht="15" hidden="1" customHeight="1">
      <c r="A20" s="73" t="s">
        <v>883</v>
      </c>
      <c r="B20" s="73" t="s">
        <v>884</v>
      </c>
      <c r="C20" s="73" t="s">
        <v>885</v>
      </c>
      <c r="D20" s="73" t="s">
        <v>572</v>
      </c>
      <c r="E20" s="73" t="s">
        <v>573</v>
      </c>
      <c r="F20" s="73">
        <v>2011</v>
      </c>
      <c r="G20" s="73" t="s">
        <v>697</v>
      </c>
      <c r="H20" s="73"/>
      <c r="I20" s="73" t="s">
        <v>950</v>
      </c>
      <c r="J20" s="73" t="s">
        <v>680</v>
      </c>
      <c r="K20" s="74" t="s">
        <v>830</v>
      </c>
      <c r="L20" s="74" t="s">
        <v>527</v>
      </c>
      <c r="M20" s="74" t="s">
        <v>688</v>
      </c>
      <c r="N20" s="74"/>
      <c r="O20" s="74"/>
      <c r="P20" s="74"/>
      <c r="Q20" s="74">
        <v>1</v>
      </c>
      <c r="R20" s="73" t="s">
        <v>728</v>
      </c>
      <c r="S20" s="73">
        <v>24</v>
      </c>
      <c r="T20" s="73">
        <v>24</v>
      </c>
      <c r="U20" s="75" t="s">
        <v>892</v>
      </c>
      <c r="V20" s="73" t="s">
        <v>950</v>
      </c>
      <c r="W20" s="74" t="s">
        <v>696</v>
      </c>
      <c r="X20" s="73" t="s">
        <v>739</v>
      </c>
      <c r="Y20" s="73" t="s">
        <v>950</v>
      </c>
      <c r="Z20" s="73" t="s">
        <v>950</v>
      </c>
      <c r="AA20" s="73" t="s">
        <v>950</v>
      </c>
      <c r="AB20" s="74" t="s">
        <v>696</v>
      </c>
      <c r="AC20" s="73" t="s">
        <v>950</v>
      </c>
      <c r="AD20" s="73" t="s">
        <v>950</v>
      </c>
      <c r="AE20" s="74" t="s">
        <v>504</v>
      </c>
      <c r="AF20" s="76">
        <v>4.5067253859308005</v>
      </c>
      <c r="AG20" s="76">
        <v>0.35106936213076007</v>
      </c>
      <c r="AH20" s="76">
        <f t="shared" si="2"/>
        <v>1.7198816030894597</v>
      </c>
      <c r="AI20" s="76"/>
      <c r="AJ20" s="76"/>
      <c r="AK20" s="76"/>
      <c r="AL20" s="76">
        <v>3.71511162126074</v>
      </c>
      <c r="AM20" s="76">
        <v>0.35098503127270031</v>
      </c>
      <c r="AN20" s="76">
        <f t="shared" si="3"/>
        <v>1.7194684679458248</v>
      </c>
      <c r="AO20" s="73" t="s">
        <v>950</v>
      </c>
      <c r="AP20" s="73" t="s">
        <v>950</v>
      </c>
      <c r="AQ20" s="73" t="s">
        <v>950</v>
      </c>
      <c r="AR20" s="73" t="s">
        <v>950</v>
      </c>
      <c r="AS20" s="73" t="s">
        <v>587</v>
      </c>
    </row>
    <row r="21" spans="1:45" s="46" customFormat="1" ht="15" hidden="1" customHeight="1">
      <c r="A21" s="73" t="s">
        <v>883</v>
      </c>
      <c r="B21" s="73" t="s">
        <v>884</v>
      </c>
      <c r="C21" s="73" t="s">
        <v>885</v>
      </c>
      <c r="D21" s="73" t="s">
        <v>572</v>
      </c>
      <c r="E21" s="73" t="s">
        <v>573</v>
      </c>
      <c r="F21" s="73">
        <v>2011</v>
      </c>
      <c r="G21" s="73" t="s">
        <v>697</v>
      </c>
      <c r="H21" s="73"/>
      <c r="I21" s="73" t="s">
        <v>950</v>
      </c>
      <c r="J21" s="73" t="s">
        <v>680</v>
      </c>
      <c r="K21" s="74" t="s">
        <v>830</v>
      </c>
      <c r="L21" s="74" t="s">
        <v>527</v>
      </c>
      <c r="M21" s="74" t="s">
        <v>688</v>
      </c>
      <c r="N21" s="74"/>
      <c r="O21" s="74"/>
      <c r="P21" s="74"/>
      <c r="Q21" s="74">
        <v>1</v>
      </c>
      <c r="R21" s="73" t="s">
        <v>728</v>
      </c>
      <c r="S21" s="73">
        <v>24</v>
      </c>
      <c r="T21" s="73">
        <v>24</v>
      </c>
      <c r="U21" s="75" t="s">
        <v>892</v>
      </c>
      <c r="V21" s="73" t="s">
        <v>950</v>
      </c>
      <c r="W21" s="74" t="s">
        <v>696</v>
      </c>
      <c r="X21" s="73" t="s">
        <v>739</v>
      </c>
      <c r="Y21" s="73" t="s">
        <v>950</v>
      </c>
      <c r="Z21" s="73" t="s">
        <v>950</v>
      </c>
      <c r="AA21" s="73" t="s">
        <v>950</v>
      </c>
      <c r="AB21" s="74" t="s">
        <v>696</v>
      </c>
      <c r="AC21" s="73" t="s">
        <v>950</v>
      </c>
      <c r="AD21" s="73" t="s">
        <v>950</v>
      </c>
      <c r="AE21" s="74" t="s">
        <v>504</v>
      </c>
      <c r="AF21" s="76">
        <v>4.4428307058024306</v>
      </c>
      <c r="AG21" s="76">
        <v>0.51975918854973957</v>
      </c>
      <c r="AH21" s="76">
        <f t="shared" si="2"/>
        <v>2.5462896021397898</v>
      </c>
      <c r="AI21" s="76"/>
      <c r="AJ21" s="76"/>
      <c r="AK21" s="76"/>
      <c r="AL21" s="76">
        <v>3.5991848017053498</v>
      </c>
      <c r="AM21" s="76">
        <v>0.27303520813325033</v>
      </c>
      <c r="AN21" s="76">
        <f t="shared" si="3"/>
        <v>1.3375938834821335</v>
      </c>
      <c r="AO21" s="73" t="s">
        <v>950</v>
      </c>
      <c r="AP21" s="73" t="s">
        <v>950</v>
      </c>
      <c r="AQ21" s="73" t="s">
        <v>950</v>
      </c>
      <c r="AR21" s="73" t="s">
        <v>950</v>
      </c>
      <c r="AS21" s="73" t="s">
        <v>587</v>
      </c>
    </row>
    <row r="22" spans="1:45" s="46" customFormat="1" ht="15" hidden="1" customHeight="1">
      <c r="A22" s="73" t="s">
        <v>883</v>
      </c>
      <c r="B22" s="73" t="s">
        <v>884</v>
      </c>
      <c r="C22" s="73" t="s">
        <v>885</v>
      </c>
      <c r="D22" s="73" t="s">
        <v>572</v>
      </c>
      <c r="E22" s="73" t="s">
        <v>573</v>
      </c>
      <c r="F22" s="73">
        <v>2011</v>
      </c>
      <c r="G22" s="73" t="s">
        <v>697</v>
      </c>
      <c r="H22" s="73"/>
      <c r="I22" s="73" t="s">
        <v>950</v>
      </c>
      <c r="J22" s="73" t="s">
        <v>680</v>
      </c>
      <c r="K22" s="74" t="s">
        <v>830</v>
      </c>
      <c r="L22" s="74" t="s">
        <v>527</v>
      </c>
      <c r="M22" s="74" t="s">
        <v>688</v>
      </c>
      <c r="N22" s="74"/>
      <c r="O22" s="74"/>
      <c r="P22" s="74"/>
      <c r="Q22" s="74">
        <v>1</v>
      </c>
      <c r="R22" s="73" t="s">
        <v>728</v>
      </c>
      <c r="S22" s="73">
        <v>24</v>
      </c>
      <c r="T22" s="73">
        <v>24</v>
      </c>
      <c r="U22" s="75" t="s">
        <v>892</v>
      </c>
      <c r="V22" s="73" t="s">
        <v>950</v>
      </c>
      <c r="W22" s="74" t="s">
        <v>696</v>
      </c>
      <c r="X22" s="73" t="s">
        <v>739</v>
      </c>
      <c r="Y22" s="73" t="s">
        <v>950</v>
      </c>
      <c r="Z22" s="73" t="s">
        <v>950</v>
      </c>
      <c r="AA22" s="73" t="s">
        <v>950</v>
      </c>
      <c r="AB22" s="74" t="s">
        <v>696</v>
      </c>
      <c r="AC22" s="73" t="s">
        <v>950</v>
      </c>
      <c r="AD22" s="73" t="s">
        <v>950</v>
      </c>
      <c r="AE22" s="74" t="s">
        <v>504</v>
      </c>
      <c r="AF22" s="76">
        <v>4.6254070135163605</v>
      </c>
      <c r="AG22" s="76">
        <v>0.28607838084751985</v>
      </c>
      <c r="AH22" s="76">
        <f t="shared" si="2"/>
        <v>1.4014921190360388</v>
      </c>
      <c r="AI22" s="76"/>
      <c r="AJ22" s="76"/>
      <c r="AK22" s="76"/>
      <c r="AL22" s="76">
        <v>3.91171496169973</v>
      </c>
      <c r="AM22" s="76">
        <v>0.2860502705615004</v>
      </c>
      <c r="AN22" s="76">
        <f t="shared" si="3"/>
        <v>1.4013544073214961</v>
      </c>
      <c r="AO22" s="73" t="s">
        <v>950</v>
      </c>
      <c r="AP22" s="73" t="s">
        <v>950</v>
      </c>
      <c r="AQ22" s="73" t="s">
        <v>950</v>
      </c>
      <c r="AR22" s="73" t="s">
        <v>950</v>
      </c>
      <c r="AS22" s="73" t="s">
        <v>585</v>
      </c>
    </row>
    <row r="23" spans="1:45" s="46" customFormat="1" ht="15" hidden="1" customHeight="1">
      <c r="A23" s="73" t="s">
        <v>883</v>
      </c>
      <c r="B23" s="73" t="s">
        <v>884</v>
      </c>
      <c r="C23" s="73" t="s">
        <v>885</v>
      </c>
      <c r="D23" s="73" t="s">
        <v>572</v>
      </c>
      <c r="E23" s="73" t="s">
        <v>573</v>
      </c>
      <c r="F23" s="73">
        <v>2011</v>
      </c>
      <c r="G23" s="73" t="s">
        <v>697</v>
      </c>
      <c r="H23" s="73"/>
      <c r="I23" s="73" t="s">
        <v>950</v>
      </c>
      <c r="J23" s="73" t="s">
        <v>680</v>
      </c>
      <c r="K23" s="74" t="s">
        <v>830</v>
      </c>
      <c r="L23" s="74" t="s">
        <v>527</v>
      </c>
      <c r="M23" s="74" t="s">
        <v>688</v>
      </c>
      <c r="N23" s="74"/>
      <c r="O23" s="74"/>
      <c r="P23" s="74"/>
      <c r="Q23" s="74">
        <v>1</v>
      </c>
      <c r="R23" s="73" t="s">
        <v>728</v>
      </c>
      <c r="S23" s="73">
        <v>24</v>
      </c>
      <c r="T23" s="73">
        <v>24</v>
      </c>
      <c r="U23" s="75" t="s">
        <v>892</v>
      </c>
      <c r="V23" s="73" t="s">
        <v>950</v>
      </c>
      <c r="W23" s="74" t="s">
        <v>696</v>
      </c>
      <c r="X23" s="73" t="s">
        <v>739</v>
      </c>
      <c r="Y23" s="73" t="s">
        <v>950</v>
      </c>
      <c r="Z23" s="73" t="s">
        <v>950</v>
      </c>
      <c r="AA23" s="73" t="s">
        <v>950</v>
      </c>
      <c r="AB23" s="74" t="s">
        <v>696</v>
      </c>
      <c r="AC23" s="73" t="s">
        <v>950</v>
      </c>
      <c r="AD23" s="73" t="s">
        <v>950</v>
      </c>
      <c r="AE23" s="74" t="s">
        <v>504</v>
      </c>
      <c r="AF23" s="76">
        <v>3.9640000937009501</v>
      </c>
      <c r="AG23" s="76">
        <v>0.49378528426527007</v>
      </c>
      <c r="AH23" s="76">
        <f t="shared" si="2"/>
        <v>2.4190439778901096</v>
      </c>
      <c r="AI23" s="76"/>
      <c r="AJ23" s="76"/>
      <c r="AK23" s="76"/>
      <c r="AL23" s="76">
        <v>2.8347255733327001</v>
      </c>
      <c r="AM23" s="76">
        <v>0.49381339455129003</v>
      </c>
      <c r="AN23" s="76">
        <f t="shared" si="3"/>
        <v>2.4191816896046547</v>
      </c>
      <c r="AO23" s="73" t="s">
        <v>950</v>
      </c>
      <c r="AP23" s="73" t="s">
        <v>950</v>
      </c>
      <c r="AQ23" s="73" t="s">
        <v>950</v>
      </c>
      <c r="AR23" s="73" t="s">
        <v>950</v>
      </c>
      <c r="AS23" s="73" t="s">
        <v>426</v>
      </c>
    </row>
    <row r="24" spans="1:45" s="46" customFormat="1" ht="15" hidden="1" customHeight="1">
      <c r="A24" s="73" t="s">
        <v>883</v>
      </c>
      <c r="B24" s="73" t="s">
        <v>884</v>
      </c>
      <c r="C24" s="73" t="s">
        <v>885</v>
      </c>
      <c r="D24" s="73" t="s">
        <v>572</v>
      </c>
      <c r="E24" s="73" t="s">
        <v>573</v>
      </c>
      <c r="F24" s="73">
        <v>2011</v>
      </c>
      <c r="G24" s="73" t="s">
        <v>697</v>
      </c>
      <c r="H24" s="73"/>
      <c r="I24" s="73" t="s">
        <v>950</v>
      </c>
      <c r="J24" s="73" t="s">
        <v>680</v>
      </c>
      <c r="K24" s="74" t="s">
        <v>830</v>
      </c>
      <c r="L24" s="74" t="s">
        <v>527</v>
      </c>
      <c r="M24" s="74" t="s">
        <v>688</v>
      </c>
      <c r="N24" s="74"/>
      <c r="O24" s="74"/>
      <c r="P24" s="74"/>
      <c r="Q24" s="74">
        <v>1</v>
      </c>
      <c r="R24" s="73" t="s">
        <v>728</v>
      </c>
      <c r="S24" s="73">
        <v>24</v>
      </c>
      <c r="T24" s="73">
        <v>24</v>
      </c>
      <c r="U24" s="75" t="s">
        <v>892</v>
      </c>
      <c r="V24" s="73" t="s">
        <v>950</v>
      </c>
      <c r="W24" s="74" t="s">
        <v>696</v>
      </c>
      <c r="X24" s="73" t="s">
        <v>739</v>
      </c>
      <c r="Y24" s="73" t="s">
        <v>950</v>
      </c>
      <c r="Z24" s="73" t="s">
        <v>950</v>
      </c>
      <c r="AA24" s="73" t="s">
        <v>950</v>
      </c>
      <c r="AB24" s="74" t="s">
        <v>696</v>
      </c>
      <c r="AC24" s="73" t="s">
        <v>950</v>
      </c>
      <c r="AD24" s="73" t="s">
        <v>950</v>
      </c>
      <c r="AE24" s="74" t="s">
        <v>504</v>
      </c>
      <c r="AF24" s="76">
        <v>3.8739347372859503</v>
      </c>
      <c r="AG24" s="76">
        <v>0.38997399798542937</v>
      </c>
      <c r="AH24" s="76">
        <f t="shared" si="2"/>
        <v>1.9104746160349138</v>
      </c>
      <c r="AI24" s="76"/>
      <c r="AJ24" s="76"/>
      <c r="AK24" s="76"/>
      <c r="AL24" s="76">
        <v>2.4589753800744902</v>
      </c>
      <c r="AM24" s="76">
        <v>0.51978729883575991</v>
      </c>
      <c r="AN24" s="76">
        <f t="shared" si="3"/>
        <v>2.5464273138543367</v>
      </c>
      <c r="AO24" s="73" t="s">
        <v>950</v>
      </c>
      <c r="AP24" s="73" t="s">
        <v>950</v>
      </c>
      <c r="AQ24" s="73" t="s">
        <v>950</v>
      </c>
      <c r="AR24" s="73" t="s">
        <v>950</v>
      </c>
      <c r="AS24" s="73" t="s">
        <v>586</v>
      </c>
    </row>
    <row r="25" spans="1:45" s="46" customFormat="1" ht="15" hidden="1" customHeight="1">
      <c r="A25" s="73" t="s">
        <v>883</v>
      </c>
      <c r="B25" s="73" t="s">
        <v>884</v>
      </c>
      <c r="C25" s="73" t="s">
        <v>885</v>
      </c>
      <c r="D25" s="73" t="s">
        <v>572</v>
      </c>
      <c r="E25" s="73" t="s">
        <v>573</v>
      </c>
      <c r="F25" s="73">
        <v>2011</v>
      </c>
      <c r="G25" s="73" t="s">
        <v>697</v>
      </c>
      <c r="H25" s="73"/>
      <c r="I25" s="73" t="s">
        <v>950</v>
      </c>
      <c r="J25" s="73" t="s">
        <v>680</v>
      </c>
      <c r="K25" s="74" t="s">
        <v>830</v>
      </c>
      <c r="L25" s="74" t="s">
        <v>527</v>
      </c>
      <c r="M25" s="74" t="s">
        <v>688</v>
      </c>
      <c r="N25" s="74"/>
      <c r="O25" s="74"/>
      <c r="P25" s="74"/>
      <c r="Q25" s="74">
        <v>1</v>
      </c>
      <c r="R25" s="73" t="s">
        <v>728</v>
      </c>
      <c r="S25" s="73">
        <v>24</v>
      </c>
      <c r="T25" s="73">
        <v>24</v>
      </c>
      <c r="U25" s="75" t="s">
        <v>892</v>
      </c>
      <c r="V25" s="73" t="s">
        <v>950</v>
      </c>
      <c r="W25" s="74" t="s">
        <v>696</v>
      </c>
      <c r="X25" s="73" t="s">
        <v>739</v>
      </c>
      <c r="Y25" s="73" t="s">
        <v>950</v>
      </c>
      <c r="Z25" s="73" t="s">
        <v>950</v>
      </c>
      <c r="AA25" s="73" t="s">
        <v>950</v>
      </c>
      <c r="AB25" s="74" t="s">
        <v>696</v>
      </c>
      <c r="AC25" s="73" t="s">
        <v>950</v>
      </c>
      <c r="AD25" s="73" t="s">
        <v>950</v>
      </c>
      <c r="AE25" s="74" t="s">
        <v>504</v>
      </c>
      <c r="AF25" s="76">
        <v>4.0956405631427302</v>
      </c>
      <c r="AG25" s="76">
        <v>0.44186558598232978</v>
      </c>
      <c r="AH25" s="76">
        <f t="shared" si="2"/>
        <v>2.1646904411051904</v>
      </c>
      <c r="AI25" s="76"/>
      <c r="AJ25" s="76"/>
      <c r="AK25" s="76"/>
      <c r="AL25" s="76">
        <v>3.1091662957670603</v>
      </c>
      <c r="AM25" s="76">
        <v>0.54578931340626013</v>
      </c>
      <c r="AN25" s="76">
        <f t="shared" si="3"/>
        <v>2.6738106498186149</v>
      </c>
      <c r="AO25" s="73" t="s">
        <v>950</v>
      </c>
      <c r="AP25" s="73" t="s">
        <v>950</v>
      </c>
      <c r="AQ25" s="73" t="s">
        <v>950</v>
      </c>
      <c r="AR25" s="73" t="s">
        <v>950</v>
      </c>
      <c r="AS25" s="73" t="s">
        <v>585</v>
      </c>
    </row>
    <row r="26" spans="1:45" s="46" customFormat="1" ht="15" hidden="1" customHeight="1">
      <c r="A26" s="73" t="s">
        <v>883</v>
      </c>
      <c r="B26" s="73" t="s">
        <v>884</v>
      </c>
      <c r="C26" s="73" t="s">
        <v>885</v>
      </c>
      <c r="D26" s="73" t="s">
        <v>572</v>
      </c>
      <c r="E26" s="73" t="s">
        <v>573</v>
      </c>
      <c r="F26" s="73">
        <v>2012</v>
      </c>
      <c r="G26" s="73" t="s">
        <v>697</v>
      </c>
      <c r="H26" s="73"/>
      <c r="I26" s="73" t="s">
        <v>950</v>
      </c>
      <c r="J26" s="73" t="s">
        <v>352</v>
      </c>
      <c r="K26" s="74" t="s">
        <v>831</v>
      </c>
      <c r="L26" s="74" t="s">
        <v>231</v>
      </c>
      <c r="M26" s="74" t="s">
        <v>889</v>
      </c>
      <c r="N26" s="74"/>
      <c r="O26" s="74"/>
      <c r="P26" s="74">
        <v>1</v>
      </c>
      <c r="Q26" s="74"/>
      <c r="R26" s="73" t="s">
        <v>728</v>
      </c>
      <c r="S26" s="73">
        <v>20</v>
      </c>
      <c r="T26" s="73">
        <v>20</v>
      </c>
      <c r="U26" s="75" t="s">
        <v>892</v>
      </c>
      <c r="V26" s="73" t="s">
        <v>950</v>
      </c>
      <c r="W26" s="74" t="s">
        <v>696</v>
      </c>
      <c r="X26" s="73" t="s">
        <v>739</v>
      </c>
      <c r="Y26" s="73" t="s">
        <v>950</v>
      </c>
      <c r="Z26" s="73" t="s">
        <v>950</v>
      </c>
      <c r="AA26" s="73" t="s">
        <v>950</v>
      </c>
      <c r="AB26" s="74" t="s">
        <v>696</v>
      </c>
      <c r="AC26" s="73" t="s">
        <v>950</v>
      </c>
      <c r="AD26" s="73" t="s">
        <v>950</v>
      </c>
      <c r="AE26" s="74" t="s">
        <v>622</v>
      </c>
      <c r="AF26" s="76">
        <v>1.96530922948763</v>
      </c>
      <c r="AG26" s="76">
        <v>0.4130145446537099</v>
      </c>
      <c r="AH26" s="76">
        <f t="shared" si="2"/>
        <v>1.8470571950836354</v>
      </c>
      <c r="AI26" s="76"/>
      <c r="AJ26" s="76"/>
      <c r="AK26" s="76"/>
      <c r="AL26" s="76">
        <v>1.56052452674818</v>
      </c>
      <c r="AM26" s="76">
        <v>0.44576155960052005</v>
      </c>
      <c r="AN26" s="76">
        <f t="shared" si="3"/>
        <v>1.9935062980461737</v>
      </c>
      <c r="AO26" s="73" t="s">
        <v>950</v>
      </c>
      <c r="AP26" s="73" t="s">
        <v>950</v>
      </c>
      <c r="AQ26" s="73" t="s">
        <v>950</v>
      </c>
      <c r="AR26" s="73" t="s">
        <v>950</v>
      </c>
      <c r="AS26" s="73" t="s">
        <v>585</v>
      </c>
    </row>
    <row r="27" spans="1:45" s="46" customFormat="1" ht="15" hidden="1" customHeight="1">
      <c r="A27" s="73" t="s">
        <v>883</v>
      </c>
      <c r="B27" s="73" t="s">
        <v>884</v>
      </c>
      <c r="C27" s="73" t="s">
        <v>885</v>
      </c>
      <c r="D27" s="73" t="s">
        <v>572</v>
      </c>
      <c r="E27" s="73" t="s">
        <v>573</v>
      </c>
      <c r="F27" s="73">
        <v>2012</v>
      </c>
      <c r="G27" s="73" t="s">
        <v>697</v>
      </c>
      <c r="H27" s="73"/>
      <c r="I27" s="73" t="s">
        <v>950</v>
      </c>
      <c r="J27" s="73" t="s">
        <v>352</v>
      </c>
      <c r="K27" s="74" t="s">
        <v>831</v>
      </c>
      <c r="L27" s="74" t="s">
        <v>231</v>
      </c>
      <c r="M27" s="74" t="s">
        <v>889</v>
      </c>
      <c r="N27" s="74"/>
      <c r="O27" s="74"/>
      <c r="P27" s="74">
        <v>1</v>
      </c>
      <c r="Q27" s="74"/>
      <c r="R27" s="73" t="s">
        <v>728</v>
      </c>
      <c r="S27" s="73">
        <v>24</v>
      </c>
      <c r="T27" s="73">
        <v>24</v>
      </c>
      <c r="U27" s="75" t="s">
        <v>892</v>
      </c>
      <c r="V27" s="73" t="s">
        <v>950</v>
      </c>
      <c r="W27" s="74" t="s">
        <v>696</v>
      </c>
      <c r="X27" s="73" t="s">
        <v>739</v>
      </c>
      <c r="Y27" s="73" t="s">
        <v>950</v>
      </c>
      <c r="Z27" s="73" t="s">
        <v>950</v>
      </c>
      <c r="AA27" s="73" t="s">
        <v>950</v>
      </c>
      <c r="AB27" s="74" t="s">
        <v>696</v>
      </c>
      <c r="AC27" s="73" t="s">
        <v>950</v>
      </c>
      <c r="AD27" s="73" t="s">
        <v>950</v>
      </c>
      <c r="AE27" s="74" t="s">
        <v>622</v>
      </c>
      <c r="AF27" s="76">
        <v>1.7335666478355298</v>
      </c>
      <c r="AG27" s="76">
        <v>0.30792247958099006</v>
      </c>
      <c r="AH27" s="76">
        <f t="shared" si="2"/>
        <v>1.5085059106119953</v>
      </c>
      <c r="AI27" s="76"/>
      <c r="AJ27" s="76"/>
      <c r="AK27" s="76"/>
      <c r="AL27" s="76">
        <v>1.5257667301818301</v>
      </c>
      <c r="AM27" s="76">
        <v>0.29465132089201984</v>
      </c>
      <c r="AN27" s="76">
        <f t="shared" si="3"/>
        <v>1.4434907764450347</v>
      </c>
      <c r="AO27" s="73" t="s">
        <v>950</v>
      </c>
      <c r="AP27" s="73" t="s">
        <v>950</v>
      </c>
      <c r="AQ27" s="73" t="s">
        <v>950</v>
      </c>
      <c r="AR27" s="73" t="s">
        <v>950</v>
      </c>
      <c r="AS27" s="73" t="s">
        <v>585</v>
      </c>
    </row>
    <row r="28" spans="1:45" s="46" customFormat="1" ht="15" hidden="1" customHeight="1">
      <c r="A28" s="73" t="s">
        <v>883</v>
      </c>
      <c r="B28" s="73" t="s">
        <v>884</v>
      </c>
      <c r="C28" s="73" t="s">
        <v>885</v>
      </c>
      <c r="D28" s="73" t="s">
        <v>572</v>
      </c>
      <c r="E28" s="73" t="s">
        <v>573</v>
      </c>
      <c r="F28" s="73">
        <v>2012</v>
      </c>
      <c r="G28" s="73" t="s">
        <v>697</v>
      </c>
      <c r="H28" s="73"/>
      <c r="I28" s="73" t="s">
        <v>950</v>
      </c>
      <c r="J28" s="73" t="s">
        <v>352</v>
      </c>
      <c r="K28" s="74" t="s">
        <v>831</v>
      </c>
      <c r="L28" s="74" t="s">
        <v>231</v>
      </c>
      <c r="M28" s="74" t="s">
        <v>797</v>
      </c>
      <c r="N28" s="74"/>
      <c r="O28" s="74"/>
      <c r="P28" s="74">
        <v>1</v>
      </c>
      <c r="Q28" s="74"/>
      <c r="R28" s="73" t="s">
        <v>728</v>
      </c>
      <c r="S28" s="73">
        <v>24</v>
      </c>
      <c r="T28" s="73">
        <v>24</v>
      </c>
      <c r="U28" s="75" t="s">
        <v>892</v>
      </c>
      <c r="V28" s="73" t="s">
        <v>950</v>
      </c>
      <c r="W28" s="74" t="s">
        <v>696</v>
      </c>
      <c r="X28" s="73" t="s">
        <v>739</v>
      </c>
      <c r="Y28" s="73" t="s">
        <v>950</v>
      </c>
      <c r="Z28" s="73" t="s">
        <v>950</v>
      </c>
      <c r="AA28" s="73" t="s">
        <v>950</v>
      </c>
      <c r="AB28" s="74" t="s">
        <v>696</v>
      </c>
      <c r="AC28" s="73" t="s">
        <v>950</v>
      </c>
      <c r="AD28" s="73" t="s">
        <v>950</v>
      </c>
      <c r="AE28" s="74" t="s">
        <v>622</v>
      </c>
      <c r="AF28" s="76">
        <v>2.3552572364200399</v>
      </c>
      <c r="AG28" s="76">
        <v>0.29479494815055979</v>
      </c>
      <c r="AH28" s="76">
        <f t="shared" si="2"/>
        <v>1.4441944034381899</v>
      </c>
      <c r="AI28" s="76"/>
      <c r="AJ28" s="76"/>
      <c r="AK28" s="76"/>
      <c r="AL28" s="76">
        <v>1.9700202035677001</v>
      </c>
      <c r="AM28" s="76">
        <v>0.24892040177330979</v>
      </c>
      <c r="AN28" s="76">
        <f t="shared" si="3"/>
        <v>1.2194559418263797</v>
      </c>
      <c r="AO28" s="73" t="s">
        <v>950</v>
      </c>
      <c r="AP28" s="73" t="s">
        <v>950</v>
      </c>
      <c r="AQ28" s="73" t="s">
        <v>950</v>
      </c>
      <c r="AR28" s="73" t="s">
        <v>950</v>
      </c>
      <c r="AS28" s="73" t="s">
        <v>585</v>
      </c>
    </row>
    <row r="29" spans="1:45" s="46" customFormat="1" ht="15" hidden="1" customHeight="1">
      <c r="A29" s="73" t="s">
        <v>883</v>
      </c>
      <c r="B29" s="73" t="s">
        <v>884</v>
      </c>
      <c r="C29" s="73" t="s">
        <v>885</v>
      </c>
      <c r="D29" s="73" t="s">
        <v>572</v>
      </c>
      <c r="E29" s="73" t="s">
        <v>573</v>
      </c>
      <c r="F29" s="73">
        <v>2012</v>
      </c>
      <c r="G29" s="73" t="s">
        <v>697</v>
      </c>
      <c r="H29" s="73"/>
      <c r="I29" s="73" t="s">
        <v>950</v>
      </c>
      <c r="J29" s="73" t="s">
        <v>352</v>
      </c>
      <c r="K29" s="74" t="s">
        <v>831</v>
      </c>
      <c r="L29" s="74" t="s">
        <v>231</v>
      </c>
      <c r="M29" s="74" t="s">
        <v>889</v>
      </c>
      <c r="N29" s="74"/>
      <c r="O29" s="74"/>
      <c r="P29" s="74">
        <v>1</v>
      </c>
      <c r="Q29" s="74"/>
      <c r="R29" s="73" t="s">
        <v>728</v>
      </c>
      <c r="S29" s="73">
        <v>24</v>
      </c>
      <c r="T29" s="73">
        <v>24</v>
      </c>
      <c r="U29" s="75" t="s">
        <v>892</v>
      </c>
      <c r="V29" s="73" t="s">
        <v>950</v>
      </c>
      <c r="W29" s="74" t="s">
        <v>696</v>
      </c>
      <c r="X29" s="73" t="s">
        <v>739</v>
      </c>
      <c r="Y29" s="73" t="s">
        <v>950</v>
      </c>
      <c r="Z29" s="73" t="s">
        <v>950</v>
      </c>
      <c r="AA29" s="73" t="s">
        <v>950</v>
      </c>
      <c r="AB29" s="74" t="s">
        <v>696</v>
      </c>
      <c r="AC29" s="73" t="s">
        <v>950</v>
      </c>
      <c r="AD29" s="73" t="s">
        <v>950</v>
      </c>
      <c r="AE29" s="74" t="s">
        <v>622</v>
      </c>
      <c r="AF29" s="76">
        <v>1.65748728898761</v>
      </c>
      <c r="AG29" s="76">
        <v>0.29465132089202983</v>
      </c>
      <c r="AH29" s="76">
        <f t="shared" si="2"/>
        <v>1.4434907764450835</v>
      </c>
      <c r="AI29" s="76"/>
      <c r="AJ29" s="76"/>
      <c r="AK29" s="76"/>
      <c r="AL29" s="76">
        <v>1.3378160996581601</v>
      </c>
      <c r="AM29" s="76">
        <v>0.26853988528969991</v>
      </c>
      <c r="AN29" s="76">
        <f t="shared" si="3"/>
        <v>1.3155713890905822</v>
      </c>
      <c r="AO29" s="73" t="s">
        <v>950</v>
      </c>
      <c r="AP29" s="73" t="s">
        <v>950</v>
      </c>
      <c r="AQ29" s="73" t="s">
        <v>950</v>
      </c>
      <c r="AR29" s="73" t="s">
        <v>950</v>
      </c>
      <c r="AS29" s="73" t="s">
        <v>585</v>
      </c>
    </row>
    <row r="30" spans="1:45" s="46" customFormat="1" ht="15" hidden="1" customHeight="1">
      <c r="A30" s="73" t="s">
        <v>883</v>
      </c>
      <c r="B30" s="73" t="s">
        <v>884</v>
      </c>
      <c r="C30" s="73" t="s">
        <v>885</v>
      </c>
      <c r="D30" s="73" t="s">
        <v>572</v>
      </c>
      <c r="E30" s="73" t="s">
        <v>573</v>
      </c>
      <c r="F30" s="73">
        <v>2012</v>
      </c>
      <c r="G30" s="73" t="s">
        <v>697</v>
      </c>
      <c r="H30" s="73"/>
      <c r="I30" s="73" t="s">
        <v>950</v>
      </c>
      <c r="J30" s="73" t="s">
        <v>352</v>
      </c>
      <c r="K30" s="74" t="s">
        <v>831</v>
      </c>
      <c r="L30" s="74" t="s">
        <v>231</v>
      </c>
      <c r="M30" s="74" t="s">
        <v>889</v>
      </c>
      <c r="N30" s="74"/>
      <c r="O30" s="74"/>
      <c r="P30" s="74">
        <v>1</v>
      </c>
      <c r="Q30" s="74"/>
      <c r="R30" s="73" t="s">
        <v>728</v>
      </c>
      <c r="S30" s="73">
        <v>24</v>
      </c>
      <c r="T30" s="73">
        <v>24</v>
      </c>
      <c r="U30" s="75" t="s">
        <v>892</v>
      </c>
      <c r="V30" s="73" t="s">
        <v>950</v>
      </c>
      <c r="W30" s="74" t="s">
        <v>696</v>
      </c>
      <c r="X30" s="73" t="s">
        <v>739</v>
      </c>
      <c r="Y30" s="73" t="s">
        <v>950</v>
      </c>
      <c r="Z30" s="73" t="s">
        <v>950</v>
      </c>
      <c r="AA30" s="73" t="s">
        <v>950</v>
      </c>
      <c r="AB30" s="74" t="s">
        <v>696</v>
      </c>
      <c r="AC30" s="73" t="s">
        <v>950</v>
      </c>
      <c r="AD30" s="73" t="s">
        <v>950</v>
      </c>
      <c r="AE30" s="74" t="s">
        <v>622</v>
      </c>
      <c r="AF30" s="76">
        <v>1.4189655007324899</v>
      </c>
      <c r="AG30" s="76">
        <v>0.3997433859647499</v>
      </c>
      <c r="AH30" s="76">
        <f t="shared" si="2"/>
        <v>1.9583346473321437</v>
      </c>
      <c r="AI30" s="76"/>
      <c r="AJ30" s="76"/>
      <c r="AK30" s="76"/>
      <c r="AL30" s="76">
        <v>1.0402922335953699</v>
      </c>
      <c r="AM30" s="76">
        <v>0.25548416748853015</v>
      </c>
      <c r="AN30" s="76">
        <f t="shared" si="3"/>
        <v>1.2516116954133081</v>
      </c>
      <c r="AO30" s="73" t="s">
        <v>950</v>
      </c>
      <c r="AP30" s="73" t="s">
        <v>950</v>
      </c>
      <c r="AQ30" s="73" t="s">
        <v>950</v>
      </c>
      <c r="AR30" s="73" t="s">
        <v>950</v>
      </c>
      <c r="AS30" s="73" t="s">
        <v>585</v>
      </c>
    </row>
    <row r="31" spans="1:45" s="46" customFormat="1" ht="15" hidden="1" customHeight="1">
      <c r="A31" s="73" t="s">
        <v>883</v>
      </c>
      <c r="B31" s="73" t="s">
        <v>884</v>
      </c>
      <c r="C31" s="73" t="s">
        <v>885</v>
      </c>
      <c r="D31" s="73" t="s">
        <v>572</v>
      </c>
      <c r="E31" s="73" t="s">
        <v>573</v>
      </c>
      <c r="F31" s="73">
        <v>2012</v>
      </c>
      <c r="G31" s="73" t="s">
        <v>697</v>
      </c>
      <c r="H31" s="73"/>
      <c r="I31" s="73" t="s">
        <v>950</v>
      </c>
      <c r="J31" s="73" t="s">
        <v>352</v>
      </c>
      <c r="K31" s="74" t="s">
        <v>831</v>
      </c>
      <c r="L31" s="74" t="s">
        <v>231</v>
      </c>
      <c r="M31" s="74" t="s">
        <v>889</v>
      </c>
      <c r="N31" s="74"/>
      <c r="O31" s="74"/>
      <c r="P31" s="74">
        <v>1</v>
      </c>
      <c r="Q31" s="74"/>
      <c r="R31" s="73" t="s">
        <v>728</v>
      </c>
      <c r="S31" s="73">
        <v>24</v>
      </c>
      <c r="T31" s="73">
        <v>24</v>
      </c>
      <c r="U31" s="75" t="s">
        <v>892</v>
      </c>
      <c r="V31" s="73" t="s">
        <v>950</v>
      </c>
      <c r="W31" s="74" t="s">
        <v>273</v>
      </c>
      <c r="X31" s="73" t="s">
        <v>739</v>
      </c>
      <c r="Y31" s="73" t="s">
        <v>950</v>
      </c>
      <c r="Z31" s="73" t="s">
        <v>950</v>
      </c>
      <c r="AA31" s="73" t="s">
        <v>950</v>
      </c>
      <c r="AB31" s="74" t="s">
        <v>696</v>
      </c>
      <c r="AC31" s="73" t="s">
        <v>950</v>
      </c>
      <c r="AD31" s="73" t="s">
        <v>950</v>
      </c>
      <c r="AE31" s="74" t="s">
        <v>622</v>
      </c>
      <c r="AF31" s="76">
        <v>1.4827360035236499</v>
      </c>
      <c r="AG31" s="76">
        <v>0.37327288221607002</v>
      </c>
      <c r="AH31" s="76">
        <f t="shared" si="2"/>
        <v>1.8286561924947535</v>
      </c>
      <c r="AI31" s="76"/>
      <c r="AJ31" s="76"/>
      <c r="AK31" s="76"/>
      <c r="AL31" s="76">
        <v>1.1170466405584201</v>
      </c>
      <c r="AM31" s="76">
        <v>0.27517546463418013</v>
      </c>
      <c r="AN31" s="76">
        <f t="shared" si="3"/>
        <v>1.3480789561740387</v>
      </c>
      <c r="AO31" s="73" t="s">
        <v>950</v>
      </c>
      <c r="AP31" s="73" t="s">
        <v>950</v>
      </c>
      <c r="AQ31" s="73" t="s">
        <v>950</v>
      </c>
      <c r="AR31" s="73" t="s">
        <v>950</v>
      </c>
      <c r="AS31" s="73" t="s">
        <v>585</v>
      </c>
    </row>
    <row r="32" spans="1:45" s="46" customFormat="1" ht="15" hidden="1" customHeight="1">
      <c r="A32" s="73" t="s">
        <v>883</v>
      </c>
      <c r="B32" s="73" t="s">
        <v>884</v>
      </c>
      <c r="C32" s="73" t="s">
        <v>885</v>
      </c>
      <c r="D32" s="73" t="s">
        <v>572</v>
      </c>
      <c r="E32" s="73" t="s">
        <v>573</v>
      </c>
      <c r="F32" s="73">
        <v>2012</v>
      </c>
      <c r="G32" s="73" t="s">
        <v>697</v>
      </c>
      <c r="H32" s="73"/>
      <c r="I32" s="73" t="s">
        <v>950</v>
      </c>
      <c r="J32" s="73" t="s">
        <v>680</v>
      </c>
      <c r="K32" s="74" t="s">
        <v>830</v>
      </c>
      <c r="L32" s="74" t="s">
        <v>527</v>
      </c>
      <c r="M32" s="74" t="s">
        <v>688</v>
      </c>
      <c r="N32" s="74"/>
      <c r="O32" s="74"/>
      <c r="P32" s="74"/>
      <c r="Q32" s="74">
        <v>1</v>
      </c>
      <c r="R32" s="73" t="s">
        <v>728</v>
      </c>
      <c r="S32" s="73">
        <v>24</v>
      </c>
      <c r="T32" s="73">
        <v>24</v>
      </c>
      <c r="U32" s="75" t="s">
        <v>892</v>
      </c>
      <c r="V32" s="73" t="s">
        <v>950</v>
      </c>
      <c r="W32" s="74" t="s">
        <v>273</v>
      </c>
      <c r="X32" s="73" t="s">
        <v>739</v>
      </c>
      <c r="Y32" s="73" t="s">
        <v>950</v>
      </c>
      <c r="Z32" s="73" t="s">
        <v>950</v>
      </c>
      <c r="AA32" s="73" t="s">
        <v>950</v>
      </c>
      <c r="AB32" s="74" t="s">
        <v>696</v>
      </c>
      <c r="AC32" s="73" t="s">
        <v>950</v>
      </c>
      <c r="AD32" s="73" t="s">
        <v>950</v>
      </c>
      <c r="AE32" s="74" t="s">
        <v>504</v>
      </c>
      <c r="AF32" s="76">
        <v>2.0160096517517698</v>
      </c>
      <c r="AG32" s="76">
        <v>0.45874546377241993</v>
      </c>
      <c r="AH32" s="76">
        <f t="shared" si="2"/>
        <v>2.2473846161177091</v>
      </c>
      <c r="AI32" s="76"/>
      <c r="AJ32" s="76"/>
      <c r="AK32" s="76"/>
      <c r="AL32" s="76">
        <v>1.56052452674818</v>
      </c>
      <c r="AM32" s="76">
        <v>0.44576155960052005</v>
      </c>
      <c r="AN32" s="76">
        <f t="shared" si="3"/>
        <v>2.1837767359370122</v>
      </c>
      <c r="AO32" s="73" t="s">
        <v>950</v>
      </c>
      <c r="AP32" s="73" t="s">
        <v>950</v>
      </c>
      <c r="AQ32" s="73" t="s">
        <v>950</v>
      </c>
      <c r="AR32" s="73" t="s">
        <v>950</v>
      </c>
      <c r="AS32" s="73" t="s">
        <v>585</v>
      </c>
    </row>
    <row r="33" spans="1:45" s="46" customFormat="1" ht="15" hidden="1" customHeight="1">
      <c r="A33" s="73" t="s">
        <v>883</v>
      </c>
      <c r="B33" s="73" t="s">
        <v>884</v>
      </c>
      <c r="C33" s="73" t="s">
        <v>885</v>
      </c>
      <c r="D33" s="73" t="s">
        <v>572</v>
      </c>
      <c r="E33" s="73" t="s">
        <v>573</v>
      </c>
      <c r="F33" s="73">
        <v>2012</v>
      </c>
      <c r="G33" s="73" t="s">
        <v>697</v>
      </c>
      <c r="H33" s="73"/>
      <c r="I33" s="73" t="s">
        <v>950</v>
      </c>
      <c r="J33" s="73" t="s">
        <v>680</v>
      </c>
      <c r="K33" s="74" t="s">
        <v>830</v>
      </c>
      <c r="L33" s="74" t="s">
        <v>527</v>
      </c>
      <c r="M33" s="74" t="s">
        <v>688</v>
      </c>
      <c r="N33" s="74"/>
      <c r="O33" s="74"/>
      <c r="P33" s="74"/>
      <c r="Q33" s="74">
        <v>1</v>
      </c>
      <c r="R33" s="73" t="s">
        <v>728</v>
      </c>
      <c r="S33" s="73">
        <v>24</v>
      </c>
      <c r="T33" s="73">
        <v>24</v>
      </c>
      <c r="U33" s="75" t="s">
        <v>892</v>
      </c>
      <c r="V33" s="73" t="s">
        <v>950</v>
      </c>
      <c r="W33" s="74" t="s">
        <v>273</v>
      </c>
      <c r="X33" s="73" t="s">
        <v>739</v>
      </c>
      <c r="Y33" s="73" t="s">
        <v>950</v>
      </c>
      <c r="Z33" s="73" t="s">
        <v>950</v>
      </c>
      <c r="AA33" s="73" t="s">
        <v>950</v>
      </c>
      <c r="AB33" s="74" t="s">
        <v>696</v>
      </c>
      <c r="AC33" s="73" t="s">
        <v>950</v>
      </c>
      <c r="AD33" s="73" t="s">
        <v>950</v>
      </c>
      <c r="AE33" s="74" t="s">
        <v>504</v>
      </c>
      <c r="AF33" s="76">
        <v>2.0335465400193402</v>
      </c>
      <c r="AG33" s="76">
        <v>0.32097819738214978</v>
      </c>
      <c r="AH33" s="76">
        <f t="shared" si="2"/>
        <v>1.5724656042892202</v>
      </c>
      <c r="AI33" s="76"/>
      <c r="AJ33" s="76"/>
      <c r="AK33" s="76"/>
      <c r="AL33" s="76">
        <v>1.5257667301818301</v>
      </c>
      <c r="AM33" s="76">
        <v>0.29465132089201984</v>
      </c>
      <c r="AN33" s="76">
        <f t="shared" si="3"/>
        <v>1.4434907764450347</v>
      </c>
      <c r="AO33" s="73" t="s">
        <v>950</v>
      </c>
      <c r="AP33" s="73" t="s">
        <v>950</v>
      </c>
      <c r="AQ33" s="73" t="s">
        <v>950</v>
      </c>
      <c r="AR33" s="73" t="s">
        <v>950</v>
      </c>
      <c r="AS33" s="73" t="s">
        <v>585</v>
      </c>
    </row>
    <row r="34" spans="1:45" s="46" customFormat="1" ht="15" hidden="1" customHeight="1">
      <c r="A34" s="73" t="s">
        <v>883</v>
      </c>
      <c r="B34" s="73" t="s">
        <v>884</v>
      </c>
      <c r="C34" s="73" t="s">
        <v>885</v>
      </c>
      <c r="D34" s="73" t="s">
        <v>572</v>
      </c>
      <c r="E34" s="73" t="s">
        <v>573</v>
      </c>
      <c r="F34" s="73">
        <v>2012</v>
      </c>
      <c r="G34" s="73" t="s">
        <v>697</v>
      </c>
      <c r="H34" s="73"/>
      <c r="I34" s="73" t="s">
        <v>950</v>
      </c>
      <c r="J34" s="73" t="s">
        <v>680</v>
      </c>
      <c r="K34" s="74" t="s">
        <v>830</v>
      </c>
      <c r="L34" s="74" t="s">
        <v>527</v>
      </c>
      <c r="M34" s="74" t="s">
        <v>688</v>
      </c>
      <c r="N34" s="74"/>
      <c r="O34" s="74"/>
      <c r="P34" s="74"/>
      <c r="Q34" s="74">
        <v>1</v>
      </c>
      <c r="R34" s="73" t="s">
        <v>728</v>
      </c>
      <c r="S34" s="73">
        <v>24</v>
      </c>
      <c r="T34" s="73">
        <v>24</v>
      </c>
      <c r="U34" s="75" t="s">
        <v>892</v>
      </c>
      <c r="V34" s="73" t="s">
        <v>950</v>
      </c>
      <c r="W34" s="74" t="s">
        <v>273</v>
      </c>
      <c r="X34" s="73" t="s">
        <v>739</v>
      </c>
      <c r="Y34" s="73" t="s">
        <v>950</v>
      </c>
      <c r="Z34" s="73" t="s">
        <v>950</v>
      </c>
      <c r="AA34" s="73" t="s">
        <v>950</v>
      </c>
      <c r="AB34" s="74" t="s">
        <v>696</v>
      </c>
      <c r="AC34" s="73" t="s">
        <v>950</v>
      </c>
      <c r="AD34" s="73" t="s">
        <v>950</v>
      </c>
      <c r="AE34" s="74" t="s">
        <v>504</v>
      </c>
      <c r="AF34" s="76">
        <v>2.0315357583998002</v>
      </c>
      <c r="AG34" s="76">
        <v>0.22252171165390996</v>
      </c>
      <c r="AH34" s="76">
        <f t="shared" si="2"/>
        <v>1.0901293004856167</v>
      </c>
      <c r="AI34" s="76"/>
      <c r="AJ34" s="76"/>
      <c r="AK34" s="76"/>
      <c r="AL34" s="76">
        <v>1.9700202035677001</v>
      </c>
      <c r="AM34" s="76">
        <v>0.24892040177330979</v>
      </c>
      <c r="AN34" s="76">
        <f t="shared" si="3"/>
        <v>1.2194559418263797</v>
      </c>
      <c r="AO34" s="73" t="s">
        <v>950</v>
      </c>
      <c r="AP34" s="73" t="s">
        <v>950</v>
      </c>
      <c r="AQ34" s="73" t="s">
        <v>950</v>
      </c>
      <c r="AR34" s="73" t="s">
        <v>950</v>
      </c>
      <c r="AS34" s="73" t="s">
        <v>585</v>
      </c>
    </row>
    <row r="35" spans="1:45" s="46" customFormat="1" ht="15" hidden="1" customHeight="1">
      <c r="A35" s="73" t="s">
        <v>883</v>
      </c>
      <c r="B35" s="73" t="s">
        <v>884</v>
      </c>
      <c r="C35" s="73" t="s">
        <v>885</v>
      </c>
      <c r="D35" s="73" t="s">
        <v>572</v>
      </c>
      <c r="E35" s="73" t="s">
        <v>573</v>
      </c>
      <c r="F35" s="73">
        <v>2012</v>
      </c>
      <c r="G35" s="73" t="s">
        <v>697</v>
      </c>
      <c r="H35" s="73"/>
      <c r="I35" s="73" t="s">
        <v>950</v>
      </c>
      <c r="J35" s="73" t="s">
        <v>680</v>
      </c>
      <c r="K35" s="74" t="s">
        <v>830</v>
      </c>
      <c r="L35" s="74" t="s">
        <v>527</v>
      </c>
      <c r="M35" s="74" t="s">
        <v>688</v>
      </c>
      <c r="N35" s="74"/>
      <c r="O35" s="74"/>
      <c r="P35" s="74"/>
      <c r="Q35" s="74">
        <v>1</v>
      </c>
      <c r="R35" s="73" t="s">
        <v>728</v>
      </c>
      <c r="S35" s="73">
        <v>24</v>
      </c>
      <c r="T35" s="73">
        <v>24</v>
      </c>
      <c r="U35" s="75" t="s">
        <v>892</v>
      </c>
      <c r="V35" s="73" t="s">
        <v>950</v>
      </c>
      <c r="W35" s="74" t="s">
        <v>273</v>
      </c>
      <c r="X35" s="73" t="s">
        <v>739</v>
      </c>
      <c r="Y35" s="73" t="s">
        <v>950</v>
      </c>
      <c r="Z35" s="73" t="s">
        <v>950</v>
      </c>
      <c r="AA35" s="73" t="s">
        <v>950</v>
      </c>
      <c r="AB35" s="74" t="s">
        <v>696</v>
      </c>
      <c r="AC35" s="73" t="s">
        <v>950</v>
      </c>
      <c r="AD35" s="73" t="s">
        <v>950</v>
      </c>
      <c r="AE35" s="74" t="s">
        <v>504</v>
      </c>
      <c r="AF35" s="76">
        <v>1.55029826594023</v>
      </c>
      <c r="AG35" s="76">
        <v>0.37356013673314986</v>
      </c>
      <c r="AH35" s="76">
        <f t="shared" si="2"/>
        <v>1.8300634464810641</v>
      </c>
      <c r="AI35" s="76"/>
      <c r="AJ35" s="76"/>
      <c r="AK35" s="76"/>
      <c r="AL35" s="76">
        <v>1.3378160996581601</v>
      </c>
      <c r="AM35" s="76">
        <v>0.26853988528969991</v>
      </c>
      <c r="AN35" s="76">
        <f t="shared" si="3"/>
        <v>1.3155713890905822</v>
      </c>
      <c r="AO35" s="73" t="s">
        <v>950</v>
      </c>
      <c r="AP35" s="73" t="s">
        <v>950</v>
      </c>
      <c r="AQ35" s="73" t="s">
        <v>950</v>
      </c>
      <c r="AR35" s="73" t="s">
        <v>950</v>
      </c>
      <c r="AS35" s="73" t="s">
        <v>585</v>
      </c>
    </row>
    <row r="36" spans="1:45" s="46" customFormat="1" ht="15" hidden="1" customHeight="1">
      <c r="A36" s="73" t="s">
        <v>883</v>
      </c>
      <c r="B36" s="73" t="s">
        <v>884</v>
      </c>
      <c r="C36" s="73" t="s">
        <v>885</v>
      </c>
      <c r="D36" s="73" t="s">
        <v>572</v>
      </c>
      <c r="E36" s="73" t="s">
        <v>573</v>
      </c>
      <c r="F36" s="73">
        <v>2012</v>
      </c>
      <c r="G36" s="73" t="s">
        <v>697</v>
      </c>
      <c r="H36" s="73"/>
      <c r="I36" s="73" t="s">
        <v>950</v>
      </c>
      <c r="J36" s="73" t="s">
        <v>680</v>
      </c>
      <c r="K36" s="74" t="s">
        <v>830</v>
      </c>
      <c r="L36" s="74" t="s">
        <v>527</v>
      </c>
      <c r="M36" s="74" t="s">
        <v>688</v>
      </c>
      <c r="N36" s="74"/>
      <c r="O36" s="74"/>
      <c r="P36" s="74"/>
      <c r="Q36" s="74">
        <v>1</v>
      </c>
      <c r="R36" s="73" t="s">
        <v>728</v>
      </c>
      <c r="S36" s="73">
        <v>24</v>
      </c>
      <c r="T36" s="73">
        <v>24</v>
      </c>
      <c r="U36" s="75" t="s">
        <v>892</v>
      </c>
      <c r="V36" s="73" t="s">
        <v>950</v>
      </c>
      <c r="W36" s="74" t="s">
        <v>273</v>
      </c>
      <c r="X36" s="73" t="s">
        <v>739</v>
      </c>
      <c r="Y36" s="73" t="s">
        <v>950</v>
      </c>
      <c r="Z36" s="73" t="s">
        <v>950</v>
      </c>
      <c r="AA36" s="73" t="s">
        <v>950</v>
      </c>
      <c r="AB36" s="74" t="s">
        <v>696</v>
      </c>
      <c r="AC36" s="73" t="s">
        <v>950</v>
      </c>
      <c r="AD36" s="73" t="s">
        <v>950</v>
      </c>
      <c r="AE36" s="74" t="s">
        <v>504</v>
      </c>
      <c r="AF36" s="76">
        <v>2.3230272796039699</v>
      </c>
      <c r="AG36" s="76">
        <v>0.41936286948112</v>
      </c>
      <c r="AH36" s="76">
        <f t="shared" si="2"/>
        <v>2.0544500945962483</v>
      </c>
      <c r="AI36" s="76"/>
      <c r="AJ36" s="76"/>
      <c r="AK36" s="76"/>
      <c r="AL36" s="76">
        <v>1.0402922335953699</v>
      </c>
      <c r="AM36" s="76">
        <v>0.25548416748853015</v>
      </c>
      <c r="AN36" s="76">
        <f t="shared" si="3"/>
        <v>1.2516116954133081</v>
      </c>
      <c r="AO36" s="73" t="s">
        <v>950</v>
      </c>
      <c r="AP36" s="73" t="s">
        <v>950</v>
      </c>
      <c r="AQ36" s="73" t="s">
        <v>950</v>
      </c>
      <c r="AR36" s="73" t="s">
        <v>950</v>
      </c>
      <c r="AS36" s="73" t="s">
        <v>586</v>
      </c>
    </row>
    <row r="37" spans="1:45" s="46" customFormat="1" ht="15" hidden="1" customHeight="1">
      <c r="A37" s="78" t="s">
        <v>883</v>
      </c>
      <c r="B37" s="78" t="s">
        <v>884</v>
      </c>
      <c r="C37" s="78" t="s">
        <v>885</v>
      </c>
      <c r="D37" s="78" t="s">
        <v>572</v>
      </c>
      <c r="E37" s="78" t="s">
        <v>573</v>
      </c>
      <c r="F37" s="78">
        <v>2012</v>
      </c>
      <c r="G37" s="78" t="s">
        <v>697</v>
      </c>
      <c r="H37" s="78"/>
      <c r="I37" s="78" t="s">
        <v>950</v>
      </c>
      <c r="J37" s="78" t="s">
        <v>680</v>
      </c>
      <c r="K37" s="79" t="s">
        <v>830</v>
      </c>
      <c r="L37" s="79" t="s">
        <v>689</v>
      </c>
      <c r="M37" s="79" t="s">
        <v>688</v>
      </c>
      <c r="N37" s="79"/>
      <c r="O37" s="79"/>
      <c r="P37" s="79"/>
      <c r="Q37" s="79">
        <v>1</v>
      </c>
      <c r="R37" s="78" t="s">
        <v>728</v>
      </c>
      <c r="S37" s="78">
        <v>24</v>
      </c>
      <c r="T37" s="78">
        <v>24</v>
      </c>
      <c r="U37" s="80" t="s">
        <v>892</v>
      </c>
      <c r="V37" s="78" t="s">
        <v>950</v>
      </c>
      <c r="W37" s="79" t="s">
        <v>273</v>
      </c>
      <c r="X37" s="78" t="s">
        <v>739</v>
      </c>
      <c r="Y37" s="78" t="s">
        <v>950</v>
      </c>
      <c r="Z37" s="78" t="s">
        <v>950</v>
      </c>
      <c r="AA37" s="78" t="s">
        <v>950</v>
      </c>
      <c r="AB37" s="79" t="s">
        <v>696</v>
      </c>
      <c r="AC37" s="78" t="s">
        <v>950</v>
      </c>
      <c r="AD37" s="78" t="s">
        <v>950</v>
      </c>
      <c r="AE37" s="79" t="s">
        <v>504</v>
      </c>
      <c r="AF37" s="81">
        <v>1.57245995193274</v>
      </c>
      <c r="AG37" s="81">
        <v>0.38668766816357991</v>
      </c>
      <c r="AH37" s="81">
        <f t="shared" si="2"/>
        <v>1.8943749536548684</v>
      </c>
      <c r="AI37" s="81"/>
      <c r="AJ37" s="81"/>
      <c r="AK37" s="81"/>
      <c r="AL37" s="81">
        <v>1.1170466405584201</v>
      </c>
      <c r="AM37" s="81">
        <v>0.27517546463418013</v>
      </c>
      <c r="AN37" s="81">
        <f t="shared" si="3"/>
        <v>1.3480789561740387</v>
      </c>
      <c r="AO37" s="78" t="s">
        <v>950</v>
      </c>
      <c r="AP37" s="78" t="s">
        <v>950</v>
      </c>
      <c r="AQ37" s="78" t="s">
        <v>950</v>
      </c>
      <c r="AR37" s="78" t="s">
        <v>950</v>
      </c>
      <c r="AS37" s="78" t="s">
        <v>585</v>
      </c>
    </row>
    <row r="38" spans="1:45" s="46" customFormat="1" ht="15" hidden="1" customHeight="1">
      <c r="A38" s="73" t="s">
        <v>742</v>
      </c>
      <c r="B38" s="73" t="s">
        <v>844</v>
      </c>
      <c r="C38" s="73" t="s">
        <v>741</v>
      </c>
      <c r="D38" s="73" t="s">
        <v>786</v>
      </c>
      <c r="E38" s="73" t="s">
        <v>787</v>
      </c>
      <c r="F38" s="73">
        <v>2012</v>
      </c>
      <c r="G38" s="73" t="s">
        <v>464</v>
      </c>
      <c r="H38" s="73"/>
      <c r="I38" s="73" t="s">
        <v>743</v>
      </c>
      <c r="J38" s="73" t="s">
        <v>832</v>
      </c>
      <c r="K38" s="74" t="s">
        <v>800</v>
      </c>
      <c r="L38" s="74" t="s">
        <v>833</v>
      </c>
      <c r="M38" s="74" t="s">
        <v>1</v>
      </c>
      <c r="N38" s="74"/>
      <c r="O38" s="74">
        <v>1</v>
      </c>
      <c r="P38" s="74"/>
      <c r="Q38" s="74"/>
      <c r="R38" s="73" t="s">
        <v>164</v>
      </c>
      <c r="S38" s="73">
        <v>4</v>
      </c>
      <c r="T38" s="73">
        <v>4</v>
      </c>
      <c r="U38" s="82" t="s">
        <v>730</v>
      </c>
      <c r="V38" s="73" t="s">
        <v>739</v>
      </c>
      <c r="W38" s="73" t="s">
        <v>739</v>
      </c>
      <c r="X38" s="73" t="s">
        <v>739</v>
      </c>
      <c r="Y38" s="73" t="s">
        <v>739</v>
      </c>
      <c r="Z38" s="73" t="s">
        <v>739</v>
      </c>
      <c r="AA38" s="74" t="s">
        <v>759</v>
      </c>
      <c r="AB38" s="73" t="s">
        <v>739</v>
      </c>
      <c r="AC38" s="73" t="s">
        <v>739</v>
      </c>
      <c r="AD38" s="73" t="s">
        <v>950</v>
      </c>
      <c r="AE38" s="73" t="s">
        <v>739</v>
      </c>
      <c r="AF38" s="76">
        <v>7.2492200000000002</v>
      </c>
      <c r="AG38" s="76">
        <v>0.72010999999999969</v>
      </c>
      <c r="AH38" s="83">
        <f t="shared" si="2"/>
        <v>1.4402199999999994</v>
      </c>
      <c r="AI38" s="76"/>
      <c r="AJ38" s="76"/>
      <c r="AK38" s="76"/>
      <c r="AL38" s="76">
        <v>6.1568699999999996</v>
      </c>
      <c r="AM38" s="76">
        <v>0.65115000000000056</v>
      </c>
      <c r="AN38" s="76">
        <f t="shared" si="3"/>
        <v>1.3023000000000011</v>
      </c>
      <c r="AO38" s="73" t="s">
        <v>739</v>
      </c>
      <c r="AP38" s="73" t="s">
        <v>739</v>
      </c>
      <c r="AQ38" s="73" t="s">
        <v>739</v>
      </c>
      <c r="AR38" s="73" t="s">
        <v>739</v>
      </c>
      <c r="AS38" s="73" t="s">
        <v>372</v>
      </c>
    </row>
    <row r="39" spans="1:45" s="46" customFormat="1" ht="15" hidden="1" customHeight="1">
      <c r="A39" s="73" t="s">
        <v>742</v>
      </c>
      <c r="B39" s="73" t="s">
        <v>844</v>
      </c>
      <c r="C39" s="73" t="s">
        <v>741</v>
      </c>
      <c r="D39" s="73" t="s">
        <v>786</v>
      </c>
      <c r="E39" s="73" t="s">
        <v>787</v>
      </c>
      <c r="F39" s="73">
        <v>2012</v>
      </c>
      <c r="G39" s="73" t="s">
        <v>464</v>
      </c>
      <c r="H39" s="73"/>
      <c r="I39" s="73" t="s">
        <v>743</v>
      </c>
      <c r="J39" s="73" t="s">
        <v>505</v>
      </c>
      <c r="K39" s="74" t="s">
        <v>801</v>
      </c>
      <c r="L39" s="74" t="s">
        <v>833</v>
      </c>
      <c r="M39" s="74" t="s">
        <v>887</v>
      </c>
      <c r="N39" s="74"/>
      <c r="O39" s="74">
        <v>1</v>
      </c>
      <c r="P39" s="74"/>
      <c r="Q39" s="74"/>
      <c r="R39" s="73" t="s">
        <v>164</v>
      </c>
      <c r="S39" s="73">
        <v>4</v>
      </c>
      <c r="T39" s="73">
        <v>4</v>
      </c>
      <c r="U39" s="82" t="s">
        <v>730</v>
      </c>
      <c r="V39" s="73" t="s">
        <v>739</v>
      </c>
      <c r="W39" s="73" t="s">
        <v>739</v>
      </c>
      <c r="X39" s="73" t="s">
        <v>739</v>
      </c>
      <c r="Y39" s="73" t="s">
        <v>739</v>
      </c>
      <c r="Z39" s="73" t="s">
        <v>739</v>
      </c>
      <c r="AA39" s="74" t="s">
        <v>727</v>
      </c>
      <c r="AB39" s="73" t="s">
        <v>739</v>
      </c>
      <c r="AC39" s="73" t="s">
        <v>739</v>
      </c>
      <c r="AD39" s="73" t="s">
        <v>950</v>
      </c>
      <c r="AE39" s="73" t="s">
        <v>739</v>
      </c>
      <c r="AF39" s="76">
        <v>7.0597599999999998</v>
      </c>
      <c r="AG39" s="76">
        <v>0.62113000000000007</v>
      </c>
      <c r="AH39" s="76">
        <f t="shared" si="2"/>
        <v>1.2422600000000001</v>
      </c>
      <c r="AI39" s="76"/>
      <c r="AJ39" s="76"/>
      <c r="AK39" s="76"/>
      <c r="AL39" s="76">
        <v>5.8366300000000004</v>
      </c>
      <c r="AM39" s="76">
        <v>0.55397999999999958</v>
      </c>
      <c r="AN39" s="76">
        <f t="shared" si="3"/>
        <v>1.1079599999999992</v>
      </c>
      <c r="AO39" s="73" t="s">
        <v>739</v>
      </c>
      <c r="AP39" s="73" t="s">
        <v>739</v>
      </c>
      <c r="AQ39" s="73" t="s">
        <v>739</v>
      </c>
      <c r="AR39" s="73" t="s">
        <v>739</v>
      </c>
      <c r="AS39" s="73" t="s">
        <v>372</v>
      </c>
    </row>
    <row r="40" spans="1:45" s="46" customFormat="1" ht="15" hidden="1" customHeight="1">
      <c r="A40" s="73" t="s">
        <v>742</v>
      </c>
      <c r="B40" s="73" t="s">
        <v>844</v>
      </c>
      <c r="C40" s="73" t="s">
        <v>741</v>
      </c>
      <c r="D40" s="73" t="s">
        <v>786</v>
      </c>
      <c r="E40" s="73" t="s">
        <v>787</v>
      </c>
      <c r="F40" s="73">
        <v>2012</v>
      </c>
      <c r="G40" s="73" t="s">
        <v>464</v>
      </c>
      <c r="H40" s="73"/>
      <c r="I40" s="73" t="s">
        <v>165</v>
      </c>
      <c r="J40" s="73" t="s">
        <v>679</v>
      </c>
      <c r="K40" s="74" t="s">
        <v>798</v>
      </c>
      <c r="L40" s="74" t="s">
        <v>799</v>
      </c>
      <c r="M40" s="74" t="s">
        <v>802</v>
      </c>
      <c r="N40" s="74"/>
      <c r="O40" s="74"/>
      <c r="P40" s="74">
        <v>1</v>
      </c>
      <c r="Q40" s="74"/>
      <c r="R40" s="73" t="s">
        <v>166</v>
      </c>
      <c r="S40" s="73">
        <v>4</v>
      </c>
      <c r="T40" s="73">
        <v>4</v>
      </c>
      <c r="U40" s="82" t="s">
        <v>730</v>
      </c>
      <c r="V40" s="73" t="s">
        <v>739</v>
      </c>
      <c r="W40" s="73" t="s">
        <v>739</v>
      </c>
      <c r="X40" s="73" t="s">
        <v>739</v>
      </c>
      <c r="Y40" s="73" t="s">
        <v>739</v>
      </c>
      <c r="Z40" s="73" t="s">
        <v>739</v>
      </c>
      <c r="AA40" s="74" t="s">
        <v>759</v>
      </c>
      <c r="AB40" s="73" t="s">
        <v>739</v>
      </c>
      <c r="AC40" s="73" t="s">
        <v>739</v>
      </c>
      <c r="AD40" s="73" t="s">
        <v>950</v>
      </c>
      <c r="AE40" s="73" t="s">
        <v>739</v>
      </c>
      <c r="AF40" s="76">
        <v>6.5408800000000005</v>
      </c>
      <c r="AG40" s="76">
        <v>0.59111999999999987</v>
      </c>
      <c r="AH40" s="76">
        <f t="shared" si="2"/>
        <v>1.1822399999999997</v>
      </c>
      <c r="AI40" s="76"/>
      <c r="AJ40" s="76"/>
      <c r="AK40" s="76"/>
      <c r="AL40" s="76">
        <v>6.1568699999999996</v>
      </c>
      <c r="AM40" s="76">
        <v>0.65115000000000056</v>
      </c>
      <c r="AN40" s="76">
        <f t="shared" si="3"/>
        <v>1.3023000000000011</v>
      </c>
      <c r="AO40" s="73" t="s">
        <v>739</v>
      </c>
      <c r="AP40" s="73" t="s">
        <v>739</v>
      </c>
      <c r="AQ40" s="73" t="s">
        <v>739</v>
      </c>
      <c r="AR40" s="73" t="s">
        <v>739</v>
      </c>
      <c r="AS40" s="73" t="s">
        <v>372</v>
      </c>
    </row>
    <row r="41" spans="1:45" s="46" customFormat="1" ht="15" hidden="1" customHeight="1">
      <c r="A41" s="73" t="s">
        <v>742</v>
      </c>
      <c r="B41" s="73" t="s">
        <v>844</v>
      </c>
      <c r="C41" s="73" t="s">
        <v>741</v>
      </c>
      <c r="D41" s="73" t="s">
        <v>786</v>
      </c>
      <c r="E41" s="73" t="s">
        <v>787</v>
      </c>
      <c r="F41" s="73">
        <v>2012</v>
      </c>
      <c r="G41" s="73" t="s">
        <v>464</v>
      </c>
      <c r="H41" s="73"/>
      <c r="I41" s="73" t="s">
        <v>783</v>
      </c>
      <c r="J41" s="73" t="s">
        <v>1032</v>
      </c>
      <c r="K41" s="74" t="s">
        <v>798</v>
      </c>
      <c r="L41" s="74" t="s">
        <v>799</v>
      </c>
      <c r="M41" s="74" t="s">
        <v>802</v>
      </c>
      <c r="N41" s="74"/>
      <c r="O41" s="74"/>
      <c r="P41" s="74">
        <v>1</v>
      </c>
      <c r="Q41" s="74"/>
      <c r="R41" s="73" t="s">
        <v>166</v>
      </c>
      <c r="S41" s="73">
        <v>4</v>
      </c>
      <c r="T41" s="73">
        <v>4</v>
      </c>
      <c r="U41" s="82" t="s">
        <v>730</v>
      </c>
      <c r="V41" s="73" t="s">
        <v>739</v>
      </c>
      <c r="W41" s="73" t="s">
        <v>739</v>
      </c>
      <c r="X41" s="73" t="s">
        <v>739</v>
      </c>
      <c r="Y41" s="73" t="s">
        <v>739</v>
      </c>
      <c r="Z41" s="73" t="s">
        <v>739</v>
      </c>
      <c r="AA41" s="74" t="s">
        <v>727</v>
      </c>
      <c r="AB41" s="73" t="s">
        <v>739</v>
      </c>
      <c r="AC41" s="73" t="s">
        <v>739</v>
      </c>
      <c r="AD41" s="73" t="s">
        <v>950</v>
      </c>
      <c r="AE41" s="73" t="s">
        <v>739</v>
      </c>
      <c r="AF41" s="76">
        <v>7.26722</v>
      </c>
      <c r="AG41" s="76">
        <v>0.45900999999999931</v>
      </c>
      <c r="AH41" s="76">
        <f t="shared" si="2"/>
        <v>0.91801999999999861</v>
      </c>
      <c r="AI41" s="76"/>
      <c r="AJ41" s="76"/>
      <c r="AK41" s="76"/>
      <c r="AL41" s="76">
        <v>5.8366300000000004</v>
      </c>
      <c r="AM41" s="76">
        <v>0.55397999999999958</v>
      </c>
      <c r="AN41" s="76">
        <f t="shared" si="3"/>
        <v>1.1079599999999992</v>
      </c>
      <c r="AO41" s="73" t="s">
        <v>739</v>
      </c>
      <c r="AP41" s="73" t="s">
        <v>739</v>
      </c>
      <c r="AQ41" s="73" t="s">
        <v>739</v>
      </c>
      <c r="AR41" s="73" t="s">
        <v>739</v>
      </c>
      <c r="AS41" s="73" t="s">
        <v>372</v>
      </c>
    </row>
    <row r="42" spans="1:45" s="46" customFormat="1" ht="15" hidden="1" customHeight="1">
      <c r="A42" s="73" t="s">
        <v>742</v>
      </c>
      <c r="B42" s="73" t="s">
        <v>844</v>
      </c>
      <c r="C42" s="73" t="s">
        <v>741</v>
      </c>
      <c r="D42" s="73" t="s">
        <v>786</v>
      </c>
      <c r="E42" s="73" t="s">
        <v>787</v>
      </c>
      <c r="F42" s="73">
        <v>2012</v>
      </c>
      <c r="G42" s="73" t="s">
        <v>490</v>
      </c>
      <c r="H42" s="73"/>
      <c r="I42" s="73" t="s">
        <v>872</v>
      </c>
      <c r="J42" s="73" t="s">
        <v>1033</v>
      </c>
      <c r="K42" s="74" t="s">
        <v>831</v>
      </c>
      <c r="L42" s="74" t="s">
        <v>890</v>
      </c>
      <c r="M42" s="74" t="s">
        <v>889</v>
      </c>
      <c r="N42" s="74"/>
      <c r="O42" s="74"/>
      <c r="P42" s="74">
        <v>1</v>
      </c>
      <c r="Q42" s="74"/>
      <c r="R42" s="73" t="s">
        <v>873</v>
      </c>
      <c r="S42" s="73">
        <v>4</v>
      </c>
      <c r="T42" s="73">
        <v>4</v>
      </c>
      <c r="U42" s="82" t="s">
        <v>730</v>
      </c>
      <c r="V42" s="73" t="s">
        <v>739</v>
      </c>
      <c r="W42" s="73" t="s">
        <v>739</v>
      </c>
      <c r="X42" s="73" t="s">
        <v>739</v>
      </c>
      <c r="Y42" s="73" t="s">
        <v>739</v>
      </c>
      <c r="Z42" s="73" t="s">
        <v>739</v>
      </c>
      <c r="AA42" s="74" t="s">
        <v>759</v>
      </c>
      <c r="AB42" s="73" t="s">
        <v>739</v>
      </c>
      <c r="AC42" s="73" t="s">
        <v>739</v>
      </c>
      <c r="AD42" s="73" t="s">
        <v>950</v>
      </c>
      <c r="AE42" s="73" t="s">
        <v>739</v>
      </c>
      <c r="AF42" s="76">
        <v>6.9602599999999999</v>
      </c>
      <c r="AG42" s="76">
        <v>0.68651999999999958</v>
      </c>
      <c r="AH42" s="76">
        <f t="shared" si="2"/>
        <v>1.3730399999999992</v>
      </c>
      <c r="AI42" s="76"/>
      <c r="AJ42" s="76"/>
      <c r="AK42" s="76"/>
      <c r="AL42" s="76">
        <v>7.8956599999999995</v>
      </c>
      <c r="AM42" s="76">
        <v>0.42588000000000104</v>
      </c>
      <c r="AN42" s="76">
        <f t="shared" si="3"/>
        <v>0.85176000000000207</v>
      </c>
      <c r="AO42" s="73" t="s">
        <v>739</v>
      </c>
      <c r="AP42" s="73" t="s">
        <v>739</v>
      </c>
      <c r="AQ42" s="73" t="s">
        <v>739</v>
      </c>
      <c r="AR42" s="73" t="s">
        <v>739</v>
      </c>
      <c r="AS42" s="73" t="s">
        <v>372</v>
      </c>
    </row>
    <row r="43" spans="1:45" s="46" customFormat="1" ht="15" hidden="1" customHeight="1">
      <c r="A43" s="73" t="s">
        <v>742</v>
      </c>
      <c r="B43" s="73" t="s">
        <v>844</v>
      </c>
      <c r="C43" s="73" t="s">
        <v>741</v>
      </c>
      <c r="D43" s="73" t="s">
        <v>786</v>
      </c>
      <c r="E43" s="73" t="s">
        <v>787</v>
      </c>
      <c r="F43" s="73">
        <v>2012</v>
      </c>
      <c r="G43" s="73" t="s">
        <v>490</v>
      </c>
      <c r="H43" s="73"/>
      <c r="I43" s="73" t="s">
        <v>872</v>
      </c>
      <c r="J43" s="73" t="s">
        <v>816</v>
      </c>
      <c r="K43" s="74" t="s">
        <v>831</v>
      </c>
      <c r="L43" s="74" t="s">
        <v>890</v>
      </c>
      <c r="M43" s="74" t="s">
        <v>889</v>
      </c>
      <c r="N43" s="74"/>
      <c r="O43" s="74"/>
      <c r="P43" s="74">
        <v>1</v>
      </c>
      <c r="Q43" s="74"/>
      <c r="R43" s="73" t="s">
        <v>873</v>
      </c>
      <c r="S43" s="73">
        <v>4</v>
      </c>
      <c r="T43" s="73">
        <v>4</v>
      </c>
      <c r="U43" s="82" t="s">
        <v>730</v>
      </c>
      <c r="V43" s="73" t="s">
        <v>739</v>
      </c>
      <c r="W43" s="73" t="s">
        <v>739</v>
      </c>
      <c r="X43" s="73" t="s">
        <v>739</v>
      </c>
      <c r="Y43" s="73" t="s">
        <v>739</v>
      </c>
      <c r="Z43" s="73" t="s">
        <v>739</v>
      </c>
      <c r="AA43" s="74" t="s">
        <v>727</v>
      </c>
      <c r="AB43" s="73" t="s">
        <v>739</v>
      </c>
      <c r="AC43" s="73" t="s">
        <v>739</v>
      </c>
      <c r="AD43" s="73" t="s">
        <v>950</v>
      </c>
      <c r="AE43" s="73" t="s">
        <v>739</v>
      </c>
      <c r="AF43" s="76">
        <v>6.9006600000000002</v>
      </c>
      <c r="AG43" s="76">
        <v>0.58667000000000002</v>
      </c>
      <c r="AH43" s="76">
        <f t="shared" si="2"/>
        <v>1.17334</v>
      </c>
      <c r="AI43" s="76"/>
      <c r="AJ43" s="76"/>
      <c r="AK43" s="76"/>
      <c r="AL43" s="76">
        <v>8.0008599999999994</v>
      </c>
      <c r="AM43" s="76">
        <v>0.6215800000000008</v>
      </c>
      <c r="AN43" s="76">
        <f t="shared" si="3"/>
        <v>1.2431600000000016</v>
      </c>
      <c r="AO43" s="73" t="s">
        <v>739</v>
      </c>
      <c r="AP43" s="73" t="s">
        <v>739</v>
      </c>
      <c r="AQ43" s="73" t="s">
        <v>739</v>
      </c>
      <c r="AR43" s="73" t="s">
        <v>739</v>
      </c>
      <c r="AS43" s="73" t="s">
        <v>372</v>
      </c>
    </row>
    <row r="44" spans="1:45" s="46" customFormat="1" ht="15" hidden="1" customHeight="1">
      <c r="A44" s="73" t="s">
        <v>742</v>
      </c>
      <c r="B44" s="73" t="s">
        <v>844</v>
      </c>
      <c r="C44" s="73" t="s">
        <v>741</v>
      </c>
      <c r="D44" s="73" t="s">
        <v>786</v>
      </c>
      <c r="E44" s="73" t="s">
        <v>787</v>
      </c>
      <c r="F44" s="73">
        <v>2012</v>
      </c>
      <c r="G44" s="73" t="s">
        <v>490</v>
      </c>
      <c r="H44" s="73"/>
      <c r="I44" s="73" t="s">
        <v>167</v>
      </c>
      <c r="J44" s="73" t="s">
        <v>681</v>
      </c>
      <c r="K44" s="74" t="s">
        <v>682</v>
      </c>
      <c r="L44" s="74" t="s">
        <v>13</v>
      </c>
      <c r="M44" s="74" t="s">
        <v>919</v>
      </c>
      <c r="N44" s="74"/>
      <c r="O44" s="74">
        <v>1</v>
      </c>
      <c r="P44" s="74"/>
      <c r="Q44" s="74"/>
      <c r="R44" s="73" t="s">
        <v>119</v>
      </c>
      <c r="S44" s="73">
        <v>4</v>
      </c>
      <c r="T44" s="73">
        <v>4</v>
      </c>
      <c r="U44" s="82" t="s">
        <v>730</v>
      </c>
      <c r="V44" s="73" t="s">
        <v>739</v>
      </c>
      <c r="W44" s="73" t="s">
        <v>739</v>
      </c>
      <c r="X44" s="73" t="s">
        <v>739</v>
      </c>
      <c r="Y44" s="73" t="s">
        <v>739</v>
      </c>
      <c r="Z44" s="73" t="s">
        <v>739</v>
      </c>
      <c r="AA44" s="74" t="s">
        <v>759</v>
      </c>
      <c r="AB44" s="73" t="s">
        <v>739</v>
      </c>
      <c r="AC44" s="73" t="s">
        <v>739</v>
      </c>
      <c r="AD44" s="73" t="s">
        <v>950</v>
      </c>
      <c r="AE44" s="73" t="s">
        <v>739</v>
      </c>
      <c r="AF44" s="76">
        <v>8.6528200000000002</v>
      </c>
      <c r="AG44" s="76">
        <v>0.35738000000000103</v>
      </c>
      <c r="AH44" s="76">
        <f t="shared" si="2"/>
        <v>0.71476000000000206</v>
      </c>
      <c r="AI44" s="76"/>
      <c r="AJ44" s="76"/>
      <c r="AK44" s="76"/>
      <c r="AL44" s="76">
        <v>9.0651600000000006</v>
      </c>
      <c r="AM44" s="76">
        <v>0.58888999999999947</v>
      </c>
      <c r="AN44" s="76">
        <f t="shared" si="3"/>
        <v>1.1777799999999989</v>
      </c>
      <c r="AO44" s="73" t="s">
        <v>739</v>
      </c>
      <c r="AP44" s="73" t="s">
        <v>739</v>
      </c>
      <c r="AQ44" s="73" t="s">
        <v>739</v>
      </c>
      <c r="AR44" s="73" t="s">
        <v>739</v>
      </c>
      <c r="AS44" s="73" t="s">
        <v>372</v>
      </c>
    </row>
    <row r="45" spans="1:45" s="46" customFormat="1" ht="15" hidden="1" customHeight="1">
      <c r="A45" s="73" t="s">
        <v>742</v>
      </c>
      <c r="B45" s="73" t="s">
        <v>844</v>
      </c>
      <c r="C45" s="73" t="s">
        <v>741</v>
      </c>
      <c r="D45" s="73" t="s">
        <v>786</v>
      </c>
      <c r="E45" s="73" t="s">
        <v>787</v>
      </c>
      <c r="F45" s="73">
        <v>2012</v>
      </c>
      <c r="G45" s="73" t="s">
        <v>490</v>
      </c>
      <c r="H45" s="73"/>
      <c r="I45" s="73" t="s">
        <v>167</v>
      </c>
      <c r="J45" s="73" t="s">
        <v>1031</v>
      </c>
      <c r="K45" s="74" t="s">
        <v>682</v>
      </c>
      <c r="L45" s="74" t="s">
        <v>13</v>
      </c>
      <c r="M45" s="74" t="s">
        <v>919</v>
      </c>
      <c r="N45" s="74"/>
      <c r="O45" s="74">
        <v>1</v>
      </c>
      <c r="P45" s="74"/>
      <c r="Q45" s="74"/>
      <c r="R45" s="73" t="s">
        <v>119</v>
      </c>
      <c r="S45" s="73">
        <v>4</v>
      </c>
      <c r="T45" s="73">
        <v>4</v>
      </c>
      <c r="U45" s="82" t="s">
        <v>730</v>
      </c>
      <c r="V45" s="73" t="s">
        <v>739</v>
      </c>
      <c r="W45" s="73" t="s">
        <v>739</v>
      </c>
      <c r="X45" s="73" t="s">
        <v>739</v>
      </c>
      <c r="Y45" s="73" t="s">
        <v>739</v>
      </c>
      <c r="Z45" s="73" t="s">
        <v>739</v>
      </c>
      <c r="AA45" s="74" t="s">
        <v>727</v>
      </c>
      <c r="AB45" s="73" t="s">
        <v>739</v>
      </c>
      <c r="AC45" s="73" t="s">
        <v>739</v>
      </c>
      <c r="AD45" s="73" t="s">
        <v>950</v>
      </c>
      <c r="AE45" s="73" t="s">
        <v>739</v>
      </c>
      <c r="AF45" s="76">
        <v>8.6528200000000002</v>
      </c>
      <c r="AG45" s="76">
        <v>0.35738000000000103</v>
      </c>
      <c r="AH45" s="76">
        <f t="shared" si="2"/>
        <v>0.71476000000000206</v>
      </c>
      <c r="AI45" s="76"/>
      <c r="AJ45" s="76"/>
      <c r="AK45" s="76"/>
      <c r="AL45" s="76">
        <v>9.2357399999999998</v>
      </c>
      <c r="AM45" s="76">
        <v>0.55710000000000037</v>
      </c>
      <c r="AN45" s="76">
        <f t="shared" si="3"/>
        <v>1.1142000000000007</v>
      </c>
      <c r="AO45" s="73" t="s">
        <v>739</v>
      </c>
      <c r="AP45" s="73" t="s">
        <v>739</v>
      </c>
      <c r="AQ45" s="73" t="s">
        <v>739</v>
      </c>
      <c r="AR45" s="73" t="s">
        <v>739</v>
      </c>
      <c r="AS45" s="73" t="s">
        <v>372</v>
      </c>
    </row>
    <row r="46" spans="1:45" s="46" customFormat="1" ht="15" hidden="1" customHeight="1">
      <c r="A46" s="73" t="s">
        <v>742</v>
      </c>
      <c r="B46" s="73" t="s">
        <v>844</v>
      </c>
      <c r="C46" s="73" t="s">
        <v>568</v>
      </c>
      <c r="D46" s="73" t="s">
        <v>392</v>
      </c>
      <c r="E46" s="73" t="s">
        <v>245</v>
      </c>
      <c r="F46" s="73">
        <v>2012</v>
      </c>
      <c r="G46" s="73" t="s">
        <v>464</v>
      </c>
      <c r="H46" s="73"/>
      <c r="I46" s="73" t="s">
        <v>743</v>
      </c>
      <c r="J46" s="73" t="s">
        <v>505</v>
      </c>
      <c r="K46" s="74" t="s">
        <v>800</v>
      </c>
      <c r="L46" s="74" t="s">
        <v>685</v>
      </c>
      <c r="M46" s="74" t="s">
        <v>887</v>
      </c>
      <c r="N46" s="74"/>
      <c r="O46" s="74">
        <v>1</v>
      </c>
      <c r="P46" s="74"/>
      <c r="Q46" s="74"/>
      <c r="R46" s="73" t="s">
        <v>164</v>
      </c>
      <c r="S46" s="73">
        <v>4</v>
      </c>
      <c r="T46" s="73">
        <v>4</v>
      </c>
      <c r="U46" s="82" t="s">
        <v>730</v>
      </c>
      <c r="V46" s="73" t="s">
        <v>739</v>
      </c>
      <c r="W46" s="73" t="s">
        <v>739</v>
      </c>
      <c r="X46" s="73" t="s">
        <v>739</v>
      </c>
      <c r="Y46" s="73" t="s">
        <v>739</v>
      </c>
      <c r="Z46" s="73" t="s">
        <v>739</v>
      </c>
      <c r="AA46" s="74" t="s">
        <v>707</v>
      </c>
      <c r="AB46" s="73" t="s">
        <v>739</v>
      </c>
      <c r="AC46" s="73" t="s">
        <v>739</v>
      </c>
      <c r="AD46" s="73" t="s">
        <v>950</v>
      </c>
      <c r="AE46" s="73" t="s">
        <v>739</v>
      </c>
      <c r="AF46" s="76">
        <v>7.1035300000000001</v>
      </c>
      <c r="AG46" s="76">
        <v>0.37586000000000058</v>
      </c>
      <c r="AH46" s="76">
        <f t="shared" ref="AH46:AH77" si="4">AG46*SQRT(S46)</f>
        <v>0.75172000000000117</v>
      </c>
      <c r="AI46" s="76"/>
      <c r="AJ46" s="76"/>
      <c r="AK46" s="76"/>
      <c r="AL46" s="76">
        <v>7.0905200000000006</v>
      </c>
      <c r="AM46" s="76">
        <v>0.69667999999999941</v>
      </c>
      <c r="AN46" s="76">
        <f t="shared" ref="AN46:AN76" si="5">AM46*SQRT(T46)</f>
        <v>1.3933599999999988</v>
      </c>
      <c r="AO46" s="73" t="s">
        <v>739</v>
      </c>
      <c r="AP46" s="73" t="s">
        <v>739</v>
      </c>
      <c r="AQ46" s="73" t="s">
        <v>739</v>
      </c>
      <c r="AR46" s="73" t="s">
        <v>739</v>
      </c>
      <c r="AS46" s="73" t="s">
        <v>372</v>
      </c>
    </row>
    <row r="47" spans="1:45" s="46" customFormat="1" ht="15" hidden="1" customHeight="1">
      <c r="A47" s="73" t="s">
        <v>742</v>
      </c>
      <c r="B47" s="73" t="s">
        <v>844</v>
      </c>
      <c r="C47" s="73" t="s">
        <v>568</v>
      </c>
      <c r="D47" s="73" t="s">
        <v>392</v>
      </c>
      <c r="E47" s="73" t="s">
        <v>245</v>
      </c>
      <c r="F47" s="73">
        <v>2012</v>
      </c>
      <c r="G47" s="73" t="s">
        <v>464</v>
      </c>
      <c r="H47" s="73"/>
      <c r="I47" s="73" t="s">
        <v>743</v>
      </c>
      <c r="J47" s="73" t="s">
        <v>505</v>
      </c>
      <c r="K47" s="74" t="s">
        <v>800</v>
      </c>
      <c r="L47" s="74" t="s">
        <v>685</v>
      </c>
      <c r="M47" s="74" t="s">
        <v>887</v>
      </c>
      <c r="N47" s="74"/>
      <c r="O47" s="74">
        <v>1</v>
      </c>
      <c r="P47" s="74"/>
      <c r="Q47" s="74"/>
      <c r="R47" s="73" t="s">
        <v>164</v>
      </c>
      <c r="S47" s="73">
        <v>4</v>
      </c>
      <c r="T47" s="73">
        <v>4</v>
      </c>
      <c r="U47" s="82" t="s">
        <v>730</v>
      </c>
      <c r="V47" s="73" t="s">
        <v>739</v>
      </c>
      <c r="W47" s="73" t="s">
        <v>739</v>
      </c>
      <c r="X47" s="73" t="s">
        <v>739</v>
      </c>
      <c r="Y47" s="73" t="s">
        <v>739</v>
      </c>
      <c r="Z47" s="73" t="s">
        <v>739</v>
      </c>
      <c r="AA47" s="74" t="s">
        <v>727</v>
      </c>
      <c r="AB47" s="73" t="s">
        <v>739</v>
      </c>
      <c r="AC47" s="73" t="s">
        <v>739</v>
      </c>
      <c r="AD47" s="73" t="s">
        <v>950</v>
      </c>
      <c r="AE47" s="73" t="s">
        <v>739</v>
      </c>
      <c r="AF47" s="76">
        <v>7.5192100000000002</v>
      </c>
      <c r="AG47" s="76">
        <v>0.37614999999999965</v>
      </c>
      <c r="AH47" s="76">
        <f t="shared" si="4"/>
        <v>0.7522999999999993</v>
      </c>
      <c r="AI47" s="76"/>
      <c r="AJ47" s="76"/>
      <c r="AK47" s="76"/>
      <c r="AL47" s="76">
        <v>7.6301000000000005</v>
      </c>
      <c r="AM47" s="76">
        <v>0.53698999999999975</v>
      </c>
      <c r="AN47" s="76">
        <f t="shared" si="5"/>
        <v>1.0739799999999995</v>
      </c>
      <c r="AO47" s="73" t="s">
        <v>739</v>
      </c>
      <c r="AP47" s="73" t="s">
        <v>739</v>
      </c>
      <c r="AQ47" s="73" t="s">
        <v>739</v>
      </c>
      <c r="AR47" s="73" t="s">
        <v>739</v>
      </c>
      <c r="AS47" s="73" t="s">
        <v>372</v>
      </c>
    </row>
    <row r="48" spans="1:45" s="46" customFormat="1" ht="15" hidden="1" customHeight="1">
      <c r="A48" s="73" t="s">
        <v>742</v>
      </c>
      <c r="B48" s="73" t="s">
        <v>844</v>
      </c>
      <c r="C48" s="73" t="s">
        <v>568</v>
      </c>
      <c r="D48" s="73" t="s">
        <v>392</v>
      </c>
      <c r="E48" s="73" t="s">
        <v>245</v>
      </c>
      <c r="F48" s="73">
        <v>2012</v>
      </c>
      <c r="G48" s="73" t="s">
        <v>464</v>
      </c>
      <c r="H48" s="73"/>
      <c r="I48" s="73" t="s">
        <v>165</v>
      </c>
      <c r="J48" s="73" t="s">
        <v>1032</v>
      </c>
      <c r="K48" s="74" t="s">
        <v>798</v>
      </c>
      <c r="L48" s="74" t="s">
        <v>799</v>
      </c>
      <c r="M48" s="74" t="s">
        <v>802</v>
      </c>
      <c r="N48" s="74"/>
      <c r="O48" s="74"/>
      <c r="P48" s="74">
        <v>1</v>
      </c>
      <c r="Q48" s="74"/>
      <c r="R48" s="73" t="s">
        <v>166</v>
      </c>
      <c r="S48" s="73">
        <v>4</v>
      </c>
      <c r="T48" s="73">
        <v>4</v>
      </c>
      <c r="U48" s="82" t="s">
        <v>730</v>
      </c>
      <c r="V48" s="73" t="s">
        <v>739</v>
      </c>
      <c r="W48" s="73" t="s">
        <v>739</v>
      </c>
      <c r="X48" s="73" t="s">
        <v>739</v>
      </c>
      <c r="Y48" s="73" t="s">
        <v>739</v>
      </c>
      <c r="Z48" s="73" t="s">
        <v>739</v>
      </c>
      <c r="AA48" s="74" t="s">
        <v>707</v>
      </c>
      <c r="AB48" s="73" t="s">
        <v>739</v>
      </c>
      <c r="AC48" s="73" t="s">
        <v>739</v>
      </c>
      <c r="AD48" s="73" t="s">
        <v>950</v>
      </c>
      <c r="AE48" s="73" t="s">
        <v>739</v>
      </c>
      <c r="AF48" s="76">
        <v>7.5192100000000002</v>
      </c>
      <c r="AG48" s="76">
        <v>0.37614999999999965</v>
      </c>
      <c r="AH48" s="76">
        <f t="shared" si="4"/>
        <v>0.7522999999999993</v>
      </c>
      <c r="AI48" s="76"/>
      <c r="AJ48" s="76"/>
      <c r="AK48" s="76"/>
      <c r="AL48" s="76">
        <v>7.0905200000000006</v>
      </c>
      <c r="AM48" s="76">
        <v>0.69667999999999941</v>
      </c>
      <c r="AN48" s="76">
        <f t="shared" si="5"/>
        <v>1.3933599999999988</v>
      </c>
      <c r="AO48" s="73" t="s">
        <v>739</v>
      </c>
      <c r="AP48" s="73" t="s">
        <v>739</v>
      </c>
      <c r="AQ48" s="73" t="s">
        <v>739</v>
      </c>
      <c r="AR48" s="73" t="s">
        <v>739</v>
      </c>
      <c r="AS48" s="73" t="s">
        <v>372</v>
      </c>
    </row>
    <row r="49" spans="1:45" s="46" customFormat="1" ht="15" hidden="1" customHeight="1">
      <c r="A49" s="73" t="s">
        <v>742</v>
      </c>
      <c r="B49" s="73" t="s">
        <v>844</v>
      </c>
      <c r="C49" s="73" t="s">
        <v>568</v>
      </c>
      <c r="D49" s="73" t="s">
        <v>392</v>
      </c>
      <c r="E49" s="73" t="s">
        <v>245</v>
      </c>
      <c r="F49" s="73">
        <v>2012</v>
      </c>
      <c r="G49" s="73" t="s">
        <v>464</v>
      </c>
      <c r="H49" s="73"/>
      <c r="I49" s="73" t="s">
        <v>783</v>
      </c>
      <c r="J49" s="73" t="s">
        <v>1032</v>
      </c>
      <c r="K49" s="74" t="s">
        <v>798</v>
      </c>
      <c r="L49" s="74" t="s">
        <v>799</v>
      </c>
      <c r="M49" s="74" t="s">
        <v>802</v>
      </c>
      <c r="N49" s="74"/>
      <c r="O49" s="74"/>
      <c r="P49" s="74">
        <v>1</v>
      </c>
      <c r="Q49" s="74"/>
      <c r="R49" s="73" t="s">
        <v>166</v>
      </c>
      <c r="S49" s="73">
        <v>4</v>
      </c>
      <c r="T49" s="73">
        <v>4</v>
      </c>
      <c r="U49" s="82" t="s">
        <v>730</v>
      </c>
      <c r="V49" s="73" t="s">
        <v>739</v>
      </c>
      <c r="W49" s="73" t="s">
        <v>739</v>
      </c>
      <c r="X49" s="73" t="s">
        <v>739</v>
      </c>
      <c r="Y49" s="73" t="s">
        <v>739</v>
      </c>
      <c r="Z49" s="73" t="s">
        <v>739</v>
      </c>
      <c r="AA49" s="74" t="s">
        <v>727</v>
      </c>
      <c r="AB49" s="73" t="s">
        <v>739</v>
      </c>
      <c r="AC49" s="73" t="s">
        <v>739</v>
      </c>
      <c r="AD49" s="73" t="s">
        <v>950</v>
      </c>
      <c r="AE49" s="73" t="s">
        <v>739</v>
      </c>
      <c r="AF49" s="76">
        <v>7.5768399999999998</v>
      </c>
      <c r="AG49" s="76">
        <v>0.88490999999999986</v>
      </c>
      <c r="AH49" s="76">
        <f t="shared" si="4"/>
        <v>1.7698199999999997</v>
      </c>
      <c r="AI49" s="76"/>
      <c r="AJ49" s="76"/>
      <c r="AK49" s="76"/>
      <c r="AL49" s="76">
        <v>7.6301000000000005</v>
      </c>
      <c r="AM49" s="76">
        <v>0.53698999999999975</v>
      </c>
      <c r="AN49" s="76">
        <f t="shared" si="5"/>
        <v>1.0739799999999995</v>
      </c>
      <c r="AO49" s="73" t="s">
        <v>739</v>
      </c>
      <c r="AP49" s="73" t="s">
        <v>739</v>
      </c>
      <c r="AQ49" s="73" t="s">
        <v>739</v>
      </c>
      <c r="AR49" s="73" t="s">
        <v>739</v>
      </c>
      <c r="AS49" s="73" t="s">
        <v>372</v>
      </c>
    </row>
    <row r="50" spans="1:45" s="46" customFormat="1" ht="15" hidden="1" customHeight="1">
      <c r="A50" s="73" t="s">
        <v>742</v>
      </c>
      <c r="B50" s="73" t="s">
        <v>844</v>
      </c>
      <c r="C50" s="73" t="s">
        <v>568</v>
      </c>
      <c r="D50" s="73" t="s">
        <v>392</v>
      </c>
      <c r="E50" s="73" t="s">
        <v>245</v>
      </c>
      <c r="F50" s="73">
        <v>2012</v>
      </c>
      <c r="G50" s="73" t="s">
        <v>490</v>
      </c>
      <c r="H50" s="73"/>
      <c r="I50" s="73" t="s">
        <v>872</v>
      </c>
      <c r="J50" s="73" t="s">
        <v>1033</v>
      </c>
      <c r="K50" s="74" t="s">
        <v>831</v>
      </c>
      <c r="L50" s="74" t="s">
        <v>890</v>
      </c>
      <c r="M50" s="74" t="s">
        <v>889</v>
      </c>
      <c r="N50" s="74"/>
      <c r="O50" s="74"/>
      <c r="P50" s="74">
        <v>1</v>
      </c>
      <c r="Q50" s="74"/>
      <c r="R50" s="73" t="s">
        <v>873</v>
      </c>
      <c r="S50" s="73">
        <v>4</v>
      </c>
      <c r="T50" s="73">
        <v>4</v>
      </c>
      <c r="U50" s="82" t="s">
        <v>730</v>
      </c>
      <c r="V50" s="73" t="s">
        <v>739</v>
      </c>
      <c r="W50" s="73" t="s">
        <v>739</v>
      </c>
      <c r="X50" s="73" t="s">
        <v>739</v>
      </c>
      <c r="Y50" s="73" t="s">
        <v>739</v>
      </c>
      <c r="Z50" s="73" t="s">
        <v>739</v>
      </c>
      <c r="AA50" s="74" t="s">
        <v>707</v>
      </c>
      <c r="AB50" s="73" t="s">
        <v>739</v>
      </c>
      <c r="AC50" s="73" t="s">
        <v>739</v>
      </c>
      <c r="AD50" s="73" t="s">
        <v>950</v>
      </c>
      <c r="AE50" s="73" t="s">
        <v>739</v>
      </c>
      <c r="AF50" s="76">
        <v>8.3770900000000008</v>
      </c>
      <c r="AG50" s="76">
        <v>0.13431999999999972</v>
      </c>
      <c r="AH50" s="76">
        <f t="shared" si="4"/>
        <v>0.26863999999999943</v>
      </c>
      <c r="AI50" s="76"/>
      <c r="AJ50" s="76"/>
      <c r="AK50" s="76"/>
      <c r="AL50" s="76">
        <v>7.5598799999999997</v>
      </c>
      <c r="AM50" s="76">
        <v>0.77739000000000036</v>
      </c>
      <c r="AN50" s="76">
        <f t="shared" si="5"/>
        <v>1.5547800000000007</v>
      </c>
      <c r="AO50" s="73" t="s">
        <v>739</v>
      </c>
      <c r="AP50" s="73" t="s">
        <v>739</v>
      </c>
      <c r="AQ50" s="73" t="s">
        <v>739</v>
      </c>
      <c r="AR50" s="73" t="s">
        <v>739</v>
      </c>
      <c r="AS50" s="73" t="s">
        <v>372</v>
      </c>
    </row>
    <row r="51" spans="1:45" s="46" customFormat="1" ht="15" hidden="1" customHeight="1">
      <c r="A51" s="73" t="s">
        <v>742</v>
      </c>
      <c r="B51" s="73" t="s">
        <v>844</v>
      </c>
      <c r="C51" s="73" t="s">
        <v>568</v>
      </c>
      <c r="D51" s="73" t="s">
        <v>392</v>
      </c>
      <c r="E51" s="73" t="s">
        <v>245</v>
      </c>
      <c r="F51" s="73">
        <v>2012</v>
      </c>
      <c r="G51" s="73" t="s">
        <v>490</v>
      </c>
      <c r="H51" s="73"/>
      <c r="I51" s="73" t="s">
        <v>872</v>
      </c>
      <c r="J51" s="73" t="s">
        <v>1033</v>
      </c>
      <c r="K51" s="74" t="s">
        <v>831</v>
      </c>
      <c r="L51" s="74" t="s">
        <v>890</v>
      </c>
      <c r="M51" s="74" t="s">
        <v>889</v>
      </c>
      <c r="N51" s="74"/>
      <c r="O51" s="74"/>
      <c r="P51" s="74">
        <v>1</v>
      </c>
      <c r="Q51" s="74"/>
      <c r="R51" s="73" t="s">
        <v>873</v>
      </c>
      <c r="S51" s="73">
        <v>4</v>
      </c>
      <c r="T51" s="73">
        <v>4</v>
      </c>
      <c r="U51" s="82" t="s">
        <v>730</v>
      </c>
      <c r="V51" s="73" t="s">
        <v>739</v>
      </c>
      <c r="W51" s="73" t="s">
        <v>739</v>
      </c>
      <c r="X51" s="73" t="s">
        <v>739</v>
      </c>
      <c r="Y51" s="73" t="s">
        <v>739</v>
      </c>
      <c r="Z51" s="73" t="s">
        <v>739</v>
      </c>
      <c r="AA51" s="74" t="s">
        <v>727</v>
      </c>
      <c r="AB51" s="73" t="s">
        <v>739</v>
      </c>
      <c r="AC51" s="73" t="s">
        <v>739</v>
      </c>
      <c r="AD51" s="73" t="s">
        <v>950</v>
      </c>
      <c r="AE51" s="73" t="s">
        <v>739</v>
      </c>
      <c r="AF51" s="76">
        <v>8.3813999999999993</v>
      </c>
      <c r="AG51" s="76">
        <v>8.0710000000000948E-2</v>
      </c>
      <c r="AH51" s="76">
        <f t="shared" si="4"/>
        <v>0.1614200000000019</v>
      </c>
      <c r="AI51" s="76"/>
      <c r="AJ51" s="76"/>
      <c r="AK51" s="76"/>
      <c r="AL51" s="76">
        <v>8.7165900000000001</v>
      </c>
      <c r="AM51" s="76">
        <v>0.80448999999999982</v>
      </c>
      <c r="AN51" s="76">
        <f t="shared" si="5"/>
        <v>1.6089799999999996</v>
      </c>
      <c r="AO51" s="73" t="s">
        <v>739</v>
      </c>
      <c r="AP51" s="73" t="s">
        <v>739</v>
      </c>
      <c r="AQ51" s="73" t="s">
        <v>739</v>
      </c>
      <c r="AR51" s="73" t="s">
        <v>739</v>
      </c>
      <c r="AS51" s="73" t="s">
        <v>372</v>
      </c>
    </row>
    <row r="52" spans="1:45" s="46" customFormat="1" ht="15" hidden="1" customHeight="1">
      <c r="A52" s="73" t="s">
        <v>742</v>
      </c>
      <c r="B52" s="73" t="s">
        <v>844</v>
      </c>
      <c r="C52" s="73" t="s">
        <v>568</v>
      </c>
      <c r="D52" s="73" t="s">
        <v>392</v>
      </c>
      <c r="E52" s="73" t="s">
        <v>245</v>
      </c>
      <c r="F52" s="73">
        <v>2012</v>
      </c>
      <c r="G52" s="73" t="s">
        <v>490</v>
      </c>
      <c r="H52" s="73"/>
      <c r="I52" s="73" t="s">
        <v>167</v>
      </c>
      <c r="J52" s="73" t="s">
        <v>1031</v>
      </c>
      <c r="K52" s="74" t="s">
        <v>682</v>
      </c>
      <c r="L52" s="74" t="s">
        <v>13</v>
      </c>
      <c r="M52" s="74" t="s">
        <v>919</v>
      </c>
      <c r="N52" s="74"/>
      <c r="O52" s="74">
        <v>1</v>
      </c>
      <c r="P52" s="74"/>
      <c r="Q52" s="74"/>
      <c r="R52" s="73" t="s">
        <v>119</v>
      </c>
      <c r="S52" s="73">
        <v>4</v>
      </c>
      <c r="T52" s="73">
        <v>4</v>
      </c>
      <c r="U52" s="82" t="s">
        <v>730</v>
      </c>
      <c r="V52" s="73" t="s">
        <v>739</v>
      </c>
      <c r="W52" s="73" t="s">
        <v>739</v>
      </c>
      <c r="X52" s="73" t="s">
        <v>739</v>
      </c>
      <c r="Y52" s="73" t="s">
        <v>739</v>
      </c>
      <c r="Z52" s="73" t="s">
        <v>739</v>
      </c>
      <c r="AA52" s="74" t="s">
        <v>707</v>
      </c>
      <c r="AB52" s="73" t="s">
        <v>739</v>
      </c>
      <c r="AC52" s="73" t="s">
        <v>739</v>
      </c>
      <c r="AD52" s="73" t="s">
        <v>950</v>
      </c>
      <c r="AE52" s="73" t="s">
        <v>739</v>
      </c>
      <c r="AF52" s="76">
        <v>7.78742</v>
      </c>
      <c r="AG52" s="76">
        <v>0.42775000000000002</v>
      </c>
      <c r="AH52" s="76">
        <f t="shared" si="4"/>
        <v>0.85550000000000004</v>
      </c>
      <c r="AI52" s="76"/>
      <c r="AJ52" s="76"/>
      <c r="AK52" s="76"/>
      <c r="AL52" s="76">
        <v>9.0069400000000002</v>
      </c>
      <c r="AM52" s="76">
        <v>0.45685999999999877</v>
      </c>
      <c r="AN52" s="76">
        <f t="shared" si="5"/>
        <v>0.91371999999999753</v>
      </c>
      <c r="AO52" s="73" t="s">
        <v>739</v>
      </c>
      <c r="AP52" s="73" t="s">
        <v>739</v>
      </c>
      <c r="AQ52" s="73" t="s">
        <v>739</v>
      </c>
      <c r="AR52" s="73" t="s">
        <v>739</v>
      </c>
      <c r="AS52" s="73" t="s">
        <v>372</v>
      </c>
    </row>
    <row r="53" spans="1:45" s="46" customFormat="1" ht="15" hidden="1" customHeight="1">
      <c r="A53" s="73" t="s">
        <v>742</v>
      </c>
      <c r="B53" s="73" t="s">
        <v>844</v>
      </c>
      <c r="C53" s="73" t="s">
        <v>568</v>
      </c>
      <c r="D53" s="73" t="s">
        <v>392</v>
      </c>
      <c r="E53" s="73" t="s">
        <v>245</v>
      </c>
      <c r="F53" s="73">
        <v>2012</v>
      </c>
      <c r="G53" s="73" t="s">
        <v>490</v>
      </c>
      <c r="H53" s="73"/>
      <c r="I53" s="73" t="s">
        <v>167</v>
      </c>
      <c r="J53" s="73" t="s">
        <v>1031</v>
      </c>
      <c r="K53" s="74" t="s">
        <v>682</v>
      </c>
      <c r="L53" s="74" t="s">
        <v>13</v>
      </c>
      <c r="M53" s="74" t="s">
        <v>919</v>
      </c>
      <c r="N53" s="74"/>
      <c r="O53" s="74">
        <v>1</v>
      </c>
      <c r="P53" s="74"/>
      <c r="Q53" s="74"/>
      <c r="R53" s="73" t="s">
        <v>119</v>
      </c>
      <c r="S53" s="73">
        <v>4</v>
      </c>
      <c r="T53" s="73">
        <v>4</v>
      </c>
      <c r="U53" s="82" t="s">
        <v>730</v>
      </c>
      <c r="V53" s="73" t="s">
        <v>739</v>
      </c>
      <c r="W53" s="73" t="s">
        <v>739</v>
      </c>
      <c r="X53" s="73" t="s">
        <v>739</v>
      </c>
      <c r="Y53" s="73" t="s">
        <v>739</v>
      </c>
      <c r="Z53" s="73" t="s">
        <v>739</v>
      </c>
      <c r="AA53" s="74" t="s">
        <v>727</v>
      </c>
      <c r="AB53" s="73" t="s">
        <v>739</v>
      </c>
      <c r="AC53" s="73" t="s">
        <v>739</v>
      </c>
      <c r="AD53" s="73" t="s">
        <v>950</v>
      </c>
      <c r="AE53" s="73" t="s">
        <v>739</v>
      </c>
      <c r="AF53" s="76">
        <v>7.8459200000000004</v>
      </c>
      <c r="AG53" s="76">
        <v>0.375</v>
      </c>
      <c r="AH53" s="76">
        <f t="shared" si="4"/>
        <v>0.75</v>
      </c>
      <c r="AI53" s="76"/>
      <c r="AJ53" s="76"/>
      <c r="AK53" s="76"/>
      <c r="AL53" s="76">
        <v>8.6898600000000012</v>
      </c>
      <c r="AM53" s="76">
        <v>0.40209000000000017</v>
      </c>
      <c r="AN53" s="76">
        <f t="shared" si="5"/>
        <v>0.80418000000000034</v>
      </c>
      <c r="AO53" s="73" t="s">
        <v>739</v>
      </c>
      <c r="AP53" s="73" t="s">
        <v>739</v>
      </c>
      <c r="AQ53" s="73" t="s">
        <v>739</v>
      </c>
      <c r="AR53" s="73" t="s">
        <v>739</v>
      </c>
      <c r="AS53" s="73" t="s">
        <v>372</v>
      </c>
    </row>
    <row r="54" spans="1:45" s="46" customFormat="1" ht="15" hidden="1" customHeight="1">
      <c r="A54" s="73" t="s">
        <v>742</v>
      </c>
      <c r="B54" s="73" t="s">
        <v>844</v>
      </c>
      <c r="C54" s="73" t="s">
        <v>741</v>
      </c>
      <c r="D54" s="73" t="s">
        <v>786</v>
      </c>
      <c r="E54" s="73" t="s">
        <v>787</v>
      </c>
      <c r="F54" s="73">
        <v>2013</v>
      </c>
      <c r="G54" s="73" t="s">
        <v>649</v>
      </c>
      <c r="H54" s="73"/>
      <c r="I54" s="73" t="s">
        <v>536</v>
      </c>
      <c r="J54" s="73" t="s">
        <v>650</v>
      </c>
      <c r="K54" s="74" t="s">
        <v>871</v>
      </c>
      <c r="L54" s="74" t="s">
        <v>833</v>
      </c>
      <c r="M54" s="74" t="s">
        <v>526</v>
      </c>
      <c r="N54" s="74"/>
      <c r="O54" s="74">
        <v>1</v>
      </c>
      <c r="P54" s="74"/>
      <c r="Q54" s="74"/>
      <c r="R54" s="73" t="s">
        <v>524</v>
      </c>
      <c r="S54" s="73">
        <v>4</v>
      </c>
      <c r="T54" s="73">
        <v>4</v>
      </c>
      <c r="U54" s="82" t="s">
        <v>730</v>
      </c>
      <c r="V54" s="73" t="s">
        <v>739</v>
      </c>
      <c r="W54" s="73" t="s">
        <v>739</v>
      </c>
      <c r="X54" s="73" t="s">
        <v>739</v>
      </c>
      <c r="Y54" s="73" t="s">
        <v>739</v>
      </c>
      <c r="Z54" s="73" t="s">
        <v>739</v>
      </c>
      <c r="AA54" s="74" t="s">
        <v>638</v>
      </c>
      <c r="AB54" s="73" t="s">
        <v>739</v>
      </c>
      <c r="AC54" s="73" t="s">
        <v>739</v>
      </c>
      <c r="AD54" s="73" t="s">
        <v>950</v>
      </c>
      <c r="AE54" s="73" t="s">
        <v>739</v>
      </c>
      <c r="AF54" s="76">
        <v>5.82369</v>
      </c>
      <c r="AG54" s="76">
        <v>1.2753900000000002</v>
      </c>
      <c r="AH54" s="76">
        <f t="shared" si="4"/>
        <v>2.5507800000000005</v>
      </c>
      <c r="AI54" s="76"/>
      <c r="AJ54" s="76"/>
      <c r="AK54" s="76"/>
      <c r="AL54" s="76">
        <v>7.8023100000000003</v>
      </c>
      <c r="AM54" s="76">
        <v>0.67725999999999931</v>
      </c>
      <c r="AN54" s="76">
        <f t="shared" si="5"/>
        <v>1.3545199999999986</v>
      </c>
      <c r="AO54" s="73" t="s">
        <v>739</v>
      </c>
      <c r="AP54" s="73" t="s">
        <v>739</v>
      </c>
      <c r="AQ54" s="73" t="s">
        <v>739</v>
      </c>
      <c r="AR54" s="73" t="s">
        <v>739</v>
      </c>
      <c r="AS54" s="73" t="s">
        <v>372</v>
      </c>
    </row>
    <row r="55" spans="1:45" s="46" customFormat="1" ht="15" hidden="1" customHeight="1">
      <c r="A55" s="73" t="s">
        <v>742</v>
      </c>
      <c r="B55" s="73" t="s">
        <v>844</v>
      </c>
      <c r="C55" s="73" t="s">
        <v>741</v>
      </c>
      <c r="D55" s="73" t="s">
        <v>786</v>
      </c>
      <c r="E55" s="73" t="s">
        <v>787</v>
      </c>
      <c r="F55" s="73">
        <v>2013</v>
      </c>
      <c r="G55" s="73" t="s">
        <v>649</v>
      </c>
      <c r="H55" s="73"/>
      <c r="I55" s="73" t="s">
        <v>536</v>
      </c>
      <c r="J55" s="73" t="s">
        <v>650</v>
      </c>
      <c r="K55" s="74" t="s">
        <v>871</v>
      </c>
      <c r="L55" s="74" t="s">
        <v>833</v>
      </c>
      <c r="M55" s="74" t="s">
        <v>526</v>
      </c>
      <c r="N55" s="74"/>
      <c r="O55" s="74">
        <v>1</v>
      </c>
      <c r="P55" s="74"/>
      <c r="Q55" s="74"/>
      <c r="R55" s="73" t="s">
        <v>524</v>
      </c>
      <c r="S55" s="73">
        <v>4</v>
      </c>
      <c r="T55" s="73">
        <v>4</v>
      </c>
      <c r="U55" s="82" t="s">
        <v>730</v>
      </c>
      <c r="V55" s="73" t="s">
        <v>739</v>
      </c>
      <c r="W55" s="73" t="s">
        <v>739</v>
      </c>
      <c r="X55" s="73" t="s">
        <v>739</v>
      </c>
      <c r="Y55" s="73" t="s">
        <v>739</v>
      </c>
      <c r="Z55" s="73" t="s">
        <v>739</v>
      </c>
      <c r="AA55" s="74" t="s">
        <v>727</v>
      </c>
      <c r="AB55" s="73" t="s">
        <v>739</v>
      </c>
      <c r="AC55" s="73" t="s">
        <v>739</v>
      </c>
      <c r="AD55" s="73" t="s">
        <v>950</v>
      </c>
      <c r="AE55" s="73" t="s">
        <v>739</v>
      </c>
      <c r="AF55" s="76">
        <v>6.9172200000000004</v>
      </c>
      <c r="AG55" s="76">
        <v>0.81305999999999945</v>
      </c>
      <c r="AH55" s="76">
        <f t="shared" si="4"/>
        <v>1.6261199999999989</v>
      </c>
      <c r="AI55" s="76"/>
      <c r="AJ55" s="76"/>
      <c r="AK55" s="76"/>
      <c r="AL55" s="76">
        <v>7.7544899999999997</v>
      </c>
      <c r="AM55" s="76">
        <v>0.45996000000000092</v>
      </c>
      <c r="AN55" s="76">
        <f t="shared" si="5"/>
        <v>0.91992000000000185</v>
      </c>
      <c r="AO55" s="73" t="s">
        <v>739</v>
      </c>
      <c r="AP55" s="73" t="s">
        <v>739</v>
      </c>
      <c r="AQ55" s="73" t="s">
        <v>739</v>
      </c>
      <c r="AR55" s="73" t="s">
        <v>739</v>
      </c>
      <c r="AS55" s="73" t="s">
        <v>372</v>
      </c>
    </row>
    <row r="56" spans="1:45" s="46" customFormat="1" ht="15" hidden="1" customHeight="1">
      <c r="A56" s="73" t="s">
        <v>742</v>
      </c>
      <c r="B56" s="73" t="s">
        <v>844</v>
      </c>
      <c r="C56" s="73" t="s">
        <v>741</v>
      </c>
      <c r="D56" s="73" t="s">
        <v>786</v>
      </c>
      <c r="E56" s="73" t="s">
        <v>787</v>
      </c>
      <c r="F56" s="73">
        <v>2013</v>
      </c>
      <c r="G56" s="73" t="s">
        <v>649</v>
      </c>
      <c r="H56" s="73"/>
      <c r="I56" s="73" t="s">
        <v>644</v>
      </c>
      <c r="J56" s="73" t="s">
        <v>251</v>
      </c>
      <c r="K56" s="74" t="s">
        <v>870</v>
      </c>
      <c r="L56" s="74" t="s">
        <v>799</v>
      </c>
      <c r="M56" s="74" t="s">
        <v>802</v>
      </c>
      <c r="N56" s="74"/>
      <c r="O56" s="74"/>
      <c r="P56" s="74">
        <v>1</v>
      </c>
      <c r="Q56" s="74"/>
      <c r="R56" s="73" t="s">
        <v>524</v>
      </c>
      <c r="S56" s="73">
        <v>4</v>
      </c>
      <c r="T56" s="73">
        <v>4</v>
      </c>
      <c r="U56" s="82" t="s">
        <v>730</v>
      </c>
      <c r="V56" s="73" t="s">
        <v>739</v>
      </c>
      <c r="W56" s="73" t="s">
        <v>739</v>
      </c>
      <c r="X56" s="73" t="s">
        <v>739</v>
      </c>
      <c r="Y56" s="73" t="s">
        <v>739</v>
      </c>
      <c r="Z56" s="73" t="s">
        <v>739</v>
      </c>
      <c r="AA56" s="74" t="s">
        <v>638</v>
      </c>
      <c r="AB56" s="73" t="s">
        <v>739</v>
      </c>
      <c r="AC56" s="73" t="s">
        <v>739</v>
      </c>
      <c r="AD56" s="73" t="s">
        <v>950</v>
      </c>
      <c r="AE56" s="73" t="s">
        <v>739</v>
      </c>
      <c r="AF56" s="76">
        <v>8.7364200000000007</v>
      </c>
      <c r="AG56" s="76">
        <v>0.29699999999999999</v>
      </c>
      <c r="AH56" s="76">
        <f t="shared" si="4"/>
        <v>0.59399999999999997</v>
      </c>
      <c r="AI56" s="76"/>
      <c r="AJ56" s="76"/>
      <c r="AK56" s="76"/>
      <c r="AL56" s="76">
        <v>7.8023100000000003</v>
      </c>
      <c r="AM56" s="76">
        <v>0.67725999999999931</v>
      </c>
      <c r="AN56" s="76">
        <f t="shared" si="5"/>
        <v>1.3545199999999986</v>
      </c>
      <c r="AO56" s="73" t="s">
        <v>739</v>
      </c>
      <c r="AP56" s="73" t="s">
        <v>739</v>
      </c>
      <c r="AQ56" s="73" t="s">
        <v>739</v>
      </c>
      <c r="AR56" s="73" t="s">
        <v>739</v>
      </c>
      <c r="AS56" s="73" t="s">
        <v>372</v>
      </c>
    </row>
    <row r="57" spans="1:45" s="46" customFormat="1" ht="15" hidden="1" customHeight="1">
      <c r="A57" s="73" t="s">
        <v>742</v>
      </c>
      <c r="B57" s="73" t="s">
        <v>844</v>
      </c>
      <c r="C57" s="73" t="s">
        <v>741</v>
      </c>
      <c r="D57" s="73" t="s">
        <v>786</v>
      </c>
      <c r="E57" s="73" t="s">
        <v>787</v>
      </c>
      <c r="F57" s="73">
        <v>2013</v>
      </c>
      <c r="G57" s="73" t="s">
        <v>649</v>
      </c>
      <c r="H57" s="73"/>
      <c r="I57" s="73" t="s">
        <v>644</v>
      </c>
      <c r="J57" s="73" t="s">
        <v>251</v>
      </c>
      <c r="K57" s="74" t="s">
        <v>839</v>
      </c>
      <c r="L57" s="74" t="s">
        <v>799</v>
      </c>
      <c r="M57" s="74" t="s">
        <v>802</v>
      </c>
      <c r="N57" s="74"/>
      <c r="O57" s="74"/>
      <c r="P57" s="74">
        <v>1</v>
      </c>
      <c r="Q57" s="74"/>
      <c r="R57" s="73" t="s">
        <v>524</v>
      </c>
      <c r="S57" s="73">
        <v>4</v>
      </c>
      <c r="T57" s="73">
        <v>4</v>
      </c>
      <c r="U57" s="82" t="s">
        <v>730</v>
      </c>
      <c r="V57" s="73" t="s">
        <v>739</v>
      </c>
      <c r="W57" s="73" t="s">
        <v>739</v>
      </c>
      <c r="X57" s="73" t="s">
        <v>739</v>
      </c>
      <c r="Y57" s="73" t="s">
        <v>739</v>
      </c>
      <c r="Z57" s="73" t="s">
        <v>739</v>
      </c>
      <c r="AA57" s="74" t="s">
        <v>727</v>
      </c>
      <c r="AB57" s="73" t="s">
        <v>739</v>
      </c>
      <c r="AC57" s="73" t="s">
        <v>739</v>
      </c>
      <c r="AD57" s="73" t="s">
        <v>950</v>
      </c>
      <c r="AE57" s="73" t="s">
        <v>739</v>
      </c>
      <c r="AF57" s="76">
        <v>7.4379999999999997</v>
      </c>
      <c r="AG57" s="76">
        <v>0.86915999999999982</v>
      </c>
      <c r="AH57" s="76">
        <f t="shared" si="4"/>
        <v>1.7383199999999996</v>
      </c>
      <c r="AI57" s="76"/>
      <c r="AJ57" s="76"/>
      <c r="AK57" s="76"/>
      <c r="AL57" s="76">
        <v>7.7544899999999997</v>
      </c>
      <c r="AM57" s="76">
        <v>0.45996000000000092</v>
      </c>
      <c r="AN57" s="76">
        <f t="shared" si="5"/>
        <v>0.91992000000000185</v>
      </c>
      <c r="AO57" s="73" t="s">
        <v>739</v>
      </c>
      <c r="AP57" s="73" t="s">
        <v>739</v>
      </c>
      <c r="AQ57" s="73" t="s">
        <v>739</v>
      </c>
      <c r="AR57" s="73" t="s">
        <v>739</v>
      </c>
      <c r="AS57" s="73" t="s">
        <v>372</v>
      </c>
    </row>
    <row r="58" spans="1:45" s="46" customFormat="1" ht="15" hidden="1" customHeight="1">
      <c r="A58" s="73" t="s">
        <v>742</v>
      </c>
      <c r="B58" s="73" t="s">
        <v>844</v>
      </c>
      <c r="C58" s="73" t="s">
        <v>741</v>
      </c>
      <c r="D58" s="73" t="s">
        <v>786</v>
      </c>
      <c r="E58" s="73" t="s">
        <v>787</v>
      </c>
      <c r="F58" s="73">
        <v>2013</v>
      </c>
      <c r="G58" s="73" t="s">
        <v>490</v>
      </c>
      <c r="H58" s="73"/>
      <c r="I58" s="73" t="s">
        <v>872</v>
      </c>
      <c r="J58" s="73" t="s">
        <v>1033</v>
      </c>
      <c r="K58" s="74" t="s">
        <v>831</v>
      </c>
      <c r="L58" s="74" t="s">
        <v>890</v>
      </c>
      <c r="M58" s="74" t="s">
        <v>889</v>
      </c>
      <c r="N58" s="74"/>
      <c r="O58" s="74"/>
      <c r="P58" s="74">
        <v>1</v>
      </c>
      <c r="Q58" s="74"/>
      <c r="R58" s="73" t="s">
        <v>645</v>
      </c>
      <c r="S58" s="73">
        <v>4</v>
      </c>
      <c r="T58" s="73">
        <v>4</v>
      </c>
      <c r="U58" s="82" t="s">
        <v>730</v>
      </c>
      <c r="V58" s="73" t="s">
        <v>739</v>
      </c>
      <c r="W58" s="73" t="s">
        <v>739</v>
      </c>
      <c r="X58" s="73" t="s">
        <v>739</v>
      </c>
      <c r="Y58" s="73" t="s">
        <v>739</v>
      </c>
      <c r="Z58" s="73" t="s">
        <v>739</v>
      </c>
      <c r="AA58" s="74" t="s">
        <v>638</v>
      </c>
      <c r="AB58" s="73" t="s">
        <v>739</v>
      </c>
      <c r="AC58" s="73" t="s">
        <v>739</v>
      </c>
      <c r="AD58" s="73" t="s">
        <v>950</v>
      </c>
      <c r="AE58" s="73" t="s">
        <v>739</v>
      </c>
      <c r="AF58" s="76">
        <v>6.6255299999999995</v>
      </c>
      <c r="AG58" s="76">
        <v>0.9270200000000004</v>
      </c>
      <c r="AH58" s="76">
        <f t="shared" si="4"/>
        <v>1.8540400000000008</v>
      </c>
      <c r="AI58" s="76"/>
      <c r="AJ58" s="76"/>
      <c r="AK58" s="76"/>
      <c r="AL58" s="76">
        <v>7.5991999999999997</v>
      </c>
      <c r="AM58" s="76">
        <v>0.38024999999999998</v>
      </c>
      <c r="AN58" s="76">
        <f t="shared" si="5"/>
        <v>0.76049999999999995</v>
      </c>
      <c r="AO58" s="73" t="s">
        <v>739</v>
      </c>
      <c r="AP58" s="73" t="s">
        <v>739</v>
      </c>
      <c r="AQ58" s="73" t="s">
        <v>739</v>
      </c>
      <c r="AR58" s="73" t="s">
        <v>739</v>
      </c>
      <c r="AS58" s="73" t="s">
        <v>372</v>
      </c>
    </row>
    <row r="59" spans="1:45" s="46" customFormat="1" ht="15" hidden="1" customHeight="1">
      <c r="A59" s="73" t="s">
        <v>742</v>
      </c>
      <c r="B59" s="73" t="s">
        <v>844</v>
      </c>
      <c r="C59" s="73" t="s">
        <v>741</v>
      </c>
      <c r="D59" s="73" t="s">
        <v>786</v>
      </c>
      <c r="E59" s="73" t="s">
        <v>787</v>
      </c>
      <c r="F59" s="73">
        <v>2013</v>
      </c>
      <c r="G59" s="73" t="s">
        <v>490</v>
      </c>
      <c r="H59" s="73"/>
      <c r="I59" s="73" t="s">
        <v>872</v>
      </c>
      <c r="J59" s="73" t="s">
        <v>1033</v>
      </c>
      <c r="K59" s="74" t="s">
        <v>831</v>
      </c>
      <c r="L59" s="74" t="s">
        <v>890</v>
      </c>
      <c r="M59" s="74" t="s">
        <v>889</v>
      </c>
      <c r="N59" s="74"/>
      <c r="O59" s="74"/>
      <c r="P59" s="74">
        <v>1</v>
      </c>
      <c r="Q59" s="74"/>
      <c r="R59" s="73" t="s">
        <v>645</v>
      </c>
      <c r="S59" s="73">
        <v>4</v>
      </c>
      <c r="T59" s="73">
        <v>4</v>
      </c>
      <c r="U59" s="82" t="s">
        <v>730</v>
      </c>
      <c r="V59" s="73" t="s">
        <v>739</v>
      </c>
      <c r="W59" s="73" t="s">
        <v>739</v>
      </c>
      <c r="X59" s="73" t="s">
        <v>739</v>
      </c>
      <c r="Y59" s="73" t="s">
        <v>739</v>
      </c>
      <c r="Z59" s="73" t="s">
        <v>739</v>
      </c>
      <c r="AA59" s="74" t="s">
        <v>727</v>
      </c>
      <c r="AB59" s="73" t="s">
        <v>739</v>
      </c>
      <c r="AC59" s="73" t="s">
        <v>739</v>
      </c>
      <c r="AD59" s="73" t="s">
        <v>950</v>
      </c>
      <c r="AE59" s="73" t="s">
        <v>739</v>
      </c>
      <c r="AF59" s="76">
        <v>6.7158699999999998</v>
      </c>
      <c r="AG59" s="76">
        <v>0.59635999999999967</v>
      </c>
      <c r="AH59" s="76">
        <f t="shared" si="4"/>
        <v>1.1927199999999993</v>
      </c>
      <c r="AI59" s="76"/>
      <c r="AJ59" s="76"/>
      <c r="AK59" s="76"/>
      <c r="AL59" s="76">
        <v>7.8253399999999997</v>
      </c>
      <c r="AM59" s="76">
        <v>0.48595000000000071</v>
      </c>
      <c r="AN59" s="76">
        <f t="shared" si="5"/>
        <v>0.97190000000000143</v>
      </c>
      <c r="AO59" s="73" t="s">
        <v>739</v>
      </c>
      <c r="AP59" s="73" t="s">
        <v>739</v>
      </c>
      <c r="AQ59" s="73" t="s">
        <v>739</v>
      </c>
      <c r="AR59" s="73" t="s">
        <v>739</v>
      </c>
      <c r="AS59" s="73" t="s">
        <v>372</v>
      </c>
    </row>
    <row r="60" spans="1:45" s="46" customFormat="1" ht="15" hidden="1" customHeight="1">
      <c r="A60" s="73" t="s">
        <v>742</v>
      </c>
      <c r="B60" s="73" t="s">
        <v>844</v>
      </c>
      <c r="C60" s="73" t="s">
        <v>741</v>
      </c>
      <c r="D60" s="73" t="s">
        <v>786</v>
      </c>
      <c r="E60" s="73" t="s">
        <v>787</v>
      </c>
      <c r="F60" s="73">
        <v>2013</v>
      </c>
      <c r="G60" s="73" t="s">
        <v>490</v>
      </c>
      <c r="H60" s="73"/>
      <c r="I60" s="73" t="s">
        <v>167</v>
      </c>
      <c r="J60" s="73" t="s">
        <v>1031</v>
      </c>
      <c r="K60" s="74" t="s">
        <v>682</v>
      </c>
      <c r="L60" s="74" t="s">
        <v>13</v>
      </c>
      <c r="M60" s="74" t="s">
        <v>919</v>
      </c>
      <c r="N60" s="74"/>
      <c r="O60" s="74">
        <v>1</v>
      </c>
      <c r="P60" s="74"/>
      <c r="Q60" s="74"/>
      <c r="R60" s="73" t="s">
        <v>646</v>
      </c>
      <c r="S60" s="73">
        <v>4</v>
      </c>
      <c r="T60" s="73">
        <v>4</v>
      </c>
      <c r="U60" s="82" t="s">
        <v>730</v>
      </c>
      <c r="V60" s="73" t="s">
        <v>739</v>
      </c>
      <c r="W60" s="73" t="s">
        <v>739</v>
      </c>
      <c r="X60" s="73" t="s">
        <v>739</v>
      </c>
      <c r="Y60" s="73" t="s">
        <v>739</v>
      </c>
      <c r="Z60" s="73" t="s">
        <v>739</v>
      </c>
      <c r="AA60" s="74" t="s">
        <v>638</v>
      </c>
      <c r="AB60" s="73" t="s">
        <v>739</v>
      </c>
      <c r="AC60" s="73" t="s">
        <v>739</v>
      </c>
      <c r="AD60" s="73" t="s">
        <v>950</v>
      </c>
      <c r="AE60" s="73" t="s">
        <v>739</v>
      </c>
      <c r="AF60" s="76">
        <v>7.2909799999999994</v>
      </c>
      <c r="AG60" s="76">
        <v>0.67725000000000002</v>
      </c>
      <c r="AH60" s="76">
        <f t="shared" si="4"/>
        <v>1.3545</v>
      </c>
      <c r="AI60" s="76"/>
      <c r="AJ60" s="76"/>
      <c r="AK60" s="76"/>
      <c r="AL60" s="76">
        <v>7.3110499999999998</v>
      </c>
      <c r="AM60" s="76">
        <v>0.2178800000000001</v>
      </c>
      <c r="AN60" s="76">
        <f t="shared" si="5"/>
        <v>0.4357600000000002</v>
      </c>
      <c r="AO60" s="73" t="s">
        <v>739</v>
      </c>
      <c r="AP60" s="73" t="s">
        <v>739</v>
      </c>
      <c r="AQ60" s="73" t="s">
        <v>739</v>
      </c>
      <c r="AR60" s="73" t="s">
        <v>739</v>
      </c>
      <c r="AS60" s="73" t="s">
        <v>372</v>
      </c>
    </row>
    <row r="61" spans="1:45" s="46" customFormat="1" ht="15" hidden="1" customHeight="1">
      <c r="A61" s="73" t="s">
        <v>742</v>
      </c>
      <c r="B61" s="73" t="s">
        <v>844</v>
      </c>
      <c r="C61" s="73" t="s">
        <v>741</v>
      </c>
      <c r="D61" s="73" t="s">
        <v>786</v>
      </c>
      <c r="E61" s="73" t="s">
        <v>787</v>
      </c>
      <c r="F61" s="73">
        <v>2013</v>
      </c>
      <c r="G61" s="73" t="s">
        <v>843</v>
      </c>
      <c r="H61" s="73"/>
      <c r="I61" s="73" t="s">
        <v>167</v>
      </c>
      <c r="J61" s="73" t="s">
        <v>1031</v>
      </c>
      <c r="K61" s="74" t="s">
        <v>682</v>
      </c>
      <c r="L61" s="74" t="s">
        <v>13</v>
      </c>
      <c r="M61" s="74" t="s">
        <v>919</v>
      </c>
      <c r="N61" s="74"/>
      <c r="O61" s="74">
        <v>1</v>
      </c>
      <c r="P61" s="74"/>
      <c r="Q61" s="74"/>
      <c r="R61" s="73" t="s">
        <v>646</v>
      </c>
      <c r="S61" s="73">
        <v>4</v>
      </c>
      <c r="T61" s="73">
        <v>4</v>
      </c>
      <c r="U61" s="82" t="s">
        <v>730</v>
      </c>
      <c r="V61" s="73" t="s">
        <v>739</v>
      </c>
      <c r="W61" s="73" t="s">
        <v>739</v>
      </c>
      <c r="X61" s="73" t="s">
        <v>739</v>
      </c>
      <c r="Y61" s="73" t="s">
        <v>739</v>
      </c>
      <c r="Z61" s="73" t="s">
        <v>739</v>
      </c>
      <c r="AA61" s="74" t="s">
        <v>727</v>
      </c>
      <c r="AB61" s="73" t="s">
        <v>739</v>
      </c>
      <c r="AC61" s="73" t="s">
        <v>739</v>
      </c>
      <c r="AD61" s="73" t="s">
        <v>950</v>
      </c>
      <c r="AE61" s="73" t="s">
        <v>739</v>
      </c>
      <c r="AF61" s="76">
        <v>7.86904</v>
      </c>
      <c r="AG61" s="76">
        <v>0.70500000000000096</v>
      </c>
      <c r="AH61" s="76">
        <f t="shared" si="4"/>
        <v>1.4100000000000019</v>
      </c>
      <c r="AI61" s="76"/>
      <c r="AJ61" s="76"/>
      <c r="AK61" s="76"/>
      <c r="AL61" s="76">
        <v>7.5094500000000002</v>
      </c>
      <c r="AM61" s="76">
        <v>0.83904000000000001</v>
      </c>
      <c r="AN61" s="76">
        <f t="shared" si="5"/>
        <v>1.67808</v>
      </c>
      <c r="AO61" s="73" t="s">
        <v>739</v>
      </c>
      <c r="AP61" s="73" t="s">
        <v>739</v>
      </c>
      <c r="AQ61" s="73" t="s">
        <v>739</v>
      </c>
      <c r="AR61" s="73" t="s">
        <v>739</v>
      </c>
      <c r="AS61" s="73" t="s">
        <v>372</v>
      </c>
    </row>
    <row r="62" spans="1:45" s="46" customFormat="1" ht="15" hidden="1" customHeight="1">
      <c r="A62" s="73" t="s">
        <v>742</v>
      </c>
      <c r="B62" s="73" t="s">
        <v>844</v>
      </c>
      <c r="C62" s="73" t="s">
        <v>741</v>
      </c>
      <c r="D62" s="73" t="s">
        <v>786</v>
      </c>
      <c r="E62" s="73" t="s">
        <v>787</v>
      </c>
      <c r="F62" s="73">
        <v>2013</v>
      </c>
      <c r="G62" s="73" t="s">
        <v>414</v>
      </c>
      <c r="H62" s="73"/>
      <c r="I62" s="73" t="s">
        <v>647</v>
      </c>
      <c r="J62" s="73" t="s">
        <v>952</v>
      </c>
      <c r="K62" s="74" t="s">
        <v>953</v>
      </c>
      <c r="L62" s="74" t="s">
        <v>918</v>
      </c>
      <c r="M62" s="74" t="s">
        <v>954</v>
      </c>
      <c r="N62" s="74"/>
      <c r="O62" s="74"/>
      <c r="P62" s="74"/>
      <c r="Q62" s="74">
        <v>1</v>
      </c>
      <c r="R62" s="73" t="s">
        <v>648</v>
      </c>
      <c r="S62" s="73">
        <v>4</v>
      </c>
      <c r="T62" s="73">
        <v>4</v>
      </c>
      <c r="U62" s="82" t="s">
        <v>730</v>
      </c>
      <c r="V62" s="73" t="s">
        <v>739</v>
      </c>
      <c r="W62" s="73" t="s">
        <v>739</v>
      </c>
      <c r="X62" s="73" t="s">
        <v>739</v>
      </c>
      <c r="Y62" s="73" t="s">
        <v>739</v>
      </c>
      <c r="Z62" s="73" t="s">
        <v>739</v>
      </c>
      <c r="AA62" s="74" t="s">
        <v>638</v>
      </c>
      <c r="AB62" s="73" t="s">
        <v>739</v>
      </c>
      <c r="AC62" s="73" t="s">
        <v>739</v>
      </c>
      <c r="AD62" s="73" t="s">
        <v>950</v>
      </c>
      <c r="AE62" s="73" t="s">
        <v>739</v>
      </c>
      <c r="AF62" s="76">
        <v>7.4639799999999994</v>
      </c>
      <c r="AG62" s="76">
        <v>0.89809000000000017</v>
      </c>
      <c r="AH62" s="76">
        <f t="shared" si="4"/>
        <v>1.7961800000000003</v>
      </c>
      <c r="AI62" s="76"/>
      <c r="AJ62" s="76"/>
      <c r="AK62" s="76"/>
      <c r="AL62" s="76">
        <v>8.3290000000000006</v>
      </c>
      <c r="AM62" s="76">
        <v>0.65128000000000064</v>
      </c>
      <c r="AN62" s="76">
        <f t="shared" si="5"/>
        <v>1.3025600000000013</v>
      </c>
      <c r="AO62" s="73" t="s">
        <v>739</v>
      </c>
      <c r="AP62" s="73" t="s">
        <v>739</v>
      </c>
      <c r="AQ62" s="73" t="s">
        <v>739</v>
      </c>
      <c r="AR62" s="73" t="s">
        <v>739</v>
      </c>
      <c r="AS62" s="73" t="s">
        <v>372</v>
      </c>
    </row>
    <row r="63" spans="1:45" s="46" customFormat="1" ht="15" hidden="1" customHeight="1">
      <c r="A63" s="73" t="s">
        <v>742</v>
      </c>
      <c r="B63" s="73" t="s">
        <v>844</v>
      </c>
      <c r="C63" s="73" t="s">
        <v>741</v>
      </c>
      <c r="D63" s="73" t="s">
        <v>786</v>
      </c>
      <c r="E63" s="73" t="s">
        <v>787</v>
      </c>
      <c r="F63" s="73">
        <v>2013</v>
      </c>
      <c r="G63" s="73" t="s">
        <v>414</v>
      </c>
      <c r="H63" s="73"/>
      <c r="I63" s="73" t="s">
        <v>647</v>
      </c>
      <c r="J63" s="73" t="s">
        <v>952</v>
      </c>
      <c r="K63" s="74" t="s">
        <v>953</v>
      </c>
      <c r="L63" s="74" t="s">
        <v>918</v>
      </c>
      <c r="M63" s="74" t="s">
        <v>954</v>
      </c>
      <c r="N63" s="74"/>
      <c r="O63" s="74"/>
      <c r="P63" s="74"/>
      <c r="Q63" s="74">
        <v>1</v>
      </c>
      <c r="R63" s="73" t="s">
        <v>648</v>
      </c>
      <c r="S63" s="73">
        <v>4</v>
      </c>
      <c r="T63" s="73">
        <v>4</v>
      </c>
      <c r="U63" s="82" t="s">
        <v>730</v>
      </c>
      <c r="V63" s="73" t="s">
        <v>739</v>
      </c>
      <c r="W63" s="73" t="s">
        <v>739</v>
      </c>
      <c r="X63" s="73" t="s">
        <v>739</v>
      </c>
      <c r="Y63" s="73" t="s">
        <v>739</v>
      </c>
      <c r="Z63" s="73" t="s">
        <v>739</v>
      </c>
      <c r="AA63" s="74" t="s">
        <v>727</v>
      </c>
      <c r="AB63" s="73" t="s">
        <v>739</v>
      </c>
      <c r="AC63" s="73" t="s">
        <v>739</v>
      </c>
      <c r="AD63" s="73" t="s">
        <v>950</v>
      </c>
      <c r="AE63" s="73" t="s">
        <v>739</v>
      </c>
      <c r="AF63" s="76">
        <v>6.3303000000000003</v>
      </c>
      <c r="AG63" s="76">
        <v>1.11538</v>
      </c>
      <c r="AH63" s="76">
        <f t="shared" si="4"/>
        <v>2.2307600000000001</v>
      </c>
      <c r="AI63" s="76"/>
      <c r="AJ63" s="76"/>
      <c r="AK63" s="76"/>
      <c r="AL63" s="76">
        <v>8.2268500000000007</v>
      </c>
      <c r="AM63" s="76">
        <v>0.86915999999999982</v>
      </c>
      <c r="AN63" s="76">
        <f t="shared" si="5"/>
        <v>1.7383199999999996</v>
      </c>
      <c r="AO63" s="73" t="s">
        <v>739</v>
      </c>
      <c r="AP63" s="73" t="s">
        <v>739</v>
      </c>
      <c r="AQ63" s="73" t="s">
        <v>739</v>
      </c>
      <c r="AR63" s="73" t="s">
        <v>739</v>
      </c>
      <c r="AS63" s="73" t="s">
        <v>372</v>
      </c>
    </row>
    <row r="64" spans="1:45" s="46" customFormat="1" ht="15" hidden="1" customHeight="1">
      <c r="A64" s="73" t="s">
        <v>742</v>
      </c>
      <c r="B64" s="73" t="s">
        <v>844</v>
      </c>
      <c r="C64" s="73" t="s">
        <v>568</v>
      </c>
      <c r="D64" s="73" t="s">
        <v>392</v>
      </c>
      <c r="E64" s="73" t="s">
        <v>245</v>
      </c>
      <c r="F64" s="73">
        <v>2013</v>
      </c>
      <c r="G64" s="73" t="s">
        <v>649</v>
      </c>
      <c r="H64" s="73"/>
      <c r="I64" s="73" t="s">
        <v>536</v>
      </c>
      <c r="J64" s="73" t="s">
        <v>650</v>
      </c>
      <c r="K64" s="74" t="s">
        <v>840</v>
      </c>
      <c r="L64" s="74" t="s">
        <v>833</v>
      </c>
      <c r="M64" s="74" t="s">
        <v>526</v>
      </c>
      <c r="N64" s="74"/>
      <c r="O64" s="74">
        <v>1</v>
      </c>
      <c r="P64" s="74"/>
      <c r="Q64" s="74"/>
      <c r="R64" s="73" t="s">
        <v>524</v>
      </c>
      <c r="S64" s="73">
        <v>4</v>
      </c>
      <c r="T64" s="73">
        <v>4</v>
      </c>
      <c r="U64" s="82" t="s">
        <v>730</v>
      </c>
      <c r="V64" s="73" t="s">
        <v>739</v>
      </c>
      <c r="W64" s="73" t="s">
        <v>739</v>
      </c>
      <c r="X64" s="73" t="s">
        <v>739</v>
      </c>
      <c r="Y64" s="73" t="s">
        <v>739</v>
      </c>
      <c r="Z64" s="73" t="s">
        <v>739</v>
      </c>
      <c r="AA64" s="74" t="s">
        <v>638</v>
      </c>
      <c r="AB64" s="73" t="s">
        <v>739</v>
      </c>
      <c r="AC64" s="73" t="s">
        <v>739</v>
      </c>
      <c r="AD64" s="73" t="s">
        <v>950</v>
      </c>
      <c r="AE64" s="73" t="s">
        <v>739</v>
      </c>
      <c r="AF64" s="76">
        <v>5.3887399999999994</v>
      </c>
      <c r="AG64" s="76">
        <v>1.5088900000000003</v>
      </c>
      <c r="AH64" s="76">
        <f t="shared" si="4"/>
        <v>3.0177800000000006</v>
      </c>
      <c r="AI64" s="76"/>
      <c r="AJ64" s="76"/>
      <c r="AK64" s="76"/>
      <c r="AL64" s="76">
        <v>4.4953199999999995</v>
      </c>
      <c r="AM64" s="76">
        <v>1.4247300000000005</v>
      </c>
      <c r="AN64" s="76">
        <f t="shared" si="5"/>
        <v>2.849460000000001</v>
      </c>
      <c r="AO64" s="73" t="s">
        <v>739</v>
      </c>
      <c r="AP64" s="73" t="s">
        <v>739</v>
      </c>
      <c r="AQ64" s="73" t="s">
        <v>739</v>
      </c>
      <c r="AR64" s="73" t="s">
        <v>739</v>
      </c>
      <c r="AS64" s="73" t="s">
        <v>372</v>
      </c>
    </row>
    <row r="65" spans="1:53" ht="15" hidden="1" customHeight="1">
      <c r="A65" s="73" t="s">
        <v>742</v>
      </c>
      <c r="B65" s="73" t="s">
        <v>844</v>
      </c>
      <c r="C65" s="73" t="s">
        <v>568</v>
      </c>
      <c r="D65" s="73" t="s">
        <v>392</v>
      </c>
      <c r="E65" s="73" t="s">
        <v>245</v>
      </c>
      <c r="F65" s="73">
        <v>2013</v>
      </c>
      <c r="G65" s="73" t="s">
        <v>649</v>
      </c>
      <c r="H65" s="73"/>
      <c r="I65" s="73" t="s">
        <v>536</v>
      </c>
      <c r="J65" s="73" t="s">
        <v>650</v>
      </c>
      <c r="K65" s="74" t="s">
        <v>871</v>
      </c>
      <c r="L65" s="74" t="s">
        <v>833</v>
      </c>
      <c r="M65" s="74" t="s">
        <v>526</v>
      </c>
      <c r="N65" s="74"/>
      <c r="O65" s="74">
        <v>1</v>
      </c>
      <c r="P65" s="74"/>
      <c r="Q65" s="74"/>
      <c r="R65" s="73" t="s">
        <v>524</v>
      </c>
      <c r="S65" s="73">
        <v>4</v>
      </c>
      <c r="T65" s="73">
        <v>4</v>
      </c>
      <c r="U65" s="82" t="s">
        <v>730</v>
      </c>
      <c r="V65" s="73" t="s">
        <v>739</v>
      </c>
      <c r="W65" s="73" t="s">
        <v>739</v>
      </c>
      <c r="X65" s="73" t="s">
        <v>739</v>
      </c>
      <c r="Y65" s="73" t="s">
        <v>739</v>
      </c>
      <c r="Z65" s="73" t="s">
        <v>739</v>
      </c>
      <c r="AA65" s="74" t="s">
        <v>727</v>
      </c>
      <c r="AB65" s="73" t="s">
        <v>739</v>
      </c>
      <c r="AC65" s="73" t="s">
        <v>739</v>
      </c>
      <c r="AD65" s="73" t="s">
        <v>950</v>
      </c>
      <c r="AE65" s="73" t="s">
        <v>739</v>
      </c>
      <c r="AF65" s="76">
        <v>5.5849399999999996</v>
      </c>
      <c r="AG65" s="76">
        <v>1.2366300000000001</v>
      </c>
      <c r="AH65" s="76">
        <f t="shared" si="4"/>
        <v>2.4732600000000002</v>
      </c>
      <c r="AI65" s="76"/>
      <c r="AJ65" s="76"/>
      <c r="AK65" s="76"/>
      <c r="AL65" s="76">
        <v>5.0109399999999997</v>
      </c>
      <c r="AM65" s="76">
        <v>0.80819000000000052</v>
      </c>
      <c r="AN65" s="76">
        <f t="shared" si="5"/>
        <v>1.616380000000001</v>
      </c>
      <c r="AO65" s="73" t="s">
        <v>739</v>
      </c>
      <c r="AP65" s="73" t="s">
        <v>739</v>
      </c>
      <c r="AQ65" s="73" t="s">
        <v>739</v>
      </c>
      <c r="AR65" s="73" t="s">
        <v>739</v>
      </c>
      <c r="AS65" s="73" t="s">
        <v>372</v>
      </c>
      <c r="AT65" s="46"/>
      <c r="AU65" s="46"/>
      <c r="AV65" s="46"/>
      <c r="AW65" s="46"/>
      <c r="AX65" s="46"/>
      <c r="AY65" s="46"/>
    </row>
    <row r="66" spans="1:53" ht="15" hidden="1" customHeight="1">
      <c r="A66" s="73" t="s">
        <v>742</v>
      </c>
      <c r="B66" s="73" t="s">
        <v>844</v>
      </c>
      <c r="C66" s="73" t="s">
        <v>568</v>
      </c>
      <c r="D66" s="73" t="s">
        <v>392</v>
      </c>
      <c r="E66" s="73" t="s">
        <v>245</v>
      </c>
      <c r="F66" s="73">
        <v>2013</v>
      </c>
      <c r="G66" s="73" t="s">
        <v>649</v>
      </c>
      <c r="H66" s="73"/>
      <c r="I66" s="73" t="s">
        <v>644</v>
      </c>
      <c r="J66" s="73" t="s">
        <v>251</v>
      </c>
      <c r="K66" s="74" t="s">
        <v>839</v>
      </c>
      <c r="L66" s="74" t="s">
        <v>891</v>
      </c>
      <c r="M66" s="74" t="s">
        <v>802</v>
      </c>
      <c r="N66" s="74"/>
      <c r="O66" s="74"/>
      <c r="P66" s="74">
        <v>1</v>
      </c>
      <c r="Q66" s="74"/>
      <c r="R66" s="73" t="s">
        <v>524</v>
      </c>
      <c r="S66" s="73">
        <v>4</v>
      </c>
      <c r="T66" s="73">
        <v>4</v>
      </c>
      <c r="U66" s="82" t="s">
        <v>730</v>
      </c>
      <c r="V66" s="73" t="s">
        <v>739</v>
      </c>
      <c r="W66" s="73" t="s">
        <v>739</v>
      </c>
      <c r="X66" s="73" t="s">
        <v>739</v>
      </c>
      <c r="Y66" s="73" t="s">
        <v>739</v>
      </c>
      <c r="Z66" s="73" t="s">
        <v>739</v>
      </c>
      <c r="AA66" s="74" t="s">
        <v>638</v>
      </c>
      <c r="AB66" s="73" t="s">
        <v>739</v>
      </c>
      <c r="AC66" s="73" t="s">
        <v>739</v>
      </c>
      <c r="AD66" s="73" t="s">
        <v>950</v>
      </c>
      <c r="AE66" s="73" t="s">
        <v>739</v>
      </c>
      <c r="AF66" s="76">
        <v>3.94631</v>
      </c>
      <c r="AG66" s="76">
        <v>1.5073799999999997</v>
      </c>
      <c r="AH66" s="76">
        <f t="shared" si="4"/>
        <v>3.0147599999999994</v>
      </c>
      <c r="AI66" s="76"/>
      <c r="AJ66" s="76"/>
      <c r="AK66" s="76"/>
      <c r="AL66" s="76">
        <v>4.4953199999999995</v>
      </c>
      <c r="AM66" s="76">
        <v>1.4247300000000005</v>
      </c>
      <c r="AN66" s="76">
        <f t="shared" si="5"/>
        <v>2.849460000000001</v>
      </c>
      <c r="AO66" s="73" t="s">
        <v>739</v>
      </c>
      <c r="AP66" s="73" t="s">
        <v>739</v>
      </c>
      <c r="AQ66" s="73" t="s">
        <v>739</v>
      </c>
      <c r="AR66" s="73" t="s">
        <v>739</v>
      </c>
      <c r="AS66" s="73" t="s">
        <v>372</v>
      </c>
      <c r="AT66" s="46"/>
      <c r="AU66" s="46"/>
      <c r="AV66" s="46"/>
      <c r="AW66" s="46"/>
      <c r="AX66" s="46"/>
      <c r="AY66" s="46"/>
    </row>
    <row r="67" spans="1:53" ht="15" hidden="1" customHeight="1">
      <c r="A67" s="73" t="s">
        <v>742</v>
      </c>
      <c r="B67" s="73" t="s">
        <v>844</v>
      </c>
      <c r="C67" s="73" t="s">
        <v>568</v>
      </c>
      <c r="D67" s="73" t="s">
        <v>392</v>
      </c>
      <c r="E67" s="73" t="s">
        <v>245</v>
      </c>
      <c r="F67" s="73">
        <v>2013</v>
      </c>
      <c r="G67" s="73" t="s">
        <v>649</v>
      </c>
      <c r="H67" s="73"/>
      <c r="I67" s="73" t="s">
        <v>644</v>
      </c>
      <c r="J67" s="73" t="s">
        <v>251</v>
      </c>
      <c r="K67" s="74" t="s">
        <v>839</v>
      </c>
      <c r="L67" s="74" t="s">
        <v>891</v>
      </c>
      <c r="M67" s="74" t="s">
        <v>802</v>
      </c>
      <c r="N67" s="74"/>
      <c r="O67" s="74"/>
      <c r="P67" s="74">
        <v>1</v>
      </c>
      <c r="Q67" s="74"/>
      <c r="R67" s="73" t="s">
        <v>524</v>
      </c>
      <c r="S67" s="73">
        <v>4</v>
      </c>
      <c r="T67" s="73">
        <v>4</v>
      </c>
      <c r="U67" s="82" t="s">
        <v>730</v>
      </c>
      <c r="V67" s="73" t="s">
        <v>739</v>
      </c>
      <c r="W67" s="73" t="s">
        <v>739</v>
      </c>
      <c r="X67" s="73" t="s">
        <v>739</v>
      </c>
      <c r="Y67" s="73" t="s">
        <v>739</v>
      </c>
      <c r="Z67" s="73" t="s">
        <v>739</v>
      </c>
      <c r="AA67" s="74" t="s">
        <v>727</v>
      </c>
      <c r="AB67" s="73" t="s">
        <v>739</v>
      </c>
      <c r="AC67" s="73" t="s">
        <v>739</v>
      </c>
      <c r="AD67" s="73" t="s">
        <v>950</v>
      </c>
      <c r="AE67" s="73" t="s">
        <v>739</v>
      </c>
      <c r="AF67" s="76">
        <v>6.4090200000000008</v>
      </c>
      <c r="AG67" s="76">
        <v>1.7471999999999999</v>
      </c>
      <c r="AH67" s="76">
        <f t="shared" si="4"/>
        <v>3.4943999999999997</v>
      </c>
      <c r="AI67" s="76"/>
      <c r="AJ67" s="76"/>
      <c r="AK67" s="76"/>
      <c r="AL67" s="76">
        <v>5.0109399999999997</v>
      </c>
      <c r="AM67" s="76">
        <v>0.80819000000000052</v>
      </c>
      <c r="AN67" s="76">
        <f t="shared" si="5"/>
        <v>1.616380000000001</v>
      </c>
      <c r="AO67" s="73" t="s">
        <v>739</v>
      </c>
      <c r="AP67" s="73" t="s">
        <v>739</v>
      </c>
      <c r="AQ67" s="73" t="s">
        <v>739</v>
      </c>
      <c r="AR67" s="73" t="s">
        <v>739</v>
      </c>
      <c r="AS67" s="73" t="s">
        <v>372</v>
      </c>
      <c r="AT67" s="46"/>
      <c r="AU67" s="46"/>
      <c r="AV67" s="46"/>
      <c r="AW67" s="46"/>
      <c r="AX67" s="46"/>
      <c r="AY67" s="46"/>
    </row>
    <row r="68" spans="1:53" ht="15" hidden="1" customHeight="1">
      <c r="A68" s="73" t="s">
        <v>742</v>
      </c>
      <c r="B68" s="73" t="s">
        <v>844</v>
      </c>
      <c r="C68" s="73" t="s">
        <v>568</v>
      </c>
      <c r="D68" s="73" t="s">
        <v>392</v>
      </c>
      <c r="E68" s="73" t="s">
        <v>245</v>
      </c>
      <c r="F68" s="73">
        <v>2013</v>
      </c>
      <c r="G68" s="73" t="s">
        <v>490</v>
      </c>
      <c r="H68" s="73"/>
      <c r="I68" s="73" t="s">
        <v>872</v>
      </c>
      <c r="J68" s="73" t="s">
        <v>1033</v>
      </c>
      <c r="K68" s="74" t="s">
        <v>888</v>
      </c>
      <c r="L68" s="74" t="s">
        <v>890</v>
      </c>
      <c r="M68" s="74" t="s">
        <v>889</v>
      </c>
      <c r="N68" s="74"/>
      <c r="O68" s="74"/>
      <c r="P68" s="74">
        <v>1</v>
      </c>
      <c r="Q68" s="74"/>
      <c r="R68" s="73" t="s">
        <v>645</v>
      </c>
      <c r="S68" s="73">
        <v>4</v>
      </c>
      <c r="T68" s="73">
        <v>4</v>
      </c>
      <c r="U68" s="82" t="s">
        <v>730</v>
      </c>
      <c r="V68" s="73" t="s">
        <v>739</v>
      </c>
      <c r="W68" s="73" t="s">
        <v>739</v>
      </c>
      <c r="X68" s="73" t="s">
        <v>739</v>
      </c>
      <c r="Y68" s="73" t="s">
        <v>739</v>
      </c>
      <c r="Z68" s="73" t="s">
        <v>739</v>
      </c>
      <c r="AA68" s="74" t="s">
        <v>638</v>
      </c>
      <c r="AB68" s="73" t="s">
        <v>739</v>
      </c>
      <c r="AC68" s="73" t="s">
        <v>739</v>
      </c>
      <c r="AD68" s="73" t="s">
        <v>950</v>
      </c>
      <c r="AE68" s="73" t="s">
        <v>739</v>
      </c>
      <c r="AF68" s="76">
        <v>6.4090200000000008</v>
      </c>
      <c r="AG68" s="76">
        <v>1.7471999999999999</v>
      </c>
      <c r="AH68" s="76">
        <f t="shared" si="4"/>
        <v>3.4943999999999997</v>
      </c>
      <c r="AI68" s="76"/>
      <c r="AJ68" s="76"/>
      <c r="AK68" s="76"/>
      <c r="AL68" s="76">
        <v>7.53</v>
      </c>
      <c r="AM68" s="76">
        <v>1.0490200000000005</v>
      </c>
      <c r="AN68" s="76">
        <f t="shared" si="5"/>
        <v>2.098040000000001</v>
      </c>
      <c r="AO68" s="73" t="s">
        <v>739</v>
      </c>
      <c r="AP68" s="73" t="s">
        <v>739</v>
      </c>
      <c r="AQ68" s="73" t="s">
        <v>739</v>
      </c>
      <c r="AR68" s="73" t="s">
        <v>739</v>
      </c>
      <c r="AS68" s="73" t="s">
        <v>372</v>
      </c>
      <c r="AT68" s="46"/>
      <c r="AU68" s="46"/>
      <c r="AV68" s="46"/>
      <c r="AW68" s="46"/>
      <c r="AX68" s="46"/>
      <c r="AY68" s="46"/>
    </row>
    <row r="69" spans="1:53" ht="15" hidden="1" customHeight="1">
      <c r="A69" s="73" t="s">
        <v>742</v>
      </c>
      <c r="B69" s="73" t="s">
        <v>844</v>
      </c>
      <c r="C69" s="73" t="s">
        <v>568</v>
      </c>
      <c r="D69" s="73" t="s">
        <v>392</v>
      </c>
      <c r="E69" s="73" t="s">
        <v>245</v>
      </c>
      <c r="F69" s="73">
        <v>2013</v>
      </c>
      <c r="G69" s="73" t="s">
        <v>490</v>
      </c>
      <c r="H69" s="73"/>
      <c r="I69" s="73" t="s">
        <v>872</v>
      </c>
      <c r="J69" s="73" t="s">
        <v>1033</v>
      </c>
      <c r="K69" s="74" t="s">
        <v>831</v>
      </c>
      <c r="L69" s="74" t="s">
        <v>890</v>
      </c>
      <c r="M69" s="74" t="s">
        <v>889</v>
      </c>
      <c r="N69" s="74"/>
      <c r="O69" s="74"/>
      <c r="P69" s="74">
        <v>1</v>
      </c>
      <c r="Q69" s="74"/>
      <c r="R69" s="73" t="s">
        <v>645</v>
      </c>
      <c r="S69" s="73">
        <v>4</v>
      </c>
      <c r="T69" s="73">
        <v>4</v>
      </c>
      <c r="U69" s="82" t="s">
        <v>730</v>
      </c>
      <c r="V69" s="73" t="s">
        <v>739</v>
      </c>
      <c r="W69" s="73" t="s">
        <v>739</v>
      </c>
      <c r="X69" s="73" t="s">
        <v>739</v>
      </c>
      <c r="Y69" s="73" t="s">
        <v>739</v>
      </c>
      <c r="Z69" s="73" t="s">
        <v>739</v>
      </c>
      <c r="AA69" s="74" t="s">
        <v>727</v>
      </c>
      <c r="AB69" s="73" t="s">
        <v>739</v>
      </c>
      <c r="AC69" s="73" t="s">
        <v>739</v>
      </c>
      <c r="AD69" s="73" t="s">
        <v>950</v>
      </c>
      <c r="AE69" s="73" t="s">
        <v>739</v>
      </c>
      <c r="AF69" s="76">
        <v>7.2578800000000001</v>
      </c>
      <c r="AG69" s="76">
        <v>1.1306500000000006</v>
      </c>
      <c r="AH69" s="76">
        <f t="shared" si="4"/>
        <v>2.2613000000000012</v>
      </c>
      <c r="AI69" s="76"/>
      <c r="AJ69" s="76"/>
      <c r="AK69" s="76"/>
      <c r="AL69" s="76">
        <v>7.3738199999999994</v>
      </c>
      <c r="AM69" s="76">
        <v>1.0769099999999998</v>
      </c>
      <c r="AN69" s="76">
        <f t="shared" si="5"/>
        <v>2.1538199999999996</v>
      </c>
      <c r="AO69" s="73" t="s">
        <v>739</v>
      </c>
      <c r="AP69" s="73" t="s">
        <v>739</v>
      </c>
      <c r="AQ69" s="73" t="s">
        <v>739</v>
      </c>
      <c r="AR69" s="73" t="s">
        <v>739</v>
      </c>
      <c r="AS69" s="73" t="s">
        <v>372</v>
      </c>
      <c r="AT69" s="46"/>
      <c r="AU69" s="46"/>
      <c r="AV69" s="46"/>
      <c r="AW69" s="46"/>
      <c r="AX69" s="46"/>
      <c r="AY69" s="46"/>
    </row>
    <row r="70" spans="1:53" ht="15" hidden="1" customHeight="1">
      <c r="A70" s="73" t="s">
        <v>742</v>
      </c>
      <c r="B70" s="73" t="s">
        <v>844</v>
      </c>
      <c r="C70" s="73" t="s">
        <v>568</v>
      </c>
      <c r="D70" s="73" t="s">
        <v>392</v>
      </c>
      <c r="E70" s="73" t="s">
        <v>245</v>
      </c>
      <c r="F70" s="73">
        <v>2013</v>
      </c>
      <c r="G70" s="73" t="s">
        <v>760</v>
      </c>
      <c r="H70" s="73"/>
      <c r="I70" s="73" t="s">
        <v>167</v>
      </c>
      <c r="J70" s="73" t="s">
        <v>1031</v>
      </c>
      <c r="K70" s="74" t="s">
        <v>682</v>
      </c>
      <c r="L70" s="74" t="s">
        <v>13</v>
      </c>
      <c r="M70" s="74" t="s">
        <v>919</v>
      </c>
      <c r="N70" s="74"/>
      <c r="O70" s="74">
        <v>1</v>
      </c>
      <c r="P70" s="74"/>
      <c r="Q70" s="74"/>
      <c r="R70" s="73" t="s">
        <v>646</v>
      </c>
      <c r="S70" s="73">
        <v>4</v>
      </c>
      <c r="T70" s="73">
        <v>4</v>
      </c>
      <c r="U70" s="82" t="s">
        <v>730</v>
      </c>
      <c r="V70" s="73" t="s">
        <v>739</v>
      </c>
      <c r="W70" s="73" t="s">
        <v>739</v>
      </c>
      <c r="X70" s="73" t="s">
        <v>739</v>
      </c>
      <c r="Y70" s="73" t="s">
        <v>739</v>
      </c>
      <c r="Z70" s="73" t="s">
        <v>739</v>
      </c>
      <c r="AA70" s="74" t="s">
        <v>638</v>
      </c>
      <c r="AB70" s="73" t="s">
        <v>739</v>
      </c>
      <c r="AC70" s="73" t="s">
        <v>739</v>
      </c>
      <c r="AD70" s="73" t="s">
        <v>950</v>
      </c>
      <c r="AE70" s="73" t="s">
        <v>739</v>
      </c>
      <c r="AF70" s="76">
        <v>7.2578800000000001</v>
      </c>
      <c r="AG70" s="76">
        <v>1.1306500000000006</v>
      </c>
      <c r="AH70" s="76">
        <f t="shared" si="4"/>
        <v>2.2613000000000012</v>
      </c>
      <c r="AI70" s="76"/>
      <c r="AJ70" s="76"/>
      <c r="AK70" s="76"/>
      <c r="AL70" s="76">
        <v>4.9650699999999999</v>
      </c>
      <c r="AM70" s="76">
        <v>0.96840999999999988</v>
      </c>
      <c r="AN70" s="76">
        <f t="shared" si="5"/>
        <v>1.9368199999999998</v>
      </c>
      <c r="AO70" s="73" t="s">
        <v>739</v>
      </c>
      <c r="AP70" s="73" t="s">
        <v>739</v>
      </c>
      <c r="AQ70" s="73" t="s">
        <v>739</v>
      </c>
      <c r="AR70" s="73" t="s">
        <v>739</v>
      </c>
      <c r="AS70" s="73" t="s">
        <v>372</v>
      </c>
      <c r="AT70" s="46"/>
      <c r="AU70" s="46"/>
      <c r="AV70" s="46"/>
      <c r="AW70" s="46"/>
      <c r="AX70" s="46"/>
      <c r="AY70" s="46"/>
    </row>
    <row r="71" spans="1:53" ht="15" hidden="1" customHeight="1">
      <c r="A71" s="73" t="s">
        <v>742</v>
      </c>
      <c r="B71" s="73" t="s">
        <v>844</v>
      </c>
      <c r="C71" s="73" t="s">
        <v>568</v>
      </c>
      <c r="D71" s="73" t="s">
        <v>392</v>
      </c>
      <c r="E71" s="73" t="s">
        <v>245</v>
      </c>
      <c r="F71" s="73">
        <v>2013</v>
      </c>
      <c r="G71" s="73" t="s">
        <v>490</v>
      </c>
      <c r="H71" s="73"/>
      <c r="I71" s="73" t="s">
        <v>167</v>
      </c>
      <c r="J71" s="73" t="s">
        <v>1031</v>
      </c>
      <c r="K71" s="74" t="s">
        <v>682</v>
      </c>
      <c r="L71" s="74" t="s">
        <v>13</v>
      </c>
      <c r="M71" s="74" t="s">
        <v>919</v>
      </c>
      <c r="N71" s="74"/>
      <c r="O71" s="74">
        <v>1</v>
      </c>
      <c r="P71" s="74"/>
      <c r="Q71" s="74"/>
      <c r="R71" s="73" t="s">
        <v>646</v>
      </c>
      <c r="S71" s="73">
        <v>4</v>
      </c>
      <c r="T71" s="73">
        <v>4</v>
      </c>
      <c r="U71" s="82" t="s">
        <v>730</v>
      </c>
      <c r="V71" s="73" t="s">
        <v>739</v>
      </c>
      <c r="W71" s="73" t="s">
        <v>739</v>
      </c>
      <c r="X71" s="73" t="s">
        <v>739</v>
      </c>
      <c r="Y71" s="73" t="s">
        <v>739</v>
      </c>
      <c r="Z71" s="73" t="s">
        <v>739</v>
      </c>
      <c r="AA71" s="74" t="s">
        <v>727</v>
      </c>
      <c r="AB71" s="73" t="s">
        <v>739</v>
      </c>
      <c r="AC71" s="73" t="s">
        <v>739</v>
      </c>
      <c r="AD71" s="73" t="s">
        <v>950</v>
      </c>
      <c r="AE71" s="73" t="s">
        <v>739</v>
      </c>
      <c r="AF71" s="76">
        <v>7.5331700000000001</v>
      </c>
      <c r="AG71" s="76">
        <v>0.72656999999999972</v>
      </c>
      <c r="AH71" s="76">
        <f t="shared" si="4"/>
        <v>1.4531399999999994</v>
      </c>
      <c r="AI71" s="76"/>
      <c r="AJ71" s="76"/>
      <c r="AK71" s="76"/>
      <c r="AL71" s="76">
        <v>5.1039899999999996</v>
      </c>
      <c r="AM71" s="76">
        <v>0.75544999999999984</v>
      </c>
      <c r="AN71" s="76">
        <f t="shared" si="5"/>
        <v>1.5108999999999997</v>
      </c>
      <c r="AO71" s="73" t="s">
        <v>739</v>
      </c>
      <c r="AP71" s="73" t="s">
        <v>739</v>
      </c>
      <c r="AQ71" s="73" t="s">
        <v>739</v>
      </c>
      <c r="AR71" s="73" t="s">
        <v>739</v>
      </c>
      <c r="AS71" s="73" t="s">
        <v>372</v>
      </c>
      <c r="AT71" s="46"/>
      <c r="AU71" s="46"/>
      <c r="AV71" s="46"/>
      <c r="AW71" s="46"/>
      <c r="AX71" s="46"/>
      <c r="AY71" s="46"/>
    </row>
    <row r="72" spans="1:53" ht="15" hidden="1" customHeight="1">
      <c r="A72" s="73" t="s">
        <v>742</v>
      </c>
      <c r="B72" s="73" t="s">
        <v>844</v>
      </c>
      <c r="C72" s="73" t="s">
        <v>568</v>
      </c>
      <c r="D72" s="73" t="s">
        <v>392</v>
      </c>
      <c r="E72" s="73" t="s">
        <v>245</v>
      </c>
      <c r="F72" s="73">
        <v>2013</v>
      </c>
      <c r="G72" s="73" t="s">
        <v>415</v>
      </c>
      <c r="H72" s="73"/>
      <c r="I72" s="73" t="s">
        <v>647</v>
      </c>
      <c r="J72" s="73" t="s">
        <v>952</v>
      </c>
      <c r="K72" s="74" t="s">
        <v>953</v>
      </c>
      <c r="L72" s="74" t="s">
        <v>918</v>
      </c>
      <c r="M72" s="74" t="s">
        <v>886</v>
      </c>
      <c r="N72" s="74"/>
      <c r="O72" s="74"/>
      <c r="P72" s="74"/>
      <c r="Q72" s="74">
        <v>1</v>
      </c>
      <c r="R72" s="73" t="s">
        <v>648</v>
      </c>
      <c r="S72" s="73">
        <v>4</v>
      </c>
      <c r="T72" s="73">
        <v>4</v>
      </c>
      <c r="U72" s="82" t="s">
        <v>730</v>
      </c>
      <c r="V72" s="73" t="s">
        <v>739</v>
      </c>
      <c r="W72" s="73" t="s">
        <v>739</v>
      </c>
      <c r="X72" s="73" t="s">
        <v>739</v>
      </c>
      <c r="Y72" s="73" t="s">
        <v>739</v>
      </c>
      <c r="Z72" s="73" t="s">
        <v>739</v>
      </c>
      <c r="AA72" s="74" t="s">
        <v>638</v>
      </c>
      <c r="AB72" s="73" t="s">
        <v>739</v>
      </c>
      <c r="AC72" s="73" t="s">
        <v>739</v>
      </c>
      <c r="AD72" s="73" t="s">
        <v>950</v>
      </c>
      <c r="AE72" s="73" t="s">
        <v>739</v>
      </c>
      <c r="AF72" s="76">
        <v>6.0918299999999999</v>
      </c>
      <c r="AG72" s="76">
        <v>1.1788400000000001</v>
      </c>
      <c r="AH72" s="76">
        <f t="shared" si="4"/>
        <v>2.3576800000000002</v>
      </c>
      <c r="AI72" s="76"/>
      <c r="AJ72" s="76"/>
      <c r="AK72" s="76"/>
      <c r="AL72" s="76">
        <v>6.9937800000000001</v>
      </c>
      <c r="AM72" s="76">
        <v>1.9935999999999994</v>
      </c>
      <c r="AN72" s="76">
        <f t="shared" si="5"/>
        <v>3.9871999999999987</v>
      </c>
      <c r="AO72" s="73" t="s">
        <v>739</v>
      </c>
      <c r="AP72" s="73" t="s">
        <v>739</v>
      </c>
      <c r="AQ72" s="73" t="s">
        <v>739</v>
      </c>
      <c r="AR72" s="73" t="s">
        <v>739</v>
      </c>
      <c r="AS72" s="73" t="s">
        <v>372</v>
      </c>
      <c r="AT72" s="46"/>
      <c r="AU72" s="46"/>
      <c r="AV72" s="46"/>
      <c r="AW72" s="46"/>
      <c r="AX72" s="46"/>
      <c r="AY72" s="46"/>
    </row>
    <row r="73" spans="1:53" ht="15" hidden="1" customHeight="1">
      <c r="A73" s="78" t="s">
        <v>742</v>
      </c>
      <c r="B73" s="78" t="s">
        <v>844</v>
      </c>
      <c r="C73" s="78" t="s">
        <v>568</v>
      </c>
      <c r="D73" s="78" t="s">
        <v>392</v>
      </c>
      <c r="E73" s="78" t="s">
        <v>245</v>
      </c>
      <c r="F73" s="78">
        <v>2013</v>
      </c>
      <c r="G73" s="78" t="s">
        <v>415</v>
      </c>
      <c r="H73" s="78"/>
      <c r="I73" s="78" t="s">
        <v>647</v>
      </c>
      <c r="J73" s="78" t="s">
        <v>952</v>
      </c>
      <c r="K73" s="79" t="s">
        <v>955</v>
      </c>
      <c r="L73" s="79" t="s">
        <v>918</v>
      </c>
      <c r="M73" s="79" t="s">
        <v>954</v>
      </c>
      <c r="N73" s="79"/>
      <c r="O73" s="79"/>
      <c r="P73" s="79"/>
      <c r="Q73" s="79">
        <v>1</v>
      </c>
      <c r="R73" s="78" t="s">
        <v>648</v>
      </c>
      <c r="S73" s="78">
        <v>4</v>
      </c>
      <c r="T73" s="78">
        <v>4</v>
      </c>
      <c r="U73" s="84" t="s">
        <v>730</v>
      </c>
      <c r="V73" s="78" t="s">
        <v>739</v>
      </c>
      <c r="W73" s="78" t="s">
        <v>739</v>
      </c>
      <c r="X73" s="78" t="s">
        <v>739</v>
      </c>
      <c r="Y73" s="78" t="s">
        <v>739</v>
      </c>
      <c r="Z73" s="78" t="s">
        <v>739</v>
      </c>
      <c r="AA73" s="79" t="s">
        <v>727</v>
      </c>
      <c r="AB73" s="78" t="s">
        <v>739</v>
      </c>
      <c r="AC73" s="78" t="s">
        <v>739</v>
      </c>
      <c r="AD73" s="78" t="s">
        <v>950</v>
      </c>
      <c r="AE73" s="78" t="s">
        <v>739</v>
      </c>
      <c r="AF73" s="81">
        <v>6.4999700000000002</v>
      </c>
      <c r="AG73" s="81">
        <v>1.5332299999999996</v>
      </c>
      <c r="AH73" s="81">
        <f t="shared" si="4"/>
        <v>3.0664599999999993</v>
      </c>
      <c r="AI73" s="81"/>
      <c r="AJ73" s="81"/>
      <c r="AK73" s="81"/>
      <c r="AL73" s="81">
        <v>6.3848199999999995</v>
      </c>
      <c r="AM73" s="76">
        <v>1.9089400000000005</v>
      </c>
      <c r="AN73" s="76">
        <f t="shared" si="5"/>
        <v>3.8178800000000011</v>
      </c>
      <c r="AO73" s="73" t="s">
        <v>739</v>
      </c>
      <c r="AP73" s="73" t="s">
        <v>739</v>
      </c>
      <c r="AQ73" s="73" t="s">
        <v>739</v>
      </c>
      <c r="AR73" s="73" t="s">
        <v>739</v>
      </c>
      <c r="AS73" s="78" t="s">
        <v>372</v>
      </c>
      <c r="AT73" s="46"/>
      <c r="AU73" s="46"/>
      <c r="AV73" s="46"/>
      <c r="AW73" s="46"/>
      <c r="AX73" s="46"/>
      <c r="AY73" s="46"/>
    </row>
    <row r="74" spans="1:53" ht="15" hidden="1" customHeight="1">
      <c r="A74" s="73" t="s">
        <v>784</v>
      </c>
      <c r="B74" s="73" t="s">
        <v>508</v>
      </c>
      <c r="C74" s="73" t="s">
        <v>61</v>
      </c>
      <c r="D74" s="73" t="s">
        <v>815</v>
      </c>
      <c r="E74" s="73" t="s">
        <v>818</v>
      </c>
      <c r="F74" s="73">
        <v>2008</v>
      </c>
      <c r="G74" s="73" t="s">
        <v>950</v>
      </c>
      <c r="H74" s="73"/>
      <c r="I74" s="73" t="s">
        <v>595</v>
      </c>
      <c r="J74" s="73" t="s">
        <v>920</v>
      </c>
      <c r="K74" s="74" t="s">
        <v>1024</v>
      </c>
      <c r="L74" s="74" t="s">
        <v>13</v>
      </c>
      <c r="M74" s="74" t="s">
        <v>887</v>
      </c>
      <c r="N74" s="74"/>
      <c r="O74" s="74">
        <v>1</v>
      </c>
      <c r="P74" s="74"/>
      <c r="Q74" s="74"/>
      <c r="R74" s="73" t="s">
        <v>819</v>
      </c>
      <c r="S74" s="73">
        <v>3</v>
      </c>
      <c r="T74" s="73">
        <v>3</v>
      </c>
      <c r="U74" s="85" t="s">
        <v>950</v>
      </c>
      <c r="V74" s="73" t="s">
        <v>950</v>
      </c>
      <c r="W74" s="73" t="s">
        <v>950</v>
      </c>
      <c r="X74" s="73" t="s">
        <v>950</v>
      </c>
      <c r="Y74" s="73" t="s">
        <v>950</v>
      </c>
      <c r="Z74" s="73" t="s">
        <v>336</v>
      </c>
      <c r="AA74" s="73" t="s">
        <v>950</v>
      </c>
      <c r="AB74" s="73" t="s">
        <v>950</v>
      </c>
      <c r="AC74" s="73" t="s">
        <v>950</v>
      </c>
      <c r="AD74" s="73" t="s">
        <v>950</v>
      </c>
      <c r="AE74" s="73" t="s">
        <v>950</v>
      </c>
      <c r="AF74" s="73">
        <v>12.5</v>
      </c>
      <c r="AG74" s="73">
        <v>1.7</v>
      </c>
      <c r="AH74" s="86">
        <f t="shared" si="4"/>
        <v>2.9444863728670914</v>
      </c>
      <c r="AI74" s="87"/>
      <c r="AJ74" s="87"/>
      <c r="AK74" s="87"/>
      <c r="AL74" s="73">
        <v>11.1</v>
      </c>
      <c r="AM74" s="88">
        <v>0.7</v>
      </c>
      <c r="AN74" s="83">
        <f t="shared" si="5"/>
        <v>1.2124355652982139</v>
      </c>
      <c r="AO74" s="88" t="s">
        <v>950</v>
      </c>
      <c r="AP74" s="88" t="s">
        <v>950</v>
      </c>
      <c r="AQ74" s="88" t="s">
        <v>950</v>
      </c>
      <c r="AR74" s="88" t="s">
        <v>950</v>
      </c>
      <c r="AS74" s="73" t="s">
        <v>731</v>
      </c>
      <c r="AT74" s="46"/>
      <c r="AU74" s="46"/>
      <c r="AV74" s="46"/>
      <c r="AW74" s="46"/>
      <c r="AX74" s="46"/>
      <c r="AY74" s="46"/>
    </row>
    <row r="75" spans="1:53" ht="15" hidden="1" customHeight="1">
      <c r="A75" s="73" t="s">
        <v>784</v>
      </c>
      <c r="B75" s="73" t="s">
        <v>508</v>
      </c>
      <c r="C75" s="73" t="s">
        <v>782</v>
      </c>
      <c r="D75" s="73" t="s">
        <v>815</v>
      </c>
      <c r="E75" s="73" t="s">
        <v>818</v>
      </c>
      <c r="F75" s="73">
        <v>2008</v>
      </c>
      <c r="G75" s="73" t="s">
        <v>950</v>
      </c>
      <c r="H75" s="73"/>
      <c r="I75" s="73" t="s">
        <v>864</v>
      </c>
      <c r="J75" s="73" t="s">
        <v>863</v>
      </c>
      <c r="K75" s="74" t="s">
        <v>951</v>
      </c>
      <c r="L75" s="74" t="s">
        <v>13</v>
      </c>
      <c r="M75" s="74" t="s">
        <v>887</v>
      </c>
      <c r="N75" s="74"/>
      <c r="O75" s="74">
        <v>1</v>
      </c>
      <c r="P75" s="74"/>
      <c r="Q75" s="74"/>
      <c r="R75" s="73" t="s">
        <v>820</v>
      </c>
      <c r="S75" s="73">
        <v>3</v>
      </c>
      <c r="T75" s="73">
        <v>3</v>
      </c>
      <c r="U75" s="85" t="s">
        <v>950</v>
      </c>
      <c r="V75" s="73" t="s">
        <v>950</v>
      </c>
      <c r="W75" s="73" t="s">
        <v>950</v>
      </c>
      <c r="X75" s="73" t="s">
        <v>950</v>
      </c>
      <c r="Y75" s="73" t="s">
        <v>950</v>
      </c>
      <c r="Z75" s="73" t="s">
        <v>336</v>
      </c>
      <c r="AA75" s="73" t="s">
        <v>950</v>
      </c>
      <c r="AB75" s="73" t="s">
        <v>950</v>
      </c>
      <c r="AC75" s="73" t="s">
        <v>950</v>
      </c>
      <c r="AD75" s="73" t="s">
        <v>950</v>
      </c>
      <c r="AE75" s="73" t="s">
        <v>950</v>
      </c>
      <c r="AF75" s="73">
        <v>13.7</v>
      </c>
      <c r="AG75" s="73">
        <v>1.4</v>
      </c>
      <c r="AH75" s="87">
        <f t="shared" si="4"/>
        <v>2.4248711305964279</v>
      </c>
      <c r="AI75" s="87"/>
      <c r="AJ75" s="87"/>
      <c r="AK75" s="87"/>
      <c r="AL75" s="73">
        <v>11.2</v>
      </c>
      <c r="AM75" s="73">
        <v>0.4</v>
      </c>
      <c r="AN75" s="76">
        <f t="shared" si="5"/>
        <v>0.69282032302755092</v>
      </c>
      <c r="AO75" s="73" t="s">
        <v>950</v>
      </c>
      <c r="AP75" s="73" t="s">
        <v>950</v>
      </c>
      <c r="AQ75" s="73" t="s">
        <v>950</v>
      </c>
      <c r="AR75" s="73" t="s">
        <v>950</v>
      </c>
      <c r="AS75" s="73" t="s">
        <v>731</v>
      </c>
      <c r="AT75" s="46"/>
      <c r="AU75" s="46"/>
      <c r="AV75" s="46"/>
      <c r="AW75" s="46"/>
      <c r="AX75" s="46"/>
      <c r="AY75" s="46"/>
    </row>
    <row r="76" spans="1:53" ht="15" hidden="1" customHeight="1">
      <c r="A76" s="73" t="s">
        <v>784</v>
      </c>
      <c r="B76" s="73" t="s">
        <v>508</v>
      </c>
      <c r="C76" s="73" t="s">
        <v>782</v>
      </c>
      <c r="D76" s="73" t="s">
        <v>815</v>
      </c>
      <c r="E76" s="73" t="s">
        <v>818</v>
      </c>
      <c r="F76" s="73">
        <v>2008</v>
      </c>
      <c r="G76" s="73" t="s">
        <v>950</v>
      </c>
      <c r="H76" s="73"/>
      <c r="I76" s="73" t="s">
        <v>821</v>
      </c>
      <c r="J76" s="73" t="s">
        <v>862</v>
      </c>
      <c r="K76" s="74" t="s">
        <v>951</v>
      </c>
      <c r="L76" s="74" t="s">
        <v>13</v>
      </c>
      <c r="M76" s="74" t="s">
        <v>887</v>
      </c>
      <c r="N76" s="74"/>
      <c r="O76" s="74">
        <v>1</v>
      </c>
      <c r="P76" s="74"/>
      <c r="Q76" s="74"/>
      <c r="R76" s="73" t="s">
        <v>822</v>
      </c>
      <c r="S76" s="73">
        <v>3</v>
      </c>
      <c r="T76" s="73">
        <v>3</v>
      </c>
      <c r="U76" s="85" t="s">
        <v>950</v>
      </c>
      <c r="V76" s="73" t="s">
        <v>950</v>
      </c>
      <c r="W76" s="73" t="s">
        <v>950</v>
      </c>
      <c r="X76" s="73" t="s">
        <v>950</v>
      </c>
      <c r="Y76" s="73" t="s">
        <v>950</v>
      </c>
      <c r="Z76" s="73" t="s">
        <v>336</v>
      </c>
      <c r="AA76" s="73" t="s">
        <v>950</v>
      </c>
      <c r="AB76" s="73" t="s">
        <v>950</v>
      </c>
      <c r="AC76" s="73" t="s">
        <v>950</v>
      </c>
      <c r="AD76" s="73" t="s">
        <v>950</v>
      </c>
      <c r="AE76" s="73" t="s">
        <v>950</v>
      </c>
      <c r="AF76" s="73">
        <v>11.8</v>
      </c>
      <c r="AG76" s="73">
        <v>0.9</v>
      </c>
      <c r="AH76" s="87">
        <f t="shared" si="4"/>
        <v>1.5588457268119895</v>
      </c>
      <c r="AI76" s="87"/>
      <c r="AJ76" s="87"/>
      <c r="AK76" s="87"/>
      <c r="AL76" s="73">
        <v>11.8</v>
      </c>
      <c r="AM76" s="73">
        <v>1.7</v>
      </c>
      <c r="AN76" s="76">
        <f t="shared" si="5"/>
        <v>2.9444863728670914</v>
      </c>
      <c r="AO76" s="73" t="s">
        <v>950</v>
      </c>
      <c r="AP76" s="73" t="s">
        <v>950</v>
      </c>
      <c r="AQ76" s="73" t="s">
        <v>950</v>
      </c>
      <c r="AR76" s="73" t="s">
        <v>950</v>
      </c>
      <c r="AS76" s="73" t="s">
        <v>731</v>
      </c>
      <c r="AT76" s="46"/>
      <c r="AU76" s="46"/>
      <c r="AV76" s="46"/>
      <c r="AW76" s="46"/>
      <c r="AX76" s="46"/>
      <c r="AY76" s="46"/>
    </row>
    <row r="77" spans="1:53" ht="15" hidden="1" customHeight="1">
      <c r="A77" s="73" t="s">
        <v>784</v>
      </c>
      <c r="B77" s="73" t="s">
        <v>508</v>
      </c>
      <c r="C77" s="73" t="s">
        <v>782</v>
      </c>
      <c r="D77" s="73" t="s">
        <v>815</v>
      </c>
      <c r="E77" s="73" t="s">
        <v>818</v>
      </c>
      <c r="F77" s="73">
        <v>2008</v>
      </c>
      <c r="G77" s="73" t="s">
        <v>950</v>
      </c>
      <c r="H77" s="73"/>
      <c r="I77" s="73" t="s">
        <v>823</v>
      </c>
      <c r="J77" s="73" t="s">
        <v>863</v>
      </c>
      <c r="K77" s="74" t="s">
        <v>951</v>
      </c>
      <c r="L77" s="74" t="s">
        <v>13</v>
      </c>
      <c r="M77" s="74" t="s">
        <v>887</v>
      </c>
      <c r="N77" s="74"/>
      <c r="O77" s="74">
        <v>1</v>
      </c>
      <c r="P77" s="74"/>
      <c r="Q77" s="74"/>
      <c r="R77" s="73" t="s">
        <v>602</v>
      </c>
      <c r="S77" s="73">
        <v>3</v>
      </c>
      <c r="T77" s="73">
        <v>3</v>
      </c>
      <c r="U77" s="85" t="s">
        <v>950</v>
      </c>
      <c r="V77" s="73" t="s">
        <v>950</v>
      </c>
      <c r="W77" s="73" t="s">
        <v>950</v>
      </c>
      <c r="X77" s="73" t="s">
        <v>950</v>
      </c>
      <c r="Y77" s="73" t="s">
        <v>950</v>
      </c>
      <c r="Z77" s="73" t="s">
        <v>336</v>
      </c>
      <c r="AA77" s="73" t="s">
        <v>950</v>
      </c>
      <c r="AB77" s="73" t="s">
        <v>950</v>
      </c>
      <c r="AC77" s="73" t="s">
        <v>950</v>
      </c>
      <c r="AD77" s="73" t="s">
        <v>950</v>
      </c>
      <c r="AE77" s="73" t="s">
        <v>950</v>
      </c>
      <c r="AF77" s="73">
        <v>13.9</v>
      </c>
      <c r="AG77" s="73">
        <v>1.3</v>
      </c>
      <c r="AH77" s="87">
        <f t="shared" si="4"/>
        <v>2.2516660498395402</v>
      </c>
      <c r="AI77" s="87"/>
      <c r="AJ77" s="87"/>
      <c r="AK77" s="87"/>
      <c r="AL77" s="73">
        <v>11.6</v>
      </c>
      <c r="AM77" s="73">
        <v>1.3</v>
      </c>
      <c r="AN77" s="87">
        <f t="shared" ref="AN77:AN109" si="6">AM77*SQRT(T77)</f>
        <v>2.2516660498395402</v>
      </c>
      <c r="AO77" s="73" t="s">
        <v>950</v>
      </c>
      <c r="AP77" s="73" t="s">
        <v>950</v>
      </c>
      <c r="AQ77" s="73" t="s">
        <v>950</v>
      </c>
      <c r="AR77" s="73" t="s">
        <v>950</v>
      </c>
      <c r="AS77" s="73" t="s">
        <v>731</v>
      </c>
      <c r="AT77" s="46"/>
      <c r="AU77" s="46"/>
      <c r="AV77" s="46"/>
      <c r="AW77" s="46"/>
      <c r="AX77" s="46"/>
      <c r="AY77" s="46"/>
    </row>
    <row r="78" spans="1:53" ht="15" hidden="1" customHeight="1">
      <c r="A78" s="73" t="s">
        <v>784</v>
      </c>
      <c r="B78" s="73" t="s">
        <v>508</v>
      </c>
      <c r="C78" s="73" t="s">
        <v>782</v>
      </c>
      <c r="D78" s="73" t="s">
        <v>815</v>
      </c>
      <c r="E78" s="73" t="s">
        <v>818</v>
      </c>
      <c r="F78" s="73">
        <v>2008</v>
      </c>
      <c r="G78" s="73" t="s">
        <v>950</v>
      </c>
      <c r="H78" s="73"/>
      <c r="I78" s="73" t="s">
        <v>588</v>
      </c>
      <c r="J78" s="73" t="s">
        <v>863</v>
      </c>
      <c r="K78" s="74" t="s">
        <v>951</v>
      </c>
      <c r="L78" s="74" t="s">
        <v>13</v>
      </c>
      <c r="M78" s="74" t="s">
        <v>887</v>
      </c>
      <c r="N78" s="74"/>
      <c r="O78" s="74">
        <v>1</v>
      </c>
      <c r="P78" s="74"/>
      <c r="Q78" s="74"/>
      <c r="R78" s="73" t="s">
        <v>718</v>
      </c>
      <c r="S78" s="73">
        <v>3</v>
      </c>
      <c r="T78" s="73">
        <v>3</v>
      </c>
      <c r="U78" s="85" t="s">
        <v>950</v>
      </c>
      <c r="V78" s="73" t="s">
        <v>950</v>
      </c>
      <c r="W78" s="73" t="s">
        <v>950</v>
      </c>
      <c r="X78" s="73" t="s">
        <v>950</v>
      </c>
      <c r="Y78" s="73" t="s">
        <v>950</v>
      </c>
      <c r="Z78" s="73" t="s">
        <v>336</v>
      </c>
      <c r="AA78" s="73" t="s">
        <v>950</v>
      </c>
      <c r="AB78" s="73" t="s">
        <v>950</v>
      </c>
      <c r="AC78" s="73" t="s">
        <v>950</v>
      </c>
      <c r="AD78" s="73" t="s">
        <v>950</v>
      </c>
      <c r="AE78" s="73" t="s">
        <v>950</v>
      </c>
      <c r="AF78" s="73">
        <v>13</v>
      </c>
      <c r="AG78" s="73">
        <v>2.1</v>
      </c>
      <c r="AH78" s="87">
        <f t="shared" ref="AH78:AH109" si="7">AG78*SQRT(S78)</f>
        <v>3.6373066958946421</v>
      </c>
      <c r="AI78" s="87"/>
      <c r="AJ78" s="87"/>
      <c r="AK78" s="87"/>
      <c r="AL78" s="73">
        <v>10.6</v>
      </c>
      <c r="AM78" s="73">
        <v>1.4</v>
      </c>
      <c r="AN78" s="87">
        <f t="shared" si="6"/>
        <v>2.4248711305964279</v>
      </c>
      <c r="AO78" s="73" t="s">
        <v>950</v>
      </c>
      <c r="AP78" s="73" t="s">
        <v>950</v>
      </c>
      <c r="AQ78" s="73" t="s">
        <v>950</v>
      </c>
      <c r="AR78" s="73" t="s">
        <v>950</v>
      </c>
      <c r="AS78" s="73" t="s">
        <v>731</v>
      </c>
      <c r="AT78" s="46"/>
      <c r="AU78" s="46"/>
      <c r="AV78" s="46"/>
      <c r="AW78" s="46"/>
      <c r="AX78" s="46"/>
      <c r="AY78" s="46"/>
    </row>
    <row r="79" spans="1:53" ht="15" customHeight="1">
      <c r="A79" s="73" t="s">
        <v>784</v>
      </c>
      <c r="B79" s="73" t="s">
        <v>508</v>
      </c>
      <c r="C79" s="73" t="s">
        <v>782</v>
      </c>
      <c r="D79" s="73" t="s">
        <v>815</v>
      </c>
      <c r="E79" s="73" t="s">
        <v>818</v>
      </c>
      <c r="F79" s="73">
        <v>2008</v>
      </c>
      <c r="G79" s="73" t="s">
        <v>950</v>
      </c>
      <c r="H79" s="73"/>
      <c r="I79" s="73" t="s">
        <v>589</v>
      </c>
      <c r="J79" s="74" t="s">
        <v>957</v>
      </c>
      <c r="K79" s="73" t="s">
        <v>74</v>
      </c>
      <c r="L79" s="73" t="s">
        <v>131</v>
      </c>
      <c r="M79" s="73" t="s">
        <v>958</v>
      </c>
      <c r="N79" s="73">
        <v>1</v>
      </c>
      <c r="O79" s="73"/>
      <c r="P79" s="73"/>
      <c r="Q79" s="73"/>
      <c r="R79" s="73" t="s">
        <v>590</v>
      </c>
      <c r="S79" s="73">
        <v>3</v>
      </c>
      <c r="T79" s="73">
        <v>3</v>
      </c>
      <c r="U79" s="85" t="s">
        <v>950</v>
      </c>
      <c r="V79" s="73" t="s">
        <v>950</v>
      </c>
      <c r="W79" s="73" t="s">
        <v>950</v>
      </c>
      <c r="X79" s="73" t="s">
        <v>950</v>
      </c>
      <c r="Y79" s="73" t="s">
        <v>950</v>
      </c>
      <c r="Z79" s="73" t="s">
        <v>336</v>
      </c>
      <c r="AA79" s="73" t="s">
        <v>950</v>
      </c>
      <c r="AB79" s="73" t="s">
        <v>950</v>
      </c>
      <c r="AC79" s="73" t="s">
        <v>950</v>
      </c>
      <c r="AD79" s="73" t="s">
        <v>950</v>
      </c>
      <c r="AE79" s="73" t="s">
        <v>950</v>
      </c>
      <c r="AF79" s="73">
        <v>7.4</v>
      </c>
      <c r="AG79" s="73">
        <v>1.4</v>
      </c>
      <c r="AH79" s="87">
        <f t="shared" si="7"/>
        <v>2.4248711305964279</v>
      </c>
      <c r="AI79" s="87"/>
      <c r="AJ79" s="87"/>
      <c r="AK79" s="87"/>
      <c r="AL79" s="73">
        <v>8.6999999999999993</v>
      </c>
      <c r="AM79" s="73">
        <v>1.7</v>
      </c>
      <c r="AN79" s="87">
        <f t="shared" si="6"/>
        <v>2.9444863728670914</v>
      </c>
      <c r="AO79" s="73" t="s">
        <v>950</v>
      </c>
      <c r="AP79" s="73" t="s">
        <v>950</v>
      </c>
      <c r="AQ79" s="73" t="s">
        <v>950</v>
      </c>
      <c r="AR79" s="73" t="s">
        <v>950</v>
      </c>
      <c r="AS79" s="73" t="s">
        <v>731</v>
      </c>
      <c r="AT79" s="110">
        <f>AF79-AL79</f>
        <v>-1.2999999999999989</v>
      </c>
      <c r="AU79" s="110">
        <f>SQRT(((T78-1)*AH79^2 + (T79-1)*AN79^2)/(T78+T79-2) )</f>
        <v>2.6972207918522351</v>
      </c>
      <c r="AV79" s="110">
        <f>1-3/(4*(S79+T79) - 9)</f>
        <v>0.8</v>
      </c>
      <c r="AW79" s="110">
        <f>AT79/AU79*AV79</f>
        <v>-0.38558207883523343</v>
      </c>
      <c r="AX79" s="110">
        <f>T78</f>
        <v>3</v>
      </c>
      <c r="AY79" s="110">
        <f>AW79*AX79</f>
        <v>-1.1567462365057004</v>
      </c>
      <c r="BA79" s="46">
        <f>AW281</f>
        <v>1.176556417467834</v>
      </c>
    </row>
    <row r="80" spans="1:53" ht="15" customHeight="1">
      <c r="A80" s="73" t="s">
        <v>784</v>
      </c>
      <c r="B80" s="73" t="s">
        <v>508</v>
      </c>
      <c r="C80" s="73" t="s">
        <v>782</v>
      </c>
      <c r="D80" s="73" t="s">
        <v>815</v>
      </c>
      <c r="E80" s="73" t="s">
        <v>818</v>
      </c>
      <c r="F80" s="73">
        <v>2008</v>
      </c>
      <c r="G80" s="73" t="s">
        <v>950</v>
      </c>
      <c r="H80" s="73"/>
      <c r="I80" s="73" t="s">
        <v>591</v>
      </c>
      <c r="J80" s="74" t="s">
        <v>861</v>
      </c>
      <c r="K80" s="73" t="s">
        <v>74</v>
      </c>
      <c r="L80" s="73" t="s">
        <v>131</v>
      </c>
      <c r="M80" s="73" t="s">
        <v>958</v>
      </c>
      <c r="N80" s="73">
        <v>1</v>
      </c>
      <c r="O80" s="73"/>
      <c r="P80" s="73"/>
      <c r="Q80" s="73"/>
      <c r="R80" s="73" t="s">
        <v>592</v>
      </c>
      <c r="S80" s="73">
        <v>3</v>
      </c>
      <c r="T80" s="73">
        <v>3</v>
      </c>
      <c r="U80" s="85" t="s">
        <v>950</v>
      </c>
      <c r="V80" s="73" t="s">
        <v>950</v>
      </c>
      <c r="W80" s="73" t="s">
        <v>950</v>
      </c>
      <c r="X80" s="73" t="s">
        <v>950</v>
      </c>
      <c r="Y80" s="73" t="s">
        <v>950</v>
      </c>
      <c r="Z80" s="73" t="s">
        <v>336</v>
      </c>
      <c r="AA80" s="73" t="s">
        <v>950</v>
      </c>
      <c r="AB80" s="73" t="s">
        <v>950</v>
      </c>
      <c r="AC80" s="73" t="s">
        <v>950</v>
      </c>
      <c r="AD80" s="73" t="s">
        <v>950</v>
      </c>
      <c r="AE80" s="73" t="s">
        <v>950</v>
      </c>
      <c r="AF80" s="73">
        <v>10.4</v>
      </c>
      <c r="AG80" s="73">
        <v>3</v>
      </c>
      <c r="AH80" s="87">
        <f t="shared" si="7"/>
        <v>5.196152422706632</v>
      </c>
      <c r="AI80" s="87"/>
      <c r="AJ80" s="87"/>
      <c r="AK80" s="87"/>
      <c r="AL80" s="73">
        <v>11.4</v>
      </c>
      <c r="AM80" s="73">
        <v>0.4</v>
      </c>
      <c r="AN80" s="87">
        <f t="shared" si="6"/>
        <v>0.69282032302755092</v>
      </c>
      <c r="AO80" s="73" t="s">
        <v>950</v>
      </c>
      <c r="AP80" s="73" t="s">
        <v>950</v>
      </c>
      <c r="AQ80" s="73" t="s">
        <v>950</v>
      </c>
      <c r="AR80" s="73" t="s">
        <v>950</v>
      </c>
      <c r="AS80" s="73" t="s">
        <v>731</v>
      </c>
      <c r="AT80" s="110">
        <f t="shared" ref="AT80:AT81" si="8">AF80-AL80</f>
        <v>-1</v>
      </c>
      <c r="AU80" s="110">
        <f t="shared" ref="AU80:AU81" si="9">SQRT(((T79-1)*AH80^2 + (T80-1)*AN80^2)/(T79+T80-2) )</f>
        <v>3.7067505985701277</v>
      </c>
      <c r="AV80" s="110">
        <f t="shared" ref="AV80:AV81" si="10">1-3/(4*(S80+T80) - 9)</f>
        <v>0.8</v>
      </c>
      <c r="AW80" s="110">
        <f t="shared" ref="AW80:AW81" si="11">AT80/AU80*AV80</f>
        <v>-0.21582245115401033</v>
      </c>
      <c r="AX80" s="110">
        <f t="shared" ref="AX80:AX81" si="12">T79</f>
        <v>3</v>
      </c>
      <c r="AY80" s="110">
        <f t="shared" ref="AY80:AY81" si="13">AW80*AX80</f>
        <v>-0.64746735346203099</v>
      </c>
    </row>
    <row r="81" spans="1:51" ht="15" customHeight="1">
      <c r="A81" s="73" t="s">
        <v>784</v>
      </c>
      <c r="B81" s="73" t="s">
        <v>508</v>
      </c>
      <c r="C81" s="73" t="s">
        <v>782</v>
      </c>
      <c r="D81" s="73" t="s">
        <v>815</v>
      </c>
      <c r="E81" s="73" t="s">
        <v>818</v>
      </c>
      <c r="F81" s="73">
        <v>2008</v>
      </c>
      <c r="G81" s="73" t="s">
        <v>950</v>
      </c>
      <c r="H81" s="73"/>
      <c r="I81" s="73" t="s">
        <v>593</v>
      </c>
      <c r="J81" s="74" t="s">
        <v>861</v>
      </c>
      <c r="K81" s="73" t="s">
        <v>74</v>
      </c>
      <c r="L81" s="73" t="s">
        <v>131</v>
      </c>
      <c r="M81" s="73" t="s">
        <v>958</v>
      </c>
      <c r="N81" s="73">
        <v>1</v>
      </c>
      <c r="O81" s="73"/>
      <c r="P81" s="73"/>
      <c r="Q81" s="73"/>
      <c r="R81" s="73" t="s">
        <v>594</v>
      </c>
      <c r="S81" s="73">
        <v>3</v>
      </c>
      <c r="T81" s="73">
        <v>3</v>
      </c>
      <c r="U81" s="85" t="s">
        <v>950</v>
      </c>
      <c r="V81" s="73" t="s">
        <v>950</v>
      </c>
      <c r="W81" s="73" t="s">
        <v>950</v>
      </c>
      <c r="X81" s="73" t="s">
        <v>950</v>
      </c>
      <c r="Y81" s="73" t="s">
        <v>950</v>
      </c>
      <c r="Z81" s="73" t="s">
        <v>336</v>
      </c>
      <c r="AA81" s="73" t="s">
        <v>950</v>
      </c>
      <c r="AB81" s="73" t="s">
        <v>950</v>
      </c>
      <c r="AC81" s="73" t="s">
        <v>950</v>
      </c>
      <c r="AD81" s="73" t="s">
        <v>950</v>
      </c>
      <c r="AE81" s="73" t="s">
        <v>950</v>
      </c>
      <c r="AF81" s="73">
        <v>14.3</v>
      </c>
      <c r="AG81" s="73">
        <v>1.4</v>
      </c>
      <c r="AH81" s="87">
        <f t="shared" si="7"/>
        <v>2.4248711305964279</v>
      </c>
      <c r="AI81" s="87"/>
      <c r="AJ81" s="87"/>
      <c r="AK81" s="87"/>
      <c r="AL81" s="73">
        <v>14.6</v>
      </c>
      <c r="AM81" s="73">
        <v>0.6</v>
      </c>
      <c r="AN81" s="87">
        <f t="shared" si="6"/>
        <v>1.0392304845413263</v>
      </c>
      <c r="AO81" s="73" t="s">
        <v>950</v>
      </c>
      <c r="AP81" s="73" t="s">
        <v>950</v>
      </c>
      <c r="AQ81" s="73" t="s">
        <v>950</v>
      </c>
      <c r="AR81" s="73" t="s">
        <v>950</v>
      </c>
      <c r="AS81" s="73" t="s">
        <v>731</v>
      </c>
      <c r="AT81" s="110">
        <f t="shared" si="8"/>
        <v>-0.29999999999999893</v>
      </c>
      <c r="AU81" s="110">
        <f t="shared" si="9"/>
        <v>1.8654758106177627</v>
      </c>
      <c r="AV81" s="110">
        <f t="shared" si="10"/>
        <v>0.8</v>
      </c>
      <c r="AW81" s="110">
        <f t="shared" si="11"/>
        <v>-0.12865350418053495</v>
      </c>
      <c r="AX81" s="110">
        <f t="shared" si="12"/>
        <v>3</v>
      </c>
      <c r="AY81" s="110">
        <f t="shared" si="13"/>
        <v>-0.38596051254160485</v>
      </c>
    </row>
    <row r="82" spans="1:51" ht="15" hidden="1" customHeight="1">
      <c r="A82" s="73" t="s">
        <v>784</v>
      </c>
      <c r="B82" s="73" t="s">
        <v>508</v>
      </c>
      <c r="C82" s="73" t="s">
        <v>782</v>
      </c>
      <c r="D82" s="73" t="s">
        <v>815</v>
      </c>
      <c r="E82" s="73" t="s">
        <v>818</v>
      </c>
      <c r="F82" s="73">
        <v>2009</v>
      </c>
      <c r="G82" s="73" t="s">
        <v>950</v>
      </c>
      <c r="H82" s="73"/>
      <c r="I82" s="73" t="s">
        <v>595</v>
      </c>
      <c r="J82" s="73" t="s">
        <v>920</v>
      </c>
      <c r="K82" s="74" t="s">
        <v>956</v>
      </c>
      <c r="L82" s="74" t="s">
        <v>13</v>
      </c>
      <c r="M82" s="74" t="s">
        <v>887</v>
      </c>
      <c r="N82" s="74"/>
      <c r="O82" s="74">
        <v>1</v>
      </c>
      <c r="P82" s="74"/>
      <c r="Q82" s="74"/>
      <c r="R82" s="73" t="s">
        <v>819</v>
      </c>
      <c r="S82" s="73">
        <v>3</v>
      </c>
      <c r="T82" s="73">
        <v>3</v>
      </c>
      <c r="U82" s="85" t="s">
        <v>950</v>
      </c>
      <c r="V82" s="73" t="s">
        <v>950</v>
      </c>
      <c r="W82" s="73" t="s">
        <v>950</v>
      </c>
      <c r="X82" s="73" t="s">
        <v>950</v>
      </c>
      <c r="Y82" s="73" t="s">
        <v>950</v>
      </c>
      <c r="Z82" s="73" t="s">
        <v>336</v>
      </c>
      <c r="AA82" s="73" t="s">
        <v>950</v>
      </c>
      <c r="AB82" s="73" t="s">
        <v>950</v>
      </c>
      <c r="AC82" s="73" t="s">
        <v>950</v>
      </c>
      <c r="AD82" s="73" t="s">
        <v>950</v>
      </c>
      <c r="AE82" s="73" t="s">
        <v>950</v>
      </c>
      <c r="AF82" s="73">
        <v>16.5</v>
      </c>
      <c r="AG82" s="73">
        <v>0.4</v>
      </c>
      <c r="AH82" s="87">
        <f t="shared" si="7"/>
        <v>0.69282032302755092</v>
      </c>
      <c r="AI82" s="87"/>
      <c r="AJ82" s="87"/>
      <c r="AK82" s="87"/>
      <c r="AL82" s="73">
        <v>16.600000000000001</v>
      </c>
      <c r="AM82" s="73">
        <v>1.2</v>
      </c>
      <c r="AN82" s="87">
        <f t="shared" si="6"/>
        <v>2.0784609690826525</v>
      </c>
      <c r="AO82" s="73" t="s">
        <v>950</v>
      </c>
      <c r="AP82" s="73" t="s">
        <v>950</v>
      </c>
      <c r="AQ82" s="73" t="s">
        <v>950</v>
      </c>
      <c r="AR82" s="73" t="s">
        <v>950</v>
      </c>
      <c r="AS82" s="73" t="s">
        <v>731</v>
      </c>
      <c r="AT82" s="46"/>
      <c r="AU82" s="46"/>
      <c r="AV82" s="46"/>
      <c r="AW82" s="46"/>
      <c r="AX82" s="46"/>
      <c r="AY82" s="46"/>
    </row>
    <row r="83" spans="1:51" ht="15" hidden="1" customHeight="1">
      <c r="A83" s="73" t="s">
        <v>784</v>
      </c>
      <c r="B83" s="73" t="s">
        <v>508</v>
      </c>
      <c r="C83" s="73" t="s">
        <v>782</v>
      </c>
      <c r="D83" s="73" t="s">
        <v>815</v>
      </c>
      <c r="E83" s="73" t="s">
        <v>818</v>
      </c>
      <c r="F83" s="73">
        <v>2009</v>
      </c>
      <c r="G83" s="73" t="s">
        <v>950</v>
      </c>
      <c r="H83" s="73"/>
      <c r="I83" s="73" t="s">
        <v>864</v>
      </c>
      <c r="J83" s="73" t="s">
        <v>863</v>
      </c>
      <c r="K83" s="74" t="s">
        <v>951</v>
      </c>
      <c r="L83" s="74" t="s">
        <v>13</v>
      </c>
      <c r="M83" s="74" t="s">
        <v>887</v>
      </c>
      <c r="N83" s="74"/>
      <c r="O83" s="74">
        <v>1</v>
      </c>
      <c r="P83" s="74"/>
      <c r="Q83" s="74"/>
      <c r="R83" s="73" t="s">
        <v>820</v>
      </c>
      <c r="S83" s="73">
        <v>3</v>
      </c>
      <c r="T83" s="73">
        <v>3</v>
      </c>
      <c r="U83" s="85" t="s">
        <v>950</v>
      </c>
      <c r="V83" s="73" t="s">
        <v>950</v>
      </c>
      <c r="W83" s="73" t="s">
        <v>950</v>
      </c>
      <c r="X83" s="73" t="s">
        <v>950</v>
      </c>
      <c r="Y83" s="73" t="s">
        <v>950</v>
      </c>
      <c r="Z83" s="73" t="s">
        <v>336</v>
      </c>
      <c r="AA83" s="73" t="s">
        <v>950</v>
      </c>
      <c r="AB83" s="73" t="s">
        <v>950</v>
      </c>
      <c r="AC83" s="73" t="s">
        <v>950</v>
      </c>
      <c r="AD83" s="73" t="s">
        <v>950</v>
      </c>
      <c r="AE83" s="73" t="s">
        <v>950</v>
      </c>
      <c r="AF83" s="73">
        <v>15.1</v>
      </c>
      <c r="AG83" s="73">
        <v>1</v>
      </c>
      <c r="AH83" s="87">
        <f t="shared" si="7"/>
        <v>1.7320508075688772</v>
      </c>
      <c r="AI83" s="87"/>
      <c r="AJ83" s="87"/>
      <c r="AK83" s="87"/>
      <c r="AL83" s="73">
        <v>15.3</v>
      </c>
      <c r="AM83" s="73">
        <v>0.5</v>
      </c>
      <c r="AN83" s="87">
        <f t="shared" si="6"/>
        <v>0.8660254037844386</v>
      </c>
      <c r="AO83" s="73" t="s">
        <v>950</v>
      </c>
      <c r="AP83" s="73" t="s">
        <v>950</v>
      </c>
      <c r="AQ83" s="73" t="s">
        <v>950</v>
      </c>
      <c r="AR83" s="73" t="s">
        <v>950</v>
      </c>
      <c r="AS83" s="73" t="s">
        <v>731</v>
      </c>
      <c r="AT83" s="46"/>
      <c r="AU83" s="46"/>
      <c r="AV83" s="46"/>
      <c r="AW83" s="46"/>
      <c r="AX83" s="46"/>
      <c r="AY83" s="46"/>
    </row>
    <row r="84" spans="1:51" ht="15" hidden="1" customHeight="1">
      <c r="A84" s="73" t="s">
        <v>784</v>
      </c>
      <c r="B84" s="73" t="s">
        <v>508</v>
      </c>
      <c r="C84" s="73" t="s">
        <v>782</v>
      </c>
      <c r="D84" s="73" t="s">
        <v>815</v>
      </c>
      <c r="E84" s="73" t="s">
        <v>818</v>
      </c>
      <c r="F84" s="73">
        <v>2009</v>
      </c>
      <c r="G84" s="73" t="s">
        <v>950</v>
      </c>
      <c r="H84" s="73"/>
      <c r="I84" s="73" t="s">
        <v>821</v>
      </c>
      <c r="J84" s="73" t="s">
        <v>862</v>
      </c>
      <c r="K84" s="74" t="s">
        <v>951</v>
      </c>
      <c r="L84" s="74" t="s">
        <v>13</v>
      </c>
      <c r="M84" s="74" t="s">
        <v>887</v>
      </c>
      <c r="N84" s="74"/>
      <c r="O84" s="74">
        <v>1</v>
      </c>
      <c r="P84" s="74"/>
      <c r="Q84" s="74"/>
      <c r="R84" s="73" t="s">
        <v>822</v>
      </c>
      <c r="S84" s="73">
        <v>3</v>
      </c>
      <c r="T84" s="73">
        <v>3</v>
      </c>
      <c r="U84" s="85" t="s">
        <v>950</v>
      </c>
      <c r="V84" s="73" t="s">
        <v>950</v>
      </c>
      <c r="W84" s="73" t="s">
        <v>950</v>
      </c>
      <c r="X84" s="73" t="s">
        <v>950</v>
      </c>
      <c r="Y84" s="73" t="s">
        <v>950</v>
      </c>
      <c r="Z84" s="73" t="s">
        <v>336</v>
      </c>
      <c r="AA84" s="73" t="s">
        <v>950</v>
      </c>
      <c r="AB84" s="73" t="s">
        <v>950</v>
      </c>
      <c r="AC84" s="73" t="s">
        <v>950</v>
      </c>
      <c r="AD84" s="73" t="s">
        <v>950</v>
      </c>
      <c r="AE84" s="73" t="s">
        <v>950</v>
      </c>
      <c r="AF84" s="73">
        <v>19.399999999999999</v>
      </c>
      <c r="AG84" s="73">
        <v>0.6</v>
      </c>
      <c r="AH84" s="87">
        <f t="shared" si="7"/>
        <v>1.0392304845413263</v>
      </c>
      <c r="AI84" s="87"/>
      <c r="AJ84" s="87"/>
      <c r="AK84" s="87"/>
      <c r="AL84" s="73">
        <v>16.3</v>
      </c>
      <c r="AM84" s="73">
        <v>1.2</v>
      </c>
      <c r="AN84" s="87">
        <f t="shared" si="6"/>
        <v>2.0784609690826525</v>
      </c>
      <c r="AO84" s="73" t="s">
        <v>950</v>
      </c>
      <c r="AP84" s="73" t="s">
        <v>950</v>
      </c>
      <c r="AQ84" s="73" t="s">
        <v>950</v>
      </c>
      <c r="AR84" s="73" t="s">
        <v>950</v>
      </c>
      <c r="AS84" s="73" t="s">
        <v>731</v>
      </c>
      <c r="AT84" s="46"/>
      <c r="AU84" s="46"/>
      <c r="AV84" s="46"/>
      <c r="AW84" s="46"/>
      <c r="AX84" s="46"/>
      <c r="AY84" s="46"/>
    </row>
    <row r="85" spans="1:51" ht="15" hidden="1" customHeight="1">
      <c r="A85" s="73" t="s">
        <v>784</v>
      </c>
      <c r="B85" s="73" t="s">
        <v>508</v>
      </c>
      <c r="C85" s="73" t="s">
        <v>782</v>
      </c>
      <c r="D85" s="73" t="s">
        <v>815</v>
      </c>
      <c r="E85" s="73" t="s">
        <v>818</v>
      </c>
      <c r="F85" s="73">
        <v>2009</v>
      </c>
      <c r="G85" s="73" t="s">
        <v>950</v>
      </c>
      <c r="H85" s="73"/>
      <c r="I85" s="73" t="s">
        <v>823</v>
      </c>
      <c r="J85" s="73" t="s">
        <v>863</v>
      </c>
      <c r="K85" s="74" t="s">
        <v>951</v>
      </c>
      <c r="L85" s="74" t="s">
        <v>13</v>
      </c>
      <c r="M85" s="74" t="s">
        <v>887</v>
      </c>
      <c r="N85" s="74"/>
      <c r="O85" s="74">
        <v>1</v>
      </c>
      <c r="P85" s="74"/>
      <c r="Q85" s="74"/>
      <c r="R85" s="73" t="s">
        <v>602</v>
      </c>
      <c r="S85" s="73">
        <v>3</v>
      </c>
      <c r="T85" s="73">
        <v>3</v>
      </c>
      <c r="U85" s="85" t="s">
        <v>950</v>
      </c>
      <c r="V85" s="73" t="s">
        <v>950</v>
      </c>
      <c r="W85" s="73" t="s">
        <v>950</v>
      </c>
      <c r="X85" s="73" t="s">
        <v>950</v>
      </c>
      <c r="Y85" s="73" t="s">
        <v>950</v>
      </c>
      <c r="Z85" s="73" t="s">
        <v>336</v>
      </c>
      <c r="AA85" s="73" t="s">
        <v>950</v>
      </c>
      <c r="AB85" s="73" t="s">
        <v>950</v>
      </c>
      <c r="AC85" s="73" t="s">
        <v>950</v>
      </c>
      <c r="AD85" s="73" t="s">
        <v>950</v>
      </c>
      <c r="AE85" s="73" t="s">
        <v>950</v>
      </c>
      <c r="AF85" s="73">
        <v>18.399999999999999</v>
      </c>
      <c r="AG85" s="73">
        <v>1.5</v>
      </c>
      <c r="AH85" s="87">
        <f t="shared" si="7"/>
        <v>2.598076211353316</v>
      </c>
      <c r="AI85" s="87"/>
      <c r="AJ85" s="87"/>
      <c r="AK85" s="87"/>
      <c r="AL85" s="73">
        <v>19.3</v>
      </c>
      <c r="AM85" s="73">
        <v>0.8</v>
      </c>
      <c r="AN85" s="87">
        <f t="shared" si="6"/>
        <v>1.3856406460551018</v>
      </c>
      <c r="AO85" s="73" t="s">
        <v>950</v>
      </c>
      <c r="AP85" s="73" t="s">
        <v>950</v>
      </c>
      <c r="AQ85" s="73" t="s">
        <v>950</v>
      </c>
      <c r="AR85" s="73" t="s">
        <v>950</v>
      </c>
      <c r="AS85" s="73" t="s">
        <v>731</v>
      </c>
      <c r="AT85" s="46"/>
      <c r="AU85" s="46"/>
      <c r="AV85" s="46"/>
      <c r="AW85" s="46"/>
      <c r="AX85" s="46"/>
      <c r="AY85" s="46"/>
    </row>
    <row r="86" spans="1:51" ht="15" hidden="1" customHeight="1">
      <c r="A86" s="73" t="s">
        <v>784</v>
      </c>
      <c r="B86" s="73" t="s">
        <v>508</v>
      </c>
      <c r="C86" s="73" t="s">
        <v>782</v>
      </c>
      <c r="D86" s="73" t="s">
        <v>815</v>
      </c>
      <c r="E86" s="73" t="s">
        <v>818</v>
      </c>
      <c r="F86" s="73">
        <v>2009</v>
      </c>
      <c r="G86" s="73" t="s">
        <v>950</v>
      </c>
      <c r="H86" s="73"/>
      <c r="I86" s="73" t="s">
        <v>588</v>
      </c>
      <c r="J86" s="73" t="s">
        <v>863</v>
      </c>
      <c r="K86" s="74" t="s">
        <v>951</v>
      </c>
      <c r="L86" s="74" t="s">
        <v>13</v>
      </c>
      <c r="M86" s="74" t="s">
        <v>887</v>
      </c>
      <c r="N86" s="74"/>
      <c r="O86" s="74">
        <v>1</v>
      </c>
      <c r="P86" s="74"/>
      <c r="Q86" s="74"/>
      <c r="R86" s="73" t="s">
        <v>718</v>
      </c>
      <c r="S86" s="73">
        <v>3</v>
      </c>
      <c r="T86" s="73">
        <v>3</v>
      </c>
      <c r="U86" s="85" t="s">
        <v>950</v>
      </c>
      <c r="V86" s="73" t="s">
        <v>950</v>
      </c>
      <c r="W86" s="73" t="s">
        <v>950</v>
      </c>
      <c r="X86" s="73" t="s">
        <v>950</v>
      </c>
      <c r="Y86" s="73" t="s">
        <v>950</v>
      </c>
      <c r="Z86" s="73" t="s">
        <v>336</v>
      </c>
      <c r="AA86" s="73" t="s">
        <v>950</v>
      </c>
      <c r="AB86" s="73" t="s">
        <v>950</v>
      </c>
      <c r="AC86" s="73" t="s">
        <v>950</v>
      </c>
      <c r="AD86" s="73" t="s">
        <v>950</v>
      </c>
      <c r="AE86" s="73" t="s">
        <v>950</v>
      </c>
      <c r="AF86" s="73">
        <v>19</v>
      </c>
      <c r="AG86" s="73">
        <v>2.2999999999999998</v>
      </c>
      <c r="AH86" s="87">
        <f t="shared" si="7"/>
        <v>3.9837168574084174</v>
      </c>
      <c r="AI86" s="87"/>
      <c r="AJ86" s="87"/>
      <c r="AK86" s="87"/>
      <c r="AL86" s="73">
        <v>15.9</v>
      </c>
      <c r="AM86" s="73">
        <v>1.3</v>
      </c>
      <c r="AN86" s="87">
        <f t="shared" si="6"/>
        <v>2.2516660498395402</v>
      </c>
      <c r="AO86" s="73" t="s">
        <v>950</v>
      </c>
      <c r="AP86" s="73" t="s">
        <v>950</v>
      </c>
      <c r="AQ86" s="73" t="s">
        <v>950</v>
      </c>
      <c r="AR86" s="73" t="s">
        <v>950</v>
      </c>
      <c r="AS86" s="73" t="s">
        <v>731</v>
      </c>
      <c r="AT86" s="46"/>
      <c r="AU86" s="46"/>
      <c r="AV86" s="46"/>
      <c r="AW86" s="46"/>
      <c r="AX86" s="46"/>
      <c r="AY86" s="46"/>
    </row>
    <row r="87" spans="1:51" ht="15" customHeight="1">
      <c r="A87" s="73" t="s">
        <v>784</v>
      </c>
      <c r="B87" s="73" t="s">
        <v>508</v>
      </c>
      <c r="C87" s="73" t="s">
        <v>782</v>
      </c>
      <c r="D87" s="73" t="s">
        <v>815</v>
      </c>
      <c r="E87" s="73" t="s">
        <v>818</v>
      </c>
      <c r="F87" s="73">
        <v>2009</v>
      </c>
      <c r="G87" s="73" t="s">
        <v>950</v>
      </c>
      <c r="H87" s="73"/>
      <c r="I87" s="73" t="s">
        <v>589</v>
      </c>
      <c r="J87" s="74" t="s">
        <v>957</v>
      </c>
      <c r="K87" s="73" t="s">
        <v>74</v>
      </c>
      <c r="L87" s="73" t="s">
        <v>131</v>
      </c>
      <c r="M87" s="73" t="s">
        <v>958</v>
      </c>
      <c r="N87" s="73">
        <v>1</v>
      </c>
      <c r="O87" s="73"/>
      <c r="P87" s="73"/>
      <c r="Q87" s="73"/>
      <c r="R87" s="73" t="s">
        <v>590</v>
      </c>
      <c r="S87" s="73">
        <v>3</v>
      </c>
      <c r="T87" s="73">
        <v>3</v>
      </c>
      <c r="U87" s="85" t="s">
        <v>950</v>
      </c>
      <c r="V87" s="73" t="s">
        <v>950</v>
      </c>
      <c r="W87" s="73" t="s">
        <v>950</v>
      </c>
      <c r="X87" s="73" t="s">
        <v>950</v>
      </c>
      <c r="Y87" s="73" t="s">
        <v>950</v>
      </c>
      <c r="Z87" s="73" t="s">
        <v>336</v>
      </c>
      <c r="AA87" s="73" t="s">
        <v>950</v>
      </c>
      <c r="AB87" s="73" t="s">
        <v>950</v>
      </c>
      <c r="AC87" s="73" t="s">
        <v>950</v>
      </c>
      <c r="AD87" s="73" t="s">
        <v>950</v>
      </c>
      <c r="AE87" s="73" t="s">
        <v>950</v>
      </c>
      <c r="AF87" s="73">
        <v>16.7</v>
      </c>
      <c r="AG87" s="73">
        <v>1</v>
      </c>
      <c r="AH87" s="87">
        <f t="shared" si="7"/>
        <v>1.7320508075688772</v>
      </c>
      <c r="AI87" s="87"/>
      <c r="AJ87" s="87"/>
      <c r="AK87" s="87"/>
      <c r="AL87" s="73">
        <v>16.2</v>
      </c>
      <c r="AM87" s="73">
        <v>0.6</v>
      </c>
      <c r="AN87" s="87">
        <f t="shared" si="6"/>
        <v>1.0392304845413263</v>
      </c>
      <c r="AO87" s="73" t="s">
        <v>950</v>
      </c>
      <c r="AP87" s="73" t="s">
        <v>950</v>
      </c>
      <c r="AQ87" s="73" t="s">
        <v>950</v>
      </c>
      <c r="AR87" s="73" t="s">
        <v>950</v>
      </c>
      <c r="AS87" s="73" t="s">
        <v>731</v>
      </c>
      <c r="AT87" s="110">
        <f t="shared" ref="AT87:AT91" si="14">AF87-AL87</f>
        <v>0.5</v>
      </c>
      <c r="AU87" s="110">
        <f t="shared" ref="AU87:AU91" si="15">SQRT(((T86-1)*AH87^2 + (T87-1)*AN87^2)/(T86+T87-2) )</f>
        <v>1.42828568570857</v>
      </c>
      <c r="AV87" s="110">
        <f t="shared" ref="AV87:AV91" si="16">1-3/(4*(S87+T87) - 9)</f>
        <v>0.8</v>
      </c>
      <c r="AW87" s="110">
        <f t="shared" ref="AW87:AW91" si="17">AT87/AU87*AV87</f>
        <v>0.28005601680560199</v>
      </c>
      <c r="AX87" s="110">
        <f t="shared" ref="AX87:AX91" si="18">T86</f>
        <v>3</v>
      </c>
      <c r="AY87" s="110">
        <f t="shared" ref="AY87:AY91" si="19">AW87*AX87</f>
        <v>0.84016805041680598</v>
      </c>
    </row>
    <row r="88" spans="1:51" ht="15" customHeight="1">
      <c r="A88" s="73" t="s">
        <v>784</v>
      </c>
      <c r="B88" s="73" t="s">
        <v>508</v>
      </c>
      <c r="C88" s="73" t="s">
        <v>782</v>
      </c>
      <c r="D88" s="73" t="s">
        <v>815</v>
      </c>
      <c r="E88" s="73" t="s">
        <v>818</v>
      </c>
      <c r="F88" s="73">
        <v>2009</v>
      </c>
      <c r="G88" s="73" t="s">
        <v>950</v>
      </c>
      <c r="H88" s="73"/>
      <c r="I88" s="73" t="s">
        <v>591</v>
      </c>
      <c r="J88" s="74" t="s">
        <v>861</v>
      </c>
      <c r="K88" s="73" t="s">
        <v>74</v>
      </c>
      <c r="L88" s="73" t="s">
        <v>131</v>
      </c>
      <c r="M88" s="73" t="s">
        <v>958</v>
      </c>
      <c r="N88" s="73">
        <v>1</v>
      </c>
      <c r="O88" s="73"/>
      <c r="P88" s="73"/>
      <c r="Q88" s="73"/>
      <c r="R88" s="73" t="s">
        <v>592</v>
      </c>
      <c r="S88" s="73">
        <v>3</v>
      </c>
      <c r="T88" s="73">
        <v>3</v>
      </c>
      <c r="U88" s="85" t="s">
        <v>950</v>
      </c>
      <c r="V88" s="73" t="s">
        <v>950</v>
      </c>
      <c r="W88" s="73" t="s">
        <v>950</v>
      </c>
      <c r="X88" s="73" t="s">
        <v>950</v>
      </c>
      <c r="Y88" s="73" t="s">
        <v>950</v>
      </c>
      <c r="Z88" s="73" t="s">
        <v>336</v>
      </c>
      <c r="AA88" s="73" t="s">
        <v>950</v>
      </c>
      <c r="AB88" s="73" t="s">
        <v>950</v>
      </c>
      <c r="AC88" s="73" t="s">
        <v>950</v>
      </c>
      <c r="AD88" s="73" t="s">
        <v>950</v>
      </c>
      <c r="AE88" s="73" t="s">
        <v>950</v>
      </c>
      <c r="AF88" s="73">
        <v>19.600000000000001</v>
      </c>
      <c r="AG88" s="73">
        <v>1.6</v>
      </c>
      <c r="AH88" s="87">
        <f t="shared" si="7"/>
        <v>2.7712812921102037</v>
      </c>
      <c r="AI88" s="87"/>
      <c r="AJ88" s="87"/>
      <c r="AK88" s="87"/>
      <c r="AL88" s="73">
        <v>20.5</v>
      </c>
      <c r="AM88" s="73">
        <v>1.7</v>
      </c>
      <c r="AN88" s="87">
        <f t="shared" si="6"/>
        <v>2.9444863728670914</v>
      </c>
      <c r="AO88" s="73" t="s">
        <v>950</v>
      </c>
      <c r="AP88" s="73" t="s">
        <v>950</v>
      </c>
      <c r="AQ88" s="73" t="s">
        <v>950</v>
      </c>
      <c r="AR88" s="73" t="s">
        <v>950</v>
      </c>
      <c r="AS88" s="73" t="s">
        <v>731</v>
      </c>
      <c r="AT88" s="110">
        <f t="shared" si="14"/>
        <v>-0.89999999999999858</v>
      </c>
      <c r="AU88" s="110">
        <f t="shared" si="15"/>
        <v>2.8591956910991594</v>
      </c>
      <c r="AV88" s="110">
        <f t="shared" si="16"/>
        <v>0.8</v>
      </c>
      <c r="AW88" s="110">
        <f t="shared" si="17"/>
        <v>-0.25181907004176046</v>
      </c>
      <c r="AX88" s="110">
        <f t="shared" si="18"/>
        <v>3</v>
      </c>
      <c r="AY88" s="110">
        <f t="shared" si="19"/>
        <v>-0.75545721012528144</v>
      </c>
    </row>
    <row r="89" spans="1:51" ht="15" customHeight="1">
      <c r="A89" s="78" t="s">
        <v>784</v>
      </c>
      <c r="B89" s="78" t="s">
        <v>508</v>
      </c>
      <c r="C89" s="78" t="s">
        <v>782</v>
      </c>
      <c r="D89" s="78" t="s">
        <v>815</v>
      </c>
      <c r="E89" s="78" t="s">
        <v>818</v>
      </c>
      <c r="F89" s="78">
        <v>2009</v>
      </c>
      <c r="G89" s="73" t="s">
        <v>950</v>
      </c>
      <c r="H89" s="78"/>
      <c r="I89" s="78" t="s">
        <v>593</v>
      </c>
      <c r="J89" s="79" t="s">
        <v>861</v>
      </c>
      <c r="K89" s="78" t="s">
        <v>74</v>
      </c>
      <c r="L89" s="78" t="s">
        <v>131</v>
      </c>
      <c r="M89" s="78" t="s">
        <v>958</v>
      </c>
      <c r="N89" s="78">
        <v>1</v>
      </c>
      <c r="O89" s="78"/>
      <c r="P89" s="78"/>
      <c r="Q89" s="78"/>
      <c r="R89" s="78" t="s">
        <v>594</v>
      </c>
      <c r="S89" s="78">
        <v>3</v>
      </c>
      <c r="T89" s="78">
        <v>3</v>
      </c>
      <c r="U89" s="89" t="s">
        <v>950</v>
      </c>
      <c r="V89" s="78" t="s">
        <v>950</v>
      </c>
      <c r="W89" s="78" t="s">
        <v>950</v>
      </c>
      <c r="X89" s="78" t="s">
        <v>950</v>
      </c>
      <c r="Y89" s="78" t="s">
        <v>950</v>
      </c>
      <c r="Z89" s="78" t="s">
        <v>336</v>
      </c>
      <c r="AA89" s="78" t="s">
        <v>950</v>
      </c>
      <c r="AB89" s="78" t="s">
        <v>950</v>
      </c>
      <c r="AC89" s="78" t="s">
        <v>950</v>
      </c>
      <c r="AD89" s="78" t="s">
        <v>950</v>
      </c>
      <c r="AE89" s="78" t="s">
        <v>950</v>
      </c>
      <c r="AF89" s="78">
        <v>19.8</v>
      </c>
      <c r="AG89" s="78">
        <v>2.5</v>
      </c>
      <c r="AH89" s="90">
        <f t="shared" si="7"/>
        <v>4.3301270189221928</v>
      </c>
      <c r="AI89" s="90"/>
      <c r="AJ89" s="90"/>
      <c r="AK89" s="90"/>
      <c r="AL89" s="78">
        <v>16.600000000000001</v>
      </c>
      <c r="AM89" s="78">
        <v>2.8</v>
      </c>
      <c r="AN89" s="90">
        <f t="shared" si="6"/>
        <v>4.8497422611928558</v>
      </c>
      <c r="AO89" s="78" t="s">
        <v>950</v>
      </c>
      <c r="AP89" s="78" t="s">
        <v>950</v>
      </c>
      <c r="AQ89" s="78" t="s">
        <v>950</v>
      </c>
      <c r="AR89" s="78" t="s">
        <v>950</v>
      </c>
      <c r="AS89" s="78" t="s">
        <v>731</v>
      </c>
      <c r="AT89" s="110">
        <f t="shared" si="14"/>
        <v>3.1999999999999993</v>
      </c>
      <c r="AU89" s="110">
        <f t="shared" si="15"/>
        <v>4.597281805589037</v>
      </c>
      <c r="AV89" s="110">
        <f t="shared" si="16"/>
        <v>0.8</v>
      </c>
      <c r="AW89" s="110">
        <f t="shared" si="17"/>
        <v>0.556850788848258</v>
      </c>
      <c r="AX89" s="110">
        <f t="shared" si="18"/>
        <v>3</v>
      </c>
      <c r="AY89" s="110">
        <f t="shared" si="19"/>
        <v>1.6705523665447739</v>
      </c>
    </row>
    <row r="90" spans="1:51" ht="15" customHeight="1">
      <c r="A90" s="73" t="s">
        <v>643</v>
      </c>
      <c r="B90" s="73" t="s">
        <v>508</v>
      </c>
      <c r="C90" s="73" t="s">
        <v>428</v>
      </c>
      <c r="D90" s="73" t="s">
        <v>747</v>
      </c>
      <c r="E90" s="73" t="s">
        <v>601</v>
      </c>
      <c r="F90" s="73">
        <v>2006</v>
      </c>
      <c r="G90" s="88" t="s">
        <v>288</v>
      </c>
      <c r="H90" s="73"/>
      <c r="I90" s="73" t="s">
        <v>841</v>
      </c>
      <c r="J90" s="73" t="s">
        <v>736</v>
      </c>
      <c r="K90" s="73" t="s">
        <v>74</v>
      </c>
      <c r="L90" s="73" t="s">
        <v>131</v>
      </c>
      <c r="M90" s="73" t="s">
        <v>958</v>
      </c>
      <c r="N90" s="73">
        <v>1</v>
      </c>
      <c r="O90" s="73"/>
      <c r="P90" s="73"/>
      <c r="Q90" s="73"/>
      <c r="R90" s="73" t="s">
        <v>842</v>
      </c>
      <c r="S90" s="73">
        <v>4</v>
      </c>
      <c r="T90" s="73">
        <v>4</v>
      </c>
      <c r="U90" s="73" t="s">
        <v>430</v>
      </c>
      <c r="V90" s="88" t="s">
        <v>950</v>
      </c>
      <c r="W90" s="88" t="s">
        <v>950</v>
      </c>
      <c r="X90" s="88" t="s">
        <v>950</v>
      </c>
      <c r="Y90" s="88" t="s">
        <v>950</v>
      </c>
      <c r="Z90" s="88" t="s">
        <v>336</v>
      </c>
      <c r="AA90" s="88" t="s">
        <v>950</v>
      </c>
      <c r="AB90" s="88" t="s">
        <v>950</v>
      </c>
      <c r="AC90" s="88" t="s">
        <v>950</v>
      </c>
      <c r="AD90" s="88" t="s">
        <v>950</v>
      </c>
      <c r="AE90" s="88" t="s">
        <v>950</v>
      </c>
      <c r="AF90" s="73">
        <v>11.1</v>
      </c>
      <c r="AG90" s="73">
        <v>0.8</v>
      </c>
      <c r="AH90" s="73">
        <f t="shared" si="7"/>
        <v>1.6</v>
      </c>
      <c r="AI90" s="73"/>
      <c r="AJ90" s="73"/>
      <c r="AK90" s="73"/>
      <c r="AL90" s="73">
        <v>12.6</v>
      </c>
      <c r="AM90" s="73">
        <v>0.3</v>
      </c>
      <c r="AN90" s="73">
        <f t="shared" si="6"/>
        <v>0.6</v>
      </c>
      <c r="AO90" s="73" t="s">
        <v>950</v>
      </c>
      <c r="AP90" s="73" t="s">
        <v>950</v>
      </c>
      <c r="AQ90" s="73" t="s">
        <v>950</v>
      </c>
      <c r="AR90" s="73" t="s">
        <v>950</v>
      </c>
      <c r="AS90" s="73" t="s">
        <v>585</v>
      </c>
      <c r="AT90" s="110">
        <f t="shared" si="14"/>
        <v>-1.5</v>
      </c>
      <c r="AU90" s="110">
        <f t="shared" si="15"/>
        <v>1.1135528725660044</v>
      </c>
      <c r="AV90" s="110">
        <f t="shared" si="16"/>
        <v>0.86956521739130432</v>
      </c>
      <c r="AW90" s="110">
        <f t="shared" si="17"/>
        <v>-1.1713389262615754</v>
      </c>
      <c r="AX90" s="110">
        <f t="shared" si="18"/>
        <v>3</v>
      </c>
      <c r="AY90" s="110">
        <f t="shared" si="19"/>
        <v>-3.5140167787847263</v>
      </c>
    </row>
    <row r="91" spans="1:51" ht="15" customHeight="1">
      <c r="A91" s="73" t="s">
        <v>643</v>
      </c>
      <c r="B91" s="73" t="s">
        <v>508</v>
      </c>
      <c r="C91" s="73" t="s">
        <v>428</v>
      </c>
      <c r="D91" s="73" t="s">
        <v>747</v>
      </c>
      <c r="E91" s="73" t="s">
        <v>601</v>
      </c>
      <c r="F91" s="73">
        <v>2006</v>
      </c>
      <c r="G91" s="73" t="s">
        <v>940</v>
      </c>
      <c r="H91" s="73"/>
      <c r="I91" s="73" t="s">
        <v>437</v>
      </c>
      <c r="J91" s="73" t="s">
        <v>736</v>
      </c>
      <c r="K91" s="73" t="s">
        <v>74</v>
      </c>
      <c r="L91" s="73" t="s">
        <v>131</v>
      </c>
      <c r="M91" s="73" t="s">
        <v>958</v>
      </c>
      <c r="N91" s="73">
        <v>1</v>
      </c>
      <c r="O91" s="73"/>
      <c r="P91" s="73"/>
      <c r="Q91" s="73"/>
      <c r="R91" s="73" t="s">
        <v>438</v>
      </c>
      <c r="S91" s="73">
        <v>4</v>
      </c>
      <c r="T91" s="73">
        <v>4</v>
      </c>
      <c r="U91" s="73" t="s">
        <v>430</v>
      </c>
      <c r="V91" s="73" t="s">
        <v>950</v>
      </c>
      <c r="W91" s="73" t="s">
        <v>950</v>
      </c>
      <c r="X91" s="73" t="s">
        <v>950</v>
      </c>
      <c r="Y91" s="73" t="s">
        <v>950</v>
      </c>
      <c r="Z91" s="73" t="s">
        <v>336</v>
      </c>
      <c r="AA91" s="73" t="s">
        <v>950</v>
      </c>
      <c r="AB91" s="73" t="s">
        <v>950</v>
      </c>
      <c r="AC91" s="73" t="s">
        <v>950</v>
      </c>
      <c r="AD91" s="73" t="s">
        <v>950</v>
      </c>
      <c r="AE91" s="73" t="s">
        <v>950</v>
      </c>
      <c r="AF91" s="73">
        <v>10.62</v>
      </c>
      <c r="AG91" s="73">
        <v>2.0699999999999998</v>
      </c>
      <c r="AH91" s="73">
        <f t="shared" si="7"/>
        <v>4.1399999999999997</v>
      </c>
      <c r="AI91" s="73"/>
      <c r="AJ91" s="73"/>
      <c r="AK91" s="73"/>
      <c r="AL91" s="73">
        <v>12.21</v>
      </c>
      <c r="AM91" s="73">
        <v>1.21</v>
      </c>
      <c r="AN91" s="73">
        <f t="shared" si="6"/>
        <v>2.42</v>
      </c>
      <c r="AO91" s="73" t="s">
        <v>950</v>
      </c>
      <c r="AP91" s="73" t="s">
        <v>950</v>
      </c>
      <c r="AQ91" s="73" t="s">
        <v>950</v>
      </c>
      <c r="AR91" s="73" t="s">
        <v>950</v>
      </c>
      <c r="AS91" s="73" t="s">
        <v>585</v>
      </c>
      <c r="AT91" s="110">
        <f t="shared" si="14"/>
        <v>-1.5900000000000016</v>
      </c>
      <c r="AU91" s="110">
        <f t="shared" si="15"/>
        <v>3.3908700948281694</v>
      </c>
      <c r="AV91" s="110">
        <f t="shared" si="16"/>
        <v>0.86956521739130432</v>
      </c>
      <c r="AW91" s="110">
        <f t="shared" si="17"/>
        <v>-0.40774451895428282</v>
      </c>
      <c r="AX91" s="110">
        <f t="shared" si="18"/>
        <v>4</v>
      </c>
      <c r="AY91" s="110">
        <f t="shared" si="19"/>
        <v>-1.6309780758171313</v>
      </c>
    </row>
    <row r="92" spans="1:51" ht="15" hidden="1" customHeight="1">
      <c r="A92" s="73" t="s">
        <v>643</v>
      </c>
      <c r="B92" s="73" t="s">
        <v>508</v>
      </c>
      <c r="C92" s="73" t="s">
        <v>428</v>
      </c>
      <c r="D92" s="73" t="s">
        <v>747</v>
      </c>
      <c r="E92" s="73" t="s">
        <v>601</v>
      </c>
      <c r="F92" s="73">
        <v>2006</v>
      </c>
      <c r="G92" s="73" t="s">
        <v>940</v>
      </c>
      <c r="H92" s="73"/>
      <c r="I92" s="73" t="s">
        <v>737</v>
      </c>
      <c r="J92" s="73" t="s">
        <v>738</v>
      </c>
      <c r="K92" s="74" t="s">
        <v>0</v>
      </c>
      <c r="L92" s="74" t="s">
        <v>833</v>
      </c>
      <c r="M92" s="74" t="s">
        <v>526</v>
      </c>
      <c r="N92" s="74"/>
      <c r="O92" s="73">
        <v>1</v>
      </c>
      <c r="P92" s="73"/>
      <c r="Q92" s="73"/>
      <c r="R92" s="73" t="s">
        <v>734</v>
      </c>
      <c r="S92" s="73">
        <v>4</v>
      </c>
      <c r="T92" s="73">
        <v>4</v>
      </c>
      <c r="U92" s="73" t="s">
        <v>430</v>
      </c>
      <c r="V92" s="73" t="s">
        <v>950</v>
      </c>
      <c r="W92" s="73" t="s">
        <v>950</v>
      </c>
      <c r="X92" s="73" t="s">
        <v>950</v>
      </c>
      <c r="Y92" s="73" t="s">
        <v>950</v>
      </c>
      <c r="Z92" s="73" t="s">
        <v>336</v>
      </c>
      <c r="AA92" s="73" t="s">
        <v>950</v>
      </c>
      <c r="AB92" s="73" t="s">
        <v>950</v>
      </c>
      <c r="AC92" s="73" t="s">
        <v>950</v>
      </c>
      <c r="AD92" s="73" t="s">
        <v>950</v>
      </c>
      <c r="AE92" s="73" t="s">
        <v>950</v>
      </c>
      <c r="AF92" s="73">
        <v>12.18</v>
      </c>
      <c r="AG92" s="73">
        <v>0.56999999999999995</v>
      </c>
      <c r="AH92" s="73">
        <f t="shared" si="7"/>
        <v>1.1399999999999999</v>
      </c>
      <c r="AI92" s="73"/>
      <c r="AJ92" s="73"/>
      <c r="AK92" s="73"/>
      <c r="AL92" s="73">
        <v>11.02</v>
      </c>
      <c r="AM92" s="73">
        <v>0.76</v>
      </c>
      <c r="AN92" s="73">
        <f t="shared" si="6"/>
        <v>1.52</v>
      </c>
      <c r="AO92" s="73" t="s">
        <v>950</v>
      </c>
      <c r="AP92" s="73" t="s">
        <v>950</v>
      </c>
      <c r="AQ92" s="73" t="s">
        <v>950</v>
      </c>
      <c r="AR92" s="73" t="s">
        <v>950</v>
      </c>
      <c r="AS92" s="73" t="s">
        <v>585</v>
      </c>
      <c r="AT92" s="46"/>
      <c r="AU92" s="46"/>
      <c r="AV92" s="46"/>
      <c r="AW92" s="46"/>
      <c r="AX92" s="46"/>
      <c r="AY92" s="46"/>
    </row>
    <row r="93" spans="1:51" ht="15" customHeight="1">
      <c r="A93" s="73" t="s">
        <v>643</v>
      </c>
      <c r="B93" s="73" t="s">
        <v>508</v>
      </c>
      <c r="C93" s="73" t="s">
        <v>428</v>
      </c>
      <c r="D93" s="73" t="s">
        <v>747</v>
      </c>
      <c r="E93" s="73" t="s">
        <v>601</v>
      </c>
      <c r="F93" s="73">
        <v>2006</v>
      </c>
      <c r="G93" s="73" t="s">
        <v>940</v>
      </c>
      <c r="H93" s="73"/>
      <c r="I93" s="73" t="s">
        <v>439</v>
      </c>
      <c r="J93" s="73" t="s">
        <v>736</v>
      </c>
      <c r="K93" s="73" t="s">
        <v>74</v>
      </c>
      <c r="L93" s="73" t="s">
        <v>131</v>
      </c>
      <c r="M93" s="73" t="s">
        <v>958</v>
      </c>
      <c r="N93" s="73">
        <v>1</v>
      </c>
      <c r="O93" s="73"/>
      <c r="P93" s="73"/>
      <c r="Q93" s="73"/>
      <c r="R93" s="73" t="s">
        <v>233</v>
      </c>
      <c r="S93" s="73">
        <v>4</v>
      </c>
      <c r="T93" s="73">
        <v>4</v>
      </c>
      <c r="U93" s="73" t="s">
        <v>430</v>
      </c>
      <c r="V93" s="73" t="s">
        <v>950</v>
      </c>
      <c r="W93" s="73" t="s">
        <v>950</v>
      </c>
      <c r="X93" s="73" t="s">
        <v>950</v>
      </c>
      <c r="Y93" s="73" t="s">
        <v>950</v>
      </c>
      <c r="Z93" s="73" t="s">
        <v>336</v>
      </c>
      <c r="AA93" s="73" t="s">
        <v>950</v>
      </c>
      <c r="AB93" s="73" t="s">
        <v>950</v>
      </c>
      <c r="AC93" s="73" t="s">
        <v>950</v>
      </c>
      <c r="AD93" s="73" t="s">
        <v>950</v>
      </c>
      <c r="AE93" s="73" t="s">
        <v>950</v>
      </c>
      <c r="AF93" s="73">
        <v>11.71</v>
      </c>
      <c r="AG93" s="73">
        <v>0.45</v>
      </c>
      <c r="AH93" s="73">
        <f t="shared" si="7"/>
        <v>0.9</v>
      </c>
      <c r="AI93" s="73"/>
      <c r="AJ93" s="73"/>
      <c r="AK93" s="73"/>
      <c r="AL93" s="73">
        <v>11.22</v>
      </c>
      <c r="AM93" s="73">
        <v>1.07</v>
      </c>
      <c r="AN93" s="73">
        <f t="shared" si="6"/>
        <v>2.14</v>
      </c>
      <c r="AO93" s="73" t="s">
        <v>950</v>
      </c>
      <c r="AP93" s="73" t="s">
        <v>950</v>
      </c>
      <c r="AQ93" s="73" t="s">
        <v>950</v>
      </c>
      <c r="AR93" s="73" t="s">
        <v>950</v>
      </c>
      <c r="AS93" s="73" t="s">
        <v>585</v>
      </c>
      <c r="AT93" s="110">
        <f t="shared" ref="AT93:AT94" si="20">AF93-AL93</f>
        <v>0.49000000000000021</v>
      </c>
      <c r="AU93" s="110">
        <f t="shared" ref="AU93:AU94" si="21">SQRT(((T92-1)*AH93^2 + (T93-1)*AN93^2)/(T92+T93-2) )</f>
        <v>1.6415846003176322</v>
      </c>
      <c r="AV93" s="110">
        <f t="shared" ref="AV93:AV94" si="22">1-3/(4*(S93+T93) - 9)</f>
        <v>0.86956521739130432</v>
      </c>
      <c r="AW93" s="110">
        <f t="shared" ref="AW93:AW94" si="23">AT93/AU93*AV93</f>
        <v>0.25955832945758334</v>
      </c>
      <c r="AX93" s="110">
        <f t="shared" ref="AX93:AX94" si="24">T92</f>
        <v>4</v>
      </c>
      <c r="AY93" s="110">
        <f t="shared" ref="AY93:AY94" si="25">AW93*AX93</f>
        <v>1.0382333178303333</v>
      </c>
    </row>
    <row r="94" spans="1:51" ht="15" customHeight="1">
      <c r="A94" s="73" t="s">
        <v>643</v>
      </c>
      <c r="B94" s="73" t="s">
        <v>508</v>
      </c>
      <c r="C94" s="73" t="s">
        <v>428</v>
      </c>
      <c r="D94" s="73" t="s">
        <v>747</v>
      </c>
      <c r="E94" s="73" t="s">
        <v>601</v>
      </c>
      <c r="F94" s="73">
        <v>2006</v>
      </c>
      <c r="G94" s="73" t="s">
        <v>940</v>
      </c>
      <c r="H94" s="73"/>
      <c r="I94" s="73" t="s">
        <v>735</v>
      </c>
      <c r="J94" s="73" t="s">
        <v>736</v>
      </c>
      <c r="K94" s="73" t="s">
        <v>74</v>
      </c>
      <c r="L94" s="73" t="s">
        <v>131</v>
      </c>
      <c r="M94" s="73" t="s">
        <v>958</v>
      </c>
      <c r="N94" s="73">
        <v>1</v>
      </c>
      <c r="O94" s="73"/>
      <c r="P94" s="73"/>
      <c r="Q94" s="73"/>
      <c r="R94" s="73" t="s">
        <v>874</v>
      </c>
      <c r="S94" s="73">
        <v>4</v>
      </c>
      <c r="T94" s="73">
        <v>4</v>
      </c>
      <c r="U94" s="73" t="s">
        <v>430</v>
      </c>
      <c r="V94" s="73" t="s">
        <v>950</v>
      </c>
      <c r="W94" s="73" t="s">
        <v>950</v>
      </c>
      <c r="X94" s="73" t="s">
        <v>950</v>
      </c>
      <c r="Y94" s="73" t="s">
        <v>950</v>
      </c>
      <c r="Z94" s="73" t="s">
        <v>336</v>
      </c>
      <c r="AA94" s="73" t="s">
        <v>950</v>
      </c>
      <c r="AB94" s="73" t="s">
        <v>950</v>
      </c>
      <c r="AC94" s="73" t="s">
        <v>950</v>
      </c>
      <c r="AD94" s="73" t="s">
        <v>950</v>
      </c>
      <c r="AE94" s="73" t="s">
        <v>950</v>
      </c>
      <c r="AF94" s="73">
        <v>8.7799999999999994</v>
      </c>
      <c r="AG94" s="73">
        <v>0.84</v>
      </c>
      <c r="AH94" s="73">
        <f t="shared" si="7"/>
        <v>1.68</v>
      </c>
      <c r="AI94" s="73"/>
      <c r="AJ94" s="73"/>
      <c r="AK94" s="73"/>
      <c r="AL94" s="73">
        <v>8.4700000000000006</v>
      </c>
      <c r="AM94" s="73">
        <v>1.28</v>
      </c>
      <c r="AN94" s="73">
        <f t="shared" si="6"/>
        <v>2.56</v>
      </c>
      <c r="AO94" s="73" t="s">
        <v>950</v>
      </c>
      <c r="AP94" s="73" t="s">
        <v>950</v>
      </c>
      <c r="AQ94" s="73" t="s">
        <v>950</v>
      </c>
      <c r="AR94" s="73" t="s">
        <v>950</v>
      </c>
      <c r="AS94" s="73" t="s">
        <v>585</v>
      </c>
      <c r="AT94" s="110">
        <f t="shared" si="20"/>
        <v>0.30999999999999872</v>
      </c>
      <c r="AU94" s="110">
        <f t="shared" si="21"/>
        <v>2.1651789764358971</v>
      </c>
      <c r="AV94" s="110">
        <f t="shared" si="22"/>
        <v>0.86956521739130432</v>
      </c>
      <c r="AW94" s="110">
        <f t="shared" si="23"/>
        <v>0.12450020082636989</v>
      </c>
      <c r="AX94" s="110">
        <f t="shared" si="24"/>
        <v>4</v>
      </c>
      <c r="AY94" s="110">
        <f t="shared" si="25"/>
        <v>0.49800080330547958</v>
      </c>
    </row>
    <row r="95" spans="1:51" ht="15" hidden="1" customHeight="1">
      <c r="A95" s="73" t="s">
        <v>643</v>
      </c>
      <c r="B95" s="73" t="s">
        <v>508</v>
      </c>
      <c r="C95" s="73" t="s">
        <v>428</v>
      </c>
      <c r="D95" s="73" t="s">
        <v>747</v>
      </c>
      <c r="E95" s="73" t="s">
        <v>601</v>
      </c>
      <c r="F95" s="73">
        <v>2006</v>
      </c>
      <c r="G95" s="73" t="s">
        <v>940</v>
      </c>
      <c r="H95" s="73"/>
      <c r="I95" s="73" t="s">
        <v>845</v>
      </c>
      <c r="J95" s="73" t="s">
        <v>738</v>
      </c>
      <c r="K95" s="74" t="s">
        <v>871</v>
      </c>
      <c r="L95" s="91" t="s">
        <v>13</v>
      </c>
      <c r="M95" s="91" t="s">
        <v>835</v>
      </c>
      <c r="N95" s="74"/>
      <c r="O95" s="73">
        <v>1</v>
      </c>
      <c r="P95" s="73"/>
      <c r="Q95" s="73"/>
      <c r="R95" s="73" t="s">
        <v>874</v>
      </c>
      <c r="S95" s="73">
        <v>4</v>
      </c>
      <c r="T95" s="73">
        <v>4</v>
      </c>
      <c r="U95" s="73" t="s">
        <v>430</v>
      </c>
      <c r="V95" s="73" t="s">
        <v>950</v>
      </c>
      <c r="W95" s="73" t="s">
        <v>950</v>
      </c>
      <c r="X95" s="73" t="s">
        <v>950</v>
      </c>
      <c r="Y95" s="73" t="s">
        <v>950</v>
      </c>
      <c r="Z95" s="73" t="s">
        <v>336</v>
      </c>
      <c r="AA95" s="73" t="s">
        <v>950</v>
      </c>
      <c r="AB95" s="73" t="s">
        <v>950</v>
      </c>
      <c r="AC95" s="73" t="s">
        <v>950</v>
      </c>
      <c r="AD95" s="73" t="s">
        <v>950</v>
      </c>
      <c r="AE95" s="73" t="s">
        <v>950</v>
      </c>
      <c r="AF95" s="73">
        <v>10.06</v>
      </c>
      <c r="AG95" s="73">
        <v>1.19</v>
      </c>
      <c r="AH95" s="73">
        <f t="shared" si="7"/>
        <v>2.38</v>
      </c>
      <c r="AI95" s="73"/>
      <c r="AJ95" s="73"/>
      <c r="AK95" s="73"/>
      <c r="AL95" s="73">
        <v>8.4700000000000006</v>
      </c>
      <c r="AM95" s="73">
        <v>1.28</v>
      </c>
      <c r="AN95" s="73">
        <f t="shared" si="6"/>
        <v>2.56</v>
      </c>
      <c r="AO95" s="73" t="s">
        <v>950</v>
      </c>
      <c r="AP95" s="73" t="s">
        <v>950</v>
      </c>
      <c r="AQ95" s="73" t="s">
        <v>950</v>
      </c>
      <c r="AR95" s="73" t="s">
        <v>950</v>
      </c>
      <c r="AS95" s="73" t="s">
        <v>585</v>
      </c>
      <c r="AT95" s="46"/>
      <c r="AU95" s="46"/>
      <c r="AV95" s="46"/>
      <c r="AW95" s="46"/>
      <c r="AX95" s="46"/>
      <c r="AY95" s="46"/>
    </row>
    <row r="96" spans="1:51" ht="15" customHeight="1">
      <c r="A96" s="73" t="s">
        <v>643</v>
      </c>
      <c r="B96" s="73" t="s">
        <v>508</v>
      </c>
      <c r="C96" s="73" t="s">
        <v>428</v>
      </c>
      <c r="D96" s="73" t="s">
        <v>747</v>
      </c>
      <c r="E96" s="73" t="s">
        <v>601</v>
      </c>
      <c r="F96" s="73">
        <v>2006</v>
      </c>
      <c r="G96" s="73" t="s">
        <v>288</v>
      </c>
      <c r="H96" s="73"/>
      <c r="I96" s="73" t="s">
        <v>841</v>
      </c>
      <c r="J96" s="73" t="s">
        <v>736</v>
      </c>
      <c r="K96" s="73" t="s">
        <v>74</v>
      </c>
      <c r="L96" s="73" t="s">
        <v>131</v>
      </c>
      <c r="M96" s="73" t="s">
        <v>958</v>
      </c>
      <c r="N96" s="73">
        <v>1</v>
      </c>
      <c r="O96" s="73"/>
      <c r="P96" s="73"/>
      <c r="Q96" s="73"/>
      <c r="R96" s="73" t="s">
        <v>842</v>
      </c>
      <c r="S96" s="73">
        <v>4</v>
      </c>
      <c r="T96" s="73">
        <v>4</v>
      </c>
      <c r="U96" s="73" t="s">
        <v>430</v>
      </c>
      <c r="V96" s="73" t="s">
        <v>950</v>
      </c>
      <c r="W96" s="73" t="s">
        <v>950</v>
      </c>
      <c r="X96" s="73" t="s">
        <v>950</v>
      </c>
      <c r="Y96" s="73" t="s">
        <v>950</v>
      </c>
      <c r="Z96" s="73" t="s">
        <v>336</v>
      </c>
      <c r="AA96" s="73" t="s">
        <v>950</v>
      </c>
      <c r="AB96" s="73" t="s">
        <v>950</v>
      </c>
      <c r="AC96" s="73" t="s">
        <v>950</v>
      </c>
      <c r="AD96" s="73" t="s">
        <v>950</v>
      </c>
      <c r="AE96" s="73" t="s">
        <v>950</v>
      </c>
      <c r="AF96" s="73">
        <v>7.96</v>
      </c>
      <c r="AG96" s="73">
        <v>0.6</v>
      </c>
      <c r="AH96" s="73">
        <f t="shared" si="7"/>
        <v>1.2</v>
      </c>
      <c r="AI96" s="73"/>
      <c r="AJ96" s="73"/>
      <c r="AK96" s="73"/>
      <c r="AL96" s="73">
        <v>5.43</v>
      </c>
      <c r="AM96" s="73">
        <v>0.84</v>
      </c>
      <c r="AN96" s="73">
        <f t="shared" si="6"/>
        <v>1.68</v>
      </c>
      <c r="AO96" s="73" t="s">
        <v>950</v>
      </c>
      <c r="AP96" s="73" t="s">
        <v>950</v>
      </c>
      <c r="AQ96" s="73" t="s">
        <v>950</v>
      </c>
      <c r="AR96" s="73" t="s">
        <v>950</v>
      </c>
      <c r="AS96" s="73" t="s">
        <v>586</v>
      </c>
      <c r="AT96" s="110">
        <f t="shared" ref="AT96:AT97" si="26">AF96-AL96</f>
        <v>2.5300000000000002</v>
      </c>
      <c r="AU96" s="110">
        <f t="shared" ref="AU96:AU97" si="27">SQRT(((T95-1)*AH96^2 + (T96-1)*AN96^2)/(T95+T96-2) )</f>
        <v>1.4598630072715726</v>
      </c>
      <c r="AV96" s="110">
        <f t="shared" ref="AV96:AV97" si="28">1-3/(4*(S96+T96) - 9)</f>
        <v>0.86956521739130432</v>
      </c>
      <c r="AW96" s="110">
        <f t="shared" ref="AW96:AW97" si="29">AT96/AU96*AV96</f>
        <v>1.5069907169657752</v>
      </c>
      <c r="AX96" s="110">
        <f t="shared" ref="AX96:AX97" si="30">T95</f>
        <v>4</v>
      </c>
      <c r="AY96" s="110">
        <f t="shared" ref="AY96:AY97" si="31">AW96*AX96</f>
        <v>6.027962867863101</v>
      </c>
    </row>
    <row r="97" spans="1:51" ht="15" customHeight="1">
      <c r="A97" s="73" t="s">
        <v>643</v>
      </c>
      <c r="B97" s="73" t="s">
        <v>508</v>
      </c>
      <c r="C97" s="73" t="s">
        <v>428</v>
      </c>
      <c r="D97" s="73" t="s">
        <v>747</v>
      </c>
      <c r="E97" s="73" t="s">
        <v>601</v>
      </c>
      <c r="F97" s="73">
        <v>2006</v>
      </c>
      <c r="G97" s="73" t="s">
        <v>940</v>
      </c>
      <c r="H97" s="73"/>
      <c r="I97" s="73" t="s">
        <v>437</v>
      </c>
      <c r="J97" s="73" t="s">
        <v>736</v>
      </c>
      <c r="K97" s="73" t="s">
        <v>74</v>
      </c>
      <c r="L97" s="73" t="s">
        <v>131</v>
      </c>
      <c r="M97" s="73" t="s">
        <v>958</v>
      </c>
      <c r="N97" s="73">
        <v>1</v>
      </c>
      <c r="O97" s="73"/>
      <c r="P97" s="73"/>
      <c r="Q97" s="73"/>
      <c r="R97" s="73" t="s">
        <v>438</v>
      </c>
      <c r="S97" s="73">
        <v>4</v>
      </c>
      <c r="T97" s="73">
        <v>4</v>
      </c>
      <c r="U97" s="73" t="s">
        <v>430</v>
      </c>
      <c r="V97" s="73" t="s">
        <v>950</v>
      </c>
      <c r="W97" s="73" t="s">
        <v>950</v>
      </c>
      <c r="X97" s="73" t="s">
        <v>950</v>
      </c>
      <c r="Y97" s="73" t="s">
        <v>950</v>
      </c>
      <c r="Z97" s="73" t="s">
        <v>336</v>
      </c>
      <c r="AA97" s="73" t="s">
        <v>950</v>
      </c>
      <c r="AB97" s="73" t="s">
        <v>950</v>
      </c>
      <c r="AC97" s="73" t="s">
        <v>950</v>
      </c>
      <c r="AD97" s="73" t="s">
        <v>950</v>
      </c>
      <c r="AE97" s="73" t="s">
        <v>950</v>
      </c>
      <c r="AF97" s="73">
        <v>8.0399999999999991</v>
      </c>
      <c r="AG97" s="73">
        <v>1.08</v>
      </c>
      <c r="AH97" s="73">
        <f t="shared" si="7"/>
        <v>2.16</v>
      </c>
      <c r="AI97" s="73"/>
      <c r="AJ97" s="73"/>
      <c r="AK97" s="73"/>
      <c r="AL97" s="73">
        <v>4.9000000000000004</v>
      </c>
      <c r="AM97" s="73">
        <v>0.63</v>
      </c>
      <c r="AN97" s="73">
        <f t="shared" si="6"/>
        <v>1.26</v>
      </c>
      <c r="AO97" s="73" t="s">
        <v>950</v>
      </c>
      <c r="AP97" s="73" t="s">
        <v>950</v>
      </c>
      <c r="AQ97" s="73" t="s">
        <v>950</v>
      </c>
      <c r="AR97" s="73" t="s">
        <v>950</v>
      </c>
      <c r="AS97" s="73" t="s">
        <v>586</v>
      </c>
      <c r="AT97" s="110">
        <f t="shared" si="26"/>
        <v>3.1399999999999988</v>
      </c>
      <c r="AU97" s="110">
        <f t="shared" si="27"/>
        <v>1.768219443394965</v>
      </c>
      <c r="AV97" s="110">
        <f t="shared" si="28"/>
        <v>0.86956521739130432</v>
      </c>
      <c r="AW97" s="110">
        <f t="shared" si="29"/>
        <v>1.5441719028755192</v>
      </c>
      <c r="AX97" s="110">
        <f t="shared" si="30"/>
        <v>4</v>
      </c>
      <c r="AY97" s="110">
        <f t="shared" si="31"/>
        <v>6.1766876115020768</v>
      </c>
    </row>
    <row r="98" spans="1:51" ht="15" hidden="1" customHeight="1">
      <c r="A98" s="73" t="s">
        <v>643</v>
      </c>
      <c r="B98" s="73" t="s">
        <v>508</v>
      </c>
      <c r="C98" s="73" t="s">
        <v>428</v>
      </c>
      <c r="D98" s="73" t="s">
        <v>747</v>
      </c>
      <c r="E98" s="73" t="s">
        <v>601</v>
      </c>
      <c r="F98" s="73">
        <v>2006</v>
      </c>
      <c r="G98" s="73" t="s">
        <v>940</v>
      </c>
      <c r="H98" s="73"/>
      <c r="I98" s="73" t="s">
        <v>737</v>
      </c>
      <c r="J98" s="73" t="s">
        <v>738</v>
      </c>
      <c r="K98" s="74" t="s">
        <v>871</v>
      </c>
      <c r="L98" s="91" t="s">
        <v>13</v>
      </c>
      <c r="M98" s="91" t="s">
        <v>835</v>
      </c>
      <c r="N98" s="74"/>
      <c r="O98" s="73">
        <v>1</v>
      </c>
      <c r="P98" s="73"/>
      <c r="Q98" s="73"/>
      <c r="R98" s="73" t="s">
        <v>734</v>
      </c>
      <c r="S98" s="73">
        <v>4</v>
      </c>
      <c r="T98" s="73">
        <v>4</v>
      </c>
      <c r="U98" s="73" t="s">
        <v>430</v>
      </c>
      <c r="V98" s="73" t="s">
        <v>950</v>
      </c>
      <c r="W98" s="73" t="s">
        <v>950</v>
      </c>
      <c r="X98" s="73" t="s">
        <v>950</v>
      </c>
      <c r="Y98" s="73" t="s">
        <v>950</v>
      </c>
      <c r="Z98" s="73" t="s">
        <v>336</v>
      </c>
      <c r="AA98" s="73" t="s">
        <v>950</v>
      </c>
      <c r="AB98" s="73" t="s">
        <v>950</v>
      </c>
      <c r="AC98" s="73" t="s">
        <v>950</v>
      </c>
      <c r="AD98" s="73" t="s">
        <v>950</v>
      </c>
      <c r="AE98" s="73" t="s">
        <v>950</v>
      </c>
      <c r="AF98" s="73">
        <v>6.94</v>
      </c>
      <c r="AG98" s="73">
        <v>1.53</v>
      </c>
      <c r="AH98" s="73">
        <f t="shared" si="7"/>
        <v>3.06</v>
      </c>
      <c r="AI98" s="73"/>
      <c r="AJ98" s="73"/>
      <c r="AK98" s="73"/>
      <c r="AL98" s="73">
        <v>4.75</v>
      </c>
      <c r="AM98" s="73">
        <v>1</v>
      </c>
      <c r="AN98" s="73">
        <f t="shared" si="6"/>
        <v>2</v>
      </c>
      <c r="AO98" s="73" t="s">
        <v>950</v>
      </c>
      <c r="AP98" s="73" t="s">
        <v>950</v>
      </c>
      <c r="AQ98" s="73" t="s">
        <v>950</v>
      </c>
      <c r="AR98" s="73" t="s">
        <v>950</v>
      </c>
      <c r="AS98" s="73" t="s">
        <v>586</v>
      </c>
      <c r="AT98" s="46"/>
      <c r="AU98" s="46"/>
      <c r="AV98" s="46"/>
      <c r="AW98" s="46"/>
      <c r="AX98" s="46"/>
      <c r="AY98" s="46"/>
    </row>
    <row r="99" spans="1:51" ht="15" customHeight="1">
      <c r="A99" s="73" t="s">
        <v>643</v>
      </c>
      <c r="B99" s="73" t="s">
        <v>508</v>
      </c>
      <c r="C99" s="73" t="s">
        <v>428</v>
      </c>
      <c r="D99" s="73" t="s">
        <v>747</v>
      </c>
      <c r="E99" s="73" t="s">
        <v>601</v>
      </c>
      <c r="F99" s="73">
        <v>2006</v>
      </c>
      <c r="G99" s="73" t="s">
        <v>940</v>
      </c>
      <c r="H99" s="73"/>
      <c r="I99" s="73" t="s">
        <v>439</v>
      </c>
      <c r="J99" s="73" t="s">
        <v>736</v>
      </c>
      <c r="K99" s="73" t="s">
        <v>74</v>
      </c>
      <c r="L99" s="73" t="s">
        <v>131</v>
      </c>
      <c r="M99" s="73" t="s">
        <v>958</v>
      </c>
      <c r="N99" s="73">
        <v>1</v>
      </c>
      <c r="O99" s="73"/>
      <c r="P99" s="73"/>
      <c r="Q99" s="73"/>
      <c r="R99" s="73" t="s">
        <v>233</v>
      </c>
      <c r="S99" s="73">
        <v>4</v>
      </c>
      <c r="T99" s="73">
        <v>4</v>
      </c>
      <c r="U99" s="73" t="s">
        <v>430</v>
      </c>
      <c r="V99" s="73" t="s">
        <v>950</v>
      </c>
      <c r="W99" s="73" t="s">
        <v>950</v>
      </c>
      <c r="X99" s="73" t="s">
        <v>950</v>
      </c>
      <c r="Y99" s="73" t="s">
        <v>950</v>
      </c>
      <c r="Z99" s="73" t="s">
        <v>336</v>
      </c>
      <c r="AA99" s="73" t="s">
        <v>950</v>
      </c>
      <c r="AB99" s="73" t="s">
        <v>950</v>
      </c>
      <c r="AC99" s="73" t="s">
        <v>950</v>
      </c>
      <c r="AD99" s="73" t="s">
        <v>950</v>
      </c>
      <c r="AE99" s="73" t="s">
        <v>950</v>
      </c>
      <c r="AF99" s="73">
        <v>7.29</v>
      </c>
      <c r="AG99" s="73">
        <v>0.8</v>
      </c>
      <c r="AH99" s="73">
        <f t="shared" si="7"/>
        <v>1.6</v>
      </c>
      <c r="AI99" s="73"/>
      <c r="AJ99" s="73"/>
      <c r="AK99" s="73"/>
      <c r="AL99" s="73">
        <v>4.3600000000000003</v>
      </c>
      <c r="AM99" s="73">
        <v>0.65</v>
      </c>
      <c r="AN99" s="73">
        <f t="shared" si="6"/>
        <v>1.3</v>
      </c>
      <c r="AO99" s="73" t="s">
        <v>950</v>
      </c>
      <c r="AP99" s="73" t="s">
        <v>950</v>
      </c>
      <c r="AQ99" s="73" t="s">
        <v>950</v>
      </c>
      <c r="AR99" s="73" t="s">
        <v>950</v>
      </c>
      <c r="AS99" s="73" t="s">
        <v>586</v>
      </c>
      <c r="AT99" s="110">
        <f t="shared" ref="AT99:AT100" si="32">AF99-AL99</f>
        <v>2.9299999999999997</v>
      </c>
      <c r="AU99" s="110">
        <f t="shared" ref="AU99:AU100" si="33">SQRT(((T98-1)*AH99^2 + (T99-1)*AN99^2)/(T98+T99-2) )</f>
        <v>1.4577379737113252</v>
      </c>
      <c r="AV99" s="110">
        <f t="shared" ref="AV99:AV100" si="34">1-3/(4*(S99+T99) - 9)</f>
        <v>0.86956521739130432</v>
      </c>
      <c r="AW99" s="110">
        <f t="shared" ref="AW99:AW100" si="35">AT99/AU99*AV99</f>
        <v>1.7477942764088723</v>
      </c>
      <c r="AX99" s="110">
        <f t="shared" ref="AX99:AX100" si="36">T98</f>
        <v>4</v>
      </c>
      <c r="AY99" s="110">
        <f t="shared" ref="AY99:AY100" si="37">AW99*AX99</f>
        <v>6.9911771056354892</v>
      </c>
    </row>
    <row r="100" spans="1:51" ht="15" customHeight="1">
      <c r="A100" s="73" t="s">
        <v>643</v>
      </c>
      <c r="B100" s="73" t="s">
        <v>508</v>
      </c>
      <c r="C100" s="73" t="s">
        <v>428</v>
      </c>
      <c r="D100" s="73" t="s">
        <v>747</v>
      </c>
      <c r="E100" s="73" t="s">
        <v>601</v>
      </c>
      <c r="F100" s="73">
        <v>2006</v>
      </c>
      <c r="G100" s="73" t="s">
        <v>940</v>
      </c>
      <c r="H100" s="73"/>
      <c r="I100" s="73" t="s">
        <v>735</v>
      </c>
      <c r="J100" s="73" t="s">
        <v>736</v>
      </c>
      <c r="K100" s="73" t="s">
        <v>941</v>
      </c>
      <c r="L100" s="73" t="s">
        <v>131</v>
      </c>
      <c r="M100" s="73" t="s">
        <v>958</v>
      </c>
      <c r="N100" s="73">
        <v>1</v>
      </c>
      <c r="O100" s="73"/>
      <c r="P100" s="73"/>
      <c r="Q100" s="73"/>
      <c r="R100" s="73" t="s">
        <v>874</v>
      </c>
      <c r="S100" s="73">
        <v>4</v>
      </c>
      <c r="T100" s="73">
        <v>4</v>
      </c>
      <c r="U100" s="73" t="s">
        <v>430</v>
      </c>
      <c r="V100" s="73" t="s">
        <v>950</v>
      </c>
      <c r="W100" s="73" t="s">
        <v>950</v>
      </c>
      <c r="X100" s="73" t="s">
        <v>950</v>
      </c>
      <c r="Y100" s="73" t="s">
        <v>950</v>
      </c>
      <c r="Z100" s="73" t="s">
        <v>336</v>
      </c>
      <c r="AA100" s="73" t="s">
        <v>950</v>
      </c>
      <c r="AB100" s="73" t="s">
        <v>950</v>
      </c>
      <c r="AC100" s="73" t="s">
        <v>950</v>
      </c>
      <c r="AD100" s="73" t="s">
        <v>950</v>
      </c>
      <c r="AE100" s="73" t="s">
        <v>950</v>
      </c>
      <c r="AF100" s="73">
        <v>6.78</v>
      </c>
      <c r="AG100" s="73">
        <v>0.49</v>
      </c>
      <c r="AH100" s="73">
        <f t="shared" si="7"/>
        <v>0.98</v>
      </c>
      <c r="AI100" s="73"/>
      <c r="AJ100" s="73"/>
      <c r="AK100" s="73"/>
      <c r="AL100" s="73">
        <v>5.0199999999999996</v>
      </c>
      <c r="AM100" s="73">
        <v>0.57999999999999996</v>
      </c>
      <c r="AN100" s="73">
        <f t="shared" si="6"/>
        <v>1.1599999999999999</v>
      </c>
      <c r="AO100" s="73" t="s">
        <v>950</v>
      </c>
      <c r="AP100" s="73" t="s">
        <v>950</v>
      </c>
      <c r="AQ100" s="73" t="s">
        <v>950</v>
      </c>
      <c r="AR100" s="73" t="s">
        <v>950</v>
      </c>
      <c r="AS100" s="73" t="s">
        <v>586</v>
      </c>
      <c r="AT100" s="110">
        <f t="shared" si="32"/>
        <v>1.7600000000000007</v>
      </c>
      <c r="AU100" s="110">
        <f t="shared" si="33"/>
        <v>1.0737783756436892</v>
      </c>
      <c r="AV100" s="110">
        <f t="shared" si="34"/>
        <v>0.86956521739130432</v>
      </c>
      <c r="AW100" s="110">
        <f t="shared" si="35"/>
        <v>1.4252799435370069</v>
      </c>
      <c r="AX100" s="110">
        <f t="shared" si="36"/>
        <v>4</v>
      </c>
      <c r="AY100" s="110">
        <f t="shared" si="37"/>
        <v>5.7011197741480277</v>
      </c>
    </row>
    <row r="101" spans="1:51" ht="15" hidden="1" customHeight="1">
      <c r="A101" s="73" t="s">
        <v>643</v>
      </c>
      <c r="B101" s="73" t="s">
        <v>508</v>
      </c>
      <c r="C101" s="73" t="s">
        <v>428</v>
      </c>
      <c r="D101" s="73" t="s">
        <v>747</v>
      </c>
      <c r="E101" s="73" t="s">
        <v>601</v>
      </c>
      <c r="F101" s="73">
        <v>2006</v>
      </c>
      <c r="G101" s="73" t="s">
        <v>940</v>
      </c>
      <c r="H101" s="73"/>
      <c r="I101" s="73" t="s">
        <v>845</v>
      </c>
      <c r="J101" s="73" t="s">
        <v>738</v>
      </c>
      <c r="K101" s="74" t="s">
        <v>871</v>
      </c>
      <c r="L101" s="91" t="s">
        <v>13</v>
      </c>
      <c r="M101" s="91" t="s">
        <v>835</v>
      </c>
      <c r="N101" s="74"/>
      <c r="O101" s="73">
        <v>1</v>
      </c>
      <c r="P101" s="73"/>
      <c r="Q101" s="73"/>
      <c r="R101" s="73" t="s">
        <v>874</v>
      </c>
      <c r="S101" s="73">
        <v>4</v>
      </c>
      <c r="T101" s="73">
        <v>4</v>
      </c>
      <c r="U101" s="73" t="s">
        <v>430</v>
      </c>
      <c r="V101" s="73" t="s">
        <v>950</v>
      </c>
      <c r="W101" s="73" t="s">
        <v>950</v>
      </c>
      <c r="X101" s="73" t="s">
        <v>950</v>
      </c>
      <c r="Y101" s="73" t="s">
        <v>950</v>
      </c>
      <c r="Z101" s="73" t="s">
        <v>336</v>
      </c>
      <c r="AA101" s="73" t="s">
        <v>950</v>
      </c>
      <c r="AB101" s="73" t="s">
        <v>950</v>
      </c>
      <c r="AC101" s="73" t="s">
        <v>950</v>
      </c>
      <c r="AD101" s="73" t="s">
        <v>950</v>
      </c>
      <c r="AE101" s="73" t="s">
        <v>950</v>
      </c>
      <c r="AF101" s="73">
        <v>6.76</v>
      </c>
      <c r="AG101" s="73">
        <v>0.71</v>
      </c>
      <c r="AH101" s="73">
        <f t="shared" si="7"/>
        <v>1.42</v>
      </c>
      <c r="AI101" s="73"/>
      <c r="AJ101" s="73"/>
      <c r="AK101" s="73"/>
      <c r="AL101" s="73">
        <v>5.0199999999999996</v>
      </c>
      <c r="AM101" s="73">
        <v>0.57999999999999996</v>
      </c>
      <c r="AN101" s="73">
        <f t="shared" si="6"/>
        <v>1.1599999999999999</v>
      </c>
      <c r="AO101" s="73" t="s">
        <v>950</v>
      </c>
      <c r="AP101" s="73" t="s">
        <v>950</v>
      </c>
      <c r="AQ101" s="73" t="s">
        <v>950</v>
      </c>
      <c r="AR101" s="73" t="s">
        <v>950</v>
      </c>
      <c r="AS101" s="73" t="s">
        <v>586</v>
      </c>
      <c r="AT101" s="46"/>
      <c r="AU101" s="46"/>
      <c r="AV101" s="46"/>
      <c r="AW101" s="46"/>
      <c r="AX101" s="46"/>
      <c r="AY101" s="46"/>
    </row>
    <row r="102" spans="1:51" ht="15" customHeight="1">
      <c r="A102" s="73" t="s">
        <v>643</v>
      </c>
      <c r="B102" s="73" t="s">
        <v>508</v>
      </c>
      <c r="C102" s="73" t="s">
        <v>428</v>
      </c>
      <c r="D102" s="73" t="s">
        <v>747</v>
      </c>
      <c r="E102" s="73" t="s">
        <v>601</v>
      </c>
      <c r="F102" s="73">
        <v>2007</v>
      </c>
      <c r="G102" s="73" t="s">
        <v>288</v>
      </c>
      <c r="H102" s="73"/>
      <c r="I102" s="73" t="s">
        <v>841</v>
      </c>
      <c r="J102" s="73" t="s">
        <v>736</v>
      </c>
      <c r="K102" s="73" t="s">
        <v>74</v>
      </c>
      <c r="L102" s="73" t="s">
        <v>131</v>
      </c>
      <c r="M102" s="73" t="s">
        <v>958</v>
      </c>
      <c r="N102" s="73">
        <v>1</v>
      </c>
      <c r="O102" s="73"/>
      <c r="P102" s="73"/>
      <c r="Q102" s="73"/>
      <c r="R102" s="73" t="s">
        <v>842</v>
      </c>
      <c r="S102" s="73">
        <v>4</v>
      </c>
      <c r="T102" s="73">
        <v>4</v>
      </c>
      <c r="U102" s="73" t="s">
        <v>430</v>
      </c>
      <c r="V102" s="73" t="s">
        <v>950</v>
      </c>
      <c r="W102" s="73" t="s">
        <v>950</v>
      </c>
      <c r="X102" s="73" t="s">
        <v>950</v>
      </c>
      <c r="Y102" s="73" t="s">
        <v>950</v>
      </c>
      <c r="Z102" s="73" t="s">
        <v>336</v>
      </c>
      <c r="AA102" s="73" t="s">
        <v>950</v>
      </c>
      <c r="AB102" s="73" t="s">
        <v>950</v>
      </c>
      <c r="AC102" s="73" t="s">
        <v>950</v>
      </c>
      <c r="AD102" s="73" t="s">
        <v>950</v>
      </c>
      <c r="AE102" s="73" t="s">
        <v>950</v>
      </c>
      <c r="AF102" s="73">
        <v>13</v>
      </c>
      <c r="AG102" s="73">
        <v>0.68</v>
      </c>
      <c r="AH102" s="73">
        <f t="shared" si="7"/>
        <v>1.36</v>
      </c>
      <c r="AI102" s="73"/>
      <c r="AJ102" s="73"/>
      <c r="AK102" s="73"/>
      <c r="AL102" s="73">
        <v>13.4</v>
      </c>
      <c r="AM102" s="73">
        <v>0.48</v>
      </c>
      <c r="AN102" s="73">
        <f t="shared" si="6"/>
        <v>0.96</v>
      </c>
      <c r="AO102" s="73" t="s">
        <v>950</v>
      </c>
      <c r="AP102" s="73" t="s">
        <v>950</v>
      </c>
      <c r="AQ102" s="73" t="s">
        <v>950</v>
      </c>
      <c r="AR102" s="73" t="s">
        <v>950</v>
      </c>
      <c r="AS102" s="73" t="s">
        <v>585</v>
      </c>
      <c r="AT102" s="110">
        <f t="shared" ref="AT102:AT103" si="38">AF102-AL102</f>
        <v>-0.40000000000000036</v>
      </c>
      <c r="AU102" s="110">
        <f t="shared" ref="AU102:AU103" si="39">SQRT(((T101-1)*AH102^2 + (T102-1)*AN102^2)/(T101+T102-2) )</f>
        <v>1.177115117564973</v>
      </c>
      <c r="AV102" s="110">
        <f t="shared" ref="AV102:AV103" si="40">1-3/(4*(S102+T102) - 9)</f>
        <v>0.86956521739130432</v>
      </c>
      <c r="AW102" s="110">
        <f t="shared" ref="AW102:AW103" si="41">AT102/AU102*AV102</f>
        <v>-0.29549028957851536</v>
      </c>
      <c r="AX102" s="110">
        <f t="shared" ref="AX102:AX103" si="42">T101</f>
        <v>4</v>
      </c>
      <c r="AY102" s="110">
        <f t="shared" ref="AY102:AY103" si="43">AW102*AX102</f>
        <v>-1.1819611583140615</v>
      </c>
    </row>
    <row r="103" spans="1:51" ht="15" customHeight="1">
      <c r="A103" s="73" t="s">
        <v>643</v>
      </c>
      <c r="B103" s="73" t="s">
        <v>508</v>
      </c>
      <c r="C103" s="73" t="s">
        <v>428</v>
      </c>
      <c r="D103" s="73" t="s">
        <v>747</v>
      </c>
      <c r="E103" s="73" t="s">
        <v>601</v>
      </c>
      <c r="F103" s="73">
        <v>2007</v>
      </c>
      <c r="G103" s="73" t="s">
        <v>940</v>
      </c>
      <c r="H103" s="73"/>
      <c r="I103" s="73" t="s">
        <v>437</v>
      </c>
      <c r="J103" s="73" t="s">
        <v>736</v>
      </c>
      <c r="K103" s="73" t="s">
        <v>74</v>
      </c>
      <c r="L103" s="73" t="s">
        <v>131</v>
      </c>
      <c r="M103" s="73" t="s">
        <v>958</v>
      </c>
      <c r="N103" s="73">
        <v>1</v>
      </c>
      <c r="O103" s="73"/>
      <c r="P103" s="73"/>
      <c r="Q103" s="73"/>
      <c r="R103" s="73" t="s">
        <v>438</v>
      </c>
      <c r="S103" s="73">
        <v>4</v>
      </c>
      <c r="T103" s="73">
        <v>4</v>
      </c>
      <c r="U103" s="73" t="s">
        <v>430</v>
      </c>
      <c r="V103" s="73" t="s">
        <v>950</v>
      </c>
      <c r="W103" s="73" t="s">
        <v>950</v>
      </c>
      <c r="X103" s="73" t="s">
        <v>950</v>
      </c>
      <c r="Y103" s="73" t="s">
        <v>950</v>
      </c>
      <c r="Z103" s="73" t="s">
        <v>336</v>
      </c>
      <c r="AA103" s="73" t="s">
        <v>950</v>
      </c>
      <c r="AB103" s="73" t="s">
        <v>950</v>
      </c>
      <c r="AC103" s="73" t="s">
        <v>950</v>
      </c>
      <c r="AD103" s="73" t="s">
        <v>950</v>
      </c>
      <c r="AE103" s="73" t="s">
        <v>950</v>
      </c>
      <c r="AF103" s="73">
        <v>13.02</v>
      </c>
      <c r="AG103" s="73">
        <v>0.34</v>
      </c>
      <c r="AH103" s="73">
        <f t="shared" si="7"/>
        <v>0.68</v>
      </c>
      <c r="AI103" s="73"/>
      <c r="AJ103" s="73"/>
      <c r="AK103" s="73"/>
      <c r="AL103" s="73">
        <v>11.92</v>
      </c>
      <c r="AM103" s="73">
        <v>0.43</v>
      </c>
      <c r="AN103" s="73">
        <f t="shared" si="6"/>
        <v>0.86</v>
      </c>
      <c r="AO103" s="73" t="s">
        <v>950</v>
      </c>
      <c r="AP103" s="73" t="s">
        <v>950</v>
      </c>
      <c r="AQ103" s="73" t="s">
        <v>950</v>
      </c>
      <c r="AR103" s="73" t="s">
        <v>950</v>
      </c>
      <c r="AS103" s="73" t="s">
        <v>585</v>
      </c>
      <c r="AT103" s="110">
        <f t="shared" si="38"/>
        <v>1.0999999999999996</v>
      </c>
      <c r="AU103" s="110">
        <f t="shared" si="39"/>
        <v>0.77524189773257224</v>
      </c>
      <c r="AV103" s="110">
        <f t="shared" si="40"/>
        <v>0.86956521739130432</v>
      </c>
      <c r="AW103" s="110">
        <f t="shared" si="41"/>
        <v>1.2338364862993985</v>
      </c>
      <c r="AX103" s="110">
        <f t="shared" si="42"/>
        <v>4</v>
      </c>
      <c r="AY103" s="110">
        <f t="shared" si="43"/>
        <v>4.9353459451975938</v>
      </c>
    </row>
    <row r="104" spans="1:51" ht="15" hidden="1" customHeight="1">
      <c r="A104" s="73" t="s">
        <v>643</v>
      </c>
      <c r="B104" s="73" t="s">
        <v>508</v>
      </c>
      <c r="C104" s="73" t="s">
        <v>428</v>
      </c>
      <c r="D104" s="73" t="s">
        <v>747</v>
      </c>
      <c r="E104" s="73" t="s">
        <v>601</v>
      </c>
      <c r="F104" s="73">
        <v>2007</v>
      </c>
      <c r="G104" s="73" t="s">
        <v>940</v>
      </c>
      <c r="H104" s="73"/>
      <c r="I104" s="73" t="s">
        <v>737</v>
      </c>
      <c r="J104" s="73" t="s">
        <v>738</v>
      </c>
      <c r="K104" s="74" t="s">
        <v>871</v>
      </c>
      <c r="L104" s="91" t="s">
        <v>13</v>
      </c>
      <c r="M104" s="91" t="s">
        <v>835</v>
      </c>
      <c r="N104" s="74"/>
      <c r="O104" s="73">
        <v>1</v>
      </c>
      <c r="P104" s="73"/>
      <c r="Q104" s="73"/>
      <c r="R104" s="73" t="s">
        <v>734</v>
      </c>
      <c r="S104" s="73">
        <v>4</v>
      </c>
      <c r="T104" s="73">
        <v>4</v>
      </c>
      <c r="U104" s="73" t="s">
        <v>430</v>
      </c>
      <c r="V104" s="73" t="s">
        <v>950</v>
      </c>
      <c r="W104" s="73" t="s">
        <v>950</v>
      </c>
      <c r="X104" s="73" t="s">
        <v>950</v>
      </c>
      <c r="Y104" s="73" t="s">
        <v>950</v>
      </c>
      <c r="Z104" s="73" t="s">
        <v>336</v>
      </c>
      <c r="AA104" s="73" t="s">
        <v>950</v>
      </c>
      <c r="AB104" s="73" t="s">
        <v>950</v>
      </c>
      <c r="AC104" s="73" t="s">
        <v>950</v>
      </c>
      <c r="AD104" s="73" t="s">
        <v>950</v>
      </c>
      <c r="AE104" s="73" t="s">
        <v>950</v>
      </c>
      <c r="AF104" s="73">
        <v>11.36</v>
      </c>
      <c r="AG104" s="73">
        <v>0.3</v>
      </c>
      <c r="AH104" s="73">
        <f t="shared" si="7"/>
        <v>0.6</v>
      </c>
      <c r="AI104" s="73"/>
      <c r="AJ104" s="73"/>
      <c r="AK104" s="73"/>
      <c r="AL104" s="73">
        <v>13.67</v>
      </c>
      <c r="AM104" s="73">
        <v>0.75</v>
      </c>
      <c r="AN104" s="73">
        <f t="shared" si="6"/>
        <v>1.5</v>
      </c>
      <c r="AO104" s="73" t="s">
        <v>950</v>
      </c>
      <c r="AP104" s="73" t="s">
        <v>950</v>
      </c>
      <c r="AQ104" s="73" t="s">
        <v>950</v>
      </c>
      <c r="AR104" s="73" t="s">
        <v>950</v>
      </c>
      <c r="AS104" s="73" t="s">
        <v>585</v>
      </c>
      <c r="AT104" s="46"/>
      <c r="AU104" s="46"/>
      <c r="AV104" s="46"/>
      <c r="AW104" s="46"/>
      <c r="AX104" s="46"/>
      <c r="AY104" s="46"/>
    </row>
    <row r="105" spans="1:51" ht="15" customHeight="1">
      <c r="A105" s="73" t="s">
        <v>643</v>
      </c>
      <c r="B105" s="73" t="s">
        <v>508</v>
      </c>
      <c r="C105" s="73" t="s">
        <v>428</v>
      </c>
      <c r="D105" s="73" t="s">
        <v>747</v>
      </c>
      <c r="E105" s="73" t="s">
        <v>601</v>
      </c>
      <c r="F105" s="73">
        <v>2007</v>
      </c>
      <c r="G105" s="73" t="s">
        <v>940</v>
      </c>
      <c r="H105" s="73"/>
      <c r="I105" s="73" t="s">
        <v>439</v>
      </c>
      <c r="J105" s="73" t="s">
        <v>736</v>
      </c>
      <c r="K105" s="73" t="s">
        <v>74</v>
      </c>
      <c r="L105" s="73" t="s">
        <v>131</v>
      </c>
      <c r="M105" s="73" t="s">
        <v>958</v>
      </c>
      <c r="N105" s="73">
        <v>1</v>
      </c>
      <c r="O105" s="73"/>
      <c r="P105" s="73"/>
      <c r="Q105" s="73"/>
      <c r="R105" s="73" t="s">
        <v>233</v>
      </c>
      <c r="S105" s="73">
        <v>4</v>
      </c>
      <c r="T105" s="73">
        <v>4</v>
      </c>
      <c r="U105" s="73" t="s">
        <v>430</v>
      </c>
      <c r="V105" s="73" t="s">
        <v>950</v>
      </c>
      <c r="W105" s="73" t="s">
        <v>950</v>
      </c>
      <c r="X105" s="73" t="s">
        <v>950</v>
      </c>
      <c r="Y105" s="73" t="s">
        <v>950</v>
      </c>
      <c r="Z105" s="73" t="s">
        <v>336</v>
      </c>
      <c r="AA105" s="73" t="s">
        <v>950</v>
      </c>
      <c r="AB105" s="73" t="s">
        <v>950</v>
      </c>
      <c r="AC105" s="73" t="s">
        <v>950</v>
      </c>
      <c r="AD105" s="73" t="s">
        <v>950</v>
      </c>
      <c r="AE105" s="73" t="s">
        <v>950</v>
      </c>
      <c r="AF105" s="73">
        <v>13.16</v>
      </c>
      <c r="AG105" s="73">
        <v>0.41</v>
      </c>
      <c r="AH105" s="73">
        <f t="shared" si="7"/>
        <v>0.82</v>
      </c>
      <c r="AI105" s="73"/>
      <c r="AJ105" s="73"/>
      <c r="AK105" s="73"/>
      <c r="AL105" s="73">
        <v>13.49</v>
      </c>
      <c r="AM105" s="73">
        <v>0.91</v>
      </c>
      <c r="AN105" s="73">
        <f t="shared" si="6"/>
        <v>1.82</v>
      </c>
      <c r="AO105" s="73" t="s">
        <v>950</v>
      </c>
      <c r="AP105" s="73" t="s">
        <v>950</v>
      </c>
      <c r="AQ105" s="73" t="s">
        <v>950</v>
      </c>
      <c r="AR105" s="73" t="s">
        <v>950</v>
      </c>
      <c r="AS105" s="73" t="s">
        <v>585</v>
      </c>
      <c r="AT105" s="110">
        <f t="shared" ref="AT105:AT107" si="44">AF105-AL105</f>
        <v>-0.33000000000000007</v>
      </c>
      <c r="AU105" s="110">
        <f t="shared" ref="AU105:AU107" si="45">SQRT(((T104-1)*AH105^2 + (T105-1)*AN105^2)/(T104+T105-2) )</f>
        <v>1.411523999087511</v>
      </c>
      <c r="AV105" s="110">
        <f t="shared" ref="AV105:AV107" si="46">1-3/(4*(S105+T105) - 9)</f>
        <v>0.86956521739130432</v>
      </c>
      <c r="AW105" s="110">
        <f t="shared" ref="AW105:AW107" si="47">AT105/AU105*AV105</f>
        <v>-0.20329553158475197</v>
      </c>
      <c r="AX105" s="110">
        <f t="shared" ref="AX105:AX107" si="48">T104</f>
        <v>4</v>
      </c>
      <c r="AY105" s="110">
        <f t="shared" ref="AY105:AY107" si="49">AW105*AX105</f>
        <v>-0.81318212633900788</v>
      </c>
    </row>
    <row r="106" spans="1:51" ht="15" customHeight="1">
      <c r="A106" s="73" t="s">
        <v>643</v>
      </c>
      <c r="B106" s="73" t="s">
        <v>508</v>
      </c>
      <c r="C106" s="73" t="s">
        <v>428</v>
      </c>
      <c r="D106" s="73" t="s">
        <v>747</v>
      </c>
      <c r="E106" s="73" t="s">
        <v>601</v>
      </c>
      <c r="F106" s="73">
        <v>2007</v>
      </c>
      <c r="G106" s="73" t="s">
        <v>288</v>
      </c>
      <c r="H106" s="73"/>
      <c r="I106" s="73" t="s">
        <v>841</v>
      </c>
      <c r="J106" s="73" t="s">
        <v>736</v>
      </c>
      <c r="K106" s="74" t="s">
        <v>569</v>
      </c>
      <c r="L106" s="73" t="s">
        <v>131</v>
      </c>
      <c r="M106" s="73" t="s">
        <v>958</v>
      </c>
      <c r="N106" s="74">
        <v>1</v>
      </c>
      <c r="O106" s="73"/>
      <c r="P106" s="73"/>
      <c r="Q106" s="73"/>
      <c r="R106" s="73" t="s">
        <v>842</v>
      </c>
      <c r="S106" s="73">
        <v>4</v>
      </c>
      <c r="T106" s="73">
        <v>4</v>
      </c>
      <c r="U106" s="73" t="s">
        <v>430</v>
      </c>
      <c r="V106" s="73" t="s">
        <v>950</v>
      </c>
      <c r="W106" s="73" t="s">
        <v>950</v>
      </c>
      <c r="X106" s="73" t="s">
        <v>950</v>
      </c>
      <c r="Y106" s="73" t="s">
        <v>950</v>
      </c>
      <c r="Z106" s="73" t="s">
        <v>336</v>
      </c>
      <c r="AA106" s="73" t="s">
        <v>950</v>
      </c>
      <c r="AB106" s="73" t="s">
        <v>950</v>
      </c>
      <c r="AC106" s="73" t="s">
        <v>950</v>
      </c>
      <c r="AD106" s="73" t="s">
        <v>950</v>
      </c>
      <c r="AE106" s="73" t="s">
        <v>950</v>
      </c>
      <c r="AF106" s="73">
        <v>5.9</v>
      </c>
      <c r="AG106" s="73">
        <v>0.13</v>
      </c>
      <c r="AH106" s="73">
        <f t="shared" si="7"/>
        <v>0.26</v>
      </c>
      <c r="AI106" s="73"/>
      <c r="AJ106" s="73"/>
      <c r="AK106" s="73"/>
      <c r="AL106" s="73">
        <v>5.19</v>
      </c>
      <c r="AM106" s="73">
        <v>0.18</v>
      </c>
      <c r="AN106" s="73">
        <f t="shared" si="6"/>
        <v>0.36</v>
      </c>
      <c r="AO106" s="73" t="s">
        <v>950</v>
      </c>
      <c r="AP106" s="73" t="s">
        <v>950</v>
      </c>
      <c r="AQ106" s="73" t="s">
        <v>950</v>
      </c>
      <c r="AR106" s="73" t="s">
        <v>950</v>
      </c>
      <c r="AS106" s="73" t="s">
        <v>585</v>
      </c>
      <c r="AT106" s="110">
        <f t="shared" si="44"/>
        <v>0.71</v>
      </c>
      <c r="AU106" s="110">
        <f t="shared" si="45"/>
        <v>0.31400636936215165</v>
      </c>
      <c r="AV106" s="110">
        <f t="shared" si="46"/>
        <v>0.86956521739130432</v>
      </c>
      <c r="AW106" s="110">
        <f t="shared" si="47"/>
        <v>1.9661744620083574</v>
      </c>
      <c r="AX106" s="110">
        <f t="shared" si="48"/>
        <v>4</v>
      </c>
      <c r="AY106" s="110">
        <f t="shared" si="49"/>
        <v>7.8646978480334298</v>
      </c>
    </row>
    <row r="107" spans="1:51" ht="15" customHeight="1">
      <c r="A107" s="73" t="s">
        <v>643</v>
      </c>
      <c r="B107" s="73" t="s">
        <v>508</v>
      </c>
      <c r="C107" s="73" t="s">
        <v>428</v>
      </c>
      <c r="D107" s="73" t="s">
        <v>747</v>
      </c>
      <c r="E107" s="73" t="s">
        <v>601</v>
      </c>
      <c r="F107" s="73">
        <v>2007</v>
      </c>
      <c r="G107" s="73" t="s">
        <v>940</v>
      </c>
      <c r="H107" s="73"/>
      <c r="I107" s="73" t="s">
        <v>437</v>
      </c>
      <c r="J107" s="73" t="s">
        <v>736</v>
      </c>
      <c r="K107" s="73" t="s">
        <v>74</v>
      </c>
      <c r="L107" s="73" t="s">
        <v>131</v>
      </c>
      <c r="M107" s="73" t="s">
        <v>958</v>
      </c>
      <c r="N107" s="73">
        <v>1</v>
      </c>
      <c r="O107" s="73"/>
      <c r="P107" s="73"/>
      <c r="Q107" s="73"/>
      <c r="R107" s="73" t="s">
        <v>438</v>
      </c>
      <c r="S107" s="73">
        <v>4</v>
      </c>
      <c r="T107" s="73">
        <v>4</v>
      </c>
      <c r="U107" s="73" t="s">
        <v>430</v>
      </c>
      <c r="V107" s="73" t="s">
        <v>950</v>
      </c>
      <c r="W107" s="73" t="s">
        <v>950</v>
      </c>
      <c r="X107" s="73" t="s">
        <v>950</v>
      </c>
      <c r="Y107" s="73" t="s">
        <v>950</v>
      </c>
      <c r="Z107" s="73" t="s">
        <v>336</v>
      </c>
      <c r="AA107" s="73" t="s">
        <v>950</v>
      </c>
      <c r="AB107" s="73" t="s">
        <v>950</v>
      </c>
      <c r="AC107" s="73" t="s">
        <v>950</v>
      </c>
      <c r="AD107" s="73" t="s">
        <v>950</v>
      </c>
      <c r="AE107" s="73" t="s">
        <v>950</v>
      </c>
      <c r="AF107" s="73">
        <v>4.32</v>
      </c>
      <c r="AG107" s="73">
        <v>0.05</v>
      </c>
      <c r="AH107" s="73">
        <f t="shared" si="7"/>
        <v>0.1</v>
      </c>
      <c r="AI107" s="73"/>
      <c r="AJ107" s="73"/>
      <c r="AK107" s="73"/>
      <c r="AL107" s="73">
        <v>3.98</v>
      </c>
      <c r="AM107" s="73">
        <v>0.16</v>
      </c>
      <c r="AN107" s="73">
        <f t="shared" si="6"/>
        <v>0.32</v>
      </c>
      <c r="AO107" s="73" t="s">
        <v>950</v>
      </c>
      <c r="AP107" s="73" t="s">
        <v>950</v>
      </c>
      <c r="AQ107" s="73" t="s">
        <v>950</v>
      </c>
      <c r="AR107" s="73" t="s">
        <v>950</v>
      </c>
      <c r="AS107" s="73" t="s">
        <v>585</v>
      </c>
      <c r="AT107" s="110">
        <f t="shared" si="44"/>
        <v>0.3400000000000003</v>
      </c>
      <c r="AU107" s="110">
        <f t="shared" si="45"/>
        <v>0.23706539182259398</v>
      </c>
      <c r="AV107" s="110">
        <f t="shared" si="46"/>
        <v>0.86956521739130432</v>
      </c>
      <c r="AW107" s="110">
        <f t="shared" si="47"/>
        <v>1.2471334244109857</v>
      </c>
      <c r="AX107" s="110">
        <f t="shared" si="48"/>
        <v>4</v>
      </c>
      <c r="AY107" s="110">
        <f t="shared" si="49"/>
        <v>4.9885336976439429</v>
      </c>
    </row>
    <row r="108" spans="1:51" ht="15" hidden="1" customHeight="1">
      <c r="A108" s="73" t="s">
        <v>643</v>
      </c>
      <c r="B108" s="73" t="s">
        <v>508</v>
      </c>
      <c r="C108" s="73" t="s">
        <v>428</v>
      </c>
      <c r="D108" s="73" t="s">
        <v>747</v>
      </c>
      <c r="E108" s="73" t="s">
        <v>601</v>
      </c>
      <c r="F108" s="73">
        <v>2007</v>
      </c>
      <c r="G108" s="73" t="s">
        <v>940</v>
      </c>
      <c r="H108" s="73"/>
      <c r="I108" s="73" t="s">
        <v>737</v>
      </c>
      <c r="J108" s="73" t="s">
        <v>738</v>
      </c>
      <c r="K108" s="73" t="s">
        <v>871</v>
      </c>
      <c r="L108" s="91" t="s">
        <v>13</v>
      </c>
      <c r="M108" s="91" t="s">
        <v>835</v>
      </c>
      <c r="N108" s="74"/>
      <c r="O108" s="73">
        <v>1</v>
      </c>
      <c r="P108" s="73"/>
      <c r="Q108" s="73"/>
      <c r="R108" s="73" t="s">
        <v>734</v>
      </c>
      <c r="S108" s="73">
        <v>4</v>
      </c>
      <c r="T108" s="73">
        <v>4</v>
      </c>
      <c r="U108" s="73" t="s">
        <v>430</v>
      </c>
      <c r="V108" s="73" t="s">
        <v>950</v>
      </c>
      <c r="W108" s="73" t="s">
        <v>950</v>
      </c>
      <c r="X108" s="73" t="s">
        <v>950</v>
      </c>
      <c r="Y108" s="73" t="s">
        <v>950</v>
      </c>
      <c r="Z108" s="73" t="s">
        <v>336</v>
      </c>
      <c r="AA108" s="73" t="s">
        <v>950</v>
      </c>
      <c r="AB108" s="73" t="s">
        <v>950</v>
      </c>
      <c r="AC108" s="73" t="s">
        <v>950</v>
      </c>
      <c r="AD108" s="73" t="s">
        <v>950</v>
      </c>
      <c r="AE108" s="73" t="s">
        <v>950</v>
      </c>
      <c r="AF108" s="73">
        <v>4.2300000000000004</v>
      </c>
      <c r="AG108" s="73">
        <v>0.28999999999999998</v>
      </c>
      <c r="AH108" s="73">
        <f t="shared" si="7"/>
        <v>0.57999999999999996</v>
      </c>
      <c r="AI108" s="73"/>
      <c r="AJ108" s="73"/>
      <c r="AK108" s="73"/>
      <c r="AL108" s="73">
        <v>2.65</v>
      </c>
      <c r="AM108" s="73">
        <v>0.79</v>
      </c>
      <c r="AN108" s="73">
        <f t="shared" si="6"/>
        <v>1.58</v>
      </c>
      <c r="AO108" s="73" t="s">
        <v>950</v>
      </c>
      <c r="AP108" s="73" t="s">
        <v>950</v>
      </c>
      <c r="AQ108" s="73" t="s">
        <v>950</v>
      </c>
      <c r="AR108" s="73" t="s">
        <v>950</v>
      </c>
      <c r="AS108" s="73" t="s">
        <v>586</v>
      </c>
      <c r="AT108" s="46"/>
      <c r="AU108" s="46"/>
      <c r="AV108" s="46"/>
      <c r="AW108" s="46"/>
      <c r="AX108" s="46"/>
      <c r="AY108" s="46"/>
    </row>
    <row r="109" spans="1:51" ht="15" customHeight="1">
      <c r="A109" s="78" t="s">
        <v>643</v>
      </c>
      <c r="B109" s="78" t="s">
        <v>508</v>
      </c>
      <c r="C109" s="78" t="s">
        <v>428</v>
      </c>
      <c r="D109" s="78" t="s">
        <v>747</v>
      </c>
      <c r="E109" s="78" t="s">
        <v>601</v>
      </c>
      <c r="F109" s="78">
        <v>2007</v>
      </c>
      <c r="G109" s="78" t="s">
        <v>940</v>
      </c>
      <c r="H109" s="78"/>
      <c r="I109" s="78" t="s">
        <v>439</v>
      </c>
      <c r="J109" s="78" t="s">
        <v>736</v>
      </c>
      <c r="K109" s="78" t="s">
        <v>609</v>
      </c>
      <c r="L109" s="73" t="s">
        <v>131</v>
      </c>
      <c r="M109" s="78" t="s">
        <v>958</v>
      </c>
      <c r="N109" s="78">
        <v>1</v>
      </c>
      <c r="O109" s="78"/>
      <c r="P109" s="78"/>
      <c r="Q109" s="78"/>
      <c r="R109" s="78" t="s">
        <v>233</v>
      </c>
      <c r="S109" s="78">
        <v>4</v>
      </c>
      <c r="T109" s="78">
        <v>4</v>
      </c>
      <c r="U109" s="78" t="s">
        <v>430</v>
      </c>
      <c r="V109" s="78" t="s">
        <v>950</v>
      </c>
      <c r="W109" s="78" t="s">
        <v>950</v>
      </c>
      <c r="X109" s="78" t="s">
        <v>950</v>
      </c>
      <c r="Y109" s="78" t="s">
        <v>950</v>
      </c>
      <c r="Z109" s="78" t="s">
        <v>336</v>
      </c>
      <c r="AA109" s="78" t="s">
        <v>950</v>
      </c>
      <c r="AB109" s="78" t="s">
        <v>950</v>
      </c>
      <c r="AC109" s="78" t="s">
        <v>950</v>
      </c>
      <c r="AD109" s="78" t="s">
        <v>950</v>
      </c>
      <c r="AE109" s="78" t="s">
        <v>950</v>
      </c>
      <c r="AF109" s="78">
        <v>1.94</v>
      </c>
      <c r="AG109" s="78">
        <v>0.87</v>
      </c>
      <c r="AH109" s="73">
        <f t="shared" si="7"/>
        <v>1.74</v>
      </c>
      <c r="AI109" s="73"/>
      <c r="AJ109" s="73"/>
      <c r="AK109" s="73"/>
      <c r="AL109" s="78">
        <v>1.49</v>
      </c>
      <c r="AM109" s="78">
        <v>0.53</v>
      </c>
      <c r="AN109" s="73">
        <f t="shared" si="6"/>
        <v>1.06</v>
      </c>
      <c r="AO109" s="78" t="s">
        <v>950</v>
      </c>
      <c r="AP109" s="78" t="s">
        <v>950</v>
      </c>
      <c r="AQ109" s="78" t="s">
        <v>950</v>
      </c>
      <c r="AR109" s="78" t="s">
        <v>950</v>
      </c>
      <c r="AS109" s="78" t="s">
        <v>585</v>
      </c>
      <c r="AT109" s="110">
        <f t="shared" ref="AT109:AT170" si="50">AF109-AL109</f>
        <v>0.44999999999999996</v>
      </c>
      <c r="AU109" s="110">
        <f t="shared" ref="AU109:AU170" si="51">SQRT(((T108-1)*AH109^2 + (T109-1)*AN109^2)/(T108+T109-2) )</f>
        <v>1.4406942770761604</v>
      </c>
      <c r="AV109" s="110">
        <f t="shared" ref="AV109:AV170" si="52">1-3/(4*(S109+T109) - 9)</f>
        <v>0.86956521739130432</v>
      </c>
      <c r="AW109" s="110">
        <f t="shared" ref="AW109:AW170" si="53">AT109/AU109*AV109</f>
        <v>0.27160817812105537</v>
      </c>
      <c r="AX109" s="110">
        <f t="shared" ref="AX109:AX170" si="54">T108</f>
        <v>4</v>
      </c>
      <c r="AY109" s="110">
        <f t="shared" ref="AY109:AY170" si="55">AW109*AX109</f>
        <v>1.0864327124842215</v>
      </c>
    </row>
    <row r="110" spans="1:51" ht="15" customHeight="1">
      <c r="A110" s="73" t="s">
        <v>400</v>
      </c>
      <c r="B110" s="73" t="s">
        <v>604</v>
      </c>
      <c r="C110" s="73" t="s">
        <v>214</v>
      </c>
      <c r="D110" s="88"/>
      <c r="E110" s="88" t="s">
        <v>950</v>
      </c>
      <c r="F110" s="73">
        <v>2003</v>
      </c>
      <c r="G110" s="73" t="s">
        <v>950</v>
      </c>
      <c r="H110" s="73"/>
      <c r="I110" s="73" t="s">
        <v>417</v>
      </c>
      <c r="J110" s="73" t="s">
        <v>94</v>
      </c>
      <c r="K110" s="73" t="s">
        <v>569</v>
      </c>
      <c r="L110" s="88" t="s">
        <v>131</v>
      </c>
      <c r="M110" s="73" t="s">
        <v>958</v>
      </c>
      <c r="N110" s="73">
        <v>1</v>
      </c>
      <c r="O110" s="73"/>
      <c r="P110" s="73"/>
      <c r="Q110" s="73"/>
      <c r="R110" s="73" t="s">
        <v>694</v>
      </c>
      <c r="S110" s="73">
        <v>3</v>
      </c>
      <c r="T110" s="73">
        <v>3</v>
      </c>
      <c r="U110" s="88" t="s">
        <v>950</v>
      </c>
      <c r="V110" s="88" t="s">
        <v>950</v>
      </c>
      <c r="W110" s="88" t="s">
        <v>950</v>
      </c>
      <c r="X110" s="88" t="s">
        <v>950</v>
      </c>
      <c r="Y110" s="88" t="s">
        <v>950</v>
      </c>
      <c r="Z110" s="88" t="s">
        <v>336</v>
      </c>
      <c r="AA110" s="88" t="s">
        <v>950</v>
      </c>
      <c r="AB110" s="88" t="s">
        <v>950</v>
      </c>
      <c r="AC110" s="88" t="s">
        <v>950</v>
      </c>
      <c r="AD110" s="88" t="s">
        <v>950</v>
      </c>
      <c r="AE110" s="88" t="s">
        <v>950</v>
      </c>
      <c r="AF110" s="88">
        <v>5.13</v>
      </c>
      <c r="AG110" s="88" t="s">
        <v>950</v>
      </c>
      <c r="AH110" s="86">
        <f>(AI110/100)*AF110</f>
        <v>0.53864999999999996</v>
      </c>
      <c r="AI110" s="88">
        <v>10.5</v>
      </c>
      <c r="AJ110" s="88">
        <v>0.52</v>
      </c>
      <c r="AK110" s="88"/>
      <c r="AL110" s="88">
        <v>4.01</v>
      </c>
      <c r="AM110" s="88" t="s">
        <v>950</v>
      </c>
      <c r="AN110" s="86">
        <f>(AO110/100)*AL110</f>
        <v>0.42104999999999998</v>
      </c>
      <c r="AO110" s="88">
        <v>10.5</v>
      </c>
      <c r="AP110" s="88">
        <v>0.52</v>
      </c>
      <c r="AQ110" s="88" t="s">
        <v>950</v>
      </c>
      <c r="AR110" s="88" t="s">
        <v>950</v>
      </c>
      <c r="AS110" s="88" t="s">
        <v>95</v>
      </c>
      <c r="AT110" s="110">
        <f t="shared" si="50"/>
        <v>1.1200000000000001</v>
      </c>
      <c r="AU110" s="110">
        <f t="shared" si="51"/>
        <v>0.49497427660435045</v>
      </c>
      <c r="AV110" s="110">
        <f t="shared" si="52"/>
        <v>0.8</v>
      </c>
      <c r="AW110" s="110">
        <f t="shared" si="53"/>
        <v>1.8101950795237043</v>
      </c>
      <c r="AX110" s="110">
        <f t="shared" si="54"/>
        <v>4</v>
      </c>
      <c r="AY110" s="110">
        <f t="shared" si="55"/>
        <v>7.2407803180948171</v>
      </c>
    </row>
    <row r="111" spans="1:51" ht="15" customHeight="1">
      <c r="A111" s="73" t="s">
        <v>400</v>
      </c>
      <c r="B111" s="73" t="s">
        <v>604</v>
      </c>
      <c r="C111" s="73" t="s">
        <v>900</v>
      </c>
      <c r="D111" s="73" t="s">
        <v>950</v>
      </c>
      <c r="E111" s="73" t="s">
        <v>950</v>
      </c>
      <c r="F111" s="73">
        <v>2003</v>
      </c>
      <c r="G111" s="73" t="s">
        <v>950</v>
      </c>
      <c r="H111" s="73"/>
      <c r="I111" s="73" t="s">
        <v>674</v>
      </c>
      <c r="J111" s="73" t="s">
        <v>94</v>
      </c>
      <c r="K111" s="73" t="s">
        <v>569</v>
      </c>
      <c r="L111" s="73" t="s">
        <v>131</v>
      </c>
      <c r="M111" s="73" t="s">
        <v>958</v>
      </c>
      <c r="N111" s="73">
        <v>1</v>
      </c>
      <c r="O111" s="73"/>
      <c r="P111" s="73"/>
      <c r="Q111" s="73"/>
      <c r="R111" s="73" t="s">
        <v>695</v>
      </c>
      <c r="S111" s="73">
        <v>3</v>
      </c>
      <c r="T111" s="73">
        <v>3</v>
      </c>
      <c r="U111" s="73" t="s">
        <v>950</v>
      </c>
      <c r="V111" s="73" t="s">
        <v>950</v>
      </c>
      <c r="W111" s="73" t="s">
        <v>950</v>
      </c>
      <c r="X111" s="73" t="s">
        <v>950</v>
      </c>
      <c r="Y111" s="73" t="s">
        <v>950</v>
      </c>
      <c r="Z111" s="73" t="s">
        <v>336</v>
      </c>
      <c r="AA111" s="73" t="s">
        <v>950</v>
      </c>
      <c r="AB111" s="73" t="s">
        <v>950</v>
      </c>
      <c r="AC111" s="73" t="s">
        <v>950</v>
      </c>
      <c r="AD111" s="73" t="s">
        <v>950</v>
      </c>
      <c r="AE111" s="73" t="s">
        <v>950</v>
      </c>
      <c r="AF111" s="73">
        <v>5.26</v>
      </c>
      <c r="AG111" s="73" t="s">
        <v>950</v>
      </c>
      <c r="AH111" s="87">
        <f>(AI111/100)*AF111</f>
        <v>0.5522999999999999</v>
      </c>
      <c r="AI111" s="73">
        <v>10.5</v>
      </c>
      <c r="AJ111" s="73">
        <v>0.52</v>
      </c>
      <c r="AK111" s="73"/>
      <c r="AL111" s="73">
        <v>4.09</v>
      </c>
      <c r="AM111" s="73" t="s">
        <v>950</v>
      </c>
      <c r="AN111" s="87">
        <f>(AO111/100)*AL111</f>
        <v>0.42944999999999994</v>
      </c>
      <c r="AO111" s="73">
        <v>10.5</v>
      </c>
      <c r="AP111" s="73">
        <v>0.52</v>
      </c>
      <c r="AQ111" s="73" t="s">
        <v>950</v>
      </c>
      <c r="AR111" s="73" t="s">
        <v>950</v>
      </c>
      <c r="AS111" s="73" t="s">
        <v>95</v>
      </c>
      <c r="AT111" s="110">
        <f t="shared" si="50"/>
        <v>1.17</v>
      </c>
      <c r="AU111" s="110">
        <f t="shared" si="51"/>
        <v>0.49470324058974985</v>
      </c>
      <c r="AV111" s="110">
        <f t="shared" si="52"/>
        <v>0.8</v>
      </c>
      <c r="AW111" s="110">
        <f t="shared" si="53"/>
        <v>1.892043397338913</v>
      </c>
      <c r="AX111" s="110">
        <f t="shared" si="54"/>
        <v>3</v>
      </c>
      <c r="AY111" s="110">
        <f t="shared" si="55"/>
        <v>5.6761301920167391</v>
      </c>
    </row>
    <row r="112" spans="1:51" ht="15" customHeight="1">
      <c r="A112" s="73" t="s">
        <v>400</v>
      </c>
      <c r="B112" s="73" t="s">
        <v>604</v>
      </c>
      <c r="C112" s="73" t="s">
        <v>6</v>
      </c>
      <c r="D112" s="73" t="s">
        <v>950</v>
      </c>
      <c r="E112" s="73" t="s">
        <v>950</v>
      </c>
      <c r="F112" s="73">
        <v>2003</v>
      </c>
      <c r="G112" s="73" t="s">
        <v>950</v>
      </c>
      <c r="H112" s="73"/>
      <c r="I112" s="73" t="s">
        <v>675</v>
      </c>
      <c r="J112" s="73" t="s">
        <v>94</v>
      </c>
      <c r="K112" s="73" t="s">
        <v>569</v>
      </c>
      <c r="L112" s="73" t="s">
        <v>131</v>
      </c>
      <c r="M112" s="73" t="s">
        <v>958</v>
      </c>
      <c r="N112" s="73">
        <v>1</v>
      </c>
      <c r="O112" s="73"/>
      <c r="P112" s="73"/>
      <c r="Q112" s="73"/>
      <c r="R112" s="73" t="s">
        <v>725</v>
      </c>
      <c r="S112" s="73">
        <v>3</v>
      </c>
      <c r="T112" s="73">
        <v>3</v>
      </c>
      <c r="U112" s="73" t="s">
        <v>950</v>
      </c>
      <c r="V112" s="73" t="s">
        <v>950</v>
      </c>
      <c r="W112" s="73" t="s">
        <v>950</v>
      </c>
      <c r="X112" s="73" t="s">
        <v>950</v>
      </c>
      <c r="Y112" s="73" t="s">
        <v>950</v>
      </c>
      <c r="Z112" s="73" t="s">
        <v>336</v>
      </c>
      <c r="AA112" s="73" t="s">
        <v>950</v>
      </c>
      <c r="AB112" s="73" t="s">
        <v>950</v>
      </c>
      <c r="AC112" s="73" t="s">
        <v>950</v>
      </c>
      <c r="AD112" s="73" t="s">
        <v>950</v>
      </c>
      <c r="AE112" s="73" t="s">
        <v>950</v>
      </c>
      <c r="AF112" s="73">
        <v>5.44</v>
      </c>
      <c r="AG112" s="73" t="s">
        <v>950</v>
      </c>
      <c r="AH112" s="87">
        <f>(AI112/100)*AF112</f>
        <v>0.57120000000000004</v>
      </c>
      <c r="AI112" s="73">
        <v>10.5</v>
      </c>
      <c r="AJ112" s="73">
        <v>0.52</v>
      </c>
      <c r="AK112" s="73"/>
      <c r="AL112" s="73">
        <v>4.13</v>
      </c>
      <c r="AM112" s="73" t="s">
        <v>950</v>
      </c>
      <c r="AN112" s="87">
        <f>(AO112/100)*AL112</f>
        <v>0.43364999999999998</v>
      </c>
      <c r="AO112" s="73">
        <v>10.5</v>
      </c>
      <c r="AP112" s="73">
        <v>0.52</v>
      </c>
      <c r="AQ112" s="73" t="s">
        <v>950</v>
      </c>
      <c r="AR112" s="73" t="s">
        <v>950</v>
      </c>
      <c r="AS112" s="73" t="s">
        <v>95</v>
      </c>
      <c r="AT112" s="110">
        <f t="shared" si="50"/>
        <v>1.3100000000000005</v>
      </c>
      <c r="AU112" s="110">
        <f t="shared" si="51"/>
        <v>0.50711032453500693</v>
      </c>
      <c r="AV112" s="110">
        <f t="shared" si="52"/>
        <v>0.8</v>
      </c>
      <c r="AW112" s="110">
        <f t="shared" si="53"/>
        <v>2.0666114438923335</v>
      </c>
      <c r="AX112" s="110">
        <f t="shared" si="54"/>
        <v>3</v>
      </c>
      <c r="AY112" s="110">
        <f t="shared" si="55"/>
        <v>6.1998343316770006</v>
      </c>
    </row>
    <row r="113" spans="1:51" ht="15" customHeight="1">
      <c r="A113" s="73" t="s">
        <v>400</v>
      </c>
      <c r="B113" s="73" t="s">
        <v>604</v>
      </c>
      <c r="C113" s="73" t="s">
        <v>62</v>
      </c>
      <c r="D113" s="73" t="s">
        <v>204</v>
      </c>
      <c r="E113" s="73" t="s">
        <v>206</v>
      </c>
      <c r="F113" s="73">
        <v>2003</v>
      </c>
      <c r="G113" s="73" t="s">
        <v>950</v>
      </c>
      <c r="H113" s="73"/>
      <c r="I113" s="73" t="s">
        <v>503</v>
      </c>
      <c r="J113" s="73" t="s">
        <v>94</v>
      </c>
      <c r="K113" s="73" t="s">
        <v>569</v>
      </c>
      <c r="L113" s="73" t="s">
        <v>131</v>
      </c>
      <c r="M113" s="73" t="s">
        <v>958</v>
      </c>
      <c r="N113" s="73">
        <v>1</v>
      </c>
      <c r="O113" s="73"/>
      <c r="P113" s="73"/>
      <c r="Q113" s="73"/>
      <c r="R113" s="73" t="s">
        <v>726</v>
      </c>
      <c r="S113" s="73">
        <v>3</v>
      </c>
      <c r="T113" s="73">
        <v>3</v>
      </c>
      <c r="U113" s="73" t="s">
        <v>950</v>
      </c>
      <c r="V113" s="73" t="s">
        <v>950</v>
      </c>
      <c r="W113" s="73" t="s">
        <v>950</v>
      </c>
      <c r="X113" s="73" t="s">
        <v>950</v>
      </c>
      <c r="Y113" s="73" t="s">
        <v>950</v>
      </c>
      <c r="Z113" s="73" t="s">
        <v>336</v>
      </c>
      <c r="AA113" s="73" t="s">
        <v>950</v>
      </c>
      <c r="AB113" s="73" t="s">
        <v>950</v>
      </c>
      <c r="AC113" s="73">
        <v>1</v>
      </c>
      <c r="AD113" s="73" t="s">
        <v>950</v>
      </c>
      <c r="AE113" s="73" t="s">
        <v>950</v>
      </c>
      <c r="AF113" s="73">
        <v>6.86</v>
      </c>
      <c r="AG113" s="73" t="s">
        <v>950</v>
      </c>
      <c r="AH113" s="87">
        <f>(AI113/100)*AF113</f>
        <v>1.43374</v>
      </c>
      <c r="AI113" s="73">
        <v>20.9</v>
      </c>
      <c r="AJ113" s="73">
        <v>1.3</v>
      </c>
      <c r="AK113" s="73"/>
      <c r="AL113" s="73">
        <v>1.75</v>
      </c>
      <c r="AM113" s="73" t="s">
        <v>950</v>
      </c>
      <c r="AN113" s="87">
        <f>(AO113/100)*AL113</f>
        <v>0.36574999999999996</v>
      </c>
      <c r="AO113" s="73">
        <v>20.9</v>
      </c>
      <c r="AP113" s="73">
        <v>1.3</v>
      </c>
      <c r="AQ113" s="73" t="s">
        <v>950</v>
      </c>
      <c r="AR113" s="73" t="s">
        <v>950</v>
      </c>
      <c r="AS113" s="73" t="s">
        <v>246</v>
      </c>
      <c r="AT113" s="110">
        <f t="shared" si="50"/>
        <v>5.1100000000000003</v>
      </c>
      <c r="AU113" s="110">
        <f t="shared" si="51"/>
        <v>1.0462751669852439</v>
      </c>
      <c r="AV113" s="110">
        <f t="shared" si="52"/>
        <v>0.8</v>
      </c>
      <c r="AW113" s="110">
        <f t="shared" si="53"/>
        <v>3.9071939476297013</v>
      </c>
      <c r="AX113" s="110">
        <f t="shared" si="54"/>
        <v>3</v>
      </c>
      <c r="AY113" s="110">
        <f t="shared" si="55"/>
        <v>11.721581842889105</v>
      </c>
    </row>
    <row r="114" spans="1:51" ht="15" customHeight="1">
      <c r="A114" s="73" t="s">
        <v>400</v>
      </c>
      <c r="B114" s="73" t="s">
        <v>604</v>
      </c>
      <c r="C114" s="73" t="s">
        <v>203</v>
      </c>
      <c r="D114" s="78" t="s">
        <v>205</v>
      </c>
      <c r="E114" s="78" t="s">
        <v>206</v>
      </c>
      <c r="F114" s="73">
        <v>2003</v>
      </c>
      <c r="G114" s="73" t="s">
        <v>950</v>
      </c>
      <c r="H114" s="73"/>
      <c r="I114" s="73" t="s">
        <v>503</v>
      </c>
      <c r="J114" s="73" t="s">
        <v>94</v>
      </c>
      <c r="K114" s="73" t="s">
        <v>569</v>
      </c>
      <c r="L114" s="73" t="s">
        <v>131</v>
      </c>
      <c r="M114" s="73" t="s">
        <v>958</v>
      </c>
      <c r="N114" s="73">
        <v>1</v>
      </c>
      <c r="O114" s="73"/>
      <c r="P114" s="73"/>
      <c r="Q114" s="73"/>
      <c r="R114" s="73" t="s">
        <v>726</v>
      </c>
      <c r="S114" s="73">
        <v>3</v>
      </c>
      <c r="T114" s="73">
        <v>3</v>
      </c>
      <c r="U114" s="73" t="s">
        <v>950</v>
      </c>
      <c r="V114" s="73" t="s">
        <v>950</v>
      </c>
      <c r="W114" s="73" t="s">
        <v>950</v>
      </c>
      <c r="X114" s="73" t="s">
        <v>950</v>
      </c>
      <c r="Y114" s="73" t="s">
        <v>950</v>
      </c>
      <c r="Z114" s="73" t="s">
        <v>336</v>
      </c>
      <c r="AA114" s="73" t="s">
        <v>950</v>
      </c>
      <c r="AB114" s="73" t="s">
        <v>950</v>
      </c>
      <c r="AC114" s="73">
        <v>2</v>
      </c>
      <c r="AD114" s="73" t="s">
        <v>950</v>
      </c>
      <c r="AE114" s="73" t="s">
        <v>950</v>
      </c>
      <c r="AF114" s="73">
        <v>5.99</v>
      </c>
      <c r="AG114" s="73" t="s">
        <v>950</v>
      </c>
      <c r="AH114" s="90">
        <f>(AI114/100)*AF114</f>
        <v>0.7966700000000001</v>
      </c>
      <c r="AI114" s="78">
        <v>13.3</v>
      </c>
      <c r="AJ114" s="78">
        <v>0.84</v>
      </c>
      <c r="AK114" s="73"/>
      <c r="AL114" s="73">
        <v>3.66</v>
      </c>
      <c r="AM114" s="73" t="s">
        <v>950</v>
      </c>
      <c r="AN114" s="90">
        <f>(AO114/100)*AL114</f>
        <v>0.48678000000000005</v>
      </c>
      <c r="AO114" s="78">
        <v>13.3</v>
      </c>
      <c r="AP114" s="78">
        <v>0.84</v>
      </c>
      <c r="AQ114" s="73" t="s">
        <v>950</v>
      </c>
      <c r="AR114" s="73" t="s">
        <v>950</v>
      </c>
      <c r="AS114" s="73" t="s">
        <v>373</v>
      </c>
      <c r="AT114" s="110">
        <f t="shared" si="50"/>
        <v>2.33</v>
      </c>
      <c r="AU114" s="110">
        <f t="shared" si="51"/>
        <v>0.66016583420380071</v>
      </c>
      <c r="AV114" s="110">
        <f t="shared" si="52"/>
        <v>0.8</v>
      </c>
      <c r="AW114" s="110">
        <f t="shared" si="53"/>
        <v>2.8235329722085591</v>
      </c>
      <c r="AX114" s="110">
        <f t="shared" si="54"/>
        <v>3</v>
      </c>
      <c r="AY114" s="110">
        <f t="shared" si="55"/>
        <v>8.4705989166256774</v>
      </c>
    </row>
    <row r="115" spans="1:51" ht="15" customHeight="1">
      <c r="A115" s="88" t="s">
        <v>525</v>
      </c>
      <c r="B115" s="88" t="s">
        <v>604</v>
      </c>
      <c r="C115" s="88" t="s">
        <v>537</v>
      </c>
      <c r="D115" s="88" t="s">
        <v>690</v>
      </c>
      <c r="E115" s="88" t="s">
        <v>691</v>
      </c>
      <c r="F115" s="88">
        <v>2002</v>
      </c>
      <c r="G115" s="88" t="s">
        <v>950</v>
      </c>
      <c r="H115" s="88"/>
      <c r="I115" s="88" t="s">
        <v>98</v>
      </c>
      <c r="J115" s="88" t="s">
        <v>99</v>
      </c>
      <c r="K115" s="88" t="s">
        <v>97</v>
      </c>
      <c r="L115" s="88" t="s">
        <v>131</v>
      </c>
      <c r="M115" s="88" t="s">
        <v>847</v>
      </c>
      <c r="N115" s="88">
        <v>1</v>
      </c>
      <c r="O115" s="88"/>
      <c r="P115" s="88"/>
      <c r="Q115" s="88"/>
      <c r="R115" s="88" t="s">
        <v>693</v>
      </c>
      <c r="S115" s="88">
        <v>4</v>
      </c>
      <c r="T115" s="88">
        <v>4</v>
      </c>
      <c r="U115" s="88" t="s">
        <v>950</v>
      </c>
      <c r="V115" s="88" t="s">
        <v>207</v>
      </c>
      <c r="W115" s="88" t="s">
        <v>207</v>
      </c>
      <c r="X115" s="88" t="s">
        <v>207</v>
      </c>
      <c r="Y115" s="88" t="s">
        <v>207</v>
      </c>
      <c r="Z115" s="88" t="s">
        <v>207</v>
      </c>
      <c r="AA115" s="88" t="s">
        <v>207</v>
      </c>
      <c r="AB115" s="88" t="s">
        <v>207</v>
      </c>
      <c r="AC115" s="88" t="s">
        <v>207</v>
      </c>
      <c r="AD115" s="88" t="s">
        <v>950</v>
      </c>
      <c r="AE115" s="88" t="s">
        <v>207</v>
      </c>
      <c r="AF115" s="88">
        <v>12.331</v>
      </c>
      <c r="AG115" s="88" t="s">
        <v>207</v>
      </c>
      <c r="AH115" s="87">
        <f>AJ115/AK115</f>
        <v>0.34424139396515085</v>
      </c>
      <c r="AI115" s="73"/>
      <c r="AJ115" s="86">
        <v>0.81</v>
      </c>
      <c r="AK115" s="86">
        <v>2.3530000000000002</v>
      </c>
      <c r="AL115" s="88">
        <v>11.939</v>
      </c>
      <c r="AM115" s="88" t="s">
        <v>207</v>
      </c>
      <c r="AN115" s="87">
        <f>AP115/AQ115</f>
        <v>0.34424139396515085</v>
      </c>
      <c r="AO115" s="88"/>
      <c r="AP115" s="86">
        <v>0.81</v>
      </c>
      <c r="AQ115" s="86">
        <v>2.3530000000000002</v>
      </c>
      <c r="AR115" s="88" t="s">
        <v>207</v>
      </c>
      <c r="AS115" s="88"/>
      <c r="AT115" s="110">
        <f t="shared" si="50"/>
        <v>0.39199999999999946</v>
      </c>
      <c r="AU115" s="110">
        <f t="shared" si="51"/>
        <v>0.34424139396515085</v>
      </c>
      <c r="AV115" s="110">
        <f t="shared" si="52"/>
        <v>0.86956521739130432</v>
      </c>
      <c r="AW115" s="110">
        <f t="shared" si="53"/>
        <v>0.99020504562533418</v>
      </c>
      <c r="AX115" s="110">
        <f t="shared" si="54"/>
        <v>3</v>
      </c>
      <c r="AY115" s="110">
        <f t="shared" si="55"/>
        <v>2.9706151368760025</v>
      </c>
    </row>
    <row r="116" spans="1:51" ht="15" customHeight="1">
      <c r="A116" s="73" t="s">
        <v>525</v>
      </c>
      <c r="B116" s="73" t="s">
        <v>604</v>
      </c>
      <c r="C116" s="73" t="s">
        <v>537</v>
      </c>
      <c r="D116" s="73" t="s">
        <v>690</v>
      </c>
      <c r="E116" s="73" t="s">
        <v>691</v>
      </c>
      <c r="F116" s="73">
        <v>2003</v>
      </c>
      <c r="G116" s="73" t="s">
        <v>950</v>
      </c>
      <c r="H116" s="73"/>
      <c r="I116" s="73" t="s">
        <v>692</v>
      </c>
      <c r="J116" s="73" t="s">
        <v>99</v>
      </c>
      <c r="K116" s="73" t="s">
        <v>97</v>
      </c>
      <c r="L116" s="73" t="s">
        <v>131</v>
      </c>
      <c r="M116" s="73" t="s">
        <v>958</v>
      </c>
      <c r="N116" s="73">
        <v>1</v>
      </c>
      <c r="O116" s="73"/>
      <c r="P116" s="73"/>
      <c r="Q116" s="73"/>
      <c r="R116" s="73" t="s">
        <v>693</v>
      </c>
      <c r="S116" s="73">
        <v>8</v>
      </c>
      <c r="T116" s="73">
        <v>8</v>
      </c>
      <c r="U116" s="73" t="s">
        <v>950</v>
      </c>
      <c r="V116" s="73" t="s">
        <v>207</v>
      </c>
      <c r="W116" s="73" t="s">
        <v>207</v>
      </c>
      <c r="X116" s="73" t="s">
        <v>207</v>
      </c>
      <c r="Y116" s="73" t="s">
        <v>207</v>
      </c>
      <c r="Z116" s="73" t="s">
        <v>207</v>
      </c>
      <c r="AA116" s="73" t="s">
        <v>207</v>
      </c>
      <c r="AB116" s="73" t="s">
        <v>207</v>
      </c>
      <c r="AC116" s="73" t="s">
        <v>207</v>
      </c>
      <c r="AD116" s="73" t="s">
        <v>950</v>
      </c>
      <c r="AE116" s="73" t="s">
        <v>207</v>
      </c>
      <c r="AF116" s="73">
        <v>11.685</v>
      </c>
      <c r="AG116" s="73" t="s">
        <v>207</v>
      </c>
      <c r="AH116" s="87">
        <f>AJ116/AK116</f>
        <v>0.30817941952506595</v>
      </c>
      <c r="AI116" s="73"/>
      <c r="AJ116" s="87">
        <v>0.58399999999999996</v>
      </c>
      <c r="AK116" s="87">
        <v>1.895</v>
      </c>
      <c r="AL116" s="73">
        <v>11.722</v>
      </c>
      <c r="AM116" s="73" t="s">
        <v>207</v>
      </c>
      <c r="AN116" s="87">
        <f>AP116/AQ116</f>
        <v>0.30817941952506595</v>
      </c>
      <c r="AO116" s="73"/>
      <c r="AP116" s="87">
        <v>0.58399999999999996</v>
      </c>
      <c r="AQ116" s="87">
        <v>1.895</v>
      </c>
      <c r="AR116" s="73" t="s">
        <v>207</v>
      </c>
      <c r="AS116" s="73"/>
      <c r="AT116" s="110">
        <f t="shared" si="50"/>
        <v>-3.6999999999999034E-2</v>
      </c>
      <c r="AU116" s="110">
        <f t="shared" si="51"/>
        <v>0.30817941952506595</v>
      </c>
      <c r="AV116" s="110">
        <f t="shared" si="52"/>
        <v>0.94545454545454544</v>
      </c>
      <c r="AW116" s="110">
        <f t="shared" si="53"/>
        <v>-0.11351120797010912</v>
      </c>
      <c r="AX116" s="110">
        <f t="shared" si="54"/>
        <v>4</v>
      </c>
      <c r="AY116" s="110">
        <f t="shared" si="55"/>
        <v>-0.45404483188043648</v>
      </c>
    </row>
    <row r="117" spans="1:51" ht="15" customHeight="1">
      <c r="A117" s="73" t="s">
        <v>525</v>
      </c>
      <c r="B117" s="73" t="s">
        <v>604</v>
      </c>
      <c r="C117" s="73" t="s">
        <v>537</v>
      </c>
      <c r="D117" s="73" t="s">
        <v>690</v>
      </c>
      <c r="E117" s="73" t="s">
        <v>691</v>
      </c>
      <c r="F117" s="73">
        <v>2004</v>
      </c>
      <c r="G117" s="73" t="s">
        <v>950</v>
      </c>
      <c r="H117" s="73"/>
      <c r="I117" s="73" t="s">
        <v>692</v>
      </c>
      <c r="J117" s="73" t="s">
        <v>99</v>
      </c>
      <c r="K117" s="73" t="s">
        <v>97</v>
      </c>
      <c r="L117" s="73" t="s">
        <v>131</v>
      </c>
      <c r="M117" s="73" t="s">
        <v>958</v>
      </c>
      <c r="N117" s="73">
        <v>1</v>
      </c>
      <c r="O117" s="73"/>
      <c r="P117" s="73"/>
      <c r="Q117" s="73"/>
      <c r="R117" s="73" t="s">
        <v>693</v>
      </c>
      <c r="S117" s="73">
        <v>8</v>
      </c>
      <c r="T117" s="73">
        <v>8</v>
      </c>
      <c r="U117" s="73" t="s">
        <v>950</v>
      </c>
      <c r="V117" s="73" t="s">
        <v>207</v>
      </c>
      <c r="W117" s="73" t="s">
        <v>207</v>
      </c>
      <c r="X117" s="73" t="s">
        <v>207</v>
      </c>
      <c r="Y117" s="73" t="s">
        <v>207</v>
      </c>
      <c r="Z117" s="73" t="s">
        <v>207</v>
      </c>
      <c r="AA117" s="73" t="s">
        <v>207</v>
      </c>
      <c r="AB117" s="73" t="s">
        <v>207</v>
      </c>
      <c r="AC117" s="73" t="s">
        <v>207</v>
      </c>
      <c r="AD117" s="73" t="s">
        <v>950</v>
      </c>
      <c r="AE117" s="73" t="s">
        <v>207</v>
      </c>
      <c r="AF117" s="73">
        <v>7.117</v>
      </c>
      <c r="AG117" s="73" t="s">
        <v>207</v>
      </c>
      <c r="AH117" s="87">
        <f>AJ117/AK117</f>
        <v>0.2844327176781003</v>
      </c>
      <c r="AI117" s="73"/>
      <c r="AJ117" s="87">
        <v>0.53900000000000003</v>
      </c>
      <c r="AK117" s="87">
        <v>1.895</v>
      </c>
      <c r="AL117" s="73">
        <v>7.0259999999999998</v>
      </c>
      <c r="AM117" s="73" t="s">
        <v>207</v>
      </c>
      <c r="AN117" s="87">
        <f>AP117/AQ117</f>
        <v>0.2844327176781003</v>
      </c>
      <c r="AO117" s="73"/>
      <c r="AP117" s="87">
        <v>0.53900000000000003</v>
      </c>
      <c r="AQ117" s="87">
        <v>1.895</v>
      </c>
      <c r="AR117" s="73" t="s">
        <v>207</v>
      </c>
      <c r="AS117" s="73"/>
      <c r="AT117" s="110">
        <f t="shared" si="50"/>
        <v>9.1000000000000192E-2</v>
      </c>
      <c r="AU117" s="110">
        <f t="shared" si="51"/>
        <v>0.2844327176781003</v>
      </c>
      <c r="AV117" s="110">
        <f t="shared" si="52"/>
        <v>0.94545454545454544</v>
      </c>
      <c r="AW117" s="110">
        <f t="shared" si="53"/>
        <v>0.30248406139315293</v>
      </c>
      <c r="AX117" s="110">
        <f t="shared" si="54"/>
        <v>8</v>
      </c>
      <c r="AY117" s="110">
        <f t="shared" si="55"/>
        <v>2.4198724911452234</v>
      </c>
    </row>
    <row r="118" spans="1:51" ht="15" customHeight="1">
      <c r="A118" s="73" t="s">
        <v>525</v>
      </c>
      <c r="B118" s="73" t="s">
        <v>604</v>
      </c>
      <c r="C118" s="73" t="s">
        <v>537</v>
      </c>
      <c r="D118" s="73" t="s">
        <v>690</v>
      </c>
      <c r="E118" s="73" t="s">
        <v>691</v>
      </c>
      <c r="F118" s="73">
        <v>2005</v>
      </c>
      <c r="G118" s="73" t="s">
        <v>950</v>
      </c>
      <c r="H118" s="73"/>
      <c r="I118" s="73" t="s">
        <v>692</v>
      </c>
      <c r="J118" s="73" t="s">
        <v>99</v>
      </c>
      <c r="K118" s="73" t="s">
        <v>97</v>
      </c>
      <c r="L118" s="73" t="s">
        <v>131</v>
      </c>
      <c r="M118" s="73" t="s">
        <v>958</v>
      </c>
      <c r="N118" s="73">
        <v>1</v>
      </c>
      <c r="O118" s="73"/>
      <c r="P118" s="73"/>
      <c r="Q118" s="73"/>
      <c r="R118" s="73" t="s">
        <v>693</v>
      </c>
      <c r="S118" s="73">
        <v>8</v>
      </c>
      <c r="T118" s="73">
        <v>8</v>
      </c>
      <c r="U118" s="73" t="s">
        <v>950</v>
      </c>
      <c r="V118" s="73" t="s">
        <v>207</v>
      </c>
      <c r="W118" s="73" t="s">
        <v>207</v>
      </c>
      <c r="X118" s="73" t="s">
        <v>207</v>
      </c>
      <c r="Y118" s="73" t="s">
        <v>207</v>
      </c>
      <c r="Z118" s="73" t="s">
        <v>207</v>
      </c>
      <c r="AA118" s="73" t="s">
        <v>207</v>
      </c>
      <c r="AB118" s="73" t="s">
        <v>207</v>
      </c>
      <c r="AC118" s="73" t="s">
        <v>207</v>
      </c>
      <c r="AD118" s="73" t="s">
        <v>950</v>
      </c>
      <c r="AE118" s="73" t="s">
        <v>207</v>
      </c>
      <c r="AF118" s="73">
        <v>9.7650000000000006</v>
      </c>
      <c r="AG118" s="73" t="s">
        <v>207</v>
      </c>
      <c r="AH118" s="87">
        <f>AJ118/AK118</f>
        <v>0.34828496042216361</v>
      </c>
      <c r="AI118" s="73"/>
      <c r="AJ118" s="87">
        <v>0.66</v>
      </c>
      <c r="AK118" s="87">
        <v>1.895</v>
      </c>
      <c r="AL118" s="73">
        <v>9.6890000000000001</v>
      </c>
      <c r="AM118" s="73" t="s">
        <v>207</v>
      </c>
      <c r="AN118" s="87">
        <f>AP118/AQ118</f>
        <v>0.34828496042216361</v>
      </c>
      <c r="AO118" s="73"/>
      <c r="AP118" s="87">
        <v>0.66</v>
      </c>
      <c r="AQ118" s="87">
        <v>1.895</v>
      </c>
      <c r="AR118" s="73" t="s">
        <v>207</v>
      </c>
      <c r="AS118" s="73"/>
      <c r="AT118" s="110">
        <f t="shared" si="50"/>
        <v>7.6000000000000512E-2</v>
      </c>
      <c r="AU118" s="110">
        <f t="shared" si="51"/>
        <v>0.34828496042216361</v>
      </c>
      <c r="AV118" s="110">
        <f t="shared" si="52"/>
        <v>0.94545454545454544</v>
      </c>
      <c r="AW118" s="110">
        <f t="shared" si="53"/>
        <v>0.2063096418732796</v>
      </c>
      <c r="AX118" s="110">
        <f t="shared" si="54"/>
        <v>8</v>
      </c>
      <c r="AY118" s="110">
        <f t="shared" si="55"/>
        <v>1.6504771349862368</v>
      </c>
    </row>
    <row r="119" spans="1:51" ht="15" customHeight="1">
      <c r="A119" s="78" t="s">
        <v>525</v>
      </c>
      <c r="B119" s="78" t="s">
        <v>604</v>
      </c>
      <c r="C119" s="78" t="s">
        <v>657</v>
      </c>
      <c r="D119" s="78" t="s">
        <v>788</v>
      </c>
      <c r="E119" s="78" t="s">
        <v>789</v>
      </c>
      <c r="F119" s="78" t="s">
        <v>416</v>
      </c>
      <c r="G119" s="78" t="s">
        <v>760</v>
      </c>
      <c r="H119" s="78"/>
      <c r="I119" s="78" t="s">
        <v>790</v>
      </c>
      <c r="J119" s="78" t="s">
        <v>99</v>
      </c>
      <c r="K119" s="73" t="s">
        <v>97</v>
      </c>
      <c r="L119" s="78" t="s">
        <v>131</v>
      </c>
      <c r="M119" s="78" t="s">
        <v>958</v>
      </c>
      <c r="N119" s="78">
        <v>1</v>
      </c>
      <c r="O119" s="78"/>
      <c r="P119" s="78"/>
      <c r="Q119" s="78"/>
      <c r="R119" s="78" t="s">
        <v>791</v>
      </c>
      <c r="S119" s="78">
        <v>8</v>
      </c>
      <c r="T119" s="78">
        <v>8</v>
      </c>
      <c r="U119" s="78" t="s">
        <v>950</v>
      </c>
      <c r="V119" s="78" t="s">
        <v>207</v>
      </c>
      <c r="W119" s="78" t="s">
        <v>207</v>
      </c>
      <c r="X119" s="78" t="s">
        <v>207</v>
      </c>
      <c r="Y119" s="78" t="s">
        <v>207</v>
      </c>
      <c r="Z119" s="78" t="s">
        <v>207</v>
      </c>
      <c r="AA119" s="78" t="s">
        <v>207</v>
      </c>
      <c r="AB119" s="78" t="s">
        <v>207</v>
      </c>
      <c r="AC119" s="78" t="s">
        <v>207</v>
      </c>
      <c r="AD119" s="78" t="s">
        <v>950</v>
      </c>
      <c r="AE119" s="78" t="s">
        <v>207</v>
      </c>
      <c r="AF119" s="78">
        <v>10.1</v>
      </c>
      <c r="AG119" s="78" t="s">
        <v>207</v>
      </c>
      <c r="AH119" s="87">
        <f>AJ119/AK119</f>
        <v>0.52770448548812665</v>
      </c>
      <c r="AI119" s="78"/>
      <c r="AJ119" s="90">
        <v>1</v>
      </c>
      <c r="AK119" s="87">
        <v>1.895</v>
      </c>
      <c r="AL119" s="78">
        <v>8.4</v>
      </c>
      <c r="AM119" s="78" t="s">
        <v>207</v>
      </c>
      <c r="AN119" s="87">
        <f>AP119/AQ119</f>
        <v>0.52770448548812665</v>
      </c>
      <c r="AO119" s="78"/>
      <c r="AP119" s="90">
        <v>1</v>
      </c>
      <c r="AQ119" s="87">
        <v>1.895</v>
      </c>
      <c r="AR119" s="78" t="s">
        <v>207</v>
      </c>
      <c r="AS119" s="78"/>
      <c r="AT119" s="110">
        <f t="shared" si="50"/>
        <v>1.6999999999999993</v>
      </c>
      <c r="AU119" s="110">
        <f t="shared" si="51"/>
        <v>0.52770448548812665</v>
      </c>
      <c r="AV119" s="110">
        <f t="shared" si="52"/>
        <v>0.94545454545454544</v>
      </c>
      <c r="AW119" s="110">
        <f t="shared" si="53"/>
        <v>3.0457818181818168</v>
      </c>
      <c r="AX119" s="110">
        <f t="shared" si="54"/>
        <v>8</v>
      </c>
      <c r="AY119" s="110">
        <f t="shared" si="55"/>
        <v>24.366254545454535</v>
      </c>
    </row>
    <row r="120" spans="1:51" ht="15" customHeight="1">
      <c r="A120" s="88" t="s">
        <v>651</v>
      </c>
      <c r="B120" s="88" t="s">
        <v>604</v>
      </c>
      <c r="C120" s="88" t="s">
        <v>455</v>
      </c>
      <c r="D120" s="88" t="s">
        <v>211</v>
      </c>
      <c r="E120" s="88" t="s">
        <v>68</v>
      </c>
      <c r="F120" s="88">
        <v>1999</v>
      </c>
      <c r="G120" s="73" t="s">
        <v>848</v>
      </c>
      <c r="H120" s="73"/>
      <c r="I120" s="88" t="s">
        <v>942</v>
      </c>
      <c r="J120" s="73" t="s">
        <v>943</v>
      </c>
      <c r="K120" s="88" t="s">
        <v>846</v>
      </c>
      <c r="L120" s="73" t="s">
        <v>131</v>
      </c>
      <c r="M120" s="73" t="s">
        <v>958</v>
      </c>
      <c r="N120" s="73">
        <v>1</v>
      </c>
      <c r="O120" s="73"/>
      <c r="P120" s="73"/>
      <c r="Q120" s="73"/>
      <c r="R120" s="88" t="s">
        <v>445</v>
      </c>
      <c r="S120" s="88">
        <v>9</v>
      </c>
      <c r="T120" s="88">
        <v>9</v>
      </c>
      <c r="U120" s="88" t="s">
        <v>627</v>
      </c>
      <c r="V120" s="88" t="s">
        <v>207</v>
      </c>
      <c r="W120" s="88" t="s">
        <v>207</v>
      </c>
      <c r="X120" s="88" t="s">
        <v>207</v>
      </c>
      <c r="Y120" s="88" t="s">
        <v>207</v>
      </c>
      <c r="Z120" s="88" t="s">
        <v>207</v>
      </c>
      <c r="AA120" s="88" t="s">
        <v>207</v>
      </c>
      <c r="AB120" s="88" t="s">
        <v>207</v>
      </c>
      <c r="AC120" s="88" t="s">
        <v>207</v>
      </c>
      <c r="AD120" s="88" t="s">
        <v>950</v>
      </c>
      <c r="AE120" s="88" t="s">
        <v>207</v>
      </c>
      <c r="AF120" s="86">
        <v>4.7727272727272698</v>
      </c>
      <c r="AG120" s="86">
        <v>6.3636363272729798E-2</v>
      </c>
      <c r="AH120" s="86">
        <f t="shared" ref="AH120:AH151" si="56">AG120*SQRT(S120)</f>
        <v>0.19090908981818938</v>
      </c>
      <c r="AI120" s="88" t="s">
        <v>978</v>
      </c>
      <c r="AJ120" s="88" t="s">
        <v>978</v>
      </c>
      <c r="AK120" s="88" t="s">
        <v>978</v>
      </c>
      <c r="AL120" s="86">
        <v>4.5818181818181802</v>
      </c>
      <c r="AM120" s="86">
        <v>0.1272727271818194</v>
      </c>
      <c r="AN120" s="86">
        <f t="shared" ref="AN120:AN151" si="57">AM120*SQRT(T120)</f>
        <v>0.38181818154545821</v>
      </c>
      <c r="AO120" s="88" t="s">
        <v>978</v>
      </c>
      <c r="AP120" s="88" t="s">
        <v>978</v>
      </c>
      <c r="AQ120" s="88" t="s">
        <v>978</v>
      </c>
      <c r="AR120" s="88" t="s">
        <v>207</v>
      </c>
      <c r="AS120" s="88" t="s">
        <v>283</v>
      </c>
      <c r="AT120" s="110">
        <f t="shared" si="50"/>
        <v>0.19090909090908958</v>
      </c>
      <c r="AU120" s="110">
        <f t="shared" si="51"/>
        <v>0.30783165898435577</v>
      </c>
      <c r="AV120" s="110">
        <f t="shared" si="52"/>
        <v>0.95238095238095233</v>
      </c>
      <c r="AW120" s="110">
        <f t="shared" si="53"/>
        <v>0.59064159423388185</v>
      </c>
      <c r="AX120" s="110">
        <f t="shared" si="54"/>
        <v>8</v>
      </c>
      <c r="AY120" s="110">
        <f t="shared" si="55"/>
        <v>4.7251327538710548</v>
      </c>
    </row>
    <row r="121" spans="1:51" ht="15" customHeight="1">
      <c r="A121" s="73" t="s">
        <v>651</v>
      </c>
      <c r="B121" s="73" t="s">
        <v>604</v>
      </c>
      <c r="C121" s="73" t="s">
        <v>455</v>
      </c>
      <c r="D121" s="73" t="s">
        <v>211</v>
      </c>
      <c r="E121" s="73" t="s">
        <v>68</v>
      </c>
      <c r="F121" s="73">
        <v>1999</v>
      </c>
      <c r="G121" s="73" t="s">
        <v>760</v>
      </c>
      <c r="H121" s="73"/>
      <c r="I121" s="73" t="s">
        <v>447</v>
      </c>
      <c r="J121" s="73" t="s">
        <v>943</v>
      </c>
      <c r="K121" s="73" t="s">
        <v>967</v>
      </c>
      <c r="L121" s="73" t="s">
        <v>131</v>
      </c>
      <c r="M121" s="73" t="s">
        <v>958</v>
      </c>
      <c r="N121" s="73">
        <v>1</v>
      </c>
      <c r="O121" s="73"/>
      <c r="P121" s="73"/>
      <c r="Q121" s="73"/>
      <c r="R121" s="73" t="s">
        <v>652</v>
      </c>
      <c r="S121" s="73">
        <v>9</v>
      </c>
      <c r="T121" s="73">
        <v>9</v>
      </c>
      <c r="U121" s="73" t="s">
        <v>627</v>
      </c>
      <c r="V121" s="73" t="s">
        <v>207</v>
      </c>
      <c r="W121" s="73" t="s">
        <v>207</v>
      </c>
      <c r="X121" s="73" t="s">
        <v>207</v>
      </c>
      <c r="Y121" s="73" t="s">
        <v>207</v>
      </c>
      <c r="Z121" s="73" t="s">
        <v>207</v>
      </c>
      <c r="AA121" s="73" t="s">
        <v>207</v>
      </c>
      <c r="AB121" s="73" t="s">
        <v>207</v>
      </c>
      <c r="AC121" s="73" t="s">
        <v>207</v>
      </c>
      <c r="AD121" s="73" t="s">
        <v>950</v>
      </c>
      <c r="AE121" s="73" t="s">
        <v>207</v>
      </c>
      <c r="AF121" s="87">
        <v>4.5181818181818096</v>
      </c>
      <c r="AG121" s="87">
        <v>0.12727272681818977</v>
      </c>
      <c r="AH121" s="87">
        <f t="shared" si="56"/>
        <v>0.38181818045456928</v>
      </c>
      <c r="AI121" s="73" t="s">
        <v>978</v>
      </c>
      <c r="AJ121" s="73" t="s">
        <v>978</v>
      </c>
      <c r="AK121" s="73" t="s">
        <v>978</v>
      </c>
      <c r="AL121" s="87">
        <v>3.8181818181818099</v>
      </c>
      <c r="AM121" s="87">
        <v>0.12727272681819021</v>
      </c>
      <c r="AN121" s="87">
        <f t="shared" si="57"/>
        <v>0.38181818045457061</v>
      </c>
      <c r="AO121" s="73" t="s">
        <v>978</v>
      </c>
      <c r="AP121" s="73" t="s">
        <v>978</v>
      </c>
      <c r="AQ121" s="73" t="s">
        <v>978</v>
      </c>
      <c r="AR121" s="73" t="s">
        <v>207</v>
      </c>
      <c r="AS121" s="73" t="s">
        <v>188</v>
      </c>
      <c r="AT121" s="110">
        <f t="shared" si="50"/>
        <v>0.69999999999999973</v>
      </c>
      <c r="AU121" s="110">
        <f t="shared" si="51"/>
        <v>0.38181818045456994</v>
      </c>
      <c r="AV121" s="110">
        <f t="shared" si="52"/>
        <v>0.95238095238095233</v>
      </c>
      <c r="AW121" s="110">
        <f t="shared" si="53"/>
        <v>1.7460317522674609</v>
      </c>
      <c r="AX121" s="110">
        <f t="shared" si="54"/>
        <v>9</v>
      </c>
      <c r="AY121" s="110">
        <f t="shared" si="55"/>
        <v>15.714285770407148</v>
      </c>
    </row>
    <row r="122" spans="1:51" ht="15" customHeight="1">
      <c r="A122" s="73" t="s">
        <v>651</v>
      </c>
      <c r="B122" s="73" t="s">
        <v>604</v>
      </c>
      <c r="C122" s="73" t="s">
        <v>455</v>
      </c>
      <c r="D122" s="73" t="s">
        <v>211</v>
      </c>
      <c r="E122" s="73" t="s">
        <v>68</v>
      </c>
      <c r="F122" s="73">
        <v>1999</v>
      </c>
      <c r="G122" s="73" t="s">
        <v>760</v>
      </c>
      <c r="H122" s="73"/>
      <c r="I122" s="73" t="s">
        <v>93</v>
      </c>
      <c r="J122" s="73" t="s">
        <v>943</v>
      </c>
      <c r="K122" s="73" t="s">
        <v>286</v>
      </c>
      <c r="L122" s="73" t="s">
        <v>131</v>
      </c>
      <c r="M122" s="73" t="s">
        <v>958</v>
      </c>
      <c r="N122" s="73">
        <v>1</v>
      </c>
      <c r="O122" s="73"/>
      <c r="P122" s="73"/>
      <c r="Q122" s="73"/>
      <c r="R122" s="73" t="s">
        <v>653</v>
      </c>
      <c r="S122" s="73">
        <v>9</v>
      </c>
      <c r="T122" s="73">
        <v>9</v>
      </c>
      <c r="U122" s="73" t="s">
        <v>627</v>
      </c>
      <c r="V122" s="73" t="s">
        <v>207</v>
      </c>
      <c r="W122" s="73" t="s">
        <v>207</v>
      </c>
      <c r="X122" s="73" t="s">
        <v>207</v>
      </c>
      <c r="Y122" s="73" t="s">
        <v>207</v>
      </c>
      <c r="Z122" s="73" t="s">
        <v>207</v>
      </c>
      <c r="AA122" s="73" t="s">
        <v>207</v>
      </c>
      <c r="AB122" s="73" t="s">
        <v>207</v>
      </c>
      <c r="AC122" s="73" t="s">
        <v>207</v>
      </c>
      <c r="AD122" s="73" t="s">
        <v>950</v>
      </c>
      <c r="AE122" s="73" t="s">
        <v>207</v>
      </c>
      <c r="AF122" s="87">
        <v>4.0090909090908999</v>
      </c>
      <c r="AG122" s="87">
        <v>0.12727272690910013</v>
      </c>
      <c r="AH122" s="87">
        <f t="shared" si="56"/>
        <v>0.38181818072730039</v>
      </c>
      <c r="AI122" s="73" t="s">
        <v>978</v>
      </c>
      <c r="AJ122" s="73" t="s">
        <v>978</v>
      </c>
      <c r="AK122" s="73" t="s">
        <v>978</v>
      </c>
      <c r="AL122" s="87">
        <v>3.8181818181818099</v>
      </c>
      <c r="AM122" s="87">
        <v>0.12727272681819021</v>
      </c>
      <c r="AN122" s="87">
        <f t="shared" si="57"/>
        <v>0.38181818045457061</v>
      </c>
      <c r="AO122" s="73" t="s">
        <v>978</v>
      </c>
      <c r="AP122" s="73" t="s">
        <v>978</v>
      </c>
      <c r="AQ122" s="73" t="s">
        <v>978</v>
      </c>
      <c r="AR122" s="73" t="s">
        <v>207</v>
      </c>
      <c r="AS122" s="73" t="s">
        <v>283</v>
      </c>
      <c r="AT122" s="110">
        <f t="shared" si="50"/>
        <v>0.19090909090909003</v>
      </c>
      <c r="AU122" s="110">
        <f t="shared" si="51"/>
        <v>0.38181818059093553</v>
      </c>
      <c r="AV122" s="110">
        <f t="shared" si="52"/>
        <v>0.95238095238095233</v>
      </c>
      <c r="AW122" s="110">
        <f t="shared" si="53"/>
        <v>0.47619047772105322</v>
      </c>
      <c r="AX122" s="110">
        <f t="shared" si="54"/>
        <v>9</v>
      </c>
      <c r="AY122" s="110">
        <f t="shared" si="55"/>
        <v>4.285714299489479</v>
      </c>
    </row>
    <row r="123" spans="1:51" ht="15" customHeight="1">
      <c r="A123" s="73" t="s">
        <v>651</v>
      </c>
      <c r="B123" s="73" t="s">
        <v>604</v>
      </c>
      <c r="C123" s="73" t="s">
        <v>455</v>
      </c>
      <c r="D123" s="73" t="s">
        <v>211</v>
      </c>
      <c r="E123" s="73" t="s">
        <v>68</v>
      </c>
      <c r="F123" s="73">
        <v>1999</v>
      </c>
      <c r="G123" s="73" t="s">
        <v>289</v>
      </c>
      <c r="H123" s="73"/>
      <c r="I123" s="73" t="s">
        <v>287</v>
      </c>
      <c r="J123" s="73" t="s">
        <v>943</v>
      </c>
      <c r="K123" s="73" t="s">
        <v>967</v>
      </c>
      <c r="L123" s="73" t="s">
        <v>131</v>
      </c>
      <c r="M123" s="73" t="s">
        <v>958</v>
      </c>
      <c r="N123" s="73">
        <v>1</v>
      </c>
      <c r="O123" s="73"/>
      <c r="P123" s="73"/>
      <c r="Q123" s="73"/>
      <c r="R123" s="73" t="s">
        <v>654</v>
      </c>
      <c r="S123" s="73">
        <v>9</v>
      </c>
      <c r="T123" s="73">
        <v>9</v>
      </c>
      <c r="U123" s="73" t="s">
        <v>627</v>
      </c>
      <c r="V123" s="73" t="s">
        <v>207</v>
      </c>
      <c r="W123" s="73" t="s">
        <v>207</v>
      </c>
      <c r="X123" s="73" t="s">
        <v>207</v>
      </c>
      <c r="Y123" s="73" t="s">
        <v>207</v>
      </c>
      <c r="Z123" s="73" t="s">
        <v>207</v>
      </c>
      <c r="AA123" s="73" t="s">
        <v>207</v>
      </c>
      <c r="AB123" s="73" t="s">
        <v>207</v>
      </c>
      <c r="AC123" s="73" t="s">
        <v>207</v>
      </c>
      <c r="AD123" s="73" t="s">
        <v>950</v>
      </c>
      <c r="AE123" s="73" t="s">
        <v>207</v>
      </c>
      <c r="AF123" s="87">
        <v>4.7727272727272698</v>
      </c>
      <c r="AG123" s="87">
        <v>0.1909090912727297</v>
      </c>
      <c r="AH123" s="87">
        <f t="shared" si="56"/>
        <v>0.57272727381818911</v>
      </c>
      <c r="AI123" s="73" t="s">
        <v>978</v>
      </c>
      <c r="AJ123" s="73" t="s">
        <v>978</v>
      </c>
      <c r="AK123" s="73" t="s">
        <v>978</v>
      </c>
      <c r="AL123" s="87">
        <v>4.7727272727272698</v>
      </c>
      <c r="AM123" s="87">
        <v>0.1909090912727297</v>
      </c>
      <c r="AN123" s="87">
        <f t="shared" si="57"/>
        <v>0.57272727381818911</v>
      </c>
      <c r="AO123" s="73" t="s">
        <v>978</v>
      </c>
      <c r="AP123" s="73" t="s">
        <v>978</v>
      </c>
      <c r="AQ123" s="73" t="s">
        <v>978</v>
      </c>
      <c r="AR123" s="73" t="s">
        <v>207</v>
      </c>
      <c r="AS123" s="73" t="s">
        <v>189</v>
      </c>
      <c r="AT123" s="110">
        <f t="shared" si="50"/>
        <v>0</v>
      </c>
      <c r="AU123" s="110">
        <f t="shared" si="51"/>
        <v>0.57272727381818911</v>
      </c>
      <c r="AV123" s="110">
        <f t="shared" si="52"/>
        <v>0.95238095238095233</v>
      </c>
      <c r="AW123" s="110">
        <f t="shared" si="53"/>
        <v>0</v>
      </c>
      <c r="AX123" s="110">
        <f t="shared" si="54"/>
        <v>9</v>
      </c>
      <c r="AY123" s="110">
        <f t="shared" si="55"/>
        <v>0</v>
      </c>
    </row>
    <row r="124" spans="1:51" ht="15" customHeight="1">
      <c r="A124" s="73" t="s">
        <v>651</v>
      </c>
      <c r="B124" s="73" t="s">
        <v>604</v>
      </c>
      <c r="C124" s="73" t="s">
        <v>455</v>
      </c>
      <c r="D124" s="73" t="s">
        <v>211</v>
      </c>
      <c r="E124" s="73" t="s">
        <v>68</v>
      </c>
      <c r="F124" s="73">
        <v>1999</v>
      </c>
      <c r="G124" s="73" t="s">
        <v>187</v>
      </c>
      <c r="H124" s="73"/>
      <c r="I124" s="73" t="s">
        <v>126</v>
      </c>
      <c r="J124" s="73" t="s">
        <v>943</v>
      </c>
      <c r="K124" s="73" t="s">
        <v>286</v>
      </c>
      <c r="L124" s="73" t="s">
        <v>131</v>
      </c>
      <c r="M124" s="73" t="s">
        <v>958</v>
      </c>
      <c r="N124" s="73">
        <v>1</v>
      </c>
      <c r="O124" s="73"/>
      <c r="P124" s="73"/>
      <c r="Q124" s="73"/>
      <c r="R124" s="73" t="s">
        <v>655</v>
      </c>
      <c r="S124" s="73">
        <v>9</v>
      </c>
      <c r="T124" s="73">
        <v>9</v>
      </c>
      <c r="U124" s="73" t="s">
        <v>627</v>
      </c>
      <c r="V124" s="73" t="s">
        <v>207</v>
      </c>
      <c r="W124" s="73" t="s">
        <v>207</v>
      </c>
      <c r="X124" s="73" t="s">
        <v>207</v>
      </c>
      <c r="Y124" s="73" t="s">
        <v>207</v>
      </c>
      <c r="Z124" s="73" t="s">
        <v>207</v>
      </c>
      <c r="AA124" s="73" t="s">
        <v>207</v>
      </c>
      <c r="AB124" s="73" t="s">
        <v>207</v>
      </c>
      <c r="AC124" s="73" t="s">
        <v>207</v>
      </c>
      <c r="AD124" s="73" t="s">
        <v>950</v>
      </c>
      <c r="AE124" s="73" t="s">
        <v>207</v>
      </c>
      <c r="AF124" s="87">
        <v>4.5818181818181802</v>
      </c>
      <c r="AG124" s="87">
        <v>0.19090909118182026</v>
      </c>
      <c r="AH124" s="87">
        <f t="shared" si="56"/>
        <v>0.57272727354546071</v>
      </c>
      <c r="AI124" s="73" t="s">
        <v>978</v>
      </c>
      <c r="AJ124" s="73" t="s">
        <v>978</v>
      </c>
      <c r="AK124" s="73" t="s">
        <v>978</v>
      </c>
      <c r="AL124" s="87">
        <v>3.94545454545454</v>
      </c>
      <c r="AM124" s="87">
        <v>0.19090909054546001</v>
      </c>
      <c r="AN124" s="87">
        <f t="shared" si="57"/>
        <v>0.57272727163638004</v>
      </c>
      <c r="AO124" s="73" t="s">
        <v>978</v>
      </c>
      <c r="AP124" s="73" t="s">
        <v>978</v>
      </c>
      <c r="AQ124" s="73" t="s">
        <v>978</v>
      </c>
      <c r="AR124" s="73" t="s">
        <v>207</v>
      </c>
      <c r="AS124" s="73" t="s">
        <v>190</v>
      </c>
      <c r="AT124" s="110">
        <f t="shared" si="50"/>
        <v>0.63636363636364024</v>
      </c>
      <c r="AU124" s="110">
        <f t="shared" si="51"/>
        <v>0.57272727259092038</v>
      </c>
      <c r="AV124" s="110">
        <f t="shared" si="52"/>
        <v>0.95238095238095233</v>
      </c>
      <c r="AW124" s="110">
        <f t="shared" si="53"/>
        <v>1.0582010584529964</v>
      </c>
      <c r="AX124" s="110">
        <f t="shared" si="54"/>
        <v>9</v>
      </c>
      <c r="AY124" s="110">
        <f t="shared" si="55"/>
        <v>9.5238095260769668</v>
      </c>
    </row>
    <row r="125" spans="1:51" ht="15" customHeight="1">
      <c r="A125" s="73" t="s">
        <v>651</v>
      </c>
      <c r="B125" s="73" t="s">
        <v>604</v>
      </c>
      <c r="C125" s="73" t="s">
        <v>455</v>
      </c>
      <c r="D125" s="73" t="s">
        <v>211</v>
      </c>
      <c r="E125" s="73" t="s">
        <v>68</v>
      </c>
      <c r="F125" s="73">
        <v>1999</v>
      </c>
      <c r="G125" s="73" t="s">
        <v>187</v>
      </c>
      <c r="H125" s="73"/>
      <c r="I125" s="73" t="s">
        <v>127</v>
      </c>
      <c r="J125" s="73" t="s">
        <v>943</v>
      </c>
      <c r="K125" s="73" t="s">
        <v>286</v>
      </c>
      <c r="L125" s="73" t="s">
        <v>131</v>
      </c>
      <c r="M125" s="73" t="s">
        <v>958</v>
      </c>
      <c r="N125" s="73">
        <v>1</v>
      </c>
      <c r="O125" s="73"/>
      <c r="P125" s="73"/>
      <c r="Q125" s="73"/>
      <c r="R125" s="73" t="s">
        <v>656</v>
      </c>
      <c r="S125" s="73">
        <v>9</v>
      </c>
      <c r="T125" s="73">
        <v>9</v>
      </c>
      <c r="U125" s="73" t="s">
        <v>627</v>
      </c>
      <c r="V125" s="73" t="s">
        <v>207</v>
      </c>
      <c r="W125" s="73" t="s">
        <v>207</v>
      </c>
      <c r="X125" s="73" t="s">
        <v>207</v>
      </c>
      <c r="Y125" s="73" t="s">
        <v>207</v>
      </c>
      <c r="Z125" s="73" t="s">
        <v>207</v>
      </c>
      <c r="AA125" s="73" t="s">
        <v>207</v>
      </c>
      <c r="AB125" s="73" t="s">
        <v>207</v>
      </c>
      <c r="AC125" s="73" t="s">
        <v>207</v>
      </c>
      <c r="AD125" s="73" t="s">
        <v>950</v>
      </c>
      <c r="AE125" s="73" t="s">
        <v>207</v>
      </c>
      <c r="AF125" s="87">
        <v>5.5363636363636299</v>
      </c>
      <c r="AG125" s="87">
        <v>0.1909090906363699</v>
      </c>
      <c r="AH125" s="87">
        <f t="shared" si="56"/>
        <v>0.57272727190910966</v>
      </c>
      <c r="AI125" s="73" t="s">
        <v>978</v>
      </c>
      <c r="AJ125" s="73" t="s">
        <v>978</v>
      </c>
      <c r="AK125" s="73" t="s">
        <v>978</v>
      </c>
      <c r="AL125" s="87">
        <v>5.47272727272727</v>
      </c>
      <c r="AM125" s="87">
        <v>0.12727272727272976</v>
      </c>
      <c r="AN125" s="87">
        <f t="shared" si="57"/>
        <v>0.38181818181818927</v>
      </c>
      <c r="AO125" s="73" t="s">
        <v>978</v>
      </c>
      <c r="AP125" s="73" t="s">
        <v>978</v>
      </c>
      <c r="AQ125" s="73" t="s">
        <v>978</v>
      </c>
      <c r="AR125" s="73" t="s">
        <v>207</v>
      </c>
      <c r="AS125" s="73" t="s">
        <v>191</v>
      </c>
      <c r="AT125" s="110">
        <f t="shared" si="50"/>
        <v>6.3636363636359938E-2</v>
      </c>
      <c r="AU125" s="110">
        <f t="shared" si="51"/>
        <v>0.48672458945249469</v>
      </c>
      <c r="AV125" s="110">
        <f t="shared" si="52"/>
        <v>0.95238095238095233</v>
      </c>
      <c r="AW125" s="110">
        <f t="shared" si="53"/>
        <v>0.1245181811632559</v>
      </c>
      <c r="AX125" s="110">
        <f t="shared" si="54"/>
        <v>9</v>
      </c>
      <c r="AY125" s="110">
        <f t="shared" si="55"/>
        <v>1.1206636304693032</v>
      </c>
    </row>
    <row r="126" spans="1:51" ht="15" customHeight="1">
      <c r="A126" s="73" t="s">
        <v>651</v>
      </c>
      <c r="B126" s="73" t="s">
        <v>604</v>
      </c>
      <c r="C126" s="73" t="s">
        <v>455</v>
      </c>
      <c r="D126" s="73" t="s">
        <v>211</v>
      </c>
      <c r="E126" s="73" t="s">
        <v>68</v>
      </c>
      <c r="F126" s="73">
        <v>1999</v>
      </c>
      <c r="G126" s="73" t="s">
        <v>849</v>
      </c>
      <c r="H126" s="73"/>
      <c r="I126" s="73" t="s">
        <v>174</v>
      </c>
      <c r="J126" s="73" t="s">
        <v>943</v>
      </c>
      <c r="K126" s="73" t="s">
        <v>286</v>
      </c>
      <c r="L126" s="73" t="s">
        <v>131</v>
      </c>
      <c r="M126" s="73" t="s">
        <v>958</v>
      </c>
      <c r="N126" s="73">
        <v>1</v>
      </c>
      <c r="O126" s="73"/>
      <c r="P126" s="73"/>
      <c r="Q126" s="73"/>
      <c r="R126" s="73" t="s">
        <v>442</v>
      </c>
      <c r="S126" s="73">
        <v>9</v>
      </c>
      <c r="T126" s="73">
        <v>9</v>
      </c>
      <c r="U126" s="73" t="s">
        <v>627</v>
      </c>
      <c r="V126" s="73" t="s">
        <v>207</v>
      </c>
      <c r="W126" s="73" t="s">
        <v>207</v>
      </c>
      <c r="X126" s="73" t="s">
        <v>207</v>
      </c>
      <c r="Y126" s="73" t="s">
        <v>207</v>
      </c>
      <c r="Z126" s="73" t="s">
        <v>207</v>
      </c>
      <c r="AA126" s="73" t="s">
        <v>207</v>
      </c>
      <c r="AB126" s="73" t="s">
        <v>207</v>
      </c>
      <c r="AC126" s="73" t="s">
        <v>207</v>
      </c>
      <c r="AD126" s="73" t="s">
        <v>950</v>
      </c>
      <c r="AE126" s="73" t="s">
        <v>207</v>
      </c>
      <c r="AF126" s="87">
        <v>4.3909090909090898</v>
      </c>
      <c r="AG126" s="87">
        <v>0.12727272709090995</v>
      </c>
      <c r="AH126" s="87">
        <f t="shared" si="56"/>
        <v>0.38181818127272982</v>
      </c>
      <c r="AI126" s="73" t="s">
        <v>978</v>
      </c>
      <c r="AJ126" s="73" t="s">
        <v>978</v>
      </c>
      <c r="AK126" s="73" t="s">
        <v>978</v>
      </c>
      <c r="AL126" s="87">
        <v>4.1363636363636296</v>
      </c>
      <c r="AM126" s="87">
        <v>6.3636363636370333E-2</v>
      </c>
      <c r="AN126" s="87">
        <f t="shared" si="57"/>
        <v>0.19090909090911101</v>
      </c>
      <c r="AO126" s="73" t="s">
        <v>978</v>
      </c>
      <c r="AP126" s="73" t="s">
        <v>978</v>
      </c>
      <c r="AQ126" s="73" t="s">
        <v>978</v>
      </c>
      <c r="AR126" s="73" t="s">
        <v>207</v>
      </c>
      <c r="AS126" s="73" t="s">
        <v>192</v>
      </c>
      <c r="AT126" s="110">
        <f t="shared" si="50"/>
        <v>0.25454545454546018</v>
      </c>
      <c r="AU126" s="110">
        <f t="shared" si="51"/>
        <v>0.30185377630746846</v>
      </c>
      <c r="AV126" s="110">
        <f t="shared" si="52"/>
        <v>0.95238095238095233</v>
      </c>
      <c r="AW126" s="110">
        <f t="shared" si="53"/>
        <v>0.80311813683362465</v>
      </c>
      <c r="AX126" s="110">
        <f t="shared" si="54"/>
        <v>9</v>
      </c>
      <c r="AY126" s="110">
        <f t="shared" si="55"/>
        <v>7.2280632315026221</v>
      </c>
    </row>
    <row r="127" spans="1:51" ht="15" customHeight="1">
      <c r="A127" s="73" t="s">
        <v>651</v>
      </c>
      <c r="B127" s="73" t="s">
        <v>604</v>
      </c>
      <c r="C127" s="73" t="s">
        <v>455</v>
      </c>
      <c r="D127" s="73" t="s">
        <v>211</v>
      </c>
      <c r="E127" s="73" t="s">
        <v>68</v>
      </c>
      <c r="F127" s="73">
        <v>1999</v>
      </c>
      <c r="G127" s="73" t="s">
        <v>285</v>
      </c>
      <c r="H127" s="73"/>
      <c r="I127" s="73" t="s">
        <v>219</v>
      </c>
      <c r="J127" s="73" t="s">
        <v>943</v>
      </c>
      <c r="K127" s="73" t="s">
        <v>125</v>
      </c>
      <c r="L127" s="73" t="s">
        <v>131</v>
      </c>
      <c r="M127" s="73" t="s">
        <v>958</v>
      </c>
      <c r="N127" s="73">
        <v>1</v>
      </c>
      <c r="O127" s="73"/>
      <c r="P127" s="73"/>
      <c r="Q127" s="73"/>
      <c r="R127" s="73" t="s">
        <v>443</v>
      </c>
      <c r="S127" s="73">
        <v>9</v>
      </c>
      <c r="T127" s="73">
        <v>9</v>
      </c>
      <c r="U127" s="73" t="s">
        <v>627</v>
      </c>
      <c r="V127" s="73" t="s">
        <v>207</v>
      </c>
      <c r="W127" s="73" t="s">
        <v>207</v>
      </c>
      <c r="X127" s="73" t="s">
        <v>207</v>
      </c>
      <c r="Y127" s="73" t="s">
        <v>207</v>
      </c>
      <c r="Z127" s="73" t="s">
        <v>207</v>
      </c>
      <c r="AA127" s="73" t="s">
        <v>207</v>
      </c>
      <c r="AB127" s="73" t="s">
        <v>207</v>
      </c>
      <c r="AC127" s="73" t="s">
        <v>207</v>
      </c>
      <c r="AD127" s="73" t="s">
        <v>950</v>
      </c>
      <c r="AE127" s="73" t="s">
        <v>207</v>
      </c>
      <c r="AF127" s="87">
        <v>6.4909090909090903</v>
      </c>
      <c r="AG127" s="87">
        <v>0.12727272709090995</v>
      </c>
      <c r="AH127" s="87">
        <f t="shared" si="56"/>
        <v>0.38181818127272982</v>
      </c>
      <c r="AI127" s="73" t="s">
        <v>978</v>
      </c>
      <c r="AJ127" s="73" t="s">
        <v>978</v>
      </c>
      <c r="AK127" s="73" t="s">
        <v>978</v>
      </c>
      <c r="AL127" s="87">
        <v>5.3454545454545395</v>
      </c>
      <c r="AM127" s="87">
        <v>0.12727272754546085</v>
      </c>
      <c r="AN127" s="87">
        <f t="shared" si="57"/>
        <v>0.38181818263638256</v>
      </c>
      <c r="AO127" s="73" t="s">
        <v>978</v>
      </c>
      <c r="AP127" s="73" t="s">
        <v>978</v>
      </c>
      <c r="AQ127" s="73" t="s">
        <v>978</v>
      </c>
      <c r="AR127" s="73" t="s">
        <v>207</v>
      </c>
      <c r="AS127" s="73" t="s">
        <v>190</v>
      </c>
      <c r="AT127" s="110">
        <f t="shared" si="50"/>
        <v>1.1454545454545508</v>
      </c>
      <c r="AU127" s="110">
        <f t="shared" si="51"/>
        <v>0.38181818195455619</v>
      </c>
      <c r="AV127" s="110">
        <f t="shared" si="52"/>
        <v>0.95238095238095233</v>
      </c>
      <c r="AW127" s="110">
        <f t="shared" si="53"/>
        <v>2.8571428561223819</v>
      </c>
      <c r="AX127" s="110">
        <f t="shared" si="54"/>
        <v>9</v>
      </c>
      <c r="AY127" s="110">
        <f t="shared" si="55"/>
        <v>25.714285705101439</v>
      </c>
    </row>
    <row r="128" spans="1:51" ht="15" customHeight="1">
      <c r="A128" s="73" t="s">
        <v>651</v>
      </c>
      <c r="B128" s="73" t="s">
        <v>604</v>
      </c>
      <c r="C128" s="73" t="s">
        <v>455</v>
      </c>
      <c r="D128" s="73" t="s">
        <v>211</v>
      </c>
      <c r="E128" s="73" t="s">
        <v>68</v>
      </c>
      <c r="F128" s="73">
        <v>1999</v>
      </c>
      <c r="G128" s="73" t="s">
        <v>284</v>
      </c>
      <c r="H128" s="73"/>
      <c r="I128" s="73" t="s">
        <v>175</v>
      </c>
      <c r="J128" s="73" t="s">
        <v>943</v>
      </c>
      <c r="K128" s="73" t="s">
        <v>286</v>
      </c>
      <c r="L128" s="73" t="s">
        <v>131</v>
      </c>
      <c r="M128" s="73" t="s">
        <v>958</v>
      </c>
      <c r="N128" s="73">
        <v>1</v>
      </c>
      <c r="O128" s="73"/>
      <c r="P128" s="73"/>
      <c r="Q128" s="73"/>
      <c r="R128" s="73" t="s">
        <v>444</v>
      </c>
      <c r="S128" s="73">
        <v>9</v>
      </c>
      <c r="T128" s="73">
        <v>9</v>
      </c>
      <c r="U128" s="73" t="s">
        <v>627</v>
      </c>
      <c r="V128" s="73" t="s">
        <v>207</v>
      </c>
      <c r="W128" s="73" t="s">
        <v>207</v>
      </c>
      <c r="X128" s="73" t="s">
        <v>207</v>
      </c>
      <c r="Y128" s="73" t="s">
        <v>207</v>
      </c>
      <c r="Z128" s="73" t="s">
        <v>207</v>
      </c>
      <c r="AA128" s="73" t="s">
        <v>207</v>
      </c>
      <c r="AB128" s="73" t="s">
        <v>207</v>
      </c>
      <c r="AC128" s="73" t="s">
        <v>207</v>
      </c>
      <c r="AD128" s="73" t="s">
        <v>950</v>
      </c>
      <c r="AE128" s="73" t="s">
        <v>207</v>
      </c>
      <c r="AF128" s="87">
        <v>5.0909090909090899</v>
      </c>
      <c r="AG128" s="87">
        <v>0.12727272709090995</v>
      </c>
      <c r="AH128" s="87">
        <f t="shared" si="56"/>
        <v>0.38181818127272982</v>
      </c>
      <c r="AI128" s="73" t="s">
        <v>978</v>
      </c>
      <c r="AJ128" s="73" t="s">
        <v>978</v>
      </c>
      <c r="AK128" s="73" t="s">
        <v>978</v>
      </c>
      <c r="AL128" s="87">
        <v>4.2636363636363601</v>
      </c>
      <c r="AM128" s="87">
        <v>0.76363636336363927</v>
      </c>
      <c r="AN128" s="87">
        <f t="shared" si="57"/>
        <v>2.2909090900909179</v>
      </c>
      <c r="AO128" s="73" t="s">
        <v>978</v>
      </c>
      <c r="AP128" s="73" t="s">
        <v>978</v>
      </c>
      <c r="AQ128" s="73" t="s">
        <v>978</v>
      </c>
      <c r="AR128" s="73" t="s">
        <v>207</v>
      </c>
      <c r="AS128" s="73" t="s">
        <v>190</v>
      </c>
      <c r="AT128" s="110">
        <f t="shared" si="50"/>
        <v>0.82727272727272982</v>
      </c>
      <c r="AU128" s="110">
        <f t="shared" si="51"/>
        <v>1.642262095801339</v>
      </c>
      <c r="AV128" s="110">
        <f t="shared" si="52"/>
        <v>0.95238095238095233</v>
      </c>
      <c r="AW128" s="110">
        <f t="shared" si="53"/>
        <v>0.47975216008035926</v>
      </c>
      <c r="AX128" s="110">
        <f t="shared" si="54"/>
        <v>9</v>
      </c>
      <c r="AY128" s="110">
        <f t="shared" si="55"/>
        <v>4.3177694407232332</v>
      </c>
    </row>
    <row r="129" spans="1:51" ht="15" customHeight="1">
      <c r="A129" s="73" t="s">
        <v>651</v>
      </c>
      <c r="B129" s="73" t="s">
        <v>604</v>
      </c>
      <c r="C129" s="73" t="s">
        <v>455</v>
      </c>
      <c r="D129" s="73" t="s">
        <v>211</v>
      </c>
      <c r="E129" s="73" t="s">
        <v>68</v>
      </c>
      <c r="F129" s="73">
        <v>1999</v>
      </c>
      <c r="G129" s="73" t="s">
        <v>848</v>
      </c>
      <c r="H129" s="73"/>
      <c r="I129" s="73" t="s">
        <v>446</v>
      </c>
      <c r="J129" s="73" t="s">
        <v>943</v>
      </c>
      <c r="K129" s="73" t="s">
        <v>286</v>
      </c>
      <c r="L129" s="73" t="s">
        <v>131</v>
      </c>
      <c r="M129" s="73" t="s">
        <v>958</v>
      </c>
      <c r="N129" s="73">
        <v>1</v>
      </c>
      <c r="O129" s="73"/>
      <c r="P129" s="73"/>
      <c r="Q129" s="73"/>
      <c r="R129" s="73" t="s">
        <v>445</v>
      </c>
      <c r="S129" s="73">
        <v>9</v>
      </c>
      <c r="T129" s="73">
        <v>9</v>
      </c>
      <c r="U129" s="73" t="s">
        <v>762</v>
      </c>
      <c r="V129" s="73" t="s">
        <v>207</v>
      </c>
      <c r="W129" s="73" t="s">
        <v>207</v>
      </c>
      <c r="X129" s="73" t="s">
        <v>207</v>
      </c>
      <c r="Y129" s="73" t="s">
        <v>207</v>
      </c>
      <c r="Z129" s="73" t="s">
        <v>207</v>
      </c>
      <c r="AA129" s="73" t="s">
        <v>207</v>
      </c>
      <c r="AB129" s="73" t="s">
        <v>207</v>
      </c>
      <c r="AC129" s="73" t="s">
        <v>207</v>
      </c>
      <c r="AD129" s="73" t="s">
        <v>950</v>
      </c>
      <c r="AE129" s="73" t="s">
        <v>207</v>
      </c>
      <c r="AF129" s="87">
        <v>5.0272727269999997</v>
      </c>
      <c r="AG129" s="87">
        <v>0.44545454572727067</v>
      </c>
      <c r="AH129" s="87">
        <f t="shared" si="56"/>
        <v>1.3363636371818119</v>
      </c>
      <c r="AI129" s="73" t="s">
        <v>978</v>
      </c>
      <c r="AJ129" s="73" t="s">
        <v>978</v>
      </c>
      <c r="AK129" s="73" t="s">
        <v>978</v>
      </c>
      <c r="AL129" s="87">
        <v>5.3454545449999999</v>
      </c>
      <c r="AM129" s="87">
        <v>0.19090909136363007</v>
      </c>
      <c r="AN129" s="87">
        <f t="shared" si="57"/>
        <v>0.57272727409089019</v>
      </c>
      <c r="AO129" s="73" t="s">
        <v>978</v>
      </c>
      <c r="AP129" s="73" t="s">
        <v>978</v>
      </c>
      <c r="AQ129" s="73" t="s">
        <v>978</v>
      </c>
      <c r="AR129" s="73" t="s">
        <v>207</v>
      </c>
      <c r="AS129" s="73" t="s">
        <v>192</v>
      </c>
      <c r="AT129" s="110">
        <f t="shared" si="50"/>
        <v>-0.31818181800000023</v>
      </c>
      <c r="AU129" s="110">
        <f t="shared" si="51"/>
        <v>1.028076918637264</v>
      </c>
      <c r="AV129" s="110">
        <f t="shared" si="52"/>
        <v>0.95238095238095233</v>
      </c>
      <c r="AW129" s="110">
        <f t="shared" si="53"/>
        <v>-0.2947545046131525</v>
      </c>
      <c r="AX129" s="110">
        <f t="shared" si="54"/>
        <v>9</v>
      </c>
      <c r="AY129" s="110">
        <f t="shared" si="55"/>
        <v>-2.6527905415183723</v>
      </c>
    </row>
    <row r="130" spans="1:51" ht="15" customHeight="1">
      <c r="A130" s="73" t="s">
        <v>651</v>
      </c>
      <c r="B130" s="73" t="s">
        <v>604</v>
      </c>
      <c r="C130" s="73" t="s">
        <v>455</v>
      </c>
      <c r="D130" s="73" t="s">
        <v>211</v>
      </c>
      <c r="E130" s="73" t="s">
        <v>68</v>
      </c>
      <c r="F130" s="73">
        <v>1999</v>
      </c>
      <c r="G130" s="73" t="s">
        <v>760</v>
      </c>
      <c r="H130" s="73"/>
      <c r="I130" s="73" t="s">
        <v>447</v>
      </c>
      <c r="J130" s="73" t="s">
        <v>943</v>
      </c>
      <c r="K130" s="73" t="s">
        <v>967</v>
      </c>
      <c r="L130" s="73" t="s">
        <v>131</v>
      </c>
      <c r="M130" s="73" t="s">
        <v>958</v>
      </c>
      <c r="N130" s="73">
        <v>1</v>
      </c>
      <c r="O130" s="73"/>
      <c r="P130" s="73"/>
      <c r="Q130" s="73"/>
      <c r="R130" s="73" t="s">
        <v>652</v>
      </c>
      <c r="S130" s="73">
        <v>9</v>
      </c>
      <c r="T130" s="73">
        <v>9</v>
      </c>
      <c r="U130" s="73" t="s">
        <v>762</v>
      </c>
      <c r="V130" s="73" t="s">
        <v>207</v>
      </c>
      <c r="W130" s="73" t="s">
        <v>207</v>
      </c>
      <c r="X130" s="73" t="s">
        <v>207</v>
      </c>
      <c r="Y130" s="73" t="s">
        <v>207</v>
      </c>
      <c r="Z130" s="73" t="s">
        <v>207</v>
      </c>
      <c r="AA130" s="73" t="s">
        <v>207</v>
      </c>
      <c r="AB130" s="73" t="s">
        <v>207</v>
      </c>
      <c r="AC130" s="73" t="s">
        <v>207</v>
      </c>
      <c r="AD130" s="73" t="s">
        <v>950</v>
      </c>
      <c r="AE130" s="73" t="s">
        <v>207</v>
      </c>
      <c r="AF130" s="87">
        <v>4.9636363640000001</v>
      </c>
      <c r="AG130" s="87">
        <v>0.25454545418180985</v>
      </c>
      <c r="AH130" s="87">
        <f t="shared" si="56"/>
        <v>0.76363636254542955</v>
      </c>
      <c r="AI130" s="73" t="s">
        <v>978</v>
      </c>
      <c r="AJ130" s="73" t="s">
        <v>978</v>
      </c>
      <c r="AK130" s="73" t="s">
        <v>978</v>
      </c>
      <c r="AL130" s="87">
        <v>4.7090909089999995</v>
      </c>
      <c r="AM130" s="87">
        <v>0.3818181819090905</v>
      </c>
      <c r="AN130" s="87">
        <f t="shared" si="57"/>
        <v>1.1454545457272716</v>
      </c>
      <c r="AO130" s="73" t="s">
        <v>978</v>
      </c>
      <c r="AP130" s="73" t="s">
        <v>978</v>
      </c>
      <c r="AQ130" s="73" t="s">
        <v>978</v>
      </c>
      <c r="AR130" s="73" t="s">
        <v>207</v>
      </c>
      <c r="AS130" s="73" t="s">
        <v>283</v>
      </c>
      <c r="AT130" s="110">
        <f t="shared" si="50"/>
        <v>0.25454545500000059</v>
      </c>
      <c r="AU130" s="110">
        <f t="shared" si="51"/>
        <v>0.97344917960027189</v>
      </c>
      <c r="AV130" s="110">
        <f t="shared" si="52"/>
        <v>0.95238095238095233</v>
      </c>
      <c r="AW130" s="110">
        <f t="shared" si="53"/>
        <v>0.24903636259336129</v>
      </c>
      <c r="AX130" s="110">
        <f t="shared" si="54"/>
        <v>9</v>
      </c>
      <c r="AY130" s="110">
        <f t="shared" si="55"/>
        <v>2.2413272633402515</v>
      </c>
    </row>
    <row r="131" spans="1:51" ht="15" customHeight="1">
      <c r="A131" s="73" t="s">
        <v>651</v>
      </c>
      <c r="B131" s="73" t="s">
        <v>604</v>
      </c>
      <c r="C131" s="73" t="s">
        <v>455</v>
      </c>
      <c r="D131" s="73" t="s">
        <v>211</v>
      </c>
      <c r="E131" s="73" t="s">
        <v>68</v>
      </c>
      <c r="F131" s="73">
        <v>1999</v>
      </c>
      <c r="G131" s="73" t="s">
        <v>760</v>
      </c>
      <c r="H131" s="73"/>
      <c r="I131" s="73" t="s">
        <v>93</v>
      </c>
      <c r="J131" s="73" t="s">
        <v>943</v>
      </c>
      <c r="K131" s="73" t="s">
        <v>286</v>
      </c>
      <c r="L131" s="73" t="s">
        <v>131</v>
      </c>
      <c r="M131" s="73" t="s">
        <v>958</v>
      </c>
      <c r="N131" s="73">
        <v>1</v>
      </c>
      <c r="O131" s="73"/>
      <c r="P131" s="73"/>
      <c r="Q131" s="73"/>
      <c r="R131" s="73" t="s">
        <v>653</v>
      </c>
      <c r="S131" s="73">
        <v>9</v>
      </c>
      <c r="T131" s="73">
        <v>9</v>
      </c>
      <c r="U131" s="73" t="s">
        <v>762</v>
      </c>
      <c r="V131" s="73" t="s">
        <v>207</v>
      </c>
      <c r="W131" s="73" t="s">
        <v>207</v>
      </c>
      <c r="X131" s="73" t="s">
        <v>207</v>
      </c>
      <c r="Y131" s="73" t="s">
        <v>207</v>
      </c>
      <c r="Z131" s="73" t="s">
        <v>207</v>
      </c>
      <c r="AA131" s="73" t="s">
        <v>207</v>
      </c>
      <c r="AB131" s="73" t="s">
        <v>207</v>
      </c>
      <c r="AC131" s="73" t="s">
        <v>207</v>
      </c>
      <c r="AD131" s="73" t="s">
        <v>950</v>
      </c>
      <c r="AE131" s="73" t="s">
        <v>207</v>
      </c>
      <c r="AF131" s="87">
        <v>4.7727272730000001</v>
      </c>
      <c r="AG131" s="87">
        <v>0.19090909063635991</v>
      </c>
      <c r="AH131" s="87">
        <f t="shared" si="56"/>
        <v>0.57272727190907968</v>
      </c>
      <c r="AI131" s="73" t="s">
        <v>978</v>
      </c>
      <c r="AJ131" s="73" t="s">
        <v>978</v>
      </c>
      <c r="AK131" s="73" t="s">
        <v>978</v>
      </c>
      <c r="AL131" s="87">
        <v>4.3909090910000002</v>
      </c>
      <c r="AM131" s="87">
        <v>0.19090909081817972</v>
      </c>
      <c r="AN131" s="87">
        <f t="shared" si="57"/>
        <v>0.57272727245453914</v>
      </c>
      <c r="AO131" s="73" t="s">
        <v>978</v>
      </c>
      <c r="AP131" s="73" t="s">
        <v>978</v>
      </c>
      <c r="AQ131" s="73" t="s">
        <v>978</v>
      </c>
      <c r="AR131" s="73" t="s">
        <v>207</v>
      </c>
      <c r="AS131" s="73" t="s">
        <v>283</v>
      </c>
      <c r="AT131" s="110">
        <f t="shared" si="50"/>
        <v>0.38181818199999995</v>
      </c>
      <c r="AU131" s="110">
        <f t="shared" si="51"/>
        <v>0.57272727218180941</v>
      </c>
      <c r="AV131" s="110">
        <f t="shared" si="52"/>
        <v>0.95238095238095233</v>
      </c>
      <c r="AW131" s="110">
        <f t="shared" si="53"/>
        <v>0.63492063582767411</v>
      </c>
      <c r="AX131" s="110">
        <f t="shared" si="54"/>
        <v>9</v>
      </c>
      <c r="AY131" s="110">
        <f t="shared" si="55"/>
        <v>5.7142857224490671</v>
      </c>
    </row>
    <row r="132" spans="1:51" ht="15" customHeight="1">
      <c r="A132" s="73" t="s">
        <v>651</v>
      </c>
      <c r="B132" s="73" t="s">
        <v>604</v>
      </c>
      <c r="C132" s="73" t="s">
        <v>455</v>
      </c>
      <c r="D132" s="73" t="s">
        <v>211</v>
      </c>
      <c r="E132" s="73" t="s">
        <v>68</v>
      </c>
      <c r="F132" s="73">
        <v>1999</v>
      </c>
      <c r="G132" s="73" t="s">
        <v>289</v>
      </c>
      <c r="H132" s="73"/>
      <c r="I132" s="73" t="s">
        <v>287</v>
      </c>
      <c r="J132" s="73" t="s">
        <v>943</v>
      </c>
      <c r="K132" s="73" t="s">
        <v>967</v>
      </c>
      <c r="L132" s="73" t="s">
        <v>131</v>
      </c>
      <c r="M132" s="73" t="s">
        <v>958</v>
      </c>
      <c r="N132" s="73">
        <v>1</v>
      </c>
      <c r="O132" s="73"/>
      <c r="P132" s="73"/>
      <c r="Q132" s="73"/>
      <c r="R132" s="73" t="s">
        <v>654</v>
      </c>
      <c r="S132" s="73">
        <v>9</v>
      </c>
      <c r="T132" s="73">
        <v>9</v>
      </c>
      <c r="U132" s="73" t="s">
        <v>762</v>
      </c>
      <c r="V132" s="73" t="s">
        <v>207</v>
      </c>
      <c r="W132" s="73" t="s">
        <v>207</v>
      </c>
      <c r="X132" s="73" t="s">
        <v>207</v>
      </c>
      <c r="Y132" s="73" t="s">
        <v>207</v>
      </c>
      <c r="Z132" s="73" t="s">
        <v>207</v>
      </c>
      <c r="AA132" s="73" t="s">
        <v>207</v>
      </c>
      <c r="AB132" s="73" t="s">
        <v>207</v>
      </c>
      <c r="AC132" s="73" t="s">
        <v>207</v>
      </c>
      <c r="AD132" s="73" t="s">
        <v>950</v>
      </c>
      <c r="AE132" s="73" t="s">
        <v>207</v>
      </c>
      <c r="AF132" s="87">
        <v>5.6</v>
      </c>
      <c r="AG132" s="87">
        <v>0.25454545454545041</v>
      </c>
      <c r="AH132" s="87">
        <f t="shared" si="56"/>
        <v>0.76363636363635123</v>
      </c>
      <c r="AI132" s="73" t="s">
        <v>978</v>
      </c>
      <c r="AJ132" s="73" t="s">
        <v>978</v>
      </c>
      <c r="AK132" s="73" t="s">
        <v>978</v>
      </c>
      <c r="AL132" s="87">
        <v>5.1545454550000001</v>
      </c>
      <c r="AM132" s="87">
        <v>0.25454545409089951</v>
      </c>
      <c r="AN132" s="87">
        <f t="shared" si="57"/>
        <v>0.76363636227269849</v>
      </c>
      <c r="AO132" s="73" t="s">
        <v>978</v>
      </c>
      <c r="AP132" s="73" t="s">
        <v>978</v>
      </c>
      <c r="AQ132" s="73" t="s">
        <v>978</v>
      </c>
      <c r="AR132" s="73" t="s">
        <v>207</v>
      </c>
      <c r="AS132" s="73" t="s">
        <v>190</v>
      </c>
      <c r="AT132" s="110">
        <f t="shared" si="50"/>
        <v>0.44545454499999959</v>
      </c>
      <c r="AU132" s="110">
        <f t="shared" si="51"/>
        <v>0.76363636295452486</v>
      </c>
      <c r="AV132" s="110">
        <f t="shared" si="52"/>
        <v>0.95238095238095233</v>
      </c>
      <c r="AW132" s="110">
        <f t="shared" si="53"/>
        <v>0.55555555548470836</v>
      </c>
      <c r="AX132" s="110">
        <f t="shared" si="54"/>
        <v>9</v>
      </c>
      <c r="AY132" s="110">
        <f t="shared" si="55"/>
        <v>4.9999999993623749</v>
      </c>
    </row>
    <row r="133" spans="1:51" ht="15" customHeight="1">
      <c r="A133" s="73" t="s">
        <v>651</v>
      </c>
      <c r="B133" s="73" t="s">
        <v>604</v>
      </c>
      <c r="C133" s="73" t="s">
        <v>455</v>
      </c>
      <c r="D133" s="73" t="s">
        <v>211</v>
      </c>
      <c r="E133" s="73" t="s">
        <v>68</v>
      </c>
      <c r="F133" s="73">
        <v>1999</v>
      </c>
      <c r="G133" s="73" t="s">
        <v>187</v>
      </c>
      <c r="H133" s="73"/>
      <c r="I133" s="73" t="s">
        <v>624</v>
      </c>
      <c r="J133" s="73" t="s">
        <v>943</v>
      </c>
      <c r="K133" s="73" t="s">
        <v>286</v>
      </c>
      <c r="L133" s="73" t="s">
        <v>131</v>
      </c>
      <c r="M133" s="73" t="s">
        <v>958</v>
      </c>
      <c r="N133" s="73">
        <v>1</v>
      </c>
      <c r="O133" s="73"/>
      <c r="P133" s="73"/>
      <c r="Q133" s="73"/>
      <c r="R133" s="73" t="s">
        <v>655</v>
      </c>
      <c r="S133" s="73">
        <v>9</v>
      </c>
      <c r="T133" s="73">
        <v>9</v>
      </c>
      <c r="U133" s="73" t="s">
        <v>762</v>
      </c>
      <c r="V133" s="73" t="s">
        <v>207</v>
      </c>
      <c r="W133" s="73" t="s">
        <v>207</v>
      </c>
      <c r="X133" s="73" t="s">
        <v>207</v>
      </c>
      <c r="Y133" s="73" t="s">
        <v>207</v>
      </c>
      <c r="Z133" s="73" t="s">
        <v>207</v>
      </c>
      <c r="AA133" s="73" t="s">
        <v>207</v>
      </c>
      <c r="AB133" s="73" t="s">
        <v>207</v>
      </c>
      <c r="AC133" s="73" t="s">
        <v>207</v>
      </c>
      <c r="AD133" s="73" t="s">
        <v>950</v>
      </c>
      <c r="AE133" s="73" t="s">
        <v>207</v>
      </c>
      <c r="AF133" s="87">
        <v>5.0272727269999997</v>
      </c>
      <c r="AG133" s="87">
        <v>6.3636363909090499E-2</v>
      </c>
      <c r="AH133" s="87">
        <f t="shared" si="56"/>
        <v>0.1909090917272715</v>
      </c>
      <c r="AI133" s="73" t="s">
        <v>978</v>
      </c>
      <c r="AJ133" s="73" t="s">
        <v>978</v>
      </c>
      <c r="AK133" s="73" t="s">
        <v>978</v>
      </c>
      <c r="AL133" s="87">
        <v>5.1545454550000001</v>
      </c>
      <c r="AM133" s="87">
        <v>0.12727272681817975</v>
      </c>
      <c r="AN133" s="87">
        <f t="shared" si="57"/>
        <v>0.38181818045453925</v>
      </c>
      <c r="AO133" s="73" t="s">
        <v>978</v>
      </c>
      <c r="AP133" s="73" t="s">
        <v>978</v>
      </c>
      <c r="AQ133" s="73" t="s">
        <v>978</v>
      </c>
      <c r="AR133" s="73" t="s">
        <v>207</v>
      </c>
      <c r="AS133" s="73" t="s">
        <v>193</v>
      </c>
      <c r="AT133" s="110">
        <f t="shared" si="50"/>
        <v>-0.12727272800000033</v>
      </c>
      <c r="AU133" s="110">
        <f t="shared" si="51"/>
        <v>0.30185377604872438</v>
      </c>
      <c r="AV133" s="110">
        <f t="shared" si="52"/>
        <v>0.95238095238095233</v>
      </c>
      <c r="AW133" s="110">
        <f t="shared" si="53"/>
        <v>-0.40155907105563754</v>
      </c>
      <c r="AX133" s="110">
        <f t="shared" si="54"/>
        <v>9</v>
      </c>
      <c r="AY133" s="110">
        <f t="shared" si="55"/>
        <v>-3.6140316395007379</v>
      </c>
    </row>
    <row r="134" spans="1:51" ht="15" customHeight="1">
      <c r="A134" s="73" t="s">
        <v>651</v>
      </c>
      <c r="B134" s="73" t="s">
        <v>604</v>
      </c>
      <c r="C134" s="73" t="s">
        <v>455</v>
      </c>
      <c r="D134" s="73" t="s">
        <v>211</v>
      </c>
      <c r="E134" s="73" t="s">
        <v>68</v>
      </c>
      <c r="F134" s="73">
        <v>1999</v>
      </c>
      <c r="G134" s="73" t="s">
        <v>187</v>
      </c>
      <c r="H134" s="73"/>
      <c r="I134" s="73" t="s">
        <v>625</v>
      </c>
      <c r="J134" s="73" t="s">
        <v>943</v>
      </c>
      <c r="K134" s="73" t="s">
        <v>286</v>
      </c>
      <c r="L134" s="73" t="s">
        <v>131</v>
      </c>
      <c r="M134" s="73" t="s">
        <v>958</v>
      </c>
      <c r="N134" s="73">
        <v>1</v>
      </c>
      <c r="O134" s="73"/>
      <c r="P134" s="73"/>
      <c r="Q134" s="73"/>
      <c r="R134" s="73" t="s">
        <v>656</v>
      </c>
      <c r="S134" s="73">
        <v>9</v>
      </c>
      <c r="T134" s="73">
        <v>9</v>
      </c>
      <c r="U134" s="73" t="s">
        <v>762</v>
      </c>
      <c r="V134" s="73" t="s">
        <v>207</v>
      </c>
      <c r="W134" s="73" t="s">
        <v>207</v>
      </c>
      <c r="X134" s="73" t="s">
        <v>207</v>
      </c>
      <c r="Y134" s="73" t="s">
        <v>207</v>
      </c>
      <c r="Z134" s="73" t="s">
        <v>207</v>
      </c>
      <c r="AA134" s="73" t="s">
        <v>207</v>
      </c>
      <c r="AB134" s="73" t="s">
        <v>207</v>
      </c>
      <c r="AC134" s="73" t="s">
        <v>207</v>
      </c>
      <c r="AD134" s="73" t="s">
        <v>950</v>
      </c>
      <c r="AE134" s="73" t="s">
        <v>207</v>
      </c>
      <c r="AF134" s="87">
        <v>5.8545454550000002</v>
      </c>
      <c r="AG134" s="87">
        <v>0.12727272681817975</v>
      </c>
      <c r="AH134" s="87">
        <f t="shared" si="56"/>
        <v>0.38181818045453925</v>
      </c>
      <c r="AI134" s="73" t="s">
        <v>978</v>
      </c>
      <c r="AJ134" s="73" t="s">
        <v>978</v>
      </c>
      <c r="AK134" s="73" t="s">
        <v>978</v>
      </c>
      <c r="AL134" s="87">
        <v>5.9181818179999999</v>
      </c>
      <c r="AM134" s="87">
        <v>0.12727272745453957</v>
      </c>
      <c r="AN134" s="87">
        <f t="shared" si="57"/>
        <v>0.38181818236361875</v>
      </c>
      <c r="AO134" s="73" t="s">
        <v>978</v>
      </c>
      <c r="AP134" s="73" t="s">
        <v>978</v>
      </c>
      <c r="AQ134" s="73" t="s">
        <v>978</v>
      </c>
      <c r="AR134" s="73" t="s">
        <v>207</v>
      </c>
      <c r="AS134" s="73" t="s">
        <v>193</v>
      </c>
      <c r="AT134" s="110">
        <f t="shared" si="50"/>
        <v>-6.3636362999999641E-2</v>
      </c>
      <c r="AU134" s="110">
        <f t="shared" si="51"/>
        <v>0.38181818140907897</v>
      </c>
      <c r="AV134" s="110">
        <f t="shared" si="52"/>
        <v>0.95238095238095233</v>
      </c>
      <c r="AW134" s="110">
        <f t="shared" si="53"/>
        <v>-0.15873015731292922</v>
      </c>
      <c r="AX134" s="110">
        <f t="shared" si="54"/>
        <v>9</v>
      </c>
      <c r="AY134" s="110">
        <f t="shared" si="55"/>
        <v>-1.4285714158163629</v>
      </c>
    </row>
    <row r="135" spans="1:51" ht="15" customHeight="1">
      <c r="A135" s="73" t="s">
        <v>651</v>
      </c>
      <c r="B135" s="73" t="s">
        <v>604</v>
      </c>
      <c r="C135" s="73" t="s">
        <v>455</v>
      </c>
      <c r="D135" s="73" t="s">
        <v>211</v>
      </c>
      <c r="E135" s="73" t="s">
        <v>68</v>
      </c>
      <c r="F135" s="73">
        <v>1999</v>
      </c>
      <c r="G135" s="73" t="s">
        <v>849</v>
      </c>
      <c r="H135" s="73"/>
      <c r="I135" s="73" t="s">
        <v>626</v>
      </c>
      <c r="J135" s="73" t="s">
        <v>943</v>
      </c>
      <c r="K135" s="73" t="s">
        <v>286</v>
      </c>
      <c r="L135" s="73" t="s">
        <v>131</v>
      </c>
      <c r="M135" s="73" t="s">
        <v>958</v>
      </c>
      <c r="N135" s="73">
        <v>1</v>
      </c>
      <c r="O135" s="73"/>
      <c r="P135" s="73"/>
      <c r="Q135" s="73"/>
      <c r="R135" s="73" t="s">
        <v>442</v>
      </c>
      <c r="S135" s="73">
        <v>9</v>
      </c>
      <c r="T135" s="73">
        <v>9</v>
      </c>
      <c r="U135" s="73" t="s">
        <v>762</v>
      </c>
      <c r="V135" s="73" t="s">
        <v>207</v>
      </c>
      <c r="W135" s="73" t="s">
        <v>207</v>
      </c>
      <c r="X135" s="73" t="s">
        <v>207</v>
      </c>
      <c r="Y135" s="73" t="s">
        <v>207</v>
      </c>
      <c r="Z135" s="73" t="s">
        <v>207</v>
      </c>
      <c r="AA135" s="73" t="s">
        <v>207</v>
      </c>
      <c r="AB135" s="73" t="s">
        <v>207</v>
      </c>
      <c r="AC135" s="73" t="s">
        <v>207</v>
      </c>
      <c r="AD135" s="73" t="s">
        <v>950</v>
      </c>
      <c r="AE135" s="73" t="s">
        <v>207</v>
      </c>
      <c r="AF135" s="87">
        <v>5.3454545449999999</v>
      </c>
      <c r="AG135" s="87">
        <v>0.19090909136363007</v>
      </c>
      <c r="AH135" s="87">
        <f t="shared" si="56"/>
        <v>0.57272727409089019</v>
      </c>
      <c r="AI135" s="73" t="s">
        <v>978</v>
      </c>
      <c r="AJ135" s="73" t="s">
        <v>978</v>
      </c>
      <c r="AK135" s="73" t="s">
        <v>978</v>
      </c>
      <c r="AL135" s="87">
        <v>5.3454545449999999</v>
      </c>
      <c r="AM135" s="87">
        <v>0.19090909136363007</v>
      </c>
      <c r="AN135" s="87">
        <f t="shared" si="57"/>
        <v>0.57272727409089019</v>
      </c>
      <c r="AO135" s="73" t="s">
        <v>978</v>
      </c>
      <c r="AP135" s="73" t="s">
        <v>978</v>
      </c>
      <c r="AQ135" s="73" t="s">
        <v>978</v>
      </c>
      <c r="AR135" s="73" t="s">
        <v>207</v>
      </c>
      <c r="AS135" s="73" t="s">
        <v>193</v>
      </c>
      <c r="AT135" s="110">
        <f t="shared" si="50"/>
        <v>0</v>
      </c>
      <c r="AU135" s="110">
        <f t="shared" si="51"/>
        <v>0.57272727409089019</v>
      </c>
      <c r="AV135" s="110">
        <f t="shared" si="52"/>
        <v>0.95238095238095233</v>
      </c>
      <c r="AW135" s="110">
        <f t="shared" si="53"/>
        <v>0</v>
      </c>
      <c r="AX135" s="110">
        <f t="shared" si="54"/>
        <v>9</v>
      </c>
      <c r="AY135" s="110">
        <f t="shared" si="55"/>
        <v>0</v>
      </c>
    </row>
    <row r="136" spans="1:51" ht="15" customHeight="1">
      <c r="A136" s="73" t="s">
        <v>651</v>
      </c>
      <c r="B136" s="73" t="s">
        <v>604</v>
      </c>
      <c r="C136" s="73" t="s">
        <v>455</v>
      </c>
      <c r="D136" s="73" t="s">
        <v>211</v>
      </c>
      <c r="E136" s="73" t="s">
        <v>68</v>
      </c>
      <c r="F136" s="73">
        <v>1999</v>
      </c>
      <c r="G136" s="73" t="s">
        <v>285</v>
      </c>
      <c r="H136" s="73"/>
      <c r="I136" s="73" t="s">
        <v>219</v>
      </c>
      <c r="J136" s="73" t="s">
        <v>943</v>
      </c>
      <c r="K136" s="73" t="s">
        <v>125</v>
      </c>
      <c r="L136" s="73" t="s">
        <v>131</v>
      </c>
      <c r="M136" s="73" t="s">
        <v>958</v>
      </c>
      <c r="N136" s="73">
        <v>1</v>
      </c>
      <c r="O136" s="73"/>
      <c r="P136" s="73"/>
      <c r="Q136" s="73"/>
      <c r="R136" s="73" t="s">
        <v>443</v>
      </c>
      <c r="S136" s="73">
        <v>9</v>
      </c>
      <c r="T136" s="73">
        <v>9</v>
      </c>
      <c r="U136" s="73" t="s">
        <v>762</v>
      </c>
      <c r="V136" s="73" t="s">
        <v>207</v>
      </c>
      <c r="W136" s="73" t="s">
        <v>207</v>
      </c>
      <c r="X136" s="73" t="s">
        <v>207</v>
      </c>
      <c r="Y136" s="73" t="s">
        <v>207</v>
      </c>
      <c r="Z136" s="73" t="s">
        <v>207</v>
      </c>
      <c r="AA136" s="73" t="s">
        <v>207</v>
      </c>
      <c r="AB136" s="73" t="s">
        <v>207</v>
      </c>
      <c r="AC136" s="73" t="s">
        <v>207</v>
      </c>
      <c r="AD136" s="73" t="s">
        <v>950</v>
      </c>
      <c r="AE136" s="73" t="s">
        <v>207</v>
      </c>
      <c r="AF136" s="87">
        <v>5.8545454550000002</v>
      </c>
      <c r="AG136" s="87">
        <v>6.363636318180943E-2</v>
      </c>
      <c r="AH136" s="87">
        <f t="shared" si="56"/>
        <v>0.19090908954542829</v>
      </c>
      <c r="AI136" s="73" t="s">
        <v>978</v>
      </c>
      <c r="AJ136" s="73" t="s">
        <v>978</v>
      </c>
      <c r="AK136" s="73" t="s">
        <v>978</v>
      </c>
      <c r="AL136" s="87">
        <v>5.4090909089999997</v>
      </c>
      <c r="AM136" s="87">
        <v>0.25454545463636075</v>
      </c>
      <c r="AN136" s="87">
        <f t="shared" si="57"/>
        <v>0.76363636390908218</v>
      </c>
      <c r="AO136" s="73" t="s">
        <v>978</v>
      </c>
      <c r="AP136" s="73" t="s">
        <v>978</v>
      </c>
      <c r="AQ136" s="73" t="s">
        <v>978</v>
      </c>
      <c r="AR136" s="73" t="s">
        <v>207</v>
      </c>
      <c r="AS136" s="73" t="s">
        <v>193</v>
      </c>
      <c r="AT136" s="110">
        <f t="shared" si="50"/>
        <v>0.44545454600000056</v>
      </c>
      <c r="AU136" s="110">
        <f t="shared" si="51"/>
        <v>0.55659086264299584</v>
      </c>
      <c r="AV136" s="110">
        <f t="shared" si="52"/>
        <v>0.95238095238095233</v>
      </c>
      <c r="AW136" s="110">
        <f t="shared" si="53"/>
        <v>0.76221593496409867</v>
      </c>
      <c r="AX136" s="110">
        <f t="shared" si="54"/>
        <v>9</v>
      </c>
      <c r="AY136" s="110">
        <f t="shared" si="55"/>
        <v>6.8599434146768878</v>
      </c>
    </row>
    <row r="137" spans="1:51" ht="15" customHeight="1">
      <c r="A137" s="73" t="s">
        <v>651</v>
      </c>
      <c r="B137" s="73" t="s">
        <v>604</v>
      </c>
      <c r="C137" s="73" t="s">
        <v>455</v>
      </c>
      <c r="D137" s="73" t="s">
        <v>211</v>
      </c>
      <c r="E137" s="73" t="s">
        <v>68</v>
      </c>
      <c r="F137" s="73">
        <v>1999</v>
      </c>
      <c r="G137" s="73" t="s">
        <v>284</v>
      </c>
      <c r="H137" s="73"/>
      <c r="I137" s="73" t="s">
        <v>175</v>
      </c>
      <c r="J137" s="73" t="s">
        <v>943</v>
      </c>
      <c r="K137" s="73" t="s">
        <v>286</v>
      </c>
      <c r="L137" s="73" t="s">
        <v>131</v>
      </c>
      <c r="M137" s="73" t="s">
        <v>958</v>
      </c>
      <c r="N137" s="73">
        <v>1</v>
      </c>
      <c r="O137" s="73"/>
      <c r="P137" s="73"/>
      <c r="Q137" s="73"/>
      <c r="R137" s="73" t="s">
        <v>444</v>
      </c>
      <c r="S137" s="73">
        <v>9</v>
      </c>
      <c r="T137" s="73">
        <v>9</v>
      </c>
      <c r="U137" s="73" t="s">
        <v>762</v>
      </c>
      <c r="V137" s="73" t="s">
        <v>207</v>
      </c>
      <c r="W137" s="73" t="s">
        <v>207</v>
      </c>
      <c r="X137" s="73" t="s">
        <v>207</v>
      </c>
      <c r="Y137" s="73" t="s">
        <v>207</v>
      </c>
      <c r="Z137" s="73" t="s">
        <v>207</v>
      </c>
      <c r="AA137" s="73" t="s">
        <v>207</v>
      </c>
      <c r="AB137" s="73" t="s">
        <v>207</v>
      </c>
      <c r="AC137" s="73" t="s">
        <v>207</v>
      </c>
      <c r="AD137" s="73" t="s">
        <v>950</v>
      </c>
      <c r="AE137" s="73" t="s">
        <v>207</v>
      </c>
      <c r="AF137" s="87">
        <v>5.6</v>
      </c>
      <c r="AG137" s="87">
        <v>0.12727272727271974</v>
      </c>
      <c r="AH137" s="87">
        <f t="shared" si="56"/>
        <v>0.38181818181815919</v>
      </c>
      <c r="AI137" s="73" t="s">
        <v>978</v>
      </c>
      <c r="AJ137" s="73" t="s">
        <v>978</v>
      </c>
      <c r="AK137" s="73" t="s">
        <v>978</v>
      </c>
      <c r="AL137" s="87">
        <v>5.1545454550000001</v>
      </c>
      <c r="AM137" s="87">
        <v>0.38181818136362927</v>
      </c>
      <c r="AN137" s="87">
        <f t="shared" si="57"/>
        <v>1.1454545440908879</v>
      </c>
      <c r="AO137" s="73" t="s">
        <v>978</v>
      </c>
      <c r="AP137" s="73" t="s">
        <v>978</v>
      </c>
      <c r="AQ137" s="73" t="s">
        <v>978</v>
      </c>
      <c r="AR137" s="73" t="s">
        <v>207</v>
      </c>
      <c r="AS137" s="73" t="s">
        <v>188</v>
      </c>
      <c r="AT137" s="110">
        <f t="shared" si="50"/>
        <v>0.44545454499999959</v>
      </c>
      <c r="AU137" s="110">
        <f t="shared" si="51"/>
        <v>0.85377140867605439</v>
      </c>
      <c r="AV137" s="110">
        <f t="shared" si="52"/>
        <v>0.95238095238095233</v>
      </c>
      <c r="AW137" s="110">
        <f t="shared" si="53"/>
        <v>0.49690399502531624</v>
      </c>
      <c r="AX137" s="110">
        <f t="shared" si="54"/>
        <v>9</v>
      </c>
      <c r="AY137" s="110">
        <f t="shared" si="55"/>
        <v>4.4721359552278459</v>
      </c>
    </row>
    <row r="138" spans="1:51" ht="15" customHeight="1">
      <c r="A138" s="73" t="s">
        <v>651</v>
      </c>
      <c r="B138" s="73" t="s">
        <v>604</v>
      </c>
      <c r="C138" s="73" t="s">
        <v>195</v>
      </c>
      <c r="D138" s="73" t="s">
        <v>196</v>
      </c>
      <c r="E138" s="73" t="s">
        <v>361</v>
      </c>
      <c r="F138" s="73">
        <v>2000</v>
      </c>
      <c r="G138" s="73" t="s">
        <v>848</v>
      </c>
      <c r="H138" s="73"/>
      <c r="I138" s="73" t="s">
        <v>446</v>
      </c>
      <c r="J138" s="73" t="s">
        <v>943</v>
      </c>
      <c r="K138" s="73" t="s">
        <v>286</v>
      </c>
      <c r="L138" s="73" t="s">
        <v>131</v>
      </c>
      <c r="M138" s="73" t="s">
        <v>958</v>
      </c>
      <c r="N138" s="73">
        <v>1</v>
      </c>
      <c r="O138" s="73"/>
      <c r="P138" s="73"/>
      <c r="Q138" s="73"/>
      <c r="R138" s="73" t="s">
        <v>445</v>
      </c>
      <c r="S138" s="73">
        <v>9</v>
      </c>
      <c r="T138" s="73">
        <v>9</v>
      </c>
      <c r="U138" s="73" t="s">
        <v>627</v>
      </c>
      <c r="V138" s="73" t="s">
        <v>207</v>
      </c>
      <c r="W138" s="73" t="s">
        <v>207</v>
      </c>
      <c r="X138" s="73" t="s">
        <v>207</v>
      </c>
      <c r="Y138" s="73" t="s">
        <v>207</v>
      </c>
      <c r="Z138" s="73" t="s">
        <v>207</v>
      </c>
      <c r="AA138" s="73" t="s">
        <v>207</v>
      </c>
      <c r="AB138" s="73" t="s">
        <v>207</v>
      </c>
      <c r="AC138" s="73" t="s">
        <v>207</v>
      </c>
      <c r="AD138" s="73" t="s">
        <v>950</v>
      </c>
      <c r="AE138" s="73" t="s">
        <v>207</v>
      </c>
      <c r="AF138" s="87">
        <v>5.8144857829961802</v>
      </c>
      <c r="AG138" s="87">
        <v>0.22399207808741994</v>
      </c>
      <c r="AH138" s="87">
        <f t="shared" si="56"/>
        <v>0.67197623426225983</v>
      </c>
      <c r="AI138" s="73" t="s">
        <v>978</v>
      </c>
      <c r="AJ138" s="73" t="s">
        <v>978</v>
      </c>
      <c r="AK138" s="73" t="s">
        <v>978</v>
      </c>
      <c r="AL138" s="87">
        <v>4.8426651577309308</v>
      </c>
      <c r="AM138" s="87">
        <v>0.26162116282359965</v>
      </c>
      <c r="AN138" s="87">
        <f t="shared" si="57"/>
        <v>0.78486348847079901</v>
      </c>
      <c r="AO138" s="73" t="s">
        <v>978</v>
      </c>
      <c r="AP138" s="73" t="s">
        <v>978</v>
      </c>
      <c r="AQ138" s="73" t="s">
        <v>978</v>
      </c>
      <c r="AR138" s="73" t="s">
        <v>207</v>
      </c>
      <c r="AS138" s="73" t="s">
        <v>64</v>
      </c>
      <c r="AT138" s="110">
        <f t="shared" si="50"/>
        <v>0.97182062526524948</v>
      </c>
      <c r="AU138" s="110">
        <f t="shared" si="51"/>
        <v>0.73060343379559867</v>
      </c>
      <c r="AV138" s="110">
        <f t="shared" si="52"/>
        <v>0.95238095238095233</v>
      </c>
      <c r="AW138" s="110">
        <f t="shared" si="53"/>
        <v>1.2668205620458535</v>
      </c>
      <c r="AX138" s="110">
        <f t="shared" si="54"/>
        <v>9</v>
      </c>
      <c r="AY138" s="110">
        <f t="shared" si="55"/>
        <v>11.401385058412682</v>
      </c>
    </row>
    <row r="139" spans="1:51" ht="15" customHeight="1">
      <c r="A139" s="73" t="s">
        <v>651</v>
      </c>
      <c r="B139" s="73" t="s">
        <v>604</v>
      </c>
      <c r="C139" s="73" t="s">
        <v>195</v>
      </c>
      <c r="D139" s="73" t="s">
        <v>196</v>
      </c>
      <c r="E139" s="73" t="s">
        <v>361</v>
      </c>
      <c r="F139" s="73">
        <v>2000</v>
      </c>
      <c r="G139" s="73" t="s">
        <v>760</v>
      </c>
      <c r="H139" s="73"/>
      <c r="I139" s="73" t="s">
        <v>447</v>
      </c>
      <c r="J139" s="73" t="s">
        <v>943</v>
      </c>
      <c r="K139" s="73" t="s">
        <v>967</v>
      </c>
      <c r="L139" s="73" t="s">
        <v>131</v>
      </c>
      <c r="M139" s="73" t="s">
        <v>958</v>
      </c>
      <c r="N139" s="73">
        <v>1</v>
      </c>
      <c r="O139" s="73"/>
      <c r="P139" s="73"/>
      <c r="Q139" s="73"/>
      <c r="R139" s="73" t="s">
        <v>652</v>
      </c>
      <c r="S139" s="73">
        <v>9</v>
      </c>
      <c r="T139" s="73">
        <v>9</v>
      </c>
      <c r="U139" s="73" t="s">
        <v>627</v>
      </c>
      <c r="V139" s="73" t="s">
        <v>207</v>
      </c>
      <c r="W139" s="73" t="s">
        <v>207</v>
      </c>
      <c r="X139" s="73" t="s">
        <v>207</v>
      </c>
      <c r="Y139" s="73" t="s">
        <v>207</v>
      </c>
      <c r="Z139" s="73" t="s">
        <v>207</v>
      </c>
      <c r="AA139" s="73" t="s">
        <v>207</v>
      </c>
      <c r="AB139" s="73" t="s">
        <v>207</v>
      </c>
      <c r="AC139" s="73" t="s">
        <v>207</v>
      </c>
      <c r="AD139" s="73" t="s">
        <v>950</v>
      </c>
      <c r="AE139" s="73" t="s">
        <v>207</v>
      </c>
      <c r="AF139" s="87">
        <v>5.6758523129155405</v>
      </c>
      <c r="AG139" s="87">
        <v>0.22438817371623007</v>
      </c>
      <c r="AH139" s="87">
        <f t="shared" si="56"/>
        <v>0.67316452114869019</v>
      </c>
      <c r="AI139" s="73" t="s">
        <v>978</v>
      </c>
      <c r="AJ139" s="73" t="s">
        <v>978</v>
      </c>
      <c r="AK139" s="73" t="s">
        <v>978</v>
      </c>
      <c r="AL139" s="87">
        <v>4.9652567548450994</v>
      </c>
      <c r="AM139" s="87">
        <v>0.18675908898005036</v>
      </c>
      <c r="AN139" s="87">
        <f t="shared" si="57"/>
        <v>0.56027726694015112</v>
      </c>
      <c r="AO139" s="73" t="s">
        <v>978</v>
      </c>
      <c r="AP139" s="73" t="s">
        <v>978</v>
      </c>
      <c r="AQ139" s="73" t="s">
        <v>978</v>
      </c>
      <c r="AR139" s="73" t="s">
        <v>207</v>
      </c>
      <c r="AS139" s="73" t="s">
        <v>64</v>
      </c>
      <c r="AT139" s="110">
        <f t="shared" si="50"/>
        <v>0.71059555807044106</v>
      </c>
      <c r="AU139" s="110">
        <f t="shared" si="51"/>
        <v>0.61929842902403309</v>
      </c>
      <c r="AV139" s="110">
        <f t="shared" si="52"/>
        <v>0.95238095238095233</v>
      </c>
      <c r="AW139" s="110">
        <f t="shared" si="53"/>
        <v>1.0927811901918099</v>
      </c>
      <c r="AX139" s="110">
        <f t="shared" si="54"/>
        <v>9</v>
      </c>
      <c r="AY139" s="110">
        <f t="shared" si="55"/>
        <v>9.8350307117262883</v>
      </c>
    </row>
    <row r="140" spans="1:51" ht="15" customHeight="1">
      <c r="A140" s="73" t="s">
        <v>651</v>
      </c>
      <c r="B140" s="73" t="s">
        <v>604</v>
      </c>
      <c r="C140" s="73" t="s">
        <v>195</v>
      </c>
      <c r="D140" s="73" t="s">
        <v>196</v>
      </c>
      <c r="E140" s="73" t="s">
        <v>361</v>
      </c>
      <c r="F140" s="73">
        <v>2000</v>
      </c>
      <c r="G140" s="73" t="s">
        <v>760</v>
      </c>
      <c r="H140" s="73"/>
      <c r="I140" s="73" t="s">
        <v>93</v>
      </c>
      <c r="J140" s="73" t="s">
        <v>943</v>
      </c>
      <c r="K140" s="73" t="s">
        <v>286</v>
      </c>
      <c r="L140" s="73" t="s">
        <v>131</v>
      </c>
      <c r="M140" s="73" t="s">
        <v>958</v>
      </c>
      <c r="N140" s="73">
        <v>1</v>
      </c>
      <c r="O140" s="73"/>
      <c r="P140" s="73"/>
      <c r="Q140" s="73"/>
      <c r="R140" s="73" t="s">
        <v>653</v>
      </c>
      <c r="S140" s="73">
        <v>9</v>
      </c>
      <c r="T140" s="73">
        <v>9</v>
      </c>
      <c r="U140" s="73" t="s">
        <v>627</v>
      </c>
      <c r="V140" s="73" t="s">
        <v>207</v>
      </c>
      <c r="W140" s="73" t="s">
        <v>207</v>
      </c>
      <c r="X140" s="73" t="s">
        <v>207</v>
      </c>
      <c r="Y140" s="73" t="s">
        <v>207</v>
      </c>
      <c r="Z140" s="73" t="s">
        <v>207</v>
      </c>
      <c r="AA140" s="73" t="s">
        <v>207</v>
      </c>
      <c r="AB140" s="73" t="s">
        <v>207</v>
      </c>
      <c r="AC140" s="73" t="s">
        <v>207</v>
      </c>
      <c r="AD140" s="73" t="s">
        <v>950</v>
      </c>
      <c r="AE140" s="73" t="s">
        <v>207</v>
      </c>
      <c r="AF140" s="87">
        <v>5.3880888385910302</v>
      </c>
      <c r="AG140" s="87">
        <v>0.11308530202290967</v>
      </c>
      <c r="AH140" s="87">
        <f t="shared" si="56"/>
        <v>0.33925590606872902</v>
      </c>
      <c r="AI140" s="73" t="s">
        <v>978</v>
      </c>
      <c r="AJ140" s="73" t="s">
        <v>978</v>
      </c>
      <c r="AK140" s="73" t="s">
        <v>978</v>
      </c>
      <c r="AL140" s="87">
        <v>4.3425944263686498</v>
      </c>
      <c r="AM140" s="87">
        <v>0.29905219974537067</v>
      </c>
      <c r="AN140" s="87">
        <f t="shared" si="57"/>
        <v>0.89715659923611202</v>
      </c>
      <c r="AO140" s="73" t="s">
        <v>978</v>
      </c>
      <c r="AP140" s="73" t="s">
        <v>978</v>
      </c>
      <c r="AQ140" s="73" t="s">
        <v>978</v>
      </c>
      <c r="AR140" s="73" t="s">
        <v>207</v>
      </c>
      <c r="AS140" s="73" t="s">
        <v>64</v>
      </c>
      <c r="AT140" s="110">
        <f t="shared" si="50"/>
        <v>1.0454944122223804</v>
      </c>
      <c r="AU140" s="110">
        <f t="shared" si="51"/>
        <v>0.67822729720773556</v>
      </c>
      <c r="AV140" s="110">
        <f t="shared" si="52"/>
        <v>0.95238095238095233</v>
      </c>
      <c r="AW140" s="110">
        <f t="shared" si="53"/>
        <v>1.4681051147906494</v>
      </c>
      <c r="AX140" s="110">
        <f t="shared" si="54"/>
        <v>9</v>
      </c>
      <c r="AY140" s="110">
        <f t="shared" si="55"/>
        <v>13.212946033115845</v>
      </c>
    </row>
    <row r="141" spans="1:51" ht="15" customHeight="1">
      <c r="A141" s="73" t="s">
        <v>651</v>
      </c>
      <c r="B141" s="73" t="s">
        <v>604</v>
      </c>
      <c r="C141" s="73" t="s">
        <v>195</v>
      </c>
      <c r="D141" s="73" t="s">
        <v>196</v>
      </c>
      <c r="E141" s="73" t="s">
        <v>361</v>
      </c>
      <c r="F141" s="73">
        <v>2000</v>
      </c>
      <c r="G141" s="73" t="s">
        <v>289</v>
      </c>
      <c r="H141" s="73"/>
      <c r="I141" s="73" t="s">
        <v>287</v>
      </c>
      <c r="J141" s="73" t="s">
        <v>943</v>
      </c>
      <c r="K141" s="73" t="s">
        <v>967</v>
      </c>
      <c r="L141" s="73" t="s">
        <v>131</v>
      </c>
      <c r="M141" s="73" t="s">
        <v>958</v>
      </c>
      <c r="N141" s="73">
        <v>1</v>
      </c>
      <c r="O141" s="73"/>
      <c r="P141" s="73"/>
      <c r="Q141" s="73"/>
      <c r="R141" s="73" t="s">
        <v>654</v>
      </c>
      <c r="S141" s="73">
        <v>9</v>
      </c>
      <c r="T141" s="73">
        <v>9</v>
      </c>
      <c r="U141" s="73" t="s">
        <v>627</v>
      </c>
      <c r="V141" s="73" t="s">
        <v>207</v>
      </c>
      <c r="W141" s="73" t="s">
        <v>207</v>
      </c>
      <c r="X141" s="73" t="s">
        <v>207</v>
      </c>
      <c r="Y141" s="73" t="s">
        <v>207</v>
      </c>
      <c r="Z141" s="73" t="s">
        <v>207</v>
      </c>
      <c r="AA141" s="73" t="s">
        <v>207</v>
      </c>
      <c r="AB141" s="73" t="s">
        <v>207</v>
      </c>
      <c r="AC141" s="73" t="s">
        <v>207</v>
      </c>
      <c r="AD141" s="73" t="s">
        <v>950</v>
      </c>
      <c r="AE141" s="73" t="s">
        <v>207</v>
      </c>
      <c r="AF141" s="87">
        <v>5.4358183618616502</v>
      </c>
      <c r="AG141" s="87">
        <v>0.29905219974535974</v>
      </c>
      <c r="AH141" s="87">
        <f t="shared" si="56"/>
        <v>0.89715659923607927</v>
      </c>
      <c r="AI141" s="73" t="s">
        <v>978</v>
      </c>
      <c r="AJ141" s="73" t="s">
        <v>978</v>
      </c>
      <c r="AK141" s="73" t="s">
        <v>978</v>
      </c>
      <c r="AL141" s="87">
        <v>4.2784269345027495</v>
      </c>
      <c r="AM141" s="87">
        <v>0.18735323242326013</v>
      </c>
      <c r="AN141" s="87">
        <f t="shared" si="57"/>
        <v>0.56205969726978044</v>
      </c>
      <c r="AO141" s="73" t="s">
        <v>978</v>
      </c>
      <c r="AP141" s="73" t="s">
        <v>978</v>
      </c>
      <c r="AQ141" s="73" t="s">
        <v>978</v>
      </c>
      <c r="AR141" s="73" t="s">
        <v>207</v>
      </c>
      <c r="AS141" s="73" t="s">
        <v>63</v>
      </c>
      <c r="AT141" s="110">
        <f t="shared" si="50"/>
        <v>1.1573914273589008</v>
      </c>
      <c r="AU141" s="110">
        <f t="shared" si="51"/>
        <v>0.74859904717006021</v>
      </c>
      <c r="AV141" s="110">
        <f t="shared" si="52"/>
        <v>0.95238095238095233</v>
      </c>
      <c r="AW141" s="110">
        <f t="shared" si="53"/>
        <v>1.4724538510068581</v>
      </c>
      <c r="AX141" s="110">
        <f t="shared" si="54"/>
        <v>9</v>
      </c>
      <c r="AY141" s="110">
        <f t="shared" si="55"/>
        <v>13.252084659061723</v>
      </c>
    </row>
    <row r="142" spans="1:51" ht="15" customHeight="1">
      <c r="A142" s="73" t="s">
        <v>651</v>
      </c>
      <c r="B142" s="73" t="s">
        <v>604</v>
      </c>
      <c r="C142" s="73" t="s">
        <v>195</v>
      </c>
      <c r="D142" s="73" t="s">
        <v>196</v>
      </c>
      <c r="E142" s="73" t="s">
        <v>361</v>
      </c>
      <c r="F142" s="73">
        <v>2000</v>
      </c>
      <c r="G142" s="73" t="s">
        <v>187</v>
      </c>
      <c r="H142" s="73"/>
      <c r="I142" s="73" t="s">
        <v>624</v>
      </c>
      <c r="J142" s="73" t="s">
        <v>943</v>
      </c>
      <c r="K142" s="73" t="s">
        <v>286</v>
      </c>
      <c r="L142" s="73" t="s">
        <v>131</v>
      </c>
      <c r="M142" s="73" t="s">
        <v>958</v>
      </c>
      <c r="N142" s="73">
        <v>1</v>
      </c>
      <c r="O142" s="73"/>
      <c r="P142" s="73"/>
      <c r="Q142" s="73"/>
      <c r="R142" s="73" t="s">
        <v>655</v>
      </c>
      <c r="S142" s="73">
        <v>9</v>
      </c>
      <c r="T142" s="73">
        <v>9</v>
      </c>
      <c r="U142" s="73" t="s">
        <v>627</v>
      </c>
      <c r="V142" s="73" t="s">
        <v>207</v>
      </c>
      <c r="W142" s="73" t="s">
        <v>207</v>
      </c>
      <c r="X142" s="73" t="s">
        <v>207</v>
      </c>
      <c r="Y142" s="73" t="s">
        <v>207</v>
      </c>
      <c r="Z142" s="73" t="s">
        <v>207</v>
      </c>
      <c r="AA142" s="73" t="s">
        <v>207</v>
      </c>
      <c r="AB142" s="73" t="s">
        <v>207</v>
      </c>
      <c r="AC142" s="73" t="s">
        <v>207</v>
      </c>
      <c r="AD142" s="73" t="s">
        <v>950</v>
      </c>
      <c r="AE142" s="73" t="s">
        <v>207</v>
      </c>
      <c r="AF142" s="87">
        <v>5.5950488046399798</v>
      </c>
      <c r="AG142" s="87">
        <v>0.18755128023765064</v>
      </c>
      <c r="AH142" s="87">
        <f t="shared" si="56"/>
        <v>0.56265384071295188</v>
      </c>
      <c r="AI142" s="73" t="s">
        <v>978</v>
      </c>
      <c r="AJ142" s="73" t="s">
        <v>978</v>
      </c>
      <c r="AK142" s="73" t="s">
        <v>978</v>
      </c>
      <c r="AL142" s="87">
        <v>4.0657235818361803</v>
      </c>
      <c r="AM142" s="87">
        <v>0.14992219550148958</v>
      </c>
      <c r="AN142" s="87">
        <f t="shared" si="57"/>
        <v>0.44976658650446877</v>
      </c>
      <c r="AO142" s="73" t="s">
        <v>978</v>
      </c>
      <c r="AP142" s="73" t="s">
        <v>978</v>
      </c>
      <c r="AQ142" s="73" t="s">
        <v>978</v>
      </c>
      <c r="AR142" s="73" t="s">
        <v>207</v>
      </c>
      <c r="AS142" s="73" t="s">
        <v>63</v>
      </c>
      <c r="AT142" s="110">
        <f t="shared" si="50"/>
        <v>1.5293252228037995</v>
      </c>
      <c r="AU142" s="110">
        <f t="shared" si="51"/>
        <v>0.50934729154326397</v>
      </c>
      <c r="AV142" s="110">
        <f t="shared" si="52"/>
        <v>0.95238095238095233</v>
      </c>
      <c r="AW142" s="110">
        <f t="shared" si="53"/>
        <v>2.8595424700916063</v>
      </c>
      <c r="AX142" s="110">
        <f t="shared" si="54"/>
        <v>9</v>
      </c>
      <c r="AY142" s="110">
        <f t="shared" si="55"/>
        <v>25.735882230824458</v>
      </c>
    </row>
    <row r="143" spans="1:51" ht="15" customHeight="1">
      <c r="A143" s="73" t="s">
        <v>651</v>
      </c>
      <c r="B143" s="73" t="s">
        <v>604</v>
      </c>
      <c r="C143" s="73" t="s">
        <v>195</v>
      </c>
      <c r="D143" s="73" t="s">
        <v>196</v>
      </c>
      <c r="E143" s="73" t="s">
        <v>361</v>
      </c>
      <c r="F143" s="73">
        <v>2000</v>
      </c>
      <c r="G143" s="73" t="s">
        <v>187</v>
      </c>
      <c r="H143" s="73"/>
      <c r="I143" s="73" t="s">
        <v>625</v>
      </c>
      <c r="J143" s="73" t="s">
        <v>943</v>
      </c>
      <c r="K143" s="73" t="s">
        <v>286</v>
      </c>
      <c r="L143" s="73" t="s">
        <v>131</v>
      </c>
      <c r="M143" s="73" t="s">
        <v>958</v>
      </c>
      <c r="N143" s="73">
        <v>1</v>
      </c>
      <c r="O143" s="73"/>
      <c r="P143" s="73"/>
      <c r="Q143" s="73"/>
      <c r="R143" s="73" t="s">
        <v>656</v>
      </c>
      <c r="S143" s="73">
        <v>9</v>
      </c>
      <c r="T143" s="73">
        <v>9</v>
      </c>
      <c r="U143" s="73" t="s">
        <v>627</v>
      </c>
      <c r="V143" s="73" t="s">
        <v>207</v>
      </c>
      <c r="W143" s="73" t="s">
        <v>207</v>
      </c>
      <c r="X143" s="73" t="s">
        <v>207</v>
      </c>
      <c r="Y143" s="73" t="s">
        <v>207</v>
      </c>
      <c r="Z143" s="73" t="s">
        <v>207</v>
      </c>
      <c r="AA143" s="73" t="s">
        <v>207</v>
      </c>
      <c r="AB143" s="73" t="s">
        <v>207</v>
      </c>
      <c r="AC143" s="73" t="s">
        <v>207</v>
      </c>
      <c r="AD143" s="73" t="s">
        <v>950</v>
      </c>
      <c r="AE143" s="73" t="s">
        <v>207</v>
      </c>
      <c r="AF143" s="87">
        <v>5.4193803932663709</v>
      </c>
      <c r="AG143" s="87">
        <v>0.26181921063799929</v>
      </c>
      <c r="AH143" s="87">
        <f t="shared" si="56"/>
        <v>0.78545763191399787</v>
      </c>
      <c r="AI143" s="73" t="s">
        <v>978</v>
      </c>
      <c r="AJ143" s="73" t="s">
        <v>978</v>
      </c>
      <c r="AK143" s="73" t="s">
        <v>978</v>
      </c>
      <c r="AL143" s="87">
        <v>3.9639270052341198</v>
      </c>
      <c r="AM143" s="87">
        <v>0.29984439100297006</v>
      </c>
      <c r="AN143" s="87">
        <f t="shared" si="57"/>
        <v>0.89953317300891023</v>
      </c>
      <c r="AO143" s="73" t="s">
        <v>978</v>
      </c>
      <c r="AP143" s="73" t="s">
        <v>978</v>
      </c>
      <c r="AQ143" s="73" t="s">
        <v>978</v>
      </c>
      <c r="AR143" s="73" t="s">
        <v>207</v>
      </c>
      <c r="AS143" s="73" t="s">
        <v>63</v>
      </c>
      <c r="AT143" s="110">
        <f t="shared" si="50"/>
        <v>1.4554533880322511</v>
      </c>
      <c r="AU143" s="110">
        <f t="shared" si="51"/>
        <v>0.84442395183800401</v>
      </c>
      <c r="AV143" s="110">
        <f t="shared" si="52"/>
        <v>0.95238095238095233</v>
      </c>
      <c r="AW143" s="110">
        <f t="shared" si="53"/>
        <v>1.641528619389707</v>
      </c>
      <c r="AX143" s="110">
        <f t="shared" si="54"/>
        <v>9</v>
      </c>
      <c r="AY143" s="110">
        <f t="shared" si="55"/>
        <v>14.773757574507362</v>
      </c>
    </row>
    <row r="144" spans="1:51" ht="15" customHeight="1">
      <c r="A144" s="73" t="s">
        <v>651</v>
      </c>
      <c r="B144" s="73" t="s">
        <v>604</v>
      </c>
      <c r="C144" s="73" t="s">
        <v>195</v>
      </c>
      <c r="D144" s="73" t="s">
        <v>196</v>
      </c>
      <c r="E144" s="73" t="s">
        <v>361</v>
      </c>
      <c r="F144" s="73">
        <v>2000</v>
      </c>
      <c r="G144" s="73" t="s">
        <v>849</v>
      </c>
      <c r="H144" s="73"/>
      <c r="I144" s="73" t="s">
        <v>626</v>
      </c>
      <c r="J144" s="73" t="s">
        <v>943</v>
      </c>
      <c r="K144" s="73" t="s">
        <v>286</v>
      </c>
      <c r="L144" s="73" t="s">
        <v>131</v>
      </c>
      <c r="M144" s="73" t="s">
        <v>958</v>
      </c>
      <c r="N144" s="73">
        <v>1</v>
      </c>
      <c r="O144" s="73"/>
      <c r="P144" s="73"/>
      <c r="Q144" s="73"/>
      <c r="R144" s="73" t="s">
        <v>442</v>
      </c>
      <c r="S144" s="73">
        <v>9</v>
      </c>
      <c r="T144" s="73">
        <v>9</v>
      </c>
      <c r="U144" s="73" t="s">
        <v>627</v>
      </c>
      <c r="V144" s="73" t="s">
        <v>207</v>
      </c>
      <c r="W144" s="73" t="s">
        <v>207</v>
      </c>
      <c r="X144" s="73" t="s">
        <v>207</v>
      </c>
      <c r="Y144" s="73" t="s">
        <v>207</v>
      </c>
      <c r="Z144" s="73" t="s">
        <v>207</v>
      </c>
      <c r="AA144" s="73" t="s">
        <v>207</v>
      </c>
      <c r="AB144" s="73" t="s">
        <v>207</v>
      </c>
      <c r="AC144" s="73" t="s">
        <v>207</v>
      </c>
      <c r="AD144" s="73" t="s">
        <v>950</v>
      </c>
      <c r="AE144" s="73" t="s">
        <v>207</v>
      </c>
      <c r="AF144" s="87">
        <v>6.4351676333286099</v>
      </c>
      <c r="AG144" s="87">
        <v>0.15031829113029016</v>
      </c>
      <c r="AH144" s="87">
        <f t="shared" si="56"/>
        <v>0.45095487339087048</v>
      </c>
      <c r="AI144" s="73" t="s">
        <v>978</v>
      </c>
      <c r="AJ144" s="73" t="s">
        <v>978</v>
      </c>
      <c r="AK144" s="73" t="s">
        <v>978</v>
      </c>
      <c r="AL144" s="87">
        <v>5.2777762059697197</v>
      </c>
      <c r="AM144" s="87">
        <v>0.26181921063800018</v>
      </c>
      <c r="AN144" s="87">
        <f t="shared" si="57"/>
        <v>0.78545763191400053</v>
      </c>
      <c r="AO144" s="73" t="s">
        <v>978</v>
      </c>
      <c r="AP144" s="73" t="s">
        <v>978</v>
      </c>
      <c r="AQ144" s="73" t="s">
        <v>978</v>
      </c>
      <c r="AR144" s="73" t="s">
        <v>207</v>
      </c>
      <c r="AS144" s="73" t="s">
        <v>63</v>
      </c>
      <c r="AT144" s="110">
        <f t="shared" si="50"/>
        <v>1.1573914273588901</v>
      </c>
      <c r="AU144" s="110">
        <f t="shared" si="51"/>
        <v>0.64043110065288267</v>
      </c>
      <c r="AV144" s="110">
        <f t="shared" si="52"/>
        <v>0.95238095238095233</v>
      </c>
      <c r="AW144" s="110">
        <f t="shared" si="53"/>
        <v>1.7211493144881642</v>
      </c>
      <c r="AX144" s="110">
        <f t="shared" si="54"/>
        <v>9</v>
      </c>
      <c r="AY144" s="110">
        <f t="shared" si="55"/>
        <v>15.490343830393478</v>
      </c>
    </row>
    <row r="145" spans="1:51" ht="15" customHeight="1">
      <c r="A145" s="73" t="s">
        <v>651</v>
      </c>
      <c r="B145" s="73" t="s">
        <v>604</v>
      </c>
      <c r="C145" s="73" t="s">
        <v>195</v>
      </c>
      <c r="D145" s="73" t="s">
        <v>196</v>
      </c>
      <c r="E145" s="73" t="s">
        <v>361</v>
      </c>
      <c r="F145" s="73">
        <v>2000</v>
      </c>
      <c r="G145" s="73" t="s">
        <v>285</v>
      </c>
      <c r="H145" s="73"/>
      <c r="I145" s="73" t="s">
        <v>219</v>
      </c>
      <c r="J145" s="73" t="s">
        <v>943</v>
      </c>
      <c r="K145" s="73" t="s">
        <v>125</v>
      </c>
      <c r="L145" s="73" t="s">
        <v>131</v>
      </c>
      <c r="M145" s="73" t="s">
        <v>958</v>
      </c>
      <c r="N145" s="73">
        <v>1</v>
      </c>
      <c r="O145" s="73"/>
      <c r="P145" s="73"/>
      <c r="Q145" s="73"/>
      <c r="R145" s="73" t="s">
        <v>443</v>
      </c>
      <c r="S145" s="73">
        <v>9</v>
      </c>
      <c r="T145" s="73">
        <v>9</v>
      </c>
      <c r="U145" s="73" t="s">
        <v>627</v>
      </c>
      <c r="V145" s="73" t="s">
        <v>207</v>
      </c>
      <c r="W145" s="73" t="s">
        <v>207</v>
      </c>
      <c r="X145" s="73" t="s">
        <v>207</v>
      </c>
      <c r="Y145" s="73" t="s">
        <v>207</v>
      </c>
      <c r="Z145" s="73" t="s">
        <v>207</v>
      </c>
      <c r="AA145" s="73" t="s">
        <v>207</v>
      </c>
      <c r="AB145" s="73" t="s">
        <v>207</v>
      </c>
      <c r="AC145" s="73" t="s">
        <v>207</v>
      </c>
      <c r="AD145" s="73" t="s">
        <v>950</v>
      </c>
      <c r="AE145" s="73" t="s">
        <v>207</v>
      </c>
      <c r="AF145" s="87">
        <v>6.74333003253642</v>
      </c>
      <c r="AG145" s="87">
        <v>0.26241335408119992</v>
      </c>
      <c r="AH145" s="87">
        <f t="shared" si="56"/>
        <v>0.78724006224359977</v>
      </c>
      <c r="AI145" s="73" t="s">
        <v>978</v>
      </c>
      <c r="AJ145" s="73" t="s">
        <v>978</v>
      </c>
      <c r="AK145" s="73" t="s">
        <v>978</v>
      </c>
      <c r="AL145" s="87">
        <v>5.3253076814259401</v>
      </c>
      <c r="AM145" s="87">
        <v>0.22498231715942985</v>
      </c>
      <c r="AN145" s="87">
        <f t="shared" si="57"/>
        <v>0.67494695147828954</v>
      </c>
      <c r="AO145" s="73" t="s">
        <v>978</v>
      </c>
      <c r="AP145" s="73" t="s">
        <v>978</v>
      </c>
      <c r="AQ145" s="73" t="s">
        <v>978</v>
      </c>
      <c r="AR145" s="73" t="s">
        <v>207</v>
      </c>
      <c r="AS145" s="73" t="s">
        <v>63</v>
      </c>
      <c r="AT145" s="110">
        <f t="shared" si="50"/>
        <v>1.4180223511104799</v>
      </c>
      <c r="AU145" s="110">
        <f t="shared" si="51"/>
        <v>0.73324631022295061</v>
      </c>
      <c r="AV145" s="110">
        <f t="shared" si="52"/>
        <v>0.95238095238095233</v>
      </c>
      <c r="AW145" s="110">
        <f t="shared" si="53"/>
        <v>1.8418060321877983</v>
      </c>
      <c r="AX145" s="110">
        <f t="shared" si="54"/>
        <v>9</v>
      </c>
      <c r="AY145" s="110">
        <f t="shared" si="55"/>
        <v>16.576254289690183</v>
      </c>
    </row>
    <row r="146" spans="1:51" ht="15" customHeight="1">
      <c r="A146" s="73" t="s">
        <v>651</v>
      </c>
      <c r="B146" s="73" t="s">
        <v>604</v>
      </c>
      <c r="C146" s="73" t="s">
        <v>195</v>
      </c>
      <c r="D146" s="73" t="s">
        <v>196</v>
      </c>
      <c r="E146" s="73" t="s">
        <v>361</v>
      </c>
      <c r="F146" s="73">
        <v>2000</v>
      </c>
      <c r="G146" s="73" t="s">
        <v>284</v>
      </c>
      <c r="H146" s="73"/>
      <c r="I146" s="73" t="s">
        <v>175</v>
      </c>
      <c r="J146" s="73" t="s">
        <v>943</v>
      </c>
      <c r="K146" s="73" t="s">
        <v>286</v>
      </c>
      <c r="L146" s="73" t="s">
        <v>131</v>
      </c>
      <c r="M146" s="73" t="s">
        <v>958</v>
      </c>
      <c r="N146" s="73">
        <v>1</v>
      </c>
      <c r="O146" s="73"/>
      <c r="P146" s="73"/>
      <c r="Q146" s="73"/>
      <c r="R146" s="73" t="s">
        <v>444</v>
      </c>
      <c r="S146" s="73">
        <v>9</v>
      </c>
      <c r="T146" s="73">
        <v>9</v>
      </c>
      <c r="U146" s="73" t="s">
        <v>627</v>
      </c>
      <c r="V146" s="73" t="s">
        <v>207</v>
      </c>
      <c r="W146" s="73" t="s">
        <v>207</v>
      </c>
      <c r="X146" s="73" t="s">
        <v>207</v>
      </c>
      <c r="Y146" s="73" t="s">
        <v>207</v>
      </c>
      <c r="Z146" s="73" t="s">
        <v>207</v>
      </c>
      <c r="AA146" s="73" t="s">
        <v>207</v>
      </c>
      <c r="AB146" s="73" t="s">
        <v>207</v>
      </c>
      <c r="AC146" s="73" t="s">
        <v>207</v>
      </c>
      <c r="AD146" s="73" t="s">
        <v>950</v>
      </c>
      <c r="AE146" s="73" t="s">
        <v>207</v>
      </c>
      <c r="AF146" s="87">
        <v>5.63683689347857</v>
      </c>
      <c r="AG146" s="87">
        <v>0.18774932805204936</v>
      </c>
      <c r="AH146" s="87">
        <f t="shared" si="56"/>
        <v>0.56324798415614807</v>
      </c>
      <c r="AI146" s="73" t="s">
        <v>978</v>
      </c>
      <c r="AJ146" s="73" t="s">
        <v>978</v>
      </c>
      <c r="AK146" s="73" t="s">
        <v>978</v>
      </c>
      <c r="AL146" s="87">
        <v>5.0753713396519995</v>
      </c>
      <c r="AM146" s="87">
        <v>0.2620172584524007</v>
      </c>
      <c r="AN146" s="87">
        <f t="shared" si="57"/>
        <v>0.78605177535720205</v>
      </c>
      <c r="AO146" s="73" t="s">
        <v>978</v>
      </c>
      <c r="AP146" s="73" t="s">
        <v>978</v>
      </c>
      <c r="AQ146" s="73" t="s">
        <v>978</v>
      </c>
      <c r="AR146" s="73" t="s">
        <v>207</v>
      </c>
      <c r="AS146" s="73" t="s">
        <v>63</v>
      </c>
      <c r="AT146" s="110">
        <f t="shared" si="50"/>
        <v>0.56146555382657048</v>
      </c>
      <c r="AU146" s="110">
        <f t="shared" si="51"/>
        <v>0.68378567007439317</v>
      </c>
      <c r="AV146" s="110">
        <f t="shared" si="52"/>
        <v>0.95238095238095233</v>
      </c>
      <c r="AW146" s="110">
        <f t="shared" si="53"/>
        <v>0.7820127304280472</v>
      </c>
      <c r="AX146" s="110">
        <f t="shared" si="54"/>
        <v>9</v>
      </c>
      <c r="AY146" s="110">
        <f t="shared" si="55"/>
        <v>7.0381145738524244</v>
      </c>
    </row>
    <row r="147" spans="1:51" ht="15" customHeight="1">
      <c r="A147" s="73" t="s">
        <v>651</v>
      </c>
      <c r="B147" s="73" t="s">
        <v>604</v>
      </c>
      <c r="C147" s="73" t="s">
        <v>455</v>
      </c>
      <c r="D147" s="73" t="s">
        <v>211</v>
      </c>
      <c r="E147" s="73" t="s">
        <v>68</v>
      </c>
      <c r="F147" s="73">
        <v>2000</v>
      </c>
      <c r="G147" s="73" t="s">
        <v>848</v>
      </c>
      <c r="H147" s="73"/>
      <c r="I147" s="73" t="s">
        <v>446</v>
      </c>
      <c r="J147" s="73" t="s">
        <v>943</v>
      </c>
      <c r="K147" s="73" t="s">
        <v>286</v>
      </c>
      <c r="L147" s="73" t="s">
        <v>131</v>
      </c>
      <c r="M147" s="73" t="s">
        <v>958</v>
      </c>
      <c r="N147" s="73">
        <v>1</v>
      </c>
      <c r="O147" s="73"/>
      <c r="P147" s="73"/>
      <c r="Q147" s="73"/>
      <c r="R147" s="73" t="s">
        <v>445</v>
      </c>
      <c r="S147" s="73">
        <v>9</v>
      </c>
      <c r="T147" s="73">
        <v>9</v>
      </c>
      <c r="U147" s="73" t="s">
        <v>627</v>
      </c>
      <c r="V147" s="73" t="s">
        <v>207</v>
      </c>
      <c r="W147" s="73" t="s">
        <v>207</v>
      </c>
      <c r="X147" s="73" t="s">
        <v>207</v>
      </c>
      <c r="Y147" s="73" t="s">
        <v>207</v>
      </c>
      <c r="Z147" s="73" t="s">
        <v>207</v>
      </c>
      <c r="AA147" s="73" t="s">
        <v>207</v>
      </c>
      <c r="AB147" s="73" t="s">
        <v>207</v>
      </c>
      <c r="AC147" s="73" t="s">
        <v>207</v>
      </c>
      <c r="AD147" s="73" t="s">
        <v>950</v>
      </c>
      <c r="AE147" s="73" t="s">
        <v>207</v>
      </c>
      <c r="AF147" s="87">
        <v>4.3363199999999997</v>
      </c>
      <c r="AG147" s="87">
        <v>0.14872000000000024</v>
      </c>
      <c r="AH147" s="87">
        <f t="shared" si="56"/>
        <v>0.44616000000000072</v>
      </c>
      <c r="AI147" s="73" t="s">
        <v>978</v>
      </c>
      <c r="AJ147" s="73" t="s">
        <v>978</v>
      </c>
      <c r="AK147" s="73" t="s">
        <v>978</v>
      </c>
      <c r="AL147" s="87">
        <v>3.70357</v>
      </c>
      <c r="AM147" s="87">
        <v>3.5839999999999692E-2</v>
      </c>
      <c r="AN147" s="87">
        <f t="shared" si="57"/>
        <v>0.10751999999999907</v>
      </c>
      <c r="AO147" s="73" t="s">
        <v>978</v>
      </c>
      <c r="AP147" s="73" t="s">
        <v>978</v>
      </c>
      <c r="AQ147" s="73" t="s">
        <v>978</v>
      </c>
      <c r="AR147" s="73" t="s">
        <v>207</v>
      </c>
      <c r="AS147" s="73" t="s">
        <v>64</v>
      </c>
      <c r="AT147" s="110">
        <f t="shared" si="50"/>
        <v>0.6327499999999997</v>
      </c>
      <c r="AU147" s="110">
        <f t="shared" si="51"/>
        <v>0.32451448041651426</v>
      </c>
      <c r="AV147" s="110">
        <f t="shared" si="52"/>
        <v>0.95238095238095233</v>
      </c>
      <c r="AW147" s="110">
        <f t="shared" si="53"/>
        <v>1.8569866184263515</v>
      </c>
      <c r="AX147" s="110">
        <f t="shared" si="54"/>
        <v>9</v>
      </c>
      <c r="AY147" s="110">
        <f t="shared" si="55"/>
        <v>16.712879565837163</v>
      </c>
    </row>
    <row r="148" spans="1:51" ht="15" customHeight="1">
      <c r="A148" s="73" t="s">
        <v>651</v>
      </c>
      <c r="B148" s="73" t="s">
        <v>604</v>
      </c>
      <c r="C148" s="73" t="s">
        <v>455</v>
      </c>
      <c r="D148" s="73" t="s">
        <v>211</v>
      </c>
      <c r="E148" s="73" t="s">
        <v>68</v>
      </c>
      <c r="F148" s="73">
        <v>2000</v>
      </c>
      <c r="G148" s="73" t="s">
        <v>760</v>
      </c>
      <c r="H148" s="73"/>
      <c r="I148" s="73" t="s">
        <v>447</v>
      </c>
      <c r="J148" s="73" t="s">
        <v>943</v>
      </c>
      <c r="K148" s="73" t="s">
        <v>967</v>
      </c>
      <c r="L148" s="73" t="s">
        <v>131</v>
      </c>
      <c r="M148" s="73" t="s">
        <v>958</v>
      </c>
      <c r="N148" s="73">
        <v>1</v>
      </c>
      <c r="O148" s="73"/>
      <c r="P148" s="73"/>
      <c r="Q148" s="73"/>
      <c r="R148" s="73" t="s">
        <v>652</v>
      </c>
      <c r="S148" s="73">
        <v>9</v>
      </c>
      <c r="T148" s="73">
        <v>9</v>
      </c>
      <c r="U148" s="73" t="s">
        <v>627</v>
      </c>
      <c r="V148" s="73" t="s">
        <v>207</v>
      </c>
      <c r="W148" s="73" t="s">
        <v>207</v>
      </c>
      <c r="X148" s="73" t="s">
        <v>207</v>
      </c>
      <c r="Y148" s="73" t="s">
        <v>207</v>
      </c>
      <c r="Z148" s="73" t="s">
        <v>207</v>
      </c>
      <c r="AA148" s="73" t="s">
        <v>207</v>
      </c>
      <c r="AB148" s="73" t="s">
        <v>207</v>
      </c>
      <c r="AC148" s="73" t="s">
        <v>207</v>
      </c>
      <c r="AD148" s="73" t="s">
        <v>950</v>
      </c>
      <c r="AE148" s="73" t="s">
        <v>207</v>
      </c>
      <c r="AF148" s="87">
        <v>3.98922</v>
      </c>
      <c r="AG148" s="87">
        <v>0.22338999999999987</v>
      </c>
      <c r="AH148" s="87">
        <f t="shared" si="56"/>
        <v>0.6701699999999996</v>
      </c>
      <c r="AI148" s="73" t="s">
        <v>978</v>
      </c>
      <c r="AJ148" s="73" t="s">
        <v>978</v>
      </c>
      <c r="AK148" s="73" t="s">
        <v>978</v>
      </c>
      <c r="AL148" s="87">
        <v>3.6181000000000001</v>
      </c>
      <c r="AM148" s="87">
        <v>0.14853000000000019</v>
      </c>
      <c r="AN148" s="87">
        <f t="shared" si="57"/>
        <v>0.4455900000000006</v>
      </c>
      <c r="AO148" s="73" t="s">
        <v>978</v>
      </c>
      <c r="AP148" s="73" t="s">
        <v>978</v>
      </c>
      <c r="AQ148" s="73" t="s">
        <v>978</v>
      </c>
      <c r="AR148" s="73" t="s">
        <v>207</v>
      </c>
      <c r="AS148" s="73" t="s">
        <v>64</v>
      </c>
      <c r="AT148" s="110">
        <f t="shared" si="50"/>
        <v>0.37111999999999989</v>
      </c>
      <c r="AU148" s="110">
        <f t="shared" si="51"/>
        <v>0.56906865886288271</v>
      </c>
      <c r="AV148" s="110">
        <f t="shared" si="52"/>
        <v>0.95238095238095233</v>
      </c>
      <c r="AW148" s="110">
        <f t="shared" si="53"/>
        <v>0.62109837458608352</v>
      </c>
      <c r="AX148" s="110">
        <f t="shared" si="54"/>
        <v>9</v>
      </c>
      <c r="AY148" s="110">
        <f t="shared" si="55"/>
        <v>5.589885371274752</v>
      </c>
    </row>
    <row r="149" spans="1:51" ht="15" customHeight="1">
      <c r="A149" s="73" t="s">
        <v>651</v>
      </c>
      <c r="B149" s="73" t="s">
        <v>604</v>
      </c>
      <c r="C149" s="73" t="s">
        <v>455</v>
      </c>
      <c r="D149" s="73" t="s">
        <v>211</v>
      </c>
      <c r="E149" s="73" t="s">
        <v>68</v>
      </c>
      <c r="F149" s="73">
        <v>2000</v>
      </c>
      <c r="G149" s="73" t="s">
        <v>760</v>
      </c>
      <c r="H149" s="73"/>
      <c r="I149" s="73" t="s">
        <v>93</v>
      </c>
      <c r="J149" s="73" t="s">
        <v>943</v>
      </c>
      <c r="K149" s="73" t="s">
        <v>286</v>
      </c>
      <c r="L149" s="73" t="s">
        <v>131</v>
      </c>
      <c r="M149" s="73" t="s">
        <v>958</v>
      </c>
      <c r="N149" s="73">
        <v>1</v>
      </c>
      <c r="O149" s="73"/>
      <c r="P149" s="73"/>
      <c r="Q149" s="73"/>
      <c r="R149" s="73" t="s">
        <v>653</v>
      </c>
      <c r="S149" s="73">
        <v>9</v>
      </c>
      <c r="T149" s="73">
        <v>9</v>
      </c>
      <c r="U149" s="73" t="s">
        <v>627</v>
      </c>
      <c r="V149" s="73" t="s">
        <v>207</v>
      </c>
      <c r="W149" s="73" t="s">
        <v>207</v>
      </c>
      <c r="X149" s="73" t="s">
        <v>207</v>
      </c>
      <c r="Y149" s="73" t="s">
        <v>207</v>
      </c>
      <c r="Z149" s="73" t="s">
        <v>207</v>
      </c>
      <c r="AA149" s="73" t="s">
        <v>207</v>
      </c>
      <c r="AB149" s="73" t="s">
        <v>207</v>
      </c>
      <c r="AC149" s="73" t="s">
        <v>207</v>
      </c>
      <c r="AD149" s="73" t="s">
        <v>950</v>
      </c>
      <c r="AE149" s="73" t="s">
        <v>207</v>
      </c>
      <c r="AF149" s="87">
        <v>3.7538200000000002</v>
      </c>
      <c r="AG149" s="87">
        <v>0.18615999999999985</v>
      </c>
      <c r="AH149" s="87">
        <f t="shared" si="56"/>
        <v>0.55847999999999953</v>
      </c>
      <c r="AI149" s="73" t="s">
        <v>978</v>
      </c>
      <c r="AJ149" s="73" t="s">
        <v>978</v>
      </c>
      <c r="AK149" s="73" t="s">
        <v>978</v>
      </c>
      <c r="AL149" s="87">
        <v>3.3456700000000001</v>
      </c>
      <c r="AM149" s="87">
        <v>7.325999999999977E-2</v>
      </c>
      <c r="AN149" s="87">
        <f t="shared" si="57"/>
        <v>0.21977999999999931</v>
      </c>
      <c r="AO149" s="73" t="s">
        <v>978</v>
      </c>
      <c r="AP149" s="73" t="s">
        <v>978</v>
      </c>
      <c r="AQ149" s="73" t="s">
        <v>978</v>
      </c>
      <c r="AR149" s="73" t="s">
        <v>207</v>
      </c>
      <c r="AS149" s="73" t="s">
        <v>64</v>
      </c>
      <c r="AT149" s="110">
        <f t="shared" si="50"/>
        <v>0.40815000000000001</v>
      </c>
      <c r="AU149" s="110">
        <f t="shared" si="51"/>
        <v>0.42438376429830538</v>
      </c>
      <c r="AV149" s="110">
        <f t="shared" si="52"/>
        <v>0.95238095238095233</v>
      </c>
      <c r="AW149" s="110">
        <f t="shared" si="53"/>
        <v>0.91594994534487628</v>
      </c>
      <c r="AX149" s="110">
        <f t="shared" si="54"/>
        <v>9</v>
      </c>
      <c r="AY149" s="110">
        <f t="shared" si="55"/>
        <v>8.2435495081038859</v>
      </c>
    </row>
    <row r="150" spans="1:51" ht="15" customHeight="1">
      <c r="A150" s="73" t="s">
        <v>651</v>
      </c>
      <c r="B150" s="73" t="s">
        <v>604</v>
      </c>
      <c r="C150" s="73" t="s">
        <v>455</v>
      </c>
      <c r="D150" s="73" t="s">
        <v>211</v>
      </c>
      <c r="E150" s="73" t="s">
        <v>68</v>
      </c>
      <c r="F150" s="73">
        <v>2000</v>
      </c>
      <c r="G150" s="73" t="s">
        <v>289</v>
      </c>
      <c r="H150" s="73"/>
      <c r="I150" s="73" t="s">
        <v>287</v>
      </c>
      <c r="J150" s="73" t="s">
        <v>943</v>
      </c>
      <c r="K150" s="73" t="s">
        <v>967</v>
      </c>
      <c r="L150" s="73" t="s">
        <v>131</v>
      </c>
      <c r="M150" s="73" t="s">
        <v>958</v>
      </c>
      <c r="N150" s="73">
        <v>1</v>
      </c>
      <c r="O150" s="73"/>
      <c r="P150" s="73"/>
      <c r="Q150" s="73"/>
      <c r="R150" s="73" t="s">
        <v>654</v>
      </c>
      <c r="S150" s="73">
        <v>9</v>
      </c>
      <c r="T150" s="73">
        <v>9</v>
      </c>
      <c r="U150" s="73" t="s">
        <v>627</v>
      </c>
      <c r="V150" s="73" t="s">
        <v>207</v>
      </c>
      <c r="W150" s="73" t="s">
        <v>207</v>
      </c>
      <c r="X150" s="73" t="s">
        <v>207</v>
      </c>
      <c r="Y150" s="73" t="s">
        <v>207</v>
      </c>
      <c r="Z150" s="73" t="s">
        <v>207</v>
      </c>
      <c r="AA150" s="73" t="s">
        <v>207</v>
      </c>
      <c r="AB150" s="73" t="s">
        <v>207</v>
      </c>
      <c r="AC150" s="73" t="s">
        <v>207</v>
      </c>
      <c r="AD150" s="73" t="s">
        <v>950</v>
      </c>
      <c r="AE150" s="73" t="s">
        <v>207</v>
      </c>
      <c r="AF150" s="87">
        <v>4.4546200000000002</v>
      </c>
      <c r="AG150" s="87">
        <v>0.14832999999999993</v>
      </c>
      <c r="AH150" s="87">
        <f t="shared" si="56"/>
        <v>0.44498999999999977</v>
      </c>
      <c r="AI150" s="73" t="s">
        <v>978</v>
      </c>
      <c r="AJ150" s="73" t="s">
        <v>978</v>
      </c>
      <c r="AK150" s="73" t="s">
        <v>978</v>
      </c>
      <c r="AL150" s="87">
        <v>3.2227600000000001</v>
      </c>
      <c r="AM150" s="87">
        <v>0.14832999999999993</v>
      </c>
      <c r="AN150" s="87">
        <f t="shared" si="57"/>
        <v>0.44498999999999977</v>
      </c>
      <c r="AO150" s="73" t="s">
        <v>978</v>
      </c>
      <c r="AP150" s="73" t="s">
        <v>978</v>
      </c>
      <c r="AQ150" s="73" t="s">
        <v>978</v>
      </c>
      <c r="AR150" s="73" t="s">
        <v>207</v>
      </c>
      <c r="AS150" s="73" t="s">
        <v>64</v>
      </c>
      <c r="AT150" s="110">
        <f t="shared" si="50"/>
        <v>1.2318600000000002</v>
      </c>
      <c r="AU150" s="110">
        <f t="shared" si="51"/>
        <v>0.44498999999999977</v>
      </c>
      <c r="AV150" s="110">
        <f t="shared" si="52"/>
        <v>0.95238095238095233</v>
      </c>
      <c r="AW150" s="110">
        <f t="shared" si="53"/>
        <v>2.636463740758221</v>
      </c>
      <c r="AX150" s="110">
        <f t="shared" si="54"/>
        <v>9</v>
      </c>
      <c r="AY150" s="110">
        <f t="shared" si="55"/>
        <v>23.728173666823988</v>
      </c>
    </row>
    <row r="151" spans="1:51" ht="15" customHeight="1">
      <c r="A151" s="73" t="s">
        <v>651</v>
      </c>
      <c r="B151" s="73" t="s">
        <v>604</v>
      </c>
      <c r="C151" s="73" t="s">
        <v>455</v>
      </c>
      <c r="D151" s="73" t="s">
        <v>211</v>
      </c>
      <c r="E151" s="73" t="s">
        <v>68</v>
      </c>
      <c r="F151" s="73">
        <v>2000</v>
      </c>
      <c r="G151" s="73" t="s">
        <v>187</v>
      </c>
      <c r="H151" s="73"/>
      <c r="I151" s="73" t="s">
        <v>624</v>
      </c>
      <c r="J151" s="73" t="s">
        <v>943</v>
      </c>
      <c r="K151" s="73" t="s">
        <v>286</v>
      </c>
      <c r="L151" s="73" t="s">
        <v>131</v>
      </c>
      <c r="M151" s="73" t="s">
        <v>958</v>
      </c>
      <c r="N151" s="73">
        <v>1</v>
      </c>
      <c r="O151" s="73"/>
      <c r="P151" s="73"/>
      <c r="Q151" s="73"/>
      <c r="R151" s="73" t="s">
        <v>655</v>
      </c>
      <c r="S151" s="73">
        <v>9</v>
      </c>
      <c r="T151" s="73">
        <v>9</v>
      </c>
      <c r="U151" s="73" t="s">
        <v>627</v>
      </c>
      <c r="V151" s="73" t="s">
        <v>207</v>
      </c>
      <c r="W151" s="73" t="s">
        <v>207</v>
      </c>
      <c r="X151" s="73" t="s">
        <v>207</v>
      </c>
      <c r="Y151" s="73" t="s">
        <v>207</v>
      </c>
      <c r="Z151" s="73" t="s">
        <v>207</v>
      </c>
      <c r="AA151" s="73" t="s">
        <v>207</v>
      </c>
      <c r="AB151" s="73" t="s">
        <v>207</v>
      </c>
      <c r="AC151" s="73" t="s">
        <v>207</v>
      </c>
      <c r="AD151" s="73" t="s">
        <v>950</v>
      </c>
      <c r="AE151" s="73" t="s">
        <v>207</v>
      </c>
      <c r="AF151" s="87">
        <v>4.25725</v>
      </c>
      <c r="AG151" s="87">
        <v>0.18515999999999985</v>
      </c>
      <c r="AH151" s="87">
        <f t="shared" si="56"/>
        <v>0.55547999999999953</v>
      </c>
      <c r="AI151" s="73" t="s">
        <v>978</v>
      </c>
      <c r="AJ151" s="73" t="s">
        <v>978</v>
      </c>
      <c r="AK151" s="73" t="s">
        <v>978</v>
      </c>
      <c r="AL151" s="87">
        <v>3.6985700000000001</v>
      </c>
      <c r="AM151" s="87">
        <v>0.11089999999999964</v>
      </c>
      <c r="AN151" s="87">
        <f t="shared" si="57"/>
        <v>0.33269999999999889</v>
      </c>
      <c r="AO151" s="73" t="s">
        <v>978</v>
      </c>
      <c r="AP151" s="73" t="s">
        <v>978</v>
      </c>
      <c r="AQ151" s="73" t="s">
        <v>978</v>
      </c>
      <c r="AR151" s="73" t="s">
        <v>207</v>
      </c>
      <c r="AS151" s="73" t="s">
        <v>64</v>
      </c>
      <c r="AT151" s="110">
        <f t="shared" si="50"/>
        <v>0.55867999999999984</v>
      </c>
      <c r="AU151" s="110">
        <f t="shared" si="51"/>
        <v>0.45784676497710386</v>
      </c>
      <c r="AV151" s="110">
        <f t="shared" si="52"/>
        <v>0.95238095238095233</v>
      </c>
      <c r="AW151" s="110">
        <f t="shared" si="53"/>
        <v>1.1621272250395798</v>
      </c>
      <c r="AX151" s="110">
        <f t="shared" si="54"/>
        <v>9</v>
      </c>
      <c r="AY151" s="110">
        <f t="shared" si="55"/>
        <v>10.459145025356218</v>
      </c>
    </row>
    <row r="152" spans="1:51" ht="15" customHeight="1">
      <c r="A152" s="73" t="s">
        <v>651</v>
      </c>
      <c r="B152" s="73" t="s">
        <v>604</v>
      </c>
      <c r="C152" s="73" t="s">
        <v>455</v>
      </c>
      <c r="D152" s="73" t="s">
        <v>211</v>
      </c>
      <c r="E152" s="73" t="s">
        <v>68</v>
      </c>
      <c r="F152" s="73">
        <v>2000</v>
      </c>
      <c r="G152" s="73" t="s">
        <v>187</v>
      </c>
      <c r="H152" s="73"/>
      <c r="I152" s="73" t="s">
        <v>625</v>
      </c>
      <c r="J152" s="73" t="s">
        <v>943</v>
      </c>
      <c r="K152" s="73" t="s">
        <v>286</v>
      </c>
      <c r="L152" s="73" t="s">
        <v>131</v>
      </c>
      <c r="M152" s="73" t="s">
        <v>958</v>
      </c>
      <c r="N152" s="73">
        <v>1</v>
      </c>
      <c r="O152" s="73"/>
      <c r="P152" s="73"/>
      <c r="Q152" s="73"/>
      <c r="R152" s="73" t="s">
        <v>656</v>
      </c>
      <c r="S152" s="73">
        <v>9</v>
      </c>
      <c r="T152" s="73">
        <v>9</v>
      </c>
      <c r="U152" s="73" t="s">
        <v>627</v>
      </c>
      <c r="V152" s="73" t="s">
        <v>207</v>
      </c>
      <c r="W152" s="73" t="s">
        <v>207</v>
      </c>
      <c r="X152" s="73" t="s">
        <v>207</v>
      </c>
      <c r="Y152" s="73" t="s">
        <v>207</v>
      </c>
      <c r="Z152" s="73" t="s">
        <v>207</v>
      </c>
      <c r="AA152" s="73" t="s">
        <v>207</v>
      </c>
      <c r="AB152" s="73" t="s">
        <v>207</v>
      </c>
      <c r="AC152" s="73" t="s">
        <v>207</v>
      </c>
      <c r="AD152" s="73" t="s">
        <v>950</v>
      </c>
      <c r="AE152" s="73" t="s">
        <v>207</v>
      </c>
      <c r="AF152" s="87">
        <v>4.7328599999999996</v>
      </c>
      <c r="AG152" s="87">
        <v>0.11069000000000051</v>
      </c>
      <c r="AH152" s="87">
        <f t="shared" ref="AH152:AH170" si="58">AG152*SQRT(S152)</f>
        <v>0.33207000000000153</v>
      </c>
      <c r="AI152" s="73" t="s">
        <v>978</v>
      </c>
      <c r="AJ152" s="73" t="s">
        <v>978</v>
      </c>
      <c r="AK152" s="73" t="s">
        <v>978</v>
      </c>
      <c r="AL152" s="87">
        <v>3.8753200000000003</v>
      </c>
      <c r="AM152" s="87">
        <v>0.29765999999999943</v>
      </c>
      <c r="AN152" s="87">
        <f t="shared" ref="AN152:AN170" si="59">AM152*SQRT(T152)</f>
        <v>0.89297999999999833</v>
      </c>
      <c r="AO152" s="73" t="s">
        <v>978</v>
      </c>
      <c r="AP152" s="73" t="s">
        <v>978</v>
      </c>
      <c r="AQ152" s="73" t="s">
        <v>978</v>
      </c>
      <c r="AR152" s="73" t="s">
        <v>207</v>
      </c>
      <c r="AS152" s="73" t="s">
        <v>64</v>
      </c>
      <c r="AT152" s="110">
        <f t="shared" si="50"/>
        <v>0.8575399999999993</v>
      </c>
      <c r="AU152" s="110">
        <f t="shared" si="51"/>
        <v>0.67367787751268704</v>
      </c>
      <c r="AV152" s="110">
        <f t="shared" si="52"/>
        <v>0.95238095238095233</v>
      </c>
      <c r="AW152" s="110">
        <f t="shared" si="53"/>
        <v>1.2123075273306427</v>
      </c>
      <c r="AX152" s="110">
        <f t="shared" si="54"/>
        <v>9</v>
      </c>
      <c r="AY152" s="110">
        <f t="shared" si="55"/>
        <v>10.910767745975784</v>
      </c>
    </row>
    <row r="153" spans="1:51" ht="15" customHeight="1">
      <c r="A153" s="73" t="s">
        <v>651</v>
      </c>
      <c r="B153" s="73" t="s">
        <v>604</v>
      </c>
      <c r="C153" s="73" t="s">
        <v>455</v>
      </c>
      <c r="D153" s="73" t="s">
        <v>211</v>
      </c>
      <c r="E153" s="73" t="s">
        <v>68</v>
      </c>
      <c r="F153" s="73">
        <v>2000</v>
      </c>
      <c r="G153" s="73" t="s">
        <v>849</v>
      </c>
      <c r="H153" s="73"/>
      <c r="I153" s="73" t="s">
        <v>626</v>
      </c>
      <c r="J153" s="73" t="s">
        <v>943</v>
      </c>
      <c r="K153" s="73" t="s">
        <v>286</v>
      </c>
      <c r="L153" s="73" t="s">
        <v>131</v>
      </c>
      <c r="M153" s="73" t="s">
        <v>958</v>
      </c>
      <c r="N153" s="73">
        <v>1</v>
      </c>
      <c r="O153" s="73"/>
      <c r="P153" s="73"/>
      <c r="Q153" s="73"/>
      <c r="R153" s="73" t="s">
        <v>442</v>
      </c>
      <c r="S153" s="73">
        <v>9</v>
      </c>
      <c r="T153" s="73">
        <v>9</v>
      </c>
      <c r="U153" s="73" t="s">
        <v>627</v>
      </c>
      <c r="V153" s="73" t="s">
        <v>207</v>
      </c>
      <c r="W153" s="73" t="s">
        <v>207</v>
      </c>
      <c r="X153" s="73" t="s">
        <v>207</v>
      </c>
      <c r="Y153" s="73" t="s">
        <v>207</v>
      </c>
      <c r="Z153" s="73" t="s">
        <v>207</v>
      </c>
      <c r="AA153" s="73" t="s">
        <v>207</v>
      </c>
      <c r="AB153" s="73" t="s">
        <v>207</v>
      </c>
      <c r="AC153" s="73" t="s">
        <v>207</v>
      </c>
      <c r="AD153" s="73" t="s">
        <v>950</v>
      </c>
      <c r="AE153" s="73" t="s">
        <v>207</v>
      </c>
      <c r="AF153" s="87">
        <v>4.1986000000000008</v>
      </c>
      <c r="AG153" s="87">
        <v>3.5629999999999197E-2</v>
      </c>
      <c r="AH153" s="87">
        <f t="shared" si="58"/>
        <v>0.1068899999999976</v>
      </c>
      <c r="AI153" s="73" t="s">
        <v>978</v>
      </c>
      <c r="AJ153" s="73" t="s">
        <v>978</v>
      </c>
      <c r="AK153" s="73" t="s">
        <v>978</v>
      </c>
      <c r="AL153" s="87">
        <v>3.4527600000000001</v>
      </c>
      <c r="AM153" s="87">
        <v>0.14832999999999993</v>
      </c>
      <c r="AN153" s="87">
        <f t="shared" si="59"/>
        <v>0.44498999999999977</v>
      </c>
      <c r="AO153" s="73" t="s">
        <v>978</v>
      </c>
      <c r="AP153" s="73" t="s">
        <v>978</v>
      </c>
      <c r="AQ153" s="73" t="s">
        <v>978</v>
      </c>
      <c r="AR153" s="73" t="s">
        <v>207</v>
      </c>
      <c r="AS153" s="73" t="s">
        <v>64</v>
      </c>
      <c r="AT153" s="110">
        <f t="shared" si="50"/>
        <v>0.74584000000000072</v>
      </c>
      <c r="AU153" s="110">
        <f t="shared" si="51"/>
        <v>0.3236059117197948</v>
      </c>
      <c r="AV153" s="110">
        <f t="shared" si="52"/>
        <v>0.95238095238095233</v>
      </c>
      <c r="AW153" s="110">
        <f t="shared" si="53"/>
        <v>2.1950272964693802</v>
      </c>
      <c r="AX153" s="110">
        <f t="shared" si="54"/>
        <v>9</v>
      </c>
      <c r="AY153" s="110">
        <f t="shared" si="55"/>
        <v>19.755245668224422</v>
      </c>
    </row>
    <row r="154" spans="1:51" ht="15" customHeight="1">
      <c r="A154" s="73" t="s">
        <v>651</v>
      </c>
      <c r="B154" s="73" t="s">
        <v>604</v>
      </c>
      <c r="C154" s="73" t="s">
        <v>455</v>
      </c>
      <c r="D154" s="73" t="s">
        <v>211</v>
      </c>
      <c r="E154" s="73" t="s">
        <v>68</v>
      </c>
      <c r="F154" s="73">
        <v>2000</v>
      </c>
      <c r="G154" s="73" t="s">
        <v>285</v>
      </c>
      <c r="H154" s="73"/>
      <c r="I154" s="73" t="s">
        <v>219</v>
      </c>
      <c r="J154" s="73" t="s">
        <v>943</v>
      </c>
      <c r="K154" s="73" t="s">
        <v>125</v>
      </c>
      <c r="L154" s="73" t="s">
        <v>131</v>
      </c>
      <c r="M154" s="73" t="s">
        <v>958</v>
      </c>
      <c r="N154" s="73">
        <v>1</v>
      </c>
      <c r="O154" s="73"/>
      <c r="P154" s="73"/>
      <c r="Q154" s="73"/>
      <c r="R154" s="73" t="s">
        <v>443</v>
      </c>
      <c r="S154" s="73">
        <v>9</v>
      </c>
      <c r="T154" s="73">
        <v>9</v>
      </c>
      <c r="U154" s="73" t="s">
        <v>627</v>
      </c>
      <c r="V154" s="73" t="s">
        <v>207</v>
      </c>
      <c r="W154" s="73" t="s">
        <v>207</v>
      </c>
      <c r="X154" s="73" t="s">
        <v>207</v>
      </c>
      <c r="Y154" s="73" t="s">
        <v>207</v>
      </c>
      <c r="Z154" s="73" t="s">
        <v>207</v>
      </c>
      <c r="AA154" s="73" t="s">
        <v>207</v>
      </c>
      <c r="AB154" s="73" t="s">
        <v>207</v>
      </c>
      <c r="AC154" s="73" t="s">
        <v>207</v>
      </c>
      <c r="AD154" s="73" t="s">
        <v>950</v>
      </c>
      <c r="AE154" s="73" t="s">
        <v>207</v>
      </c>
      <c r="AF154" s="87">
        <v>5.1235900000000001</v>
      </c>
      <c r="AG154" s="87">
        <v>0.18576000000000023</v>
      </c>
      <c r="AH154" s="87">
        <f t="shared" si="58"/>
        <v>0.55728000000000066</v>
      </c>
      <c r="AI154" s="73" t="s">
        <v>978</v>
      </c>
      <c r="AJ154" s="73" t="s">
        <v>978</v>
      </c>
      <c r="AK154" s="73" t="s">
        <v>978</v>
      </c>
      <c r="AL154" s="87">
        <v>4.4904500000000001</v>
      </c>
      <c r="AM154" s="87">
        <v>0.11069000000000051</v>
      </c>
      <c r="AN154" s="87">
        <f t="shared" si="59"/>
        <v>0.33207000000000153</v>
      </c>
      <c r="AO154" s="73" t="s">
        <v>978</v>
      </c>
      <c r="AP154" s="73" t="s">
        <v>978</v>
      </c>
      <c r="AQ154" s="73" t="s">
        <v>978</v>
      </c>
      <c r="AR154" s="73" t="s">
        <v>207</v>
      </c>
      <c r="AS154" s="73" t="s">
        <v>64</v>
      </c>
      <c r="AT154" s="110">
        <f t="shared" si="50"/>
        <v>0.63314000000000004</v>
      </c>
      <c r="AU154" s="110">
        <f t="shared" si="51"/>
        <v>0.45871095654017341</v>
      </c>
      <c r="AV154" s="110">
        <f t="shared" si="52"/>
        <v>0.95238095238095233</v>
      </c>
      <c r="AW154" s="110">
        <f t="shared" si="53"/>
        <v>1.3145325342532272</v>
      </c>
      <c r="AX154" s="110">
        <f t="shared" si="54"/>
        <v>9</v>
      </c>
      <c r="AY154" s="110">
        <f t="shared" si="55"/>
        <v>11.830792808279046</v>
      </c>
    </row>
    <row r="155" spans="1:51" ht="15" customHeight="1">
      <c r="A155" s="73" t="s">
        <v>651</v>
      </c>
      <c r="B155" s="73" t="s">
        <v>604</v>
      </c>
      <c r="C155" s="73" t="s">
        <v>455</v>
      </c>
      <c r="D155" s="73" t="s">
        <v>211</v>
      </c>
      <c r="E155" s="73" t="s">
        <v>68</v>
      </c>
      <c r="F155" s="73">
        <v>2000</v>
      </c>
      <c r="G155" s="73" t="s">
        <v>284</v>
      </c>
      <c r="H155" s="73"/>
      <c r="I155" s="73" t="s">
        <v>175</v>
      </c>
      <c r="J155" s="73" t="s">
        <v>943</v>
      </c>
      <c r="K155" s="73" t="s">
        <v>286</v>
      </c>
      <c r="L155" s="73" t="s">
        <v>131</v>
      </c>
      <c r="M155" s="73" t="s">
        <v>958</v>
      </c>
      <c r="N155" s="73">
        <v>1</v>
      </c>
      <c r="O155" s="73"/>
      <c r="P155" s="73"/>
      <c r="Q155" s="73"/>
      <c r="R155" s="73" t="s">
        <v>444</v>
      </c>
      <c r="S155" s="73">
        <v>9</v>
      </c>
      <c r="T155" s="73">
        <v>9</v>
      </c>
      <c r="U155" s="73" t="s">
        <v>627</v>
      </c>
      <c r="V155" s="73" t="s">
        <v>207</v>
      </c>
      <c r="W155" s="73" t="s">
        <v>207</v>
      </c>
      <c r="X155" s="73" t="s">
        <v>207</v>
      </c>
      <c r="Y155" s="73" t="s">
        <v>207</v>
      </c>
      <c r="Z155" s="73" t="s">
        <v>207</v>
      </c>
      <c r="AA155" s="73" t="s">
        <v>207</v>
      </c>
      <c r="AB155" s="73" t="s">
        <v>207</v>
      </c>
      <c r="AC155" s="73" t="s">
        <v>207</v>
      </c>
      <c r="AD155" s="73" t="s">
        <v>950</v>
      </c>
      <c r="AE155" s="73" t="s">
        <v>207</v>
      </c>
      <c r="AF155" s="87">
        <v>4.2896800000000006</v>
      </c>
      <c r="AG155" s="87">
        <v>7.2859999999999675E-2</v>
      </c>
      <c r="AH155" s="87">
        <f t="shared" si="58"/>
        <v>0.21857999999999903</v>
      </c>
      <c r="AI155" s="73" t="s">
        <v>978</v>
      </c>
      <c r="AJ155" s="73" t="s">
        <v>978</v>
      </c>
      <c r="AK155" s="73" t="s">
        <v>978</v>
      </c>
      <c r="AL155" s="87">
        <v>3.2818100000000001</v>
      </c>
      <c r="AM155" s="87">
        <v>3.5630000000000106E-2</v>
      </c>
      <c r="AN155" s="87">
        <f t="shared" si="59"/>
        <v>0.10689000000000032</v>
      </c>
      <c r="AO155" s="73" t="s">
        <v>978</v>
      </c>
      <c r="AP155" s="73" t="s">
        <v>978</v>
      </c>
      <c r="AQ155" s="73" t="s">
        <v>978</v>
      </c>
      <c r="AR155" s="73" t="s">
        <v>207</v>
      </c>
      <c r="AS155" s="73" t="s">
        <v>64</v>
      </c>
      <c r="AT155" s="110">
        <f t="shared" si="50"/>
        <v>1.0078700000000005</v>
      </c>
      <c r="AU155" s="110">
        <f t="shared" si="51"/>
        <v>0.17205041194370857</v>
      </c>
      <c r="AV155" s="110">
        <f t="shared" si="52"/>
        <v>0.95238095238095233</v>
      </c>
      <c r="AW155" s="110">
        <f t="shared" si="53"/>
        <v>5.5790403500471886</v>
      </c>
      <c r="AX155" s="110">
        <f t="shared" si="54"/>
        <v>9</v>
      </c>
      <c r="AY155" s="110">
        <f t="shared" si="55"/>
        <v>50.211363150424695</v>
      </c>
    </row>
    <row r="156" spans="1:51" ht="15" customHeight="1">
      <c r="A156" s="73" t="s">
        <v>651</v>
      </c>
      <c r="B156" s="73" t="s">
        <v>604</v>
      </c>
      <c r="C156" s="73" t="s">
        <v>455</v>
      </c>
      <c r="D156" s="73" t="s">
        <v>211</v>
      </c>
      <c r="E156" s="73" t="s">
        <v>68</v>
      </c>
      <c r="F156" s="73">
        <v>2000</v>
      </c>
      <c r="G156" s="73" t="s">
        <v>848</v>
      </c>
      <c r="H156" s="73"/>
      <c r="I156" s="73" t="s">
        <v>446</v>
      </c>
      <c r="J156" s="73" t="s">
        <v>943</v>
      </c>
      <c r="K156" s="73" t="s">
        <v>286</v>
      </c>
      <c r="L156" s="73" t="s">
        <v>131</v>
      </c>
      <c r="M156" s="73" t="s">
        <v>958</v>
      </c>
      <c r="N156" s="73">
        <v>1</v>
      </c>
      <c r="O156" s="73"/>
      <c r="P156" s="73"/>
      <c r="Q156" s="73"/>
      <c r="R156" s="73" t="s">
        <v>445</v>
      </c>
      <c r="S156" s="73">
        <v>9</v>
      </c>
      <c r="T156" s="73">
        <v>9</v>
      </c>
      <c r="U156" s="73" t="s">
        <v>762</v>
      </c>
      <c r="V156" s="73" t="s">
        <v>207</v>
      </c>
      <c r="W156" s="73" t="s">
        <v>207</v>
      </c>
      <c r="X156" s="73" t="s">
        <v>207</v>
      </c>
      <c r="Y156" s="73" t="s">
        <v>207</v>
      </c>
      <c r="Z156" s="73" t="s">
        <v>207</v>
      </c>
      <c r="AA156" s="73" t="s">
        <v>207</v>
      </c>
      <c r="AB156" s="73" t="s">
        <v>207</v>
      </c>
      <c r="AC156" s="73" t="s">
        <v>207</v>
      </c>
      <c r="AD156" s="73" t="s">
        <v>950</v>
      </c>
      <c r="AE156" s="73" t="s">
        <v>207</v>
      </c>
      <c r="AF156" s="87">
        <v>4.4734999999999996</v>
      </c>
      <c r="AG156" s="87">
        <v>0.18735999999999967</v>
      </c>
      <c r="AH156" s="87">
        <f t="shared" si="58"/>
        <v>0.56207999999999902</v>
      </c>
      <c r="AI156" s="73" t="s">
        <v>978</v>
      </c>
      <c r="AJ156" s="73" t="s">
        <v>978</v>
      </c>
      <c r="AK156" s="73" t="s">
        <v>978</v>
      </c>
      <c r="AL156" s="87">
        <v>3.9494699999999998</v>
      </c>
      <c r="AM156" s="87">
        <v>0.18675999999999976</v>
      </c>
      <c r="AN156" s="87">
        <f t="shared" si="59"/>
        <v>0.56027999999999922</v>
      </c>
      <c r="AO156" s="73" t="s">
        <v>978</v>
      </c>
      <c r="AP156" s="73" t="s">
        <v>978</v>
      </c>
      <c r="AQ156" s="73" t="s">
        <v>978</v>
      </c>
      <c r="AR156" s="73" t="s">
        <v>207</v>
      </c>
      <c r="AS156" s="73" t="s">
        <v>64</v>
      </c>
      <c r="AT156" s="110">
        <f t="shared" si="50"/>
        <v>0.52402999999999977</v>
      </c>
      <c r="AU156" s="110">
        <f t="shared" si="51"/>
        <v>0.56118072169310929</v>
      </c>
      <c r="AV156" s="110">
        <f t="shared" si="52"/>
        <v>0.95238095238095233</v>
      </c>
      <c r="AW156" s="110">
        <f t="shared" si="53"/>
        <v>0.88933238649120616</v>
      </c>
      <c r="AX156" s="110">
        <f t="shared" si="54"/>
        <v>9</v>
      </c>
      <c r="AY156" s="110">
        <f t="shared" si="55"/>
        <v>8.0039914784208559</v>
      </c>
    </row>
    <row r="157" spans="1:51" ht="15" customHeight="1">
      <c r="A157" s="73" t="s">
        <v>651</v>
      </c>
      <c r="B157" s="73" t="s">
        <v>604</v>
      </c>
      <c r="C157" s="73" t="s">
        <v>455</v>
      </c>
      <c r="D157" s="73" t="s">
        <v>211</v>
      </c>
      <c r="E157" s="73" t="s">
        <v>68</v>
      </c>
      <c r="F157" s="73">
        <v>2000</v>
      </c>
      <c r="G157" s="73" t="s">
        <v>760</v>
      </c>
      <c r="H157" s="73"/>
      <c r="I157" s="73" t="s">
        <v>447</v>
      </c>
      <c r="J157" s="73" t="s">
        <v>943</v>
      </c>
      <c r="K157" s="73" t="s">
        <v>967</v>
      </c>
      <c r="L157" s="73" t="s">
        <v>131</v>
      </c>
      <c r="M157" s="73" t="s">
        <v>958</v>
      </c>
      <c r="N157" s="73">
        <v>1</v>
      </c>
      <c r="O157" s="73"/>
      <c r="P157" s="73"/>
      <c r="Q157" s="73"/>
      <c r="R157" s="73" t="s">
        <v>652</v>
      </c>
      <c r="S157" s="73">
        <v>9</v>
      </c>
      <c r="T157" s="73">
        <v>9</v>
      </c>
      <c r="U157" s="73" t="s">
        <v>762</v>
      </c>
      <c r="V157" s="73" t="s">
        <v>207</v>
      </c>
      <c r="W157" s="73" t="s">
        <v>207</v>
      </c>
      <c r="X157" s="73" t="s">
        <v>207</v>
      </c>
      <c r="Y157" s="73" t="s">
        <v>207</v>
      </c>
      <c r="Z157" s="73" t="s">
        <v>207</v>
      </c>
      <c r="AA157" s="73" t="s">
        <v>207</v>
      </c>
      <c r="AB157" s="73" t="s">
        <v>207</v>
      </c>
      <c r="AC157" s="73" t="s">
        <v>207</v>
      </c>
      <c r="AD157" s="73" t="s">
        <v>950</v>
      </c>
      <c r="AE157" s="73" t="s">
        <v>207</v>
      </c>
      <c r="AF157" s="87">
        <v>4.3719099999999997</v>
      </c>
      <c r="AG157" s="87">
        <v>0.15051000000000023</v>
      </c>
      <c r="AH157" s="87">
        <f t="shared" si="58"/>
        <v>0.45153000000000065</v>
      </c>
      <c r="AI157" s="73" t="s">
        <v>978</v>
      </c>
      <c r="AJ157" s="73" t="s">
        <v>978</v>
      </c>
      <c r="AK157" s="73" t="s">
        <v>978</v>
      </c>
      <c r="AL157" s="87">
        <v>4.1082999999999998</v>
      </c>
      <c r="AM157" s="87">
        <v>0.22459000000000015</v>
      </c>
      <c r="AN157" s="87">
        <f t="shared" si="59"/>
        <v>0.67377000000000042</v>
      </c>
      <c r="AO157" s="73" t="s">
        <v>978</v>
      </c>
      <c r="AP157" s="73" t="s">
        <v>978</v>
      </c>
      <c r="AQ157" s="73" t="s">
        <v>978</v>
      </c>
      <c r="AR157" s="73" t="s">
        <v>207</v>
      </c>
      <c r="AS157" s="73" t="s">
        <v>64</v>
      </c>
      <c r="AT157" s="110">
        <f t="shared" si="50"/>
        <v>0.2636099999999999</v>
      </c>
      <c r="AU157" s="110">
        <f t="shared" si="51"/>
        <v>0.57351780870344427</v>
      </c>
      <c r="AV157" s="110">
        <f t="shared" si="52"/>
        <v>0.95238095238095233</v>
      </c>
      <c r="AW157" s="110">
        <f t="shared" si="53"/>
        <v>0.43774951544174256</v>
      </c>
      <c r="AX157" s="110">
        <f t="shared" si="54"/>
        <v>9</v>
      </c>
      <c r="AY157" s="110">
        <f t="shared" si="55"/>
        <v>3.9397456389756833</v>
      </c>
    </row>
    <row r="158" spans="1:51" ht="15" customHeight="1">
      <c r="A158" s="73" t="s">
        <v>651</v>
      </c>
      <c r="B158" s="73" t="s">
        <v>604</v>
      </c>
      <c r="C158" s="73" t="s">
        <v>455</v>
      </c>
      <c r="D158" s="73" t="s">
        <v>211</v>
      </c>
      <c r="E158" s="73" t="s">
        <v>68</v>
      </c>
      <c r="F158" s="73">
        <v>2000</v>
      </c>
      <c r="G158" s="73" t="s">
        <v>760</v>
      </c>
      <c r="H158" s="73"/>
      <c r="I158" s="73" t="s">
        <v>93</v>
      </c>
      <c r="J158" s="73" t="s">
        <v>943</v>
      </c>
      <c r="K158" s="73" t="s">
        <v>286</v>
      </c>
      <c r="L158" s="73" t="s">
        <v>131</v>
      </c>
      <c r="M158" s="73" t="s">
        <v>958</v>
      </c>
      <c r="N158" s="73">
        <v>1</v>
      </c>
      <c r="O158" s="73"/>
      <c r="P158" s="73"/>
      <c r="Q158" s="73"/>
      <c r="R158" s="73" t="s">
        <v>653</v>
      </c>
      <c r="S158" s="73">
        <v>9</v>
      </c>
      <c r="T158" s="73">
        <v>9</v>
      </c>
      <c r="U158" s="73" t="s">
        <v>762</v>
      </c>
      <c r="V158" s="73" t="s">
        <v>207</v>
      </c>
      <c r="W158" s="73" t="s">
        <v>207</v>
      </c>
      <c r="X158" s="73" t="s">
        <v>207</v>
      </c>
      <c r="Y158" s="73" t="s">
        <v>207</v>
      </c>
      <c r="Z158" s="73" t="s">
        <v>207</v>
      </c>
      <c r="AA158" s="73" t="s">
        <v>207</v>
      </c>
      <c r="AB158" s="73" t="s">
        <v>207</v>
      </c>
      <c r="AC158" s="73" t="s">
        <v>207</v>
      </c>
      <c r="AD158" s="73" t="s">
        <v>950</v>
      </c>
      <c r="AE158" s="73" t="s">
        <v>207</v>
      </c>
      <c r="AF158" s="87">
        <v>4.4196400000000002</v>
      </c>
      <c r="AG158" s="87">
        <v>0.22477999999999976</v>
      </c>
      <c r="AH158" s="87">
        <f t="shared" si="58"/>
        <v>0.67433999999999927</v>
      </c>
      <c r="AI158" s="73" t="s">
        <v>978</v>
      </c>
      <c r="AJ158" s="73" t="s">
        <v>978</v>
      </c>
      <c r="AK158" s="73" t="s">
        <v>978</v>
      </c>
      <c r="AL158" s="87">
        <v>3.7092399999999999</v>
      </c>
      <c r="AM158" s="87">
        <v>0.15032000000000018</v>
      </c>
      <c r="AN158" s="87">
        <f t="shared" si="59"/>
        <v>0.45096000000000053</v>
      </c>
      <c r="AO158" s="73" t="s">
        <v>978</v>
      </c>
      <c r="AP158" s="73" t="s">
        <v>978</v>
      </c>
      <c r="AQ158" s="73" t="s">
        <v>978</v>
      </c>
      <c r="AR158" s="73" t="s">
        <v>207</v>
      </c>
      <c r="AS158" s="73" t="s">
        <v>65</v>
      </c>
      <c r="AT158" s="110">
        <f t="shared" si="50"/>
        <v>0.71040000000000036</v>
      </c>
      <c r="AU158" s="110">
        <f t="shared" si="51"/>
        <v>0.5736285196884825</v>
      </c>
      <c r="AV158" s="110">
        <f t="shared" si="52"/>
        <v>0.95238095238095233</v>
      </c>
      <c r="AW158" s="110">
        <f t="shared" si="53"/>
        <v>1.1794591889169859</v>
      </c>
      <c r="AX158" s="110">
        <f t="shared" si="54"/>
        <v>9</v>
      </c>
      <c r="AY158" s="110">
        <f t="shared" si="55"/>
        <v>10.615132700252873</v>
      </c>
    </row>
    <row r="159" spans="1:51" ht="15" customHeight="1">
      <c r="A159" s="73" t="s">
        <v>651</v>
      </c>
      <c r="B159" s="73" t="s">
        <v>604</v>
      </c>
      <c r="C159" s="73" t="s">
        <v>455</v>
      </c>
      <c r="D159" s="73" t="s">
        <v>211</v>
      </c>
      <c r="E159" s="73" t="s">
        <v>68</v>
      </c>
      <c r="F159" s="73">
        <v>2000</v>
      </c>
      <c r="G159" s="73" t="s">
        <v>289</v>
      </c>
      <c r="H159" s="73"/>
      <c r="I159" s="73" t="s">
        <v>287</v>
      </c>
      <c r="J159" s="73" t="s">
        <v>943</v>
      </c>
      <c r="K159" s="73" t="s">
        <v>967</v>
      </c>
      <c r="L159" s="73" t="s">
        <v>131</v>
      </c>
      <c r="M159" s="73" t="s">
        <v>958</v>
      </c>
      <c r="N159" s="73">
        <v>1</v>
      </c>
      <c r="O159" s="73"/>
      <c r="P159" s="73"/>
      <c r="Q159" s="73"/>
      <c r="R159" s="73" t="s">
        <v>654</v>
      </c>
      <c r="S159" s="73">
        <v>9</v>
      </c>
      <c r="T159" s="73">
        <v>9</v>
      </c>
      <c r="U159" s="73" t="s">
        <v>762</v>
      </c>
      <c r="V159" s="73" t="s">
        <v>207</v>
      </c>
      <c r="W159" s="73" t="s">
        <v>207</v>
      </c>
      <c r="X159" s="73" t="s">
        <v>207</v>
      </c>
      <c r="Y159" s="73" t="s">
        <v>207</v>
      </c>
      <c r="Z159" s="73" t="s">
        <v>207</v>
      </c>
      <c r="AA159" s="73" t="s">
        <v>207</v>
      </c>
      <c r="AB159" s="73" t="s">
        <v>207</v>
      </c>
      <c r="AC159" s="73" t="s">
        <v>207</v>
      </c>
      <c r="AD159" s="73" t="s">
        <v>950</v>
      </c>
      <c r="AE159" s="73" t="s">
        <v>207</v>
      </c>
      <c r="AF159" s="87">
        <v>4.7281899999999997</v>
      </c>
      <c r="AG159" s="87">
        <v>7.6249999999999998E-2</v>
      </c>
      <c r="AH159" s="87">
        <f t="shared" si="58"/>
        <v>0.22875000000000001</v>
      </c>
      <c r="AI159" s="73" t="s">
        <v>978</v>
      </c>
      <c r="AJ159" s="73" t="s">
        <v>978</v>
      </c>
      <c r="AK159" s="73" t="s">
        <v>978</v>
      </c>
      <c r="AL159" s="87">
        <v>3.7195399999999998</v>
      </c>
      <c r="AM159" s="87">
        <v>0.15051000000000023</v>
      </c>
      <c r="AN159" s="87">
        <f t="shared" si="59"/>
        <v>0.45153000000000065</v>
      </c>
      <c r="AO159" s="73" t="s">
        <v>978</v>
      </c>
      <c r="AP159" s="73" t="s">
        <v>978</v>
      </c>
      <c r="AQ159" s="73" t="s">
        <v>978</v>
      </c>
      <c r="AR159" s="73" t="s">
        <v>207</v>
      </c>
      <c r="AS159" s="73" t="s">
        <v>65</v>
      </c>
      <c r="AT159" s="110">
        <f t="shared" si="50"/>
        <v>1.0086499999999998</v>
      </c>
      <c r="AU159" s="110">
        <f t="shared" si="51"/>
        <v>0.35791472685543452</v>
      </c>
      <c r="AV159" s="110">
        <f t="shared" si="52"/>
        <v>0.95238095238095233</v>
      </c>
      <c r="AW159" s="110">
        <f t="shared" si="53"/>
        <v>2.6839327234697765</v>
      </c>
      <c r="AX159" s="110">
        <f t="shared" si="54"/>
        <v>9</v>
      </c>
      <c r="AY159" s="110">
        <f t="shared" si="55"/>
        <v>24.155394511227989</v>
      </c>
    </row>
    <row r="160" spans="1:51" ht="15" customHeight="1">
      <c r="A160" s="73" t="s">
        <v>651</v>
      </c>
      <c r="B160" s="73" t="s">
        <v>604</v>
      </c>
      <c r="C160" s="73" t="s">
        <v>455</v>
      </c>
      <c r="D160" s="73" t="s">
        <v>211</v>
      </c>
      <c r="E160" s="73" t="s">
        <v>68</v>
      </c>
      <c r="F160" s="73">
        <v>2000</v>
      </c>
      <c r="G160" s="73" t="s">
        <v>187</v>
      </c>
      <c r="H160" s="73"/>
      <c r="I160" s="73" t="s">
        <v>624</v>
      </c>
      <c r="J160" s="73" t="s">
        <v>943</v>
      </c>
      <c r="K160" s="73" t="s">
        <v>286</v>
      </c>
      <c r="L160" s="73" t="s">
        <v>131</v>
      </c>
      <c r="M160" s="73" t="s">
        <v>958</v>
      </c>
      <c r="N160" s="73">
        <v>1</v>
      </c>
      <c r="O160" s="73"/>
      <c r="P160" s="73"/>
      <c r="Q160" s="73"/>
      <c r="R160" s="73" t="s">
        <v>655</v>
      </c>
      <c r="S160" s="73">
        <v>9</v>
      </c>
      <c r="T160" s="73">
        <v>9</v>
      </c>
      <c r="U160" s="73" t="s">
        <v>762</v>
      </c>
      <c r="V160" s="73" t="s">
        <v>207</v>
      </c>
      <c r="W160" s="73" t="s">
        <v>207</v>
      </c>
      <c r="X160" s="73" t="s">
        <v>207</v>
      </c>
      <c r="Y160" s="73" t="s">
        <v>207</v>
      </c>
      <c r="Z160" s="73" t="s">
        <v>207</v>
      </c>
      <c r="AA160" s="73" t="s">
        <v>207</v>
      </c>
      <c r="AB160" s="73" t="s">
        <v>207</v>
      </c>
      <c r="AC160" s="73" t="s">
        <v>207</v>
      </c>
      <c r="AD160" s="73" t="s">
        <v>950</v>
      </c>
      <c r="AE160" s="73" t="s">
        <v>207</v>
      </c>
      <c r="AF160" s="87">
        <v>4.9246600000000003</v>
      </c>
      <c r="AG160" s="87">
        <v>0.2251800000000003</v>
      </c>
      <c r="AH160" s="87">
        <f t="shared" si="58"/>
        <v>0.67554000000000092</v>
      </c>
      <c r="AI160" s="73" t="s">
        <v>978</v>
      </c>
      <c r="AJ160" s="73" t="s">
        <v>978</v>
      </c>
      <c r="AK160" s="73" t="s">
        <v>978</v>
      </c>
      <c r="AL160" s="87">
        <v>4.3261599999999998</v>
      </c>
      <c r="AM160" s="87">
        <v>0.22457999999999992</v>
      </c>
      <c r="AN160" s="87">
        <f t="shared" si="59"/>
        <v>0.67373999999999978</v>
      </c>
      <c r="AO160" s="73" t="s">
        <v>978</v>
      </c>
      <c r="AP160" s="73" t="s">
        <v>978</v>
      </c>
      <c r="AQ160" s="73" t="s">
        <v>978</v>
      </c>
      <c r="AR160" s="73" t="s">
        <v>207</v>
      </c>
      <c r="AS160" s="73" t="s">
        <v>65</v>
      </c>
      <c r="AT160" s="110">
        <f t="shared" si="50"/>
        <v>0.59850000000000048</v>
      </c>
      <c r="AU160" s="110">
        <f t="shared" si="51"/>
        <v>0.67464060031990403</v>
      </c>
      <c r="AV160" s="110">
        <f t="shared" si="52"/>
        <v>0.95238095238095233</v>
      </c>
      <c r="AW160" s="110">
        <f t="shared" si="53"/>
        <v>0.84489430332196924</v>
      </c>
      <c r="AX160" s="110">
        <f t="shared" si="54"/>
        <v>9</v>
      </c>
      <c r="AY160" s="110">
        <f t="shared" si="55"/>
        <v>7.6040487298977233</v>
      </c>
    </row>
    <row r="161" spans="1:51" ht="15" customHeight="1">
      <c r="A161" s="73" t="s">
        <v>651</v>
      </c>
      <c r="B161" s="73" t="s">
        <v>604</v>
      </c>
      <c r="C161" s="73" t="s">
        <v>455</v>
      </c>
      <c r="D161" s="73" t="s">
        <v>211</v>
      </c>
      <c r="E161" s="73" t="s">
        <v>68</v>
      </c>
      <c r="F161" s="73">
        <v>2000</v>
      </c>
      <c r="G161" s="73" t="s">
        <v>187</v>
      </c>
      <c r="H161" s="73"/>
      <c r="I161" s="73" t="s">
        <v>625</v>
      </c>
      <c r="J161" s="73" t="s">
        <v>943</v>
      </c>
      <c r="K161" s="73" t="s">
        <v>286</v>
      </c>
      <c r="L161" s="73" t="s">
        <v>131</v>
      </c>
      <c r="M161" s="73" t="s">
        <v>958</v>
      </c>
      <c r="N161" s="73">
        <v>1</v>
      </c>
      <c r="O161" s="73"/>
      <c r="P161" s="73"/>
      <c r="Q161" s="73"/>
      <c r="R161" s="73" t="s">
        <v>656</v>
      </c>
      <c r="S161" s="73">
        <v>9</v>
      </c>
      <c r="T161" s="73">
        <v>9</v>
      </c>
      <c r="U161" s="73" t="s">
        <v>762</v>
      </c>
      <c r="V161" s="73" t="s">
        <v>207</v>
      </c>
      <c r="W161" s="73" t="s">
        <v>207</v>
      </c>
      <c r="X161" s="73" t="s">
        <v>207</v>
      </c>
      <c r="Y161" s="73" t="s">
        <v>207</v>
      </c>
      <c r="Z161" s="73" t="s">
        <v>207</v>
      </c>
      <c r="AA161" s="73" t="s">
        <v>207</v>
      </c>
      <c r="AB161" s="73" t="s">
        <v>207</v>
      </c>
      <c r="AC161" s="73" t="s">
        <v>207</v>
      </c>
      <c r="AD161" s="73" t="s">
        <v>950</v>
      </c>
      <c r="AE161" s="73" t="s">
        <v>207</v>
      </c>
      <c r="AF161" s="87">
        <v>4.7864199999999997</v>
      </c>
      <c r="AG161" s="87">
        <v>0.22477999999999976</v>
      </c>
      <c r="AH161" s="87">
        <f t="shared" si="58"/>
        <v>0.67433999999999927</v>
      </c>
      <c r="AI161" s="73" t="s">
        <v>978</v>
      </c>
      <c r="AJ161" s="73" t="s">
        <v>978</v>
      </c>
      <c r="AK161" s="73" t="s">
        <v>978</v>
      </c>
      <c r="AL161" s="87">
        <v>4.0756300000000003</v>
      </c>
      <c r="AM161" s="87">
        <v>0.11347999999999957</v>
      </c>
      <c r="AN161" s="87">
        <f t="shared" si="59"/>
        <v>0.34043999999999869</v>
      </c>
      <c r="AO161" s="73" t="s">
        <v>978</v>
      </c>
      <c r="AP161" s="73" t="s">
        <v>978</v>
      </c>
      <c r="AQ161" s="73" t="s">
        <v>978</v>
      </c>
      <c r="AR161" s="73" t="s">
        <v>207</v>
      </c>
      <c r="AS161" s="73" t="s">
        <v>65</v>
      </c>
      <c r="AT161" s="110">
        <f t="shared" si="50"/>
        <v>0.71078999999999937</v>
      </c>
      <c r="AU161" s="110">
        <f t="shared" si="51"/>
        <v>0.53415064785133326</v>
      </c>
      <c r="AV161" s="110">
        <f t="shared" si="52"/>
        <v>0.95238095238095233</v>
      </c>
      <c r="AW161" s="110">
        <f t="shared" si="53"/>
        <v>1.2673257251786874</v>
      </c>
      <c r="AX161" s="110">
        <f t="shared" si="54"/>
        <v>9</v>
      </c>
      <c r="AY161" s="110">
        <f t="shared" si="55"/>
        <v>11.405931526608185</v>
      </c>
    </row>
    <row r="162" spans="1:51" ht="15" customHeight="1">
      <c r="A162" s="73" t="s">
        <v>651</v>
      </c>
      <c r="B162" s="73" t="s">
        <v>604</v>
      </c>
      <c r="C162" s="73" t="s">
        <v>455</v>
      </c>
      <c r="D162" s="73" t="s">
        <v>211</v>
      </c>
      <c r="E162" s="73" t="s">
        <v>68</v>
      </c>
      <c r="F162" s="73">
        <v>2000</v>
      </c>
      <c r="G162" s="73" t="s">
        <v>849</v>
      </c>
      <c r="H162" s="73"/>
      <c r="I162" s="73" t="s">
        <v>626</v>
      </c>
      <c r="J162" s="73" t="s">
        <v>943</v>
      </c>
      <c r="K162" s="73" t="s">
        <v>286</v>
      </c>
      <c r="L162" s="73" t="s">
        <v>131</v>
      </c>
      <c r="M162" s="73" t="s">
        <v>921</v>
      </c>
      <c r="N162" s="73">
        <v>1</v>
      </c>
      <c r="O162" s="73"/>
      <c r="P162" s="73"/>
      <c r="Q162" s="73"/>
      <c r="R162" s="73" t="s">
        <v>442</v>
      </c>
      <c r="S162" s="73">
        <v>9</v>
      </c>
      <c r="T162" s="73">
        <v>9</v>
      </c>
      <c r="U162" s="73" t="s">
        <v>762</v>
      </c>
      <c r="V162" s="73" t="s">
        <v>207</v>
      </c>
      <c r="W162" s="73" t="s">
        <v>207</v>
      </c>
      <c r="X162" s="73" t="s">
        <v>207</v>
      </c>
      <c r="Y162" s="73" t="s">
        <v>207</v>
      </c>
      <c r="Z162" s="73" t="s">
        <v>207</v>
      </c>
      <c r="AA162" s="73" t="s">
        <v>207</v>
      </c>
      <c r="AB162" s="73" t="s">
        <v>207</v>
      </c>
      <c r="AC162" s="73" t="s">
        <v>207</v>
      </c>
      <c r="AD162" s="73" t="s">
        <v>950</v>
      </c>
      <c r="AE162" s="73" t="s">
        <v>207</v>
      </c>
      <c r="AF162" s="87">
        <v>4.6477899999999996</v>
      </c>
      <c r="AG162" s="87">
        <v>0.18735000000000038</v>
      </c>
      <c r="AH162" s="87">
        <f t="shared" si="58"/>
        <v>0.56205000000000116</v>
      </c>
      <c r="AI162" s="73" t="s">
        <v>978</v>
      </c>
      <c r="AJ162" s="73" t="s">
        <v>978</v>
      </c>
      <c r="AK162" s="73" t="s">
        <v>978</v>
      </c>
      <c r="AL162" s="87">
        <v>4.1607899999999995</v>
      </c>
      <c r="AM162" s="87">
        <v>0.14992000000000008</v>
      </c>
      <c r="AN162" s="87">
        <f t="shared" si="59"/>
        <v>0.44976000000000027</v>
      </c>
      <c r="AO162" s="73" t="s">
        <v>978</v>
      </c>
      <c r="AP162" s="73" t="s">
        <v>978</v>
      </c>
      <c r="AQ162" s="73" t="s">
        <v>978</v>
      </c>
      <c r="AR162" s="73" t="s">
        <v>207</v>
      </c>
      <c r="AS162" s="73" t="s">
        <v>64</v>
      </c>
      <c r="AT162" s="110">
        <f t="shared" si="50"/>
        <v>0.4870000000000001</v>
      </c>
      <c r="AU162" s="110">
        <f t="shared" si="51"/>
        <v>0.50901093313405432</v>
      </c>
      <c r="AV162" s="110">
        <f t="shared" si="52"/>
        <v>0.95238095238095233</v>
      </c>
      <c r="AW162" s="110">
        <f t="shared" si="53"/>
        <v>0.91119756692411547</v>
      </c>
      <c r="AX162" s="110">
        <f t="shared" si="54"/>
        <v>9</v>
      </c>
      <c r="AY162" s="110">
        <f t="shared" si="55"/>
        <v>8.2007781023170399</v>
      </c>
    </row>
    <row r="163" spans="1:51" ht="15" customHeight="1">
      <c r="A163" s="73" t="s">
        <v>651</v>
      </c>
      <c r="B163" s="73" t="s">
        <v>604</v>
      </c>
      <c r="C163" s="73" t="s">
        <v>455</v>
      </c>
      <c r="D163" s="73" t="s">
        <v>211</v>
      </c>
      <c r="E163" s="73" t="s">
        <v>68</v>
      </c>
      <c r="F163" s="73">
        <v>2000</v>
      </c>
      <c r="G163" s="73" t="s">
        <v>285</v>
      </c>
      <c r="H163" s="73"/>
      <c r="I163" s="73" t="s">
        <v>219</v>
      </c>
      <c r="J163" s="73" t="s">
        <v>943</v>
      </c>
      <c r="K163" s="73" t="s">
        <v>125</v>
      </c>
      <c r="L163" s="73" t="s">
        <v>131</v>
      </c>
      <c r="M163" s="73" t="s">
        <v>958</v>
      </c>
      <c r="N163" s="73">
        <v>1</v>
      </c>
      <c r="O163" s="73"/>
      <c r="P163" s="73"/>
      <c r="Q163" s="73"/>
      <c r="R163" s="73" t="s">
        <v>443</v>
      </c>
      <c r="S163" s="73">
        <v>9</v>
      </c>
      <c r="T163" s="73">
        <v>9</v>
      </c>
      <c r="U163" s="73" t="s">
        <v>762</v>
      </c>
      <c r="V163" s="73" t="s">
        <v>207</v>
      </c>
      <c r="W163" s="73" t="s">
        <v>207</v>
      </c>
      <c r="X163" s="73" t="s">
        <v>207</v>
      </c>
      <c r="Y163" s="73" t="s">
        <v>207</v>
      </c>
      <c r="Z163" s="73" t="s">
        <v>207</v>
      </c>
      <c r="AA163" s="73" t="s">
        <v>207</v>
      </c>
      <c r="AB163" s="73" t="s">
        <v>207</v>
      </c>
      <c r="AC163" s="73" t="s">
        <v>207</v>
      </c>
      <c r="AD163" s="73" t="s">
        <v>950</v>
      </c>
      <c r="AE163" s="73" t="s">
        <v>207</v>
      </c>
      <c r="AF163" s="87">
        <v>5.2538100000000005</v>
      </c>
      <c r="AG163" s="87">
        <v>0.18794999999999981</v>
      </c>
      <c r="AH163" s="87">
        <f t="shared" si="58"/>
        <v>0.56384999999999941</v>
      </c>
      <c r="AI163" s="73" t="s">
        <v>978</v>
      </c>
      <c r="AJ163" s="73" t="s">
        <v>978</v>
      </c>
      <c r="AK163" s="73" t="s">
        <v>978</v>
      </c>
      <c r="AL163" s="87">
        <v>4.3200200000000004</v>
      </c>
      <c r="AM163" s="87">
        <v>0.15090999999999985</v>
      </c>
      <c r="AN163" s="87">
        <f t="shared" si="59"/>
        <v>0.45272999999999952</v>
      </c>
      <c r="AO163" s="73" t="s">
        <v>978</v>
      </c>
      <c r="AP163" s="73" t="s">
        <v>978</v>
      </c>
      <c r="AQ163" s="73" t="s">
        <v>978</v>
      </c>
      <c r="AR163" s="73" t="s">
        <v>207</v>
      </c>
      <c r="AS163" s="73" t="s">
        <v>63</v>
      </c>
      <c r="AT163" s="110">
        <f t="shared" si="50"/>
        <v>0.93379000000000012</v>
      </c>
      <c r="AU163" s="110">
        <f t="shared" si="51"/>
        <v>0.51131755074513086</v>
      </c>
      <c r="AV163" s="110">
        <f t="shared" si="52"/>
        <v>0.95238095238095233</v>
      </c>
      <c r="AW163" s="110">
        <f t="shared" si="53"/>
        <v>1.7392788654092144</v>
      </c>
      <c r="AX163" s="110">
        <f t="shared" si="54"/>
        <v>9</v>
      </c>
      <c r="AY163" s="110">
        <f t="shared" si="55"/>
        <v>15.65350978868293</v>
      </c>
    </row>
    <row r="164" spans="1:51" ht="15" customHeight="1">
      <c r="A164" s="78" t="s">
        <v>651</v>
      </c>
      <c r="B164" s="78" t="s">
        <v>604</v>
      </c>
      <c r="C164" s="78" t="s">
        <v>455</v>
      </c>
      <c r="D164" s="78" t="s">
        <v>211</v>
      </c>
      <c r="E164" s="78" t="s">
        <v>68</v>
      </c>
      <c r="F164" s="78">
        <v>2000</v>
      </c>
      <c r="G164" s="73" t="s">
        <v>284</v>
      </c>
      <c r="H164" s="73"/>
      <c r="I164" s="78" t="s">
        <v>175</v>
      </c>
      <c r="J164" s="78" t="s">
        <v>943</v>
      </c>
      <c r="K164" s="78" t="s">
        <v>286</v>
      </c>
      <c r="L164" s="73" t="s">
        <v>131</v>
      </c>
      <c r="M164" s="73" t="s">
        <v>958</v>
      </c>
      <c r="N164" s="73">
        <v>1</v>
      </c>
      <c r="O164" s="73"/>
      <c r="P164" s="73"/>
      <c r="Q164" s="73"/>
      <c r="R164" s="78" t="s">
        <v>444</v>
      </c>
      <c r="S164" s="78">
        <v>9</v>
      </c>
      <c r="T164" s="78">
        <v>9</v>
      </c>
      <c r="U164" s="78" t="s">
        <v>762</v>
      </c>
      <c r="V164" s="78" t="s">
        <v>207</v>
      </c>
      <c r="W164" s="78" t="s">
        <v>207</v>
      </c>
      <c r="X164" s="78" t="s">
        <v>207</v>
      </c>
      <c r="Y164" s="78" t="s">
        <v>207</v>
      </c>
      <c r="Z164" s="78" t="s">
        <v>207</v>
      </c>
      <c r="AA164" s="78" t="s">
        <v>207</v>
      </c>
      <c r="AB164" s="78" t="s">
        <v>207</v>
      </c>
      <c r="AC164" s="78" t="s">
        <v>207</v>
      </c>
      <c r="AD164" s="78" t="s">
        <v>950</v>
      </c>
      <c r="AE164" s="78" t="s">
        <v>207</v>
      </c>
      <c r="AF164" s="90">
        <v>4.4826099999999993</v>
      </c>
      <c r="AG164" s="90">
        <v>0.22499000000000069</v>
      </c>
      <c r="AH164" s="90">
        <f t="shared" si="58"/>
        <v>0.67497000000000207</v>
      </c>
      <c r="AI164" s="78" t="s">
        <v>978</v>
      </c>
      <c r="AJ164" s="78" t="s">
        <v>978</v>
      </c>
      <c r="AK164" s="78" t="s">
        <v>978</v>
      </c>
      <c r="AL164" s="90">
        <v>3.7349800000000002</v>
      </c>
      <c r="AM164" s="90">
        <v>0.15051999999999999</v>
      </c>
      <c r="AN164" s="87">
        <f t="shared" si="59"/>
        <v>0.45155999999999996</v>
      </c>
      <c r="AO164" s="78" t="s">
        <v>978</v>
      </c>
      <c r="AP164" s="78" t="s">
        <v>978</v>
      </c>
      <c r="AQ164" s="78" t="s">
        <v>978</v>
      </c>
      <c r="AR164" s="78" t="s">
        <v>207</v>
      </c>
      <c r="AS164" s="73" t="s">
        <v>63</v>
      </c>
      <c r="AT164" s="110">
        <f t="shared" si="50"/>
        <v>0.74762999999999913</v>
      </c>
      <c r="AU164" s="110">
        <f t="shared" si="51"/>
        <v>0.57423467959537355</v>
      </c>
      <c r="AV164" s="110">
        <f t="shared" si="52"/>
        <v>0.95238095238095233</v>
      </c>
      <c r="AW164" s="110">
        <f t="shared" si="53"/>
        <v>1.2399609371037841</v>
      </c>
      <c r="AX164" s="110">
        <f t="shared" si="54"/>
        <v>9</v>
      </c>
      <c r="AY164" s="110">
        <f t="shared" si="55"/>
        <v>11.159648433934057</v>
      </c>
    </row>
    <row r="165" spans="1:51" ht="15" customHeight="1">
      <c r="A165" s="88" t="s">
        <v>100</v>
      </c>
      <c r="B165" s="88" t="s">
        <v>604</v>
      </c>
      <c r="C165" s="88" t="s">
        <v>101</v>
      </c>
      <c r="D165" s="88" t="s">
        <v>558</v>
      </c>
      <c r="E165" s="88" t="s">
        <v>559</v>
      </c>
      <c r="F165" s="88">
        <v>1999</v>
      </c>
      <c r="G165" s="88" t="s">
        <v>285</v>
      </c>
      <c r="H165" s="88"/>
      <c r="I165" s="88" t="s">
        <v>449</v>
      </c>
      <c r="J165" s="73" t="s">
        <v>736</v>
      </c>
      <c r="K165" s="73" t="s">
        <v>926</v>
      </c>
      <c r="L165" s="88" t="s">
        <v>131</v>
      </c>
      <c r="M165" s="88" t="s">
        <v>958</v>
      </c>
      <c r="N165" s="88">
        <v>1</v>
      </c>
      <c r="O165" s="88"/>
      <c r="P165" s="88"/>
      <c r="Q165" s="88"/>
      <c r="R165" s="88">
        <v>3223</v>
      </c>
      <c r="S165" s="73">
        <v>4</v>
      </c>
      <c r="T165" s="88">
        <v>4</v>
      </c>
      <c r="U165" s="88" t="s">
        <v>207</v>
      </c>
      <c r="V165" s="88" t="s">
        <v>207</v>
      </c>
      <c r="W165" s="88" t="s">
        <v>207</v>
      </c>
      <c r="X165" s="88" t="s">
        <v>207</v>
      </c>
      <c r="Y165" s="88" t="s">
        <v>207</v>
      </c>
      <c r="Z165" s="88" t="s">
        <v>207</v>
      </c>
      <c r="AA165" s="88" t="s">
        <v>207</v>
      </c>
      <c r="AB165" s="88" t="s">
        <v>207</v>
      </c>
      <c r="AC165" s="88" t="s">
        <v>207</v>
      </c>
      <c r="AD165" s="88" t="s">
        <v>950</v>
      </c>
      <c r="AE165" s="88" t="s">
        <v>207</v>
      </c>
      <c r="AF165" s="86">
        <v>8.7629999999999999</v>
      </c>
      <c r="AG165" s="86">
        <v>0.25490000000000002</v>
      </c>
      <c r="AH165" s="87">
        <f t="shared" si="58"/>
        <v>0.50980000000000003</v>
      </c>
      <c r="AI165" s="88" t="s">
        <v>978</v>
      </c>
      <c r="AJ165" s="88" t="s">
        <v>978</v>
      </c>
      <c r="AK165" s="88" t="s">
        <v>978</v>
      </c>
      <c r="AL165" s="86">
        <v>8.5239999999999991</v>
      </c>
      <c r="AM165" s="86">
        <v>0.106</v>
      </c>
      <c r="AN165" s="86">
        <f t="shared" si="59"/>
        <v>0.21199999999999999</v>
      </c>
      <c r="AO165" s="88" t="s">
        <v>978</v>
      </c>
      <c r="AP165" s="88" t="s">
        <v>978</v>
      </c>
      <c r="AQ165" s="88" t="s">
        <v>978</v>
      </c>
      <c r="AR165" s="88" t="s">
        <v>207</v>
      </c>
      <c r="AS165" s="88" t="s">
        <v>448</v>
      </c>
      <c r="AT165" s="110">
        <f t="shared" si="50"/>
        <v>0.23900000000000077</v>
      </c>
      <c r="AU165" s="110">
        <f t="shared" si="51"/>
        <v>0.44863432365751554</v>
      </c>
      <c r="AV165" s="110">
        <f t="shared" si="52"/>
        <v>0.86956521739130432</v>
      </c>
      <c r="AW165" s="110">
        <f t="shared" si="53"/>
        <v>0.46324161125749141</v>
      </c>
      <c r="AX165" s="110">
        <f t="shared" si="54"/>
        <v>9</v>
      </c>
      <c r="AY165" s="110">
        <f t="shared" si="55"/>
        <v>4.1691745013174231</v>
      </c>
    </row>
    <row r="166" spans="1:51" ht="15" customHeight="1">
      <c r="A166" s="73" t="s">
        <v>100</v>
      </c>
      <c r="B166" s="73" t="s">
        <v>604</v>
      </c>
      <c r="C166" s="73" t="s">
        <v>101</v>
      </c>
      <c r="D166" s="73" t="s">
        <v>558</v>
      </c>
      <c r="E166" s="73" t="s">
        <v>559</v>
      </c>
      <c r="F166" s="73">
        <v>1999</v>
      </c>
      <c r="G166" s="73" t="s">
        <v>285</v>
      </c>
      <c r="H166" s="73"/>
      <c r="I166" s="73" t="s">
        <v>28</v>
      </c>
      <c r="J166" s="73" t="s">
        <v>736</v>
      </c>
      <c r="K166" s="73" t="s">
        <v>125</v>
      </c>
      <c r="L166" s="73" t="s">
        <v>131</v>
      </c>
      <c r="M166" s="73" t="s">
        <v>921</v>
      </c>
      <c r="N166" s="73">
        <v>1</v>
      </c>
      <c r="O166" s="73"/>
      <c r="P166" s="73"/>
      <c r="Q166" s="73"/>
      <c r="R166" s="73">
        <v>3394</v>
      </c>
      <c r="S166" s="73">
        <v>4</v>
      </c>
      <c r="T166" s="73">
        <v>4</v>
      </c>
      <c r="U166" s="73" t="s">
        <v>207</v>
      </c>
      <c r="V166" s="73" t="s">
        <v>207</v>
      </c>
      <c r="W166" s="73" t="s">
        <v>207</v>
      </c>
      <c r="X166" s="73" t="s">
        <v>207</v>
      </c>
      <c r="Y166" s="73" t="s">
        <v>207</v>
      </c>
      <c r="Z166" s="73" t="s">
        <v>207</v>
      </c>
      <c r="AA166" s="73" t="s">
        <v>207</v>
      </c>
      <c r="AB166" s="73" t="s">
        <v>207</v>
      </c>
      <c r="AC166" s="73" t="s">
        <v>207</v>
      </c>
      <c r="AD166" s="73" t="s">
        <v>950</v>
      </c>
      <c r="AE166" s="73" t="s">
        <v>207</v>
      </c>
      <c r="AF166" s="87">
        <v>8.3569999999999993</v>
      </c>
      <c r="AG166" s="87">
        <v>9.9099999999999994E-2</v>
      </c>
      <c r="AH166" s="87">
        <f t="shared" si="58"/>
        <v>0.19819999999999999</v>
      </c>
      <c r="AI166" s="73" t="s">
        <v>978</v>
      </c>
      <c r="AJ166" s="73" t="s">
        <v>978</v>
      </c>
      <c r="AK166" s="73" t="s">
        <v>978</v>
      </c>
      <c r="AL166" s="87">
        <v>8.1560000000000006</v>
      </c>
      <c r="AM166" s="87">
        <v>0.106</v>
      </c>
      <c r="AN166" s="87">
        <f t="shared" si="59"/>
        <v>0.21199999999999999</v>
      </c>
      <c r="AO166" s="73" t="s">
        <v>978</v>
      </c>
      <c r="AP166" s="73" t="s">
        <v>978</v>
      </c>
      <c r="AQ166" s="73" t="s">
        <v>978</v>
      </c>
      <c r="AR166" s="73" t="s">
        <v>207</v>
      </c>
      <c r="AS166" s="73" t="s">
        <v>448</v>
      </c>
      <c r="AT166" s="110">
        <f t="shared" si="50"/>
        <v>0.20099999999999874</v>
      </c>
      <c r="AU166" s="110">
        <f t="shared" si="51"/>
        <v>0.20521603251208226</v>
      </c>
      <c r="AV166" s="110">
        <f t="shared" si="52"/>
        <v>0.86956521739130432</v>
      </c>
      <c r="AW166" s="110">
        <f t="shared" si="53"/>
        <v>0.85170055456247362</v>
      </c>
      <c r="AX166" s="110">
        <f t="shared" si="54"/>
        <v>4</v>
      </c>
      <c r="AY166" s="110">
        <f t="shared" si="55"/>
        <v>3.4068022182498945</v>
      </c>
    </row>
    <row r="167" spans="1:51" ht="15" customHeight="1">
      <c r="A167" s="73" t="s">
        <v>100</v>
      </c>
      <c r="B167" s="73" t="s">
        <v>604</v>
      </c>
      <c r="C167" s="73" t="s">
        <v>418</v>
      </c>
      <c r="D167" s="73" t="s">
        <v>560</v>
      </c>
      <c r="E167" s="73" t="s">
        <v>561</v>
      </c>
      <c r="F167" s="73">
        <v>1999</v>
      </c>
      <c r="G167" s="73" t="s">
        <v>285</v>
      </c>
      <c r="H167" s="73"/>
      <c r="I167" s="73" t="s">
        <v>449</v>
      </c>
      <c r="J167" s="73" t="s">
        <v>736</v>
      </c>
      <c r="K167" s="73" t="s">
        <v>125</v>
      </c>
      <c r="L167" s="73" t="s">
        <v>131</v>
      </c>
      <c r="M167" s="73" t="s">
        <v>958</v>
      </c>
      <c r="N167" s="73">
        <v>1</v>
      </c>
      <c r="O167" s="73"/>
      <c r="P167" s="73"/>
      <c r="Q167" s="73"/>
      <c r="R167" s="73">
        <v>3223</v>
      </c>
      <c r="S167" s="73">
        <v>4</v>
      </c>
      <c r="T167" s="73">
        <v>4</v>
      </c>
      <c r="U167" s="73" t="s">
        <v>207</v>
      </c>
      <c r="V167" s="73" t="s">
        <v>207</v>
      </c>
      <c r="W167" s="73" t="s">
        <v>207</v>
      </c>
      <c r="X167" s="73" t="s">
        <v>207</v>
      </c>
      <c r="Y167" s="73" t="s">
        <v>207</v>
      </c>
      <c r="Z167" s="73" t="s">
        <v>207</v>
      </c>
      <c r="AA167" s="73" t="s">
        <v>207</v>
      </c>
      <c r="AB167" s="73" t="s">
        <v>207</v>
      </c>
      <c r="AC167" s="73" t="s">
        <v>207</v>
      </c>
      <c r="AD167" s="73" t="s">
        <v>950</v>
      </c>
      <c r="AE167" s="73" t="s">
        <v>207</v>
      </c>
      <c r="AF167" s="87">
        <v>10.635</v>
      </c>
      <c r="AG167" s="87">
        <v>0.52100000000000002</v>
      </c>
      <c r="AH167" s="87">
        <f t="shared" si="58"/>
        <v>1.042</v>
      </c>
      <c r="AI167" s="73" t="s">
        <v>978</v>
      </c>
      <c r="AJ167" s="73" t="s">
        <v>978</v>
      </c>
      <c r="AK167" s="73" t="s">
        <v>978</v>
      </c>
      <c r="AL167" s="87">
        <v>11.411</v>
      </c>
      <c r="AM167" s="87">
        <v>0.36299999999999999</v>
      </c>
      <c r="AN167" s="87">
        <f t="shared" si="59"/>
        <v>0.72599999999999998</v>
      </c>
      <c r="AO167" s="73" t="s">
        <v>978</v>
      </c>
      <c r="AP167" s="73" t="s">
        <v>978</v>
      </c>
      <c r="AQ167" s="73" t="s">
        <v>978</v>
      </c>
      <c r="AR167" s="73" t="s">
        <v>207</v>
      </c>
      <c r="AS167" s="73" t="s">
        <v>448</v>
      </c>
      <c r="AT167" s="110">
        <f t="shared" si="50"/>
        <v>-0.7759999999999998</v>
      </c>
      <c r="AU167" s="110">
        <f t="shared" si="51"/>
        <v>0.89800890864177962</v>
      </c>
      <c r="AV167" s="110">
        <f t="shared" si="52"/>
        <v>0.86956521739130432</v>
      </c>
      <c r="AW167" s="110">
        <f t="shared" si="53"/>
        <v>-0.75142084026343026</v>
      </c>
      <c r="AX167" s="110">
        <f t="shared" si="54"/>
        <v>4</v>
      </c>
      <c r="AY167" s="110">
        <f t="shared" si="55"/>
        <v>-3.005683361053721</v>
      </c>
    </row>
    <row r="168" spans="1:51" ht="15" customHeight="1">
      <c r="A168" s="73" t="s">
        <v>100</v>
      </c>
      <c r="B168" s="73" t="s">
        <v>604</v>
      </c>
      <c r="C168" s="73" t="s">
        <v>418</v>
      </c>
      <c r="D168" s="73" t="s">
        <v>560</v>
      </c>
      <c r="E168" s="73" t="s">
        <v>561</v>
      </c>
      <c r="F168" s="73">
        <v>1999</v>
      </c>
      <c r="G168" s="73" t="s">
        <v>285</v>
      </c>
      <c r="H168" s="73"/>
      <c r="I168" s="73" t="s">
        <v>363</v>
      </c>
      <c r="J168" s="73" t="s">
        <v>736</v>
      </c>
      <c r="K168" s="73" t="s">
        <v>125</v>
      </c>
      <c r="L168" s="73" t="s">
        <v>131</v>
      </c>
      <c r="M168" s="73" t="s">
        <v>921</v>
      </c>
      <c r="N168" s="73">
        <v>1</v>
      </c>
      <c r="O168" s="73"/>
      <c r="P168" s="73"/>
      <c r="Q168" s="73"/>
      <c r="R168" s="73">
        <v>3394</v>
      </c>
      <c r="S168" s="73">
        <v>4</v>
      </c>
      <c r="T168" s="73">
        <v>4</v>
      </c>
      <c r="U168" s="73" t="s">
        <v>207</v>
      </c>
      <c r="V168" s="73" t="s">
        <v>207</v>
      </c>
      <c r="W168" s="73" t="s">
        <v>207</v>
      </c>
      <c r="X168" s="73" t="s">
        <v>207</v>
      </c>
      <c r="Y168" s="73" t="s">
        <v>207</v>
      </c>
      <c r="Z168" s="73" t="s">
        <v>207</v>
      </c>
      <c r="AA168" s="73" t="s">
        <v>207</v>
      </c>
      <c r="AB168" s="73" t="s">
        <v>207</v>
      </c>
      <c r="AC168" s="73" t="s">
        <v>207</v>
      </c>
      <c r="AD168" s="73" t="s">
        <v>950</v>
      </c>
      <c r="AE168" s="73" t="s">
        <v>207</v>
      </c>
      <c r="AF168" s="87">
        <v>11.179</v>
      </c>
      <c r="AG168" s="87">
        <v>0.23699999999999999</v>
      </c>
      <c r="AH168" s="87">
        <f t="shared" si="58"/>
        <v>0.47399999999999998</v>
      </c>
      <c r="AI168" s="73" t="s">
        <v>978</v>
      </c>
      <c r="AJ168" s="73" t="s">
        <v>978</v>
      </c>
      <c r="AK168" s="73" t="s">
        <v>978</v>
      </c>
      <c r="AL168" s="87">
        <v>11.066000000000001</v>
      </c>
      <c r="AM168" s="87">
        <v>0.19700000000000001</v>
      </c>
      <c r="AN168" s="87">
        <f t="shared" si="59"/>
        <v>0.39400000000000002</v>
      </c>
      <c r="AO168" s="73" t="s">
        <v>978</v>
      </c>
      <c r="AP168" s="73" t="s">
        <v>978</v>
      </c>
      <c r="AQ168" s="73" t="s">
        <v>978</v>
      </c>
      <c r="AR168" s="73" t="s">
        <v>207</v>
      </c>
      <c r="AS168" s="73" t="s">
        <v>448</v>
      </c>
      <c r="AT168" s="110">
        <f t="shared" si="50"/>
        <v>0.11299999999999955</v>
      </c>
      <c r="AU168" s="110">
        <f t="shared" si="51"/>
        <v>0.4358394199702455</v>
      </c>
      <c r="AV168" s="110">
        <f t="shared" si="52"/>
        <v>0.86956521739130432</v>
      </c>
      <c r="AW168" s="110">
        <f t="shared" si="53"/>
        <v>0.22545200150074815</v>
      </c>
      <c r="AX168" s="110">
        <f t="shared" si="54"/>
        <v>4</v>
      </c>
      <c r="AY168" s="110">
        <f t="shared" si="55"/>
        <v>0.9018080060029926</v>
      </c>
    </row>
    <row r="169" spans="1:51" ht="15" customHeight="1">
      <c r="A169" s="73" t="s">
        <v>100</v>
      </c>
      <c r="B169" s="73" t="s">
        <v>604</v>
      </c>
      <c r="C169" s="73" t="s">
        <v>418</v>
      </c>
      <c r="D169" s="73" t="s">
        <v>560</v>
      </c>
      <c r="E169" s="73" t="s">
        <v>561</v>
      </c>
      <c r="F169" s="73">
        <v>2000</v>
      </c>
      <c r="G169" s="73" t="s">
        <v>285</v>
      </c>
      <c r="H169" s="73"/>
      <c r="I169" s="73" t="s">
        <v>362</v>
      </c>
      <c r="J169" s="73" t="s">
        <v>736</v>
      </c>
      <c r="K169" s="73" t="s">
        <v>125</v>
      </c>
      <c r="L169" s="73" t="s">
        <v>131</v>
      </c>
      <c r="M169" s="73" t="s">
        <v>958</v>
      </c>
      <c r="N169" s="73">
        <v>1</v>
      </c>
      <c r="O169" s="73"/>
      <c r="P169" s="73"/>
      <c r="Q169" s="73"/>
      <c r="R169" s="73">
        <v>3223</v>
      </c>
      <c r="S169" s="73">
        <v>4</v>
      </c>
      <c r="T169" s="73">
        <v>4</v>
      </c>
      <c r="U169" s="73" t="s">
        <v>207</v>
      </c>
      <c r="V169" s="73" t="s">
        <v>207</v>
      </c>
      <c r="W169" s="73" t="s">
        <v>207</v>
      </c>
      <c r="X169" s="73" t="s">
        <v>207</v>
      </c>
      <c r="Y169" s="73" t="s">
        <v>207</v>
      </c>
      <c r="Z169" s="73" t="s">
        <v>207</v>
      </c>
      <c r="AA169" s="73" t="s">
        <v>207</v>
      </c>
      <c r="AB169" s="73" t="s">
        <v>207</v>
      </c>
      <c r="AC169" s="73" t="s">
        <v>207</v>
      </c>
      <c r="AD169" s="73" t="s">
        <v>950</v>
      </c>
      <c r="AE169" s="73" t="s">
        <v>207</v>
      </c>
      <c r="AF169" s="87">
        <v>10.894</v>
      </c>
      <c r="AG169" s="87">
        <v>0.42899999999999999</v>
      </c>
      <c r="AH169" s="87">
        <f t="shared" si="58"/>
        <v>0.85799999999999998</v>
      </c>
      <c r="AI169" s="73" t="s">
        <v>978</v>
      </c>
      <c r="AJ169" s="73" t="s">
        <v>978</v>
      </c>
      <c r="AK169" s="73" t="s">
        <v>978</v>
      </c>
      <c r="AL169" s="87">
        <v>10.106999999999999</v>
      </c>
      <c r="AM169" s="87">
        <v>0.41499999999999998</v>
      </c>
      <c r="AN169" s="87">
        <f t="shared" si="59"/>
        <v>0.83</v>
      </c>
      <c r="AO169" s="73" t="s">
        <v>978</v>
      </c>
      <c r="AP169" s="73" t="s">
        <v>978</v>
      </c>
      <c r="AQ169" s="73" t="s">
        <v>978</v>
      </c>
      <c r="AR169" s="73" t="s">
        <v>207</v>
      </c>
      <c r="AS169" s="73" t="s">
        <v>448</v>
      </c>
      <c r="AT169" s="110">
        <f t="shared" si="50"/>
        <v>0.78700000000000081</v>
      </c>
      <c r="AU169" s="110">
        <f t="shared" si="51"/>
        <v>0.84411610575796969</v>
      </c>
      <c r="AV169" s="110">
        <f t="shared" si="52"/>
        <v>0.86956521739130432</v>
      </c>
      <c r="AW169" s="110">
        <f t="shared" si="53"/>
        <v>0.81072712796120694</v>
      </c>
      <c r="AX169" s="110">
        <f t="shared" si="54"/>
        <v>4</v>
      </c>
      <c r="AY169" s="110">
        <f t="shared" si="55"/>
        <v>3.2429085118448278</v>
      </c>
    </row>
    <row r="170" spans="1:51" ht="15" customHeight="1">
      <c r="A170" s="78" t="s">
        <v>100</v>
      </c>
      <c r="B170" s="78" t="s">
        <v>604</v>
      </c>
      <c r="C170" s="78" t="s">
        <v>418</v>
      </c>
      <c r="D170" s="78" t="s">
        <v>560</v>
      </c>
      <c r="E170" s="78" t="s">
        <v>561</v>
      </c>
      <c r="F170" s="78">
        <v>2000</v>
      </c>
      <c r="G170" s="78" t="s">
        <v>285</v>
      </c>
      <c r="H170" s="78"/>
      <c r="I170" s="78" t="s">
        <v>363</v>
      </c>
      <c r="J170" s="78" t="s">
        <v>736</v>
      </c>
      <c r="K170" s="78" t="s">
        <v>125</v>
      </c>
      <c r="L170" s="78" t="s">
        <v>131</v>
      </c>
      <c r="M170" s="78" t="s">
        <v>958</v>
      </c>
      <c r="N170" s="78">
        <v>1</v>
      </c>
      <c r="O170" s="78"/>
      <c r="P170" s="78"/>
      <c r="Q170" s="78"/>
      <c r="R170" s="78">
        <v>3394</v>
      </c>
      <c r="S170" s="78">
        <v>4</v>
      </c>
      <c r="T170" s="78">
        <v>4</v>
      </c>
      <c r="U170" s="78" t="s">
        <v>207</v>
      </c>
      <c r="V170" s="78" t="s">
        <v>207</v>
      </c>
      <c r="W170" s="78" t="s">
        <v>207</v>
      </c>
      <c r="X170" s="78" t="s">
        <v>207</v>
      </c>
      <c r="Y170" s="78" t="s">
        <v>207</v>
      </c>
      <c r="Z170" s="78" t="s">
        <v>207</v>
      </c>
      <c r="AA170" s="78" t="s">
        <v>207</v>
      </c>
      <c r="AB170" s="78" t="s">
        <v>207</v>
      </c>
      <c r="AC170" s="78" t="s">
        <v>207</v>
      </c>
      <c r="AD170" s="78" t="s">
        <v>950</v>
      </c>
      <c r="AE170" s="78" t="s">
        <v>207</v>
      </c>
      <c r="AF170" s="90">
        <v>9.1690000000000005</v>
      </c>
      <c r="AG170" s="90">
        <v>0.32300000000000001</v>
      </c>
      <c r="AH170" s="90">
        <f t="shared" si="58"/>
        <v>0.64600000000000002</v>
      </c>
      <c r="AI170" s="78" t="s">
        <v>978</v>
      </c>
      <c r="AJ170" s="78" t="s">
        <v>978</v>
      </c>
      <c r="AK170" s="78" t="s">
        <v>978</v>
      </c>
      <c r="AL170" s="90">
        <v>8.8119999999999994</v>
      </c>
      <c r="AM170" s="90">
        <v>0.27900000000000003</v>
      </c>
      <c r="AN170" s="90">
        <f t="shared" si="59"/>
        <v>0.55800000000000005</v>
      </c>
      <c r="AO170" s="78" t="s">
        <v>978</v>
      </c>
      <c r="AP170" s="78" t="s">
        <v>978</v>
      </c>
      <c r="AQ170" s="78" t="s">
        <v>978</v>
      </c>
      <c r="AR170" s="78" t="s">
        <v>207</v>
      </c>
      <c r="AS170" s="78" t="s">
        <v>448</v>
      </c>
      <c r="AT170" s="110">
        <f t="shared" si="50"/>
        <v>0.35700000000000109</v>
      </c>
      <c r="AU170" s="110">
        <f t="shared" si="51"/>
        <v>0.60360583164843595</v>
      </c>
      <c r="AV170" s="110">
        <f t="shared" si="52"/>
        <v>0.86956521739130432</v>
      </c>
      <c r="AW170" s="110">
        <f t="shared" si="53"/>
        <v>0.51430050263249638</v>
      </c>
      <c r="AX170" s="110">
        <f t="shared" si="54"/>
        <v>4</v>
      </c>
      <c r="AY170" s="110">
        <f t="shared" si="55"/>
        <v>2.0572020105299855</v>
      </c>
    </row>
    <row r="171" spans="1:51" ht="15" hidden="1" customHeight="1">
      <c r="A171" s="73" t="s">
        <v>495</v>
      </c>
      <c r="B171" s="73" t="s">
        <v>604</v>
      </c>
      <c r="C171" s="73" t="s">
        <v>265</v>
      </c>
      <c r="D171" s="73" t="s">
        <v>121</v>
      </c>
      <c r="E171" s="73" t="s">
        <v>121</v>
      </c>
      <c r="F171" s="73">
        <v>2000</v>
      </c>
      <c r="G171" s="73" t="s">
        <v>120</v>
      </c>
      <c r="H171" s="73"/>
      <c r="I171" s="73" t="s">
        <v>5</v>
      </c>
      <c r="J171" s="73" t="s">
        <v>925</v>
      </c>
      <c r="K171" s="73" t="s">
        <v>922</v>
      </c>
      <c r="L171" s="73" t="s">
        <v>923</v>
      </c>
      <c r="M171" s="73" t="s">
        <v>924</v>
      </c>
      <c r="N171" s="73"/>
      <c r="O171" s="73">
        <v>1</v>
      </c>
      <c r="P171" s="73"/>
      <c r="Q171" s="73"/>
      <c r="R171" s="73" t="s">
        <v>52</v>
      </c>
      <c r="S171" s="73">
        <v>10</v>
      </c>
      <c r="T171" s="73">
        <v>10</v>
      </c>
      <c r="U171" s="73" t="s">
        <v>121</v>
      </c>
      <c r="V171" s="73" t="s">
        <v>120</v>
      </c>
      <c r="W171" s="73" t="s">
        <v>120</v>
      </c>
      <c r="X171" s="73" t="s">
        <v>120</v>
      </c>
      <c r="Y171" s="73" t="s">
        <v>120</v>
      </c>
      <c r="Z171" s="73" t="s">
        <v>120</v>
      </c>
      <c r="AA171" s="73" t="s">
        <v>313</v>
      </c>
      <c r="AB171" s="73" t="s">
        <v>120</v>
      </c>
      <c r="AC171" s="73" t="s">
        <v>120</v>
      </c>
      <c r="AD171" s="73" t="s">
        <v>120</v>
      </c>
      <c r="AE171" s="73" t="s">
        <v>120</v>
      </c>
      <c r="AF171" s="73">
        <v>11.7</v>
      </c>
      <c r="AG171" s="73" t="s">
        <v>435</v>
      </c>
      <c r="AH171" s="87">
        <f>AJ171/AK171</f>
        <v>0.49099836333878888</v>
      </c>
      <c r="AI171" s="73" t="s">
        <v>435</v>
      </c>
      <c r="AJ171" s="73">
        <v>0.9</v>
      </c>
      <c r="AK171" s="73">
        <v>1.833</v>
      </c>
      <c r="AL171" s="73">
        <v>11.1</v>
      </c>
      <c r="AM171" s="73" t="s">
        <v>120</v>
      </c>
      <c r="AN171" s="87">
        <f>AP171/AQ171</f>
        <v>0.49099836333878888</v>
      </c>
      <c r="AO171" s="73" t="s">
        <v>435</v>
      </c>
      <c r="AP171" s="73">
        <v>0.9</v>
      </c>
      <c r="AQ171" s="73">
        <v>1.833</v>
      </c>
      <c r="AR171" s="73" t="s">
        <v>120</v>
      </c>
      <c r="AS171" s="73" t="s">
        <v>370</v>
      </c>
      <c r="AT171" s="46"/>
      <c r="AU171" s="46"/>
      <c r="AV171" s="46"/>
      <c r="AW171" s="46"/>
      <c r="AX171" s="46"/>
      <c r="AY171" s="46"/>
    </row>
    <row r="172" spans="1:51" ht="15" hidden="1" customHeight="1">
      <c r="A172" s="73" t="s">
        <v>495</v>
      </c>
      <c r="B172" s="73" t="s">
        <v>604</v>
      </c>
      <c r="C172" s="73" t="s">
        <v>265</v>
      </c>
      <c r="D172" s="73" t="s">
        <v>121</v>
      </c>
      <c r="E172" s="73" t="s">
        <v>121</v>
      </c>
      <c r="F172" s="73">
        <v>2000</v>
      </c>
      <c r="G172" s="73" t="s">
        <v>123</v>
      </c>
      <c r="H172" s="73"/>
      <c r="I172" s="73" t="s">
        <v>53</v>
      </c>
      <c r="J172" s="73" t="s">
        <v>925</v>
      </c>
      <c r="K172" s="73" t="s">
        <v>922</v>
      </c>
      <c r="L172" s="73" t="s">
        <v>923</v>
      </c>
      <c r="M172" s="73" t="s">
        <v>924</v>
      </c>
      <c r="N172" s="73"/>
      <c r="O172" s="73">
        <v>1</v>
      </c>
      <c r="P172" s="73"/>
      <c r="Q172" s="73"/>
      <c r="R172" s="73" t="s">
        <v>50</v>
      </c>
      <c r="S172" s="73">
        <v>10</v>
      </c>
      <c r="T172" s="73">
        <v>10</v>
      </c>
      <c r="U172" s="73" t="s">
        <v>121</v>
      </c>
      <c r="V172" s="73" t="s">
        <v>950</v>
      </c>
      <c r="W172" s="73" t="s">
        <v>950</v>
      </c>
      <c r="X172" s="73" t="s">
        <v>950</v>
      </c>
      <c r="Y172" s="73" t="s">
        <v>950</v>
      </c>
      <c r="Z172" s="73" t="s">
        <v>304</v>
      </c>
      <c r="AA172" s="73" t="s">
        <v>313</v>
      </c>
      <c r="AB172" s="73" t="s">
        <v>950</v>
      </c>
      <c r="AC172" s="73" t="s">
        <v>950</v>
      </c>
      <c r="AD172" s="73" t="s">
        <v>950</v>
      </c>
      <c r="AE172" s="73" t="s">
        <v>950</v>
      </c>
      <c r="AF172" s="73">
        <v>12.3</v>
      </c>
      <c r="AG172" s="73" t="s">
        <v>950</v>
      </c>
      <c r="AH172" s="87">
        <f>AJ172/AK172</f>
        <v>0.49099836333878888</v>
      </c>
      <c r="AI172" s="73" t="s">
        <v>950</v>
      </c>
      <c r="AJ172" s="73">
        <v>0.9</v>
      </c>
      <c r="AK172" s="73">
        <v>1.833</v>
      </c>
      <c r="AL172" s="73">
        <v>11.4</v>
      </c>
      <c r="AM172" s="73" t="s">
        <v>950</v>
      </c>
      <c r="AN172" s="87">
        <f>AP172/AQ172</f>
        <v>0.49099836333878888</v>
      </c>
      <c r="AO172" s="73" t="s">
        <v>950</v>
      </c>
      <c r="AP172" s="73">
        <v>0.9</v>
      </c>
      <c r="AQ172" s="73">
        <v>1.833</v>
      </c>
      <c r="AR172" s="73" t="s">
        <v>950</v>
      </c>
      <c r="AS172" s="73" t="s">
        <v>370</v>
      </c>
      <c r="AT172" s="46"/>
      <c r="AU172" s="46"/>
      <c r="AV172" s="46"/>
      <c r="AW172" s="46"/>
      <c r="AX172" s="46"/>
      <c r="AY172" s="46"/>
    </row>
    <row r="173" spans="1:51" ht="15" customHeight="1">
      <c r="A173" s="73" t="s">
        <v>495</v>
      </c>
      <c r="B173" s="73" t="s">
        <v>604</v>
      </c>
      <c r="C173" s="73" t="s">
        <v>265</v>
      </c>
      <c r="D173" s="73" t="s">
        <v>121</v>
      </c>
      <c r="E173" s="73" t="s">
        <v>121</v>
      </c>
      <c r="F173" s="73">
        <v>2000</v>
      </c>
      <c r="G173" s="73" t="s">
        <v>120</v>
      </c>
      <c r="H173" s="73"/>
      <c r="I173" s="73" t="s">
        <v>54</v>
      </c>
      <c r="J173" s="73" t="s">
        <v>122</v>
      </c>
      <c r="K173" s="73" t="s">
        <v>968</v>
      </c>
      <c r="L173" s="73" t="s">
        <v>131</v>
      </c>
      <c r="M173" s="73" t="s">
        <v>958</v>
      </c>
      <c r="N173" s="73">
        <v>1</v>
      </c>
      <c r="O173" s="73"/>
      <c r="P173" s="73"/>
      <c r="Q173" s="73"/>
      <c r="R173" s="73" t="s">
        <v>80</v>
      </c>
      <c r="S173" s="73">
        <v>10</v>
      </c>
      <c r="T173" s="73">
        <v>10</v>
      </c>
      <c r="U173" s="73" t="s">
        <v>121</v>
      </c>
      <c r="V173" s="73" t="s">
        <v>950</v>
      </c>
      <c r="W173" s="73" t="s">
        <v>950</v>
      </c>
      <c r="X173" s="73" t="s">
        <v>950</v>
      </c>
      <c r="Y173" s="73" t="s">
        <v>950</v>
      </c>
      <c r="Z173" s="73" t="s">
        <v>304</v>
      </c>
      <c r="AA173" s="73" t="s">
        <v>313</v>
      </c>
      <c r="AB173" s="73" t="s">
        <v>950</v>
      </c>
      <c r="AC173" s="73" t="s">
        <v>950</v>
      </c>
      <c r="AD173" s="73" t="s">
        <v>950</v>
      </c>
      <c r="AE173" s="73" t="s">
        <v>950</v>
      </c>
      <c r="AF173" s="73">
        <v>11.7</v>
      </c>
      <c r="AG173" s="73" t="s">
        <v>950</v>
      </c>
      <c r="AH173" s="87">
        <f>AJ173/AK173</f>
        <v>0.49099836333878888</v>
      </c>
      <c r="AI173" s="73" t="s">
        <v>950</v>
      </c>
      <c r="AJ173" s="73">
        <v>0.9</v>
      </c>
      <c r="AK173" s="73">
        <v>1.833</v>
      </c>
      <c r="AL173" s="73">
        <v>10.7</v>
      </c>
      <c r="AM173" s="73" t="s">
        <v>950</v>
      </c>
      <c r="AN173" s="87">
        <f>AP173/AQ173</f>
        <v>0.49099836333878888</v>
      </c>
      <c r="AO173" s="73" t="s">
        <v>950</v>
      </c>
      <c r="AP173" s="73">
        <v>0.9</v>
      </c>
      <c r="AQ173" s="73">
        <v>1.833</v>
      </c>
      <c r="AR173" s="73" t="s">
        <v>950</v>
      </c>
      <c r="AS173" s="73" t="s">
        <v>370</v>
      </c>
      <c r="AT173" s="110">
        <f t="shared" ref="AT173:AT174" si="60">AF173-AL173</f>
        <v>1</v>
      </c>
      <c r="AU173" s="110">
        <f t="shared" ref="AU173:AU174" si="61">SQRT(((T172-1)*AH173^2 + (T173-1)*AN173^2)/(T172+T173-2) )</f>
        <v>0.49099836333878888</v>
      </c>
      <c r="AV173" s="110">
        <f t="shared" ref="AV173:AV174" si="62">1-3/(4*(S173+T173) - 9)</f>
        <v>0.95774647887323949</v>
      </c>
      <c r="AW173" s="110">
        <f t="shared" ref="AW173:AW174" si="63">AT173/AU173*AV173</f>
        <v>1.9506103286384977</v>
      </c>
      <c r="AX173" s="110">
        <f t="shared" ref="AX173:AX174" si="64">T172</f>
        <v>10</v>
      </c>
      <c r="AY173" s="110">
        <f t="shared" ref="AY173:AY174" si="65">AW173*AX173</f>
        <v>19.506103286384977</v>
      </c>
    </row>
    <row r="174" spans="1:51" ht="15" customHeight="1">
      <c r="A174" s="78" t="s">
        <v>495</v>
      </c>
      <c r="B174" s="78" t="s">
        <v>604</v>
      </c>
      <c r="C174" s="78" t="s">
        <v>265</v>
      </c>
      <c r="D174" s="78" t="s">
        <v>121</v>
      </c>
      <c r="E174" s="78" t="s">
        <v>121</v>
      </c>
      <c r="F174" s="78">
        <v>2000</v>
      </c>
      <c r="G174" s="78" t="s">
        <v>120</v>
      </c>
      <c r="H174" s="78"/>
      <c r="I174" s="78" t="s">
        <v>70</v>
      </c>
      <c r="J174" s="78" t="s">
        <v>122</v>
      </c>
      <c r="K174" s="78" t="s">
        <v>968</v>
      </c>
      <c r="L174" s="78" t="s">
        <v>131</v>
      </c>
      <c r="M174" s="78" t="s">
        <v>958</v>
      </c>
      <c r="N174" s="78">
        <v>1</v>
      </c>
      <c r="O174" s="78"/>
      <c r="P174" s="78"/>
      <c r="Q174" s="78"/>
      <c r="R174" s="78" t="s">
        <v>71</v>
      </c>
      <c r="S174" s="78">
        <v>10</v>
      </c>
      <c r="T174" s="78">
        <v>10</v>
      </c>
      <c r="U174" s="78" t="s">
        <v>121</v>
      </c>
      <c r="V174" s="78" t="s">
        <v>120</v>
      </c>
      <c r="W174" s="78" t="s">
        <v>120</v>
      </c>
      <c r="X174" s="78" t="s">
        <v>120</v>
      </c>
      <c r="Y174" s="78" t="s">
        <v>120</v>
      </c>
      <c r="Z174" s="78" t="s">
        <v>120</v>
      </c>
      <c r="AA174" s="78" t="s">
        <v>313</v>
      </c>
      <c r="AB174" s="78" t="s">
        <v>120</v>
      </c>
      <c r="AC174" s="78" t="s">
        <v>120</v>
      </c>
      <c r="AD174" s="78" t="s">
        <v>120</v>
      </c>
      <c r="AE174" s="78" t="s">
        <v>120</v>
      </c>
      <c r="AF174" s="78">
        <v>12.6</v>
      </c>
      <c r="AG174" s="78" t="s">
        <v>435</v>
      </c>
      <c r="AH174" s="87">
        <f>AJ174/AK174</f>
        <v>0.49099836333878888</v>
      </c>
      <c r="AI174" s="78" t="s">
        <v>435</v>
      </c>
      <c r="AJ174" s="73">
        <v>0.9</v>
      </c>
      <c r="AK174" s="73">
        <v>1.833</v>
      </c>
      <c r="AL174" s="78">
        <v>11.9</v>
      </c>
      <c r="AM174" s="78" t="s">
        <v>120</v>
      </c>
      <c r="AN174" s="87">
        <f>AP174/AQ174</f>
        <v>0.49099836333878888</v>
      </c>
      <c r="AO174" s="78" t="s">
        <v>435</v>
      </c>
      <c r="AP174" s="73">
        <v>0.9</v>
      </c>
      <c r="AQ174" s="73">
        <v>1.833</v>
      </c>
      <c r="AR174" s="78" t="s">
        <v>120</v>
      </c>
      <c r="AS174" s="78" t="s">
        <v>370</v>
      </c>
      <c r="AT174" s="110">
        <f t="shared" si="60"/>
        <v>0.69999999999999929</v>
      </c>
      <c r="AU174" s="110">
        <f t="shared" si="61"/>
        <v>0.49099836333878888</v>
      </c>
      <c r="AV174" s="110">
        <f t="shared" si="62"/>
        <v>0.95774647887323949</v>
      </c>
      <c r="AW174" s="110">
        <f t="shared" si="63"/>
        <v>1.3654272300469472</v>
      </c>
      <c r="AX174" s="110">
        <f t="shared" si="64"/>
        <v>10</v>
      </c>
      <c r="AY174" s="110">
        <f t="shared" si="65"/>
        <v>13.654272300469472</v>
      </c>
    </row>
    <row r="175" spans="1:51" ht="15" hidden="1" customHeight="1">
      <c r="A175" s="73" t="s">
        <v>496</v>
      </c>
      <c r="B175" s="73" t="s">
        <v>604</v>
      </c>
      <c r="C175" s="73" t="s">
        <v>432</v>
      </c>
      <c r="D175" s="73" t="s">
        <v>450</v>
      </c>
      <c r="E175" s="73" t="s">
        <v>425</v>
      </c>
      <c r="F175" s="73">
        <v>1997</v>
      </c>
      <c r="G175" s="73" t="s">
        <v>752</v>
      </c>
      <c r="H175" s="73"/>
      <c r="I175" s="88" t="s">
        <v>995</v>
      </c>
      <c r="J175" s="73" t="s">
        <v>826</v>
      </c>
      <c r="K175" s="73" t="s">
        <v>851</v>
      </c>
      <c r="L175" s="73" t="s">
        <v>923</v>
      </c>
      <c r="M175" s="73" t="s">
        <v>924</v>
      </c>
      <c r="N175" s="73"/>
      <c r="O175" s="73">
        <v>1</v>
      </c>
      <c r="P175" s="73"/>
      <c r="Q175" s="73"/>
      <c r="R175" s="73" t="s">
        <v>25</v>
      </c>
      <c r="S175" s="73">
        <v>4</v>
      </c>
      <c r="T175" s="73">
        <v>4</v>
      </c>
      <c r="U175" s="88" t="s">
        <v>771</v>
      </c>
      <c r="V175" s="88" t="s">
        <v>771</v>
      </c>
      <c r="W175" s="88" t="s">
        <v>771</v>
      </c>
      <c r="X175" s="88" t="s">
        <v>771</v>
      </c>
      <c r="Y175" s="88" t="s">
        <v>771</v>
      </c>
      <c r="Z175" s="88" t="s">
        <v>771</v>
      </c>
      <c r="AA175" s="88" t="s">
        <v>771</v>
      </c>
      <c r="AB175" s="88" t="s">
        <v>771</v>
      </c>
      <c r="AC175" s="88" t="s">
        <v>771</v>
      </c>
      <c r="AD175" s="88" t="s">
        <v>121</v>
      </c>
      <c r="AE175" s="88" t="s">
        <v>771</v>
      </c>
      <c r="AF175" s="88">
        <v>5.32</v>
      </c>
      <c r="AG175" s="88">
        <v>0.38800000000000001</v>
      </c>
      <c r="AH175" s="88">
        <f t="shared" ref="AH175:AH188" si="66">AG175*SQRT(S175)</f>
        <v>0.77600000000000002</v>
      </c>
      <c r="AI175" s="88" t="s">
        <v>978</v>
      </c>
      <c r="AJ175" s="88" t="s">
        <v>978</v>
      </c>
      <c r="AK175" s="88" t="s">
        <v>978</v>
      </c>
      <c r="AL175" s="88">
        <v>5.29</v>
      </c>
      <c r="AM175" s="88">
        <v>0.505</v>
      </c>
      <c r="AN175" s="86">
        <f t="shared" ref="AN175:AN188" si="67">AM175*SQRT(T175)</f>
        <v>1.01</v>
      </c>
      <c r="AO175" s="88" t="s">
        <v>978</v>
      </c>
      <c r="AP175" s="88" t="s">
        <v>978</v>
      </c>
      <c r="AQ175" s="88" t="s">
        <v>978</v>
      </c>
      <c r="AR175" s="88" t="s">
        <v>771</v>
      </c>
      <c r="AS175" s="88" t="s">
        <v>376</v>
      </c>
      <c r="AT175" s="46"/>
      <c r="AU175" s="46"/>
      <c r="AV175" s="46"/>
      <c r="AW175" s="46"/>
      <c r="AX175" s="46"/>
      <c r="AY175" s="46"/>
    </row>
    <row r="176" spans="1:51" ht="15" hidden="1" customHeight="1">
      <c r="A176" s="73" t="s">
        <v>496</v>
      </c>
      <c r="B176" s="73" t="s">
        <v>604</v>
      </c>
      <c r="C176" s="73" t="s">
        <v>432</v>
      </c>
      <c r="D176" s="73" t="s">
        <v>450</v>
      </c>
      <c r="E176" s="73" t="s">
        <v>425</v>
      </c>
      <c r="F176" s="73">
        <v>1997</v>
      </c>
      <c r="G176" s="73" t="s">
        <v>750</v>
      </c>
      <c r="H176" s="73"/>
      <c r="I176" s="73" t="s">
        <v>982</v>
      </c>
      <c r="J176" s="73" t="s">
        <v>853</v>
      </c>
      <c r="K176" s="73" t="s">
        <v>854</v>
      </c>
      <c r="L176" s="73" t="s">
        <v>833</v>
      </c>
      <c r="M176" s="73" t="s">
        <v>924</v>
      </c>
      <c r="N176" s="73"/>
      <c r="O176" s="73">
        <v>1</v>
      </c>
      <c r="P176" s="73"/>
      <c r="Q176" s="73"/>
      <c r="R176" s="73" t="s">
        <v>197</v>
      </c>
      <c r="S176" s="73">
        <v>4</v>
      </c>
      <c r="T176" s="73">
        <v>4</v>
      </c>
      <c r="U176" s="73" t="s">
        <v>771</v>
      </c>
      <c r="V176" s="73" t="s">
        <v>771</v>
      </c>
      <c r="W176" s="73" t="s">
        <v>771</v>
      </c>
      <c r="X176" s="73" t="s">
        <v>771</v>
      </c>
      <c r="Y176" s="73" t="s">
        <v>771</v>
      </c>
      <c r="Z176" s="73" t="s">
        <v>771</v>
      </c>
      <c r="AA176" s="73" t="s">
        <v>771</v>
      </c>
      <c r="AB176" s="73" t="s">
        <v>771</v>
      </c>
      <c r="AC176" s="73" t="s">
        <v>771</v>
      </c>
      <c r="AD176" s="73" t="s">
        <v>121</v>
      </c>
      <c r="AE176" s="73" t="s">
        <v>771</v>
      </c>
      <c r="AF176" s="73">
        <v>5.43</v>
      </c>
      <c r="AG176" s="73">
        <v>0.313</v>
      </c>
      <c r="AH176" s="73">
        <f t="shared" si="66"/>
        <v>0.626</v>
      </c>
      <c r="AI176" s="73" t="s">
        <v>978</v>
      </c>
      <c r="AJ176" s="73" t="s">
        <v>978</v>
      </c>
      <c r="AK176" s="73" t="s">
        <v>978</v>
      </c>
      <c r="AL176" s="73">
        <v>4.26</v>
      </c>
      <c r="AM176" s="73">
        <v>0.40699999999999997</v>
      </c>
      <c r="AN176" s="87">
        <f t="shared" si="67"/>
        <v>0.81399999999999995</v>
      </c>
      <c r="AO176" s="73" t="s">
        <v>978</v>
      </c>
      <c r="AP176" s="73" t="s">
        <v>978</v>
      </c>
      <c r="AQ176" s="73" t="s">
        <v>978</v>
      </c>
      <c r="AR176" s="73" t="s">
        <v>771</v>
      </c>
      <c r="AS176" s="73" t="s">
        <v>375</v>
      </c>
      <c r="AT176" s="46"/>
      <c r="AU176" s="46"/>
      <c r="AV176" s="46"/>
      <c r="AW176" s="46"/>
      <c r="AX176" s="46"/>
      <c r="AY176" s="46"/>
    </row>
    <row r="177" spans="1:51" ht="15" hidden="1" customHeight="1">
      <c r="A177" s="73" t="s">
        <v>496</v>
      </c>
      <c r="B177" s="73" t="s">
        <v>604</v>
      </c>
      <c r="C177" s="73" t="s">
        <v>432</v>
      </c>
      <c r="D177" s="73" t="s">
        <v>450</v>
      </c>
      <c r="E177" s="73" t="s">
        <v>425</v>
      </c>
      <c r="F177" s="73">
        <v>1997</v>
      </c>
      <c r="G177" s="73" t="s">
        <v>750</v>
      </c>
      <c r="H177" s="73"/>
      <c r="I177" s="73" t="s">
        <v>983</v>
      </c>
      <c r="J177" s="73" t="s">
        <v>856</v>
      </c>
      <c r="K177" s="73" t="s">
        <v>857</v>
      </c>
      <c r="L177" s="73" t="s">
        <v>13</v>
      </c>
      <c r="M177" s="73" t="s">
        <v>924</v>
      </c>
      <c r="N177" s="73"/>
      <c r="O177" s="73">
        <v>1</v>
      </c>
      <c r="P177" s="73"/>
      <c r="Q177" s="73"/>
      <c r="R177" s="73" t="s">
        <v>198</v>
      </c>
      <c r="S177" s="73">
        <v>4</v>
      </c>
      <c r="T177" s="73">
        <v>4</v>
      </c>
      <c r="U177" s="73" t="s">
        <v>772</v>
      </c>
      <c r="V177" s="73" t="s">
        <v>772</v>
      </c>
      <c r="W177" s="73" t="s">
        <v>772</v>
      </c>
      <c r="X177" s="73" t="s">
        <v>772</v>
      </c>
      <c r="Y177" s="73" t="s">
        <v>772</v>
      </c>
      <c r="Z177" s="73" t="s">
        <v>772</v>
      </c>
      <c r="AA177" s="73" t="s">
        <v>772</v>
      </c>
      <c r="AB177" s="73" t="s">
        <v>772</v>
      </c>
      <c r="AC177" s="73" t="s">
        <v>772</v>
      </c>
      <c r="AD177" s="73" t="s">
        <v>459</v>
      </c>
      <c r="AE177" s="73" t="s">
        <v>772</v>
      </c>
      <c r="AF177" s="73">
        <v>5.7</v>
      </c>
      <c r="AG177" s="73">
        <v>0.21199999999999999</v>
      </c>
      <c r="AH177" s="73">
        <f t="shared" si="66"/>
        <v>0.42399999999999999</v>
      </c>
      <c r="AI177" s="73" t="s">
        <v>978</v>
      </c>
      <c r="AJ177" s="73" t="s">
        <v>978</v>
      </c>
      <c r="AK177" s="73" t="s">
        <v>978</v>
      </c>
      <c r="AL177" s="73">
        <v>4.25</v>
      </c>
      <c r="AM177" s="73">
        <v>0.40699999999999997</v>
      </c>
      <c r="AN177" s="87">
        <f t="shared" si="67"/>
        <v>0.81399999999999995</v>
      </c>
      <c r="AO177" s="73" t="s">
        <v>978</v>
      </c>
      <c r="AP177" s="73" t="s">
        <v>978</v>
      </c>
      <c r="AQ177" s="73" t="s">
        <v>978</v>
      </c>
      <c r="AR177" s="73" t="s">
        <v>772</v>
      </c>
      <c r="AS177" s="73" t="s">
        <v>375</v>
      </c>
      <c r="AT177" s="46"/>
      <c r="AU177" s="46"/>
      <c r="AV177" s="46"/>
      <c r="AW177" s="46"/>
      <c r="AX177" s="46"/>
      <c r="AY177" s="46"/>
    </row>
    <row r="178" spans="1:51" ht="15" customHeight="1">
      <c r="A178" s="73" t="s">
        <v>496</v>
      </c>
      <c r="B178" s="73" t="s">
        <v>604</v>
      </c>
      <c r="C178" s="73" t="s">
        <v>432</v>
      </c>
      <c r="D178" s="73" t="s">
        <v>450</v>
      </c>
      <c r="E178" s="73" t="s">
        <v>425</v>
      </c>
      <c r="F178" s="73">
        <v>1997</v>
      </c>
      <c r="G178" s="73" t="s">
        <v>616</v>
      </c>
      <c r="H178" s="73"/>
      <c r="I178" s="73" t="s">
        <v>984</v>
      </c>
      <c r="J178" s="73" t="s">
        <v>736</v>
      </c>
      <c r="K178" s="73" t="s">
        <v>569</v>
      </c>
      <c r="L178" s="73" t="s">
        <v>131</v>
      </c>
      <c r="M178" s="73" t="s">
        <v>958</v>
      </c>
      <c r="N178" s="73">
        <v>1</v>
      </c>
      <c r="O178" s="73"/>
      <c r="P178" s="73"/>
      <c r="Q178" s="73"/>
      <c r="R178" s="73" t="s">
        <v>199</v>
      </c>
      <c r="S178" s="73">
        <v>4</v>
      </c>
      <c r="T178" s="73">
        <v>4</v>
      </c>
      <c r="U178" s="73" t="s">
        <v>773</v>
      </c>
      <c r="V178" s="73" t="s">
        <v>773</v>
      </c>
      <c r="W178" s="73" t="s">
        <v>773</v>
      </c>
      <c r="X178" s="73" t="s">
        <v>773</v>
      </c>
      <c r="Y178" s="73" t="s">
        <v>773</v>
      </c>
      <c r="Z178" s="73" t="s">
        <v>773</v>
      </c>
      <c r="AA178" s="73" t="s">
        <v>773</v>
      </c>
      <c r="AB178" s="73" t="s">
        <v>773</v>
      </c>
      <c r="AC178" s="73" t="s">
        <v>773</v>
      </c>
      <c r="AD178" s="73" t="s">
        <v>120</v>
      </c>
      <c r="AE178" s="73" t="s">
        <v>773</v>
      </c>
      <c r="AF178" s="73">
        <v>4.96</v>
      </c>
      <c r="AG178" s="73">
        <v>0.16400000000000001</v>
      </c>
      <c r="AH178" s="73">
        <f t="shared" si="66"/>
        <v>0.32800000000000001</v>
      </c>
      <c r="AI178" s="73" t="s">
        <v>978</v>
      </c>
      <c r="AJ178" s="73" t="s">
        <v>978</v>
      </c>
      <c r="AK178" s="73" t="s">
        <v>978</v>
      </c>
      <c r="AL178" s="73">
        <v>3.56</v>
      </c>
      <c r="AM178" s="73">
        <v>0.215</v>
      </c>
      <c r="AN178" s="87">
        <f t="shared" si="67"/>
        <v>0.43</v>
      </c>
      <c r="AO178" s="73" t="s">
        <v>978</v>
      </c>
      <c r="AP178" s="73" t="s">
        <v>978</v>
      </c>
      <c r="AQ178" s="73" t="s">
        <v>978</v>
      </c>
      <c r="AR178" s="73" t="s">
        <v>773</v>
      </c>
      <c r="AS178" s="73" t="s">
        <v>375</v>
      </c>
      <c r="AT178" s="110">
        <f>AF178-AL178</f>
        <v>1.4</v>
      </c>
      <c r="AU178" s="110">
        <f>SQRT(((T177-1)*AH178^2 + (T178-1)*AN178^2)/(T177+T178-2) )</f>
        <v>0.38241600384921132</v>
      </c>
      <c r="AV178" s="110">
        <f>1-3/(4*(S178+T178) - 9)</f>
        <v>0.86956521739130432</v>
      </c>
      <c r="AW178" s="110">
        <f>AT178/AU178*AV178</f>
        <v>3.1834214365878104</v>
      </c>
      <c r="AX178" s="110">
        <f>T177</f>
        <v>4</v>
      </c>
      <c r="AY178" s="110">
        <f>AW178*AX178</f>
        <v>12.733685746351242</v>
      </c>
    </row>
    <row r="179" spans="1:51" ht="15" hidden="1" customHeight="1">
      <c r="A179" s="73" t="s">
        <v>496</v>
      </c>
      <c r="B179" s="73" t="s">
        <v>604</v>
      </c>
      <c r="C179" s="73" t="s">
        <v>432</v>
      </c>
      <c r="D179" s="73" t="s">
        <v>450</v>
      </c>
      <c r="E179" s="73" t="s">
        <v>425</v>
      </c>
      <c r="F179" s="73">
        <v>1998</v>
      </c>
      <c r="G179" s="73" t="s">
        <v>441</v>
      </c>
      <c r="H179" s="73"/>
      <c r="I179" s="73" t="s">
        <v>985</v>
      </c>
      <c r="J179" s="73" t="s">
        <v>826</v>
      </c>
      <c r="K179" s="73" t="s">
        <v>851</v>
      </c>
      <c r="L179" s="73" t="s">
        <v>923</v>
      </c>
      <c r="M179" s="73" t="s">
        <v>924</v>
      </c>
      <c r="N179" s="73"/>
      <c r="O179" s="73">
        <v>1</v>
      </c>
      <c r="P179" s="73"/>
      <c r="Q179" s="73"/>
      <c r="R179" s="73" t="s">
        <v>200</v>
      </c>
      <c r="S179" s="73">
        <v>4</v>
      </c>
      <c r="T179" s="73">
        <v>4</v>
      </c>
      <c r="U179" s="73" t="s">
        <v>773</v>
      </c>
      <c r="V179" s="73" t="s">
        <v>773</v>
      </c>
      <c r="W179" s="73" t="s">
        <v>773</v>
      </c>
      <c r="X179" s="73" t="s">
        <v>773</v>
      </c>
      <c r="Y179" s="73" t="s">
        <v>773</v>
      </c>
      <c r="Z179" s="73" t="s">
        <v>773</v>
      </c>
      <c r="AA179" s="73" t="s">
        <v>773</v>
      </c>
      <c r="AB179" s="73" t="s">
        <v>773</v>
      </c>
      <c r="AC179" s="73" t="s">
        <v>773</v>
      </c>
      <c r="AD179" s="73" t="s">
        <v>120</v>
      </c>
      <c r="AE179" s="73" t="s">
        <v>773</v>
      </c>
      <c r="AF179" s="73">
        <v>10.56</v>
      </c>
      <c r="AG179" s="73">
        <v>0.38200000000000001</v>
      </c>
      <c r="AH179" s="73">
        <f t="shared" si="66"/>
        <v>0.76400000000000001</v>
      </c>
      <c r="AI179" s="73" t="s">
        <v>978</v>
      </c>
      <c r="AJ179" s="73" t="s">
        <v>978</v>
      </c>
      <c r="AK179" s="73" t="s">
        <v>978</v>
      </c>
      <c r="AL179" s="73">
        <v>10.31</v>
      </c>
      <c r="AM179" s="73">
        <v>0.193</v>
      </c>
      <c r="AN179" s="87">
        <f t="shared" si="67"/>
        <v>0.38600000000000001</v>
      </c>
      <c r="AO179" s="73" t="s">
        <v>978</v>
      </c>
      <c r="AP179" s="73" t="s">
        <v>978</v>
      </c>
      <c r="AQ179" s="73" t="s">
        <v>978</v>
      </c>
      <c r="AR179" s="73" t="s">
        <v>773</v>
      </c>
      <c r="AS179" s="73" t="s">
        <v>376</v>
      </c>
      <c r="AT179" s="46"/>
      <c r="AU179" s="46"/>
      <c r="AV179" s="46"/>
      <c r="AW179" s="46"/>
      <c r="AX179" s="46"/>
      <c r="AY179" s="46"/>
    </row>
    <row r="180" spans="1:51" ht="15" hidden="1" customHeight="1">
      <c r="A180" s="73" t="s">
        <v>496</v>
      </c>
      <c r="B180" s="73" t="s">
        <v>604</v>
      </c>
      <c r="C180" s="73" t="s">
        <v>432</v>
      </c>
      <c r="D180" s="73" t="s">
        <v>450</v>
      </c>
      <c r="E180" s="73" t="s">
        <v>425</v>
      </c>
      <c r="F180" s="73">
        <v>1998</v>
      </c>
      <c r="G180" s="73" t="s">
        <v>614</v>
      </c>
      <c r="H180" s="73"/>
      <c r="I180" s="73" t="s">
        <v>986</v>
      </c>
      <c r="J180" s="73" t="s">
        <v>859</v>
      </c>
      <c r="K180" s="73" t="s">
        <v>860</v>
      </c>
      <c r="L180" s="73" t="s">
        <v>923</v>
      </c>
      <c r="M180" s="73" t="s">
        <v>748</v>
      </c>
      <c r="N180" s="73"/>
      <c r="O180" s="73">
        <v>1</v>
      </c>
      <c r="P180" s="73"/>
      <c r="Q180" s="73"/>
      <c r="R180" s="73" t="s">
        <v>202</v>
      </c>
      <c r="S180" s="73">
        <v>4</v>
      </c>
      <c r="T180" s="73">
        <v>4</v>
      </c>
      <c r="U180" s="73" t="s">
        <v>773</v>
      </c>
      <c r="V180" s="73" t="s">
        <v>773</v>
      </c>
      <c r="W180" s="73" t="s">
        <v>773</v>
      </c>
      <c r="X180" s="73" t="s">
        <v>773</v>
      </c>
      <c r="Y180" s="73" t="s">
        <v>773</v>
      </c>
      <c r="Z180" s="73" t="s">
        <v>773</v>
      </c>
      <c r="AA180" s="73" t="s">
        <v>773</v>
      </c>
      <c r="AB180" s="73" t="s">
        <v>773</v>
      </c>
      <c r="AC180" s="73" t="s">
        <v>773</v>
      </c>
      <c r="AD180" s="73" t="s">
        <v>120</v>
      </c>
      <c r="AE180" s="73" t="s">
        <v>773</v>
      </c>
      <c r="AF180" s="73">
        <v>10.39</v>
      </c>
      <c r="AG180" s="73">
        <v>0.23699999999999999</v>
      </c>
      <c r="AH180" s="73">
        <f t="shared" si="66"/>
        <v>0.47399999999999998</v>
      </c>
      <c r="AI180" s="73" t="s">
        <v>978</v>
      </c>
      <c r="AJ180" s="73" t="s">
        <v>978</v>
      </c>
      <c r="AK180" s="73" t="s">
        <v>978</v>
      </c>
      <c r="AL180" s="73">
        <v>10.3</v>
      </c>
      <c r="AM180" s="73">
        <v>0.44900000000000001</v>
      </c>
      <c r="AN180" s="87">
        <f t="shared" si="67"/>
        <v>0.89800000000000002</v>
      </c>
      <c r="AO180" s="73" t="s">
        <v>978</v>
      </c>
      <c r="AP180" s="73" t="s">
        <v>978</v>
      </c>
      <c r="AQ180" s="73" t="s">
        <v>978</v>
      </c>
      <c r="AR180" s="73" t="s">
        <v>773</v>
      </c>
      <c r="AS180" s="73" t="s">
        <v>767</v>
      </c>
      <c r="AT180" s="46"/>
      <c r="AU180" s="46"/>
      <c r="AV180" s="46"/>
      <c r="AW180" s="46"/>
      <c r="AX180" s="46"/>
      <c r="AY180" s="46"/>
    </row>
    <row r="181" spans="1:51" ht="15" customHeight="1">
      <c r="A181" s="73" t="s">
        <v>496</v>
      </c>
      <c r="B181" s="73" t="s">
        <v>604</v>
      </c>
      <c r="C181" s="73" t="s">
        <v>432</v>
      </c>
      <c r="D181" s="73" t="s">
        <v>450</v>
      </c>
      <c r="E181" s="73" t="s">
        <v>425</v>
      </c>
      <c r="F181" s="73">
        <v>1998</v>
      </c>
      <c r="G181" s="73" t="s">
        <v>611</v>
      </c>
      <c r="H181" s="73"/>
      <c r="I181" s="73" t="s">
        <v>987</v>
      </c>
      <c r="J181" s="73" t="s">
        <v>736</v>
      </c>
      <c r="K181" s="73" t="s">
        <v>569</v>
      </c>
      <c r="L181" s="73" t="s">
        <v>131</v>
      </c>
      <c r="M181" s="73" t="s">
        <v>958</v>
      </c>
      <c r="N181" s="73">
        <v>1</v>
      </c>
      <c r="O181" s="73"/>
      <c r="P181" s="73"/>
      <c r="Q181" s="73"/>
      <c r="R181" s="73" t="s">
        <v>222</v>
      </c>
      <c r="S181" s="73">
        <v>4</v>
      </c>
      <c r="T181" s="73">
        <v>4</v>
      </c>
      <c r="U181" s="73" t="s">
        <v>773</v>
      </c>
      <c r="V181" s="73" t="s">
        <v>773</v>
      </c>
      <c r="W181" s="73" t="s">
        <v>773</v>
      </c>
      <c r="X181" s="73" t="s">
        <v>773</v>
      </c>
      <c r="Y181" s="73" t="s">
        <v>773</v>
      </c>
      <c r="Z181" s="73" t="s">
        <v>773</v>
      </c>
      <c r="AA181" s="73" t="s">
        <v>773</v>
      </c>
      <c r="AB181" s="73" t="s">
        <v>773</v>
      </c>
      <c r="AC181" s="73" t="s">
        <v>773</v>
      </c>
      <c r="AD181" s="73" t="s">
        <v>120</v>
      </c>
      <c r="AE181" s="73" t="s">
        <v>773</v>
      </c>
      <c r="AF181" s="73">
        <v>10.49</v>
      </c>
      <c r="AG181" s="73">
        <v>9.4E-2</v>
      </c>
      <c r="AH181" s="73">
        <f t="shared" si="66"/>
        <v>0.188</v>
      </c>
      <c r="AI181" s="73" t="s">
        <v>978</v>
      </c>
      <c r="AJ181" s="73" t="s">
        <v>978</v>
      </c>
      <c r="AK181" s="73" t="s">
        <v>978</v>
      </c>
      <c r="AL181" s="73">
        <v>9.1199999999999992</v>
      </c>
      <c r="AM181" s="73">
        <v>0.36299999999999999</v>
      </c>
      <c r="AN181" s="87">
        <f t="shared" si="67"/>
        <v>0.72599999999999998</v>
      </c>
      <c r="AO181" s="73" t="s">
        <v>978</v>
      </c>
      <c r="AP181" s="73" t="s">
        <v>978</v>
      </c>
      <c r="AQ181" s="73" t="s">
        <v>978</v>
      </c>
      <c r="AR181" s="73" t="s">
        <v>773</v>
      </c>
      <c r="AS181" s="73" t="s">
        <v>375</v>
      </c>
      <c r="AT181" s="110">
        <f>AF181-AL181</f>
        <v>1.370000000000001</v>
      </c>
      <c r="AU181" s="110">
        <f>SQRT(((T180-1)*AH181^2 + (T181-1)*AN181^2)/(T180+T181-2) )</f>
        <v>0.53029237218726799</v>
      </c>
      <c r="AV181" s="110">
        <f>1-3/(4*(S181+T181) - 9)</f>
        <v>0.86956521739130432</v>
      </c>
      <c r="AW181" s="110">
        <f>AT181/AU181*AV181</f>
        <v>2.2465047779442497</v>
      </c>
      <c r="AX181" s="110">
        <f>T180</f>
        <v>4</v>
      </c>
      <c r="AY181" s="110">
        <f>AW181*AX181</f>
        <v>8.986019111776999</v>
      </c>
    </row>
    <row r="182" spans="1:51" ht="15" hidden="1" customHeight="1">
      <c r="A182" s="73" t="s">
        <v>496</v>
      </c>
      <c r="B182" s="73" t="s">
        <v>604</v>
      </c>
      <c r="C182" s="73" t="s">
        <v>432</v>
      </c>
      <c r="D182" s="73" t="s">
        <v>450</v>
      </c>
      <c r="E182" s="73" t="s">
        <v>425</v>
      </c>
      <c r="F182" s="73">
        <v>1998</v>
      </c>
      <c r="G182" s="73" t="s">
        <v>750</v>
      </c>
      <c r="H182" s="73"/>
      <c r="I182" s="73" t="s">
        <v>989</v>
      </c>
      <c r="J182" s="73" t="s">
        <v>853</v>
      </c>
      <c r="K182" s="73" t="s">
        <v>854</v>
      </c>
      <c r="L182" s="73" t="s">
        <v>833</v>
      </c>
      <c r="M182" s="73" t="s">
        <v>924</v>
      </c>
      <c r="N182" s="73"/>
      <c r="O182" s="73">
        <v>1</v>
      </c>
      <c r="P182" s="73"/>
      <c r="Q182" s="73"/>
      <c r="R182" s="73" t="s">
        <v>224</v>
      </c>
      <c r="S182" s="73">
        <v>4</v>
      </c>
      <c r="T182" s="73">
        <v>4</v>
      </c>
      <c r="U182" s="73" t="s">
        <v>773</v>
      </c>
      <c r="V182" s="73" t="s">
        <v>773</v>
      </c>
      <c r="W182" s="73" t="s">
        <v>773</v>
      </c>
      <c r="X182" s="73" t="s">
        <v>773</v>
      </c>
      <c r="Y182" s="73" t="s">
        <v>773</v>
      </c>
      <c r="Z182" s="73" t="s">
        <v>773</v>
      </c>
      <c r="AA182" s="73" t="s">
        <v>773</v>
      </c>
      <c r="AB182" s="73" t="s">
        <v>773</v>
      </c>
      <c r="AC182" s="73" t="s">
        <v>773</v>
      </c>
      <c r="AD182" s="73" t="s">
        <v>120</v>
      </c>
      <c r="AE182" s="73" t="s">
        <v>773</v>
      </c>
      <c r="AF182" s="73">
        <v>11.15</v>
      </c>
      <c r="AG182" s="73">
        <v>0.114</v>
      </c>
      <c r="AH182" s="73">
        <f t="shared" si="66"/>
        <v>0.22800000000000001</v>
      </c>
      <c r="AI182" s="73" t="s">
        <v>978</v>
      </c>
      <c r="AJ182" s="73" t="s">
        <v>978</v>
      </c>
      <c r="AK182" s="73" t="s">
        <v>978</v>
      </c>
      <c r="AL182" s="73">
        <v>10.23</v>
      </c>
      <c r="AM182" s="73">
        <v>0.115</v>
      </c>
      <c r="AN182" s="87">
        <f t="shared" si="67"/>
        <v>0.23</v>
      </c>
      <c r="AO182" s="73" t="s">
        <v>978</v>
      </c>
      <c r="AP182" s="73" t="s">
        <v>978</v>
      </c>
      <c r="AQ182" s="73" t="s">
        <v>978</v>
      </c>
      <c r="AR182" s="73" t="s">
        <v>773</v>
      </c>
      <c r="AS182" s="73" t="s">
        <v>375</v>
      </c>
      <c r="AT182" s="46"/>
      <c r="AU182" s="46"/>
      <c r="AV182" s="46"/>
      <c r="AW182" s="46"/>
      <c r="AX182" s="46"/>
      <c r="AY182" s="46"/>
    </row>
    <row r="183" spans="1:51" ht="15" hidden="1" customHeight="1">
      <c r="A183" s="73" t="s">
        <v>496</v>
      </c>
      <c r="B183" s="73" t="s">
        <v>604</v>
      </c>
      <c r="C183" s="73" t="s">
        <v>432</v>
      </c>
      <c r="D183" s="73" t="s">
        <v>450</v>
      </c>
      <c r="E183" s="73" t="s">
        <v>425</v>
      </c>
      <c r="F183" s="73">
        <v>1998</v>
      </c>
      <c r="G183" s="73" t="s">
        <v>750</v>
      </c>
      <c r="H183" s="73"/>
      <c r="I183" s="73" t="s">
        <v>994</v>
      </c>
      <c r="J183" s="73" t="s">
        <v>856</v>
      </c>
      <c r="K183" s="73" t="s">
        <v>857</v>
      </c>
      <c r="L183" s="73" t="s">
        <v>13</v>
      </c>
      <c r="M183" s="73" t="s">
        <v>924</v>
      </c>
      <c r="N183" s="73"/>
      <c r="O183" s="73">
        <v>1</v>
      </c>
      <c r="P183" s="73"/>
      <c r="Q183" s="73"/>
      <c r="R183" s="73" t="s">
        <v>225</v>
      </c>
      <c r="S183" s="73">
        <v>4</v>
      </c>
      <c r="T183" s="73">
        <v>4</v>
      </c>
      <c r="U183" s="73" t="s">
        <v>773</v>
      </c>
      <c r="V183" s="73" t="s">
        <v>773</v>
      </c>
      <c r="W183" s="73" t="s">
        <v>773</v>
      </c>
      <c r="X183" s="73" t="s">
        <v>773</v>
      </c>
      <c r="Y183" s="73" t="s">
        <v>773</v>
      </c>
      <c r="Z183" s="73" t="s">
        <v>773</v>
      </c>
      <c r="AA183" s="73" t="s">
        <v>773</v>
      </c>
      <c r="AB183" s="73" t="s">
        <v>773</v>
      </c>
      <c r="AC183" s="73" t="s">
        <v>773</v>
      </c>
      <c r="AD183" s="73" t="s">
        <v>120</v>
      </c>
      <c r="AE183" s="73" t="s">
        <v>773</v>
      </c>
      <c r="AF183" s="73">
        <v>10.91</v>
      </c>
      <c r="AG183" s="73">
        <v>0.251</v>
      </c>
      <c r="AH183" s="73">
        <f t="shared" si="66"/>
        <v>0.502</v>
      </c>
      <c r="AI183" s="73" t="s">
        <v>978</v>
      </c>
      <c r="AJ183" s="73" t="s">
        <v>978</v>
      </c>
      <c r="AK183" s="73" t="s">
        <v>978</v>
      </c>
      <c r="AL183" s="73">
        <v>9.16</v>
      </c>
      <c r="AM183" s="73">
        <v>0.44500000000000001</v>
      </c>
      <c r="AN183" s="87">
        <f t="shared" si="67"/>
        <v>0.89</v>
      </c>
      <c r="AO183" s="73" t="s">
        <v>978</v>
      </c>
      <c r="AP183" s="73" t="s">
        <v>978</v>
      </c>
      <c r="AQ183" s="73" t="s">
        <v>978</v>
      </c>
      <c r="AR183" s="73" t="s">
        <v>773</v>
      </c>
      <c r="AS183" s="73" t="s">
        <v>375</v>
      </c>
      <c r="AT183" s="46"/>
      <c r="AU183" s="46"/>
      <c r="AV183" s="46"/>
      <c r="AW183" s="46"/>
      <c r="AX183" s="46"/>
      <c r="AY183" s="46"/>
    </row>
    <row r="184" spans="1:51" ht="15" hidden="1" customHeight="1">
      <c r="A184" s="73" t="s">
        <v>496</v>
      </c>
      <c r="B184" s="73" t="s">
        <v>604</v>
      </c>
      <c r="C184" s="73" t="s">
        <v>432</v>
      </c>
      <c r="D184" s="73" t="s">
        <v>450</v>
      </c>
      <c r="E184" s="73" t="s">
        <v>425</v>
      </c>
      <c r="F184" s="73">
        <v>1999</v>
      </c>
      <c r="G184" s="73" t="s">
        <v>613</v>
      </c>
      <c r="H184" s="73"/>
      <c r="I184" s="73" t="s">
        <v>930</v>
      </c>
      <c r="J184" s="73" t="s">
        <v>859</v>
      </c>
      <c r="K184" s="73" t="s">
        <v>860</v>
      </c>
      <c r="L184" s="73" t="s">
        <v>923</v>
      </c>
      <c r="M184" s="73" t="s">
        <v>748</v>
      </c>
      <c r="N184" s="73"/>
      <c r="O184" s="73">
        <v>1</v>
      </c>
      <c r="P184" s="73"/>
      <c r="Q184" s="73"/>
      <c r="R184" s="73" t="s">
        <v>202</v>
      </c>
      <c r="S184" s="73">
        <v>4</v>
      </c>
      <c r="T184" s="73">
        <v>4</v>
      </c>
      <c r="U184" s="73" t="s">
        <v>773</v>
      </c>
      <c r="V184" s="73" t="s">
        <v>773</v>
      </c>
      <c r="W184" s="73" t="s">
        <v>773</v>
      </c>
      <c r="X184" s="73" t="s">
        <v>773</v>
      </c>
      <c r="Y184" s="73" t="s">
        <v>773</v>
      </c>
      <c r="Z184" s="73" t="s">
        <v>773</v>
      </c>
      <c r="AA184" s="73" t="s">
        <v>773</v>
      </c>
      <c r="AB184" s="73" t="s">
        <v>773</v>
      </c>
      <c r="AC184" s="73" t="s">
        <v>773</v>
      </c>
      <c r="AD184" s="73" t="s">
        <v>120</v>
      </c>
      <c r="AE184" s="73" t="s">
        <v>773</v>
      </c>
      <c r="AF184" s="73">
        <v>7.66</v>
      </c>
      <c r="AG184" s="73">
        <v>0.32300000000000001</v>
      </c>
      <c r="AH184" s="73">
        <f t="shared" si="66"/>
        <v>0.64600000000000002</v>
      </c>
      <c r="AI184" s="73" t="s">
        <v>978</v>
      </c>
      <c r="AJ184" s="73" t="s">
        <v>978</v>
      </c>
      <c r="AK184" s="73" t="s">
        <v>978</v>
      </c>
      <c r="AL184" s="73">
        <v>7.97</v>
      </c>
      <c r="AM184" s="73">
        <v>0.33800000000000002</v>
      </c>
      <c r="AN184" s="87">
        <f t="shared" si="67"/>
        <v>0.67600000000000005</v>
      </c>
      <c r="AO184" s="73" t="s">
        <v>978</v>
      </c>
      <c r="AP184" s="73" t="s">
        <v>978</v>
      </c>
      <c r="AQ184" s="73" t="s">
        <v>978</v>
      </c>
      <c r="AR184" s="73" t="s">
        <v>773</v>
      </c>
      <c r="AS184" s="73" t="s">
        <v>376</v>
      </c>
      <c r="AT184" s="46"/>
      <c r="AU184" s="46"/>
      <c r="AV184" s="46"/>
      <c r="AW184" s="46"/>
      <c r="AX184" s="46"/>
      <c r="AY184" s="46"/>
    </row>
    <row r="185" spans="1:51" ht="15" customHeight="1">
      <c r="A185" s="73" t="s">
        <v>496</v>
      </c>
      <c r="B185" s="73" t="s">
        <v>604</v>
      </c>
      <c r="C185" s="73" t="s">
        <v>432</v>
      </c>
      <c r="D185" s="73" t="s">
        <v>450</v>
      </c>
      <c r="E185" s="73" t="s">
        <v>425</v>
      </c>
      <c r="F185" s="73">
        <v>1999</v>
      </c>
      <c r="G185" s="73" t="s">
        <v>612</v>
      </c>
      <c r="H185" s="73"/>
      <c r="I185" s="73" t="s">
        <v>226</v>
      </c>
      <c r="J185" s="73" t="s">
        <v>736</v>
      </c>
      <c r="K185" s="73" t="s">
        <v>569</v>
      </c>
      <c r="L185" s="73" t="s">
        <v>131</v>
      </c>
      <c r="M185" s="73" t="s">
        <v>847</v>
      </c>
      <c r="N185" s="73">
        <v>1</v>
      </c>
      <c r="O185" s="73"/>
      <c r="P185" s="73"/>
      <c r="Q185" s="73"/>
      <c r="R185" s="73" t="s">
        <v>222</v>
      </c>
      <c r="S185" s="73">
        <v>4</v>
      </c>
      <c r="T185" s="73">
        <v>4</v>
      </c>
      <c r="U185" s="73" t="s">
        <v>773</v>
      </c>
      <c r="V185" s="73" t="s">
        <v>773</v>
      </c>
      <c r="W185" s="73" t="s">
        <v>773</v>
      </c>
      <c r="X185" s="73" t="s">
        <v>773</v>
      </c>
      <c r="Y185" s="73" t="s">
        <v>773</v>
      </c>
      <c r="Z185" s="73" t="s">
        <v>773</v>
      </c>
      <c r="AA185" s="73" t="s">
        <v>773</v>
      </c>
      <c r="AB185" s="73" t="s">
        <v>773</v>
      </c>
      <c r="AC185" s="73" t="s">
        <v>773</v>
      </c>
      <c r="AD185" s="73" t="s">
        <v>120</v>
      </c>
      <c r="AE185" s="73" t="s">
        <v>773</v>
      </c>
      <c r="AF185" s="73">
        <v>7.75</v>
      </c>
      <c r="AG185" s="73">
        <v>0.28799999999999998</v>
      </c>
      <c r="AH185" s="73">
        <f t="shared" si="66"/>
        <v>0.57599999999999996</v>
      </c>
      <c r="AI185" s="73" t="s">
        <v>978</v>
      </c>
      <c r="AJ185" s="73" t="s">
        <v>978</v>
      </c>
      <c r="AK185" s="73" t="s">
        <v>978</v>
      </c>
      <c r="AL185" s="73">
        <v>8.31</v>
      </c>
      <c r="AM185" s="73">
        <v>0.30599999999999999</v>
      </c>
      <c r="AN185" s="87">
        <f t="shared" si="67"/>
        <v>0.61199999999999999</v>
      </c>
      <c r="AO185" s="73" t="s">
        <v>978</v>
      </c>
      <c r="AP185" s="73" t="s">
        <v>978</v>
      </c>
      <c r="AQ185" s="73" t="s">
        <v>978</v>
      </c>
      <c r="AR185" s="73" t="s">
        <v>773</v>
      </c>
      <c r="AS185" s="73" t="s">
        <v>375</v>
      </c>
      <c r="AT185" s="110">
        <f>AF185-AL185</f>
        <v>-0.5600000000000005</v>
      </c>
      <c r="AU185" s="110">
        <f>SQRT(((T184-1)*AH185^2 + (T185-1)*AN185^2)/(T184+T185-2) )</f>
        <v>0.59427266469189033</v>
      </c>
      <c r="AV185" s="110">
        <f>1-3/(4*(S185+T185) - 9)</f>
        <v>0.86956521739130432</v>
      </c>
      <c r="AW185" s="110">
        <f>AT185/AU185*AV185</f>
        <v>-0.81941598641694346</v>
      </c>
      <c r="AX185" s="110">
        <f>T184</f>
        <v>4</v>
      </c>
      <c r="AY185" s="110">
        <f>AW185*AX185</f>
        <v>-3.2776639456677739</v>
      </c>
    </row>
    <row r="186" spans="1:51" ht="15" hidden="1" customHeight="1">
      <c r="A186" s="73" t="s">
        <v>496</v>
      </c>
      <c r="B186" s="73" t="s">
        <v>604</v>
      </c>
      <c r="C186" s="73" t="s">
        <v>432</v>
      </c>
      <c r="D186" s="73" t="s">
        <v>450</v>
      </c>
      <c r="E186" s="73" t="s">
        <v>425</v>
      </c>
      <c r="F186" s="73">
        <v>1999</v>
      </c>
      <c r="G186" s="73" t="s">
        <v>749</v>
      </c>
      <c r="H186" s="73"/>
      <c r="I186" s="73" t="s">
        <v>227</v>
      </c>
      <c r="J186" s="73" t="s">
        <v>853</v>
      </c>
      <c r="K186" s="73" t="s">
        <v>854</v>
      </c>
      <c r="L186" s="73" t="s">
        <v>833</v>
      </c>
      <c r="M186" s="73" t="s">
        <v>924</v>
      </c>
      <c r="N186" s="73"/>
      <c r="O186" s="73">
        <v>1</v>
      </c>
      <c r="P186" s="73"/>
      <c r="Q186" s="73"/>
      <c r="R186" s="73" t="s">
        <v>29</v>
      </c>
      <c r="S186" s="73">
        <v>4</v>
      </c>
      <c r="T186" s="73">
        <v>4</v>
      </c>
      <c r="U186" s="73" t="s">
        <v>773</v>
      </c>
      <c r="V186" s="73" t="s">
        <v>773</v>
      </c>
      <c r="W186" s="73" t="s">
        <v>773</v>
      </c>
      <c r="X186" s="73" t="s">
        <v>773</v>
      </c>
      <c r="Y186" s="73" t="s">
        <v>773</v>
      </c>
      <c r="Z186" s="73" t="s">
        <v>773</v>
      </c>
      <c r="AA186" s="73" t="s">
        <v>773</v>
      </c>
      <c r="AB186" s="73" t="s">
        <v>773</v>
      </c>
      <c r="AC186" s="73" t="s">
        <v>773</v>
      </c>
      <c r="AD186" s="73" t="s">
        <v>120</v>
      </c>
      <c r="AE186" s="73" t="s">
        <v>773</v>
      </c>
      <c r="AF186" s="73">
        <v>8.01</v>
      </c>
      <c r="AG186" s="73">
        <v>0.14199999999999999</v>
      </c>
      <c r="AH186" s="73">
        <f t="shared" si="66"/>
        <v>0.28399999999999997</v>
      </c>
      <c r="AI186" s="73" t="s">
        <v>978</v>
      </c>
      <c r="AJ186" s="73" t="s">
        <v>978</v>
      </c>
      <c r="AK186" s="73" t="s">
        <v>978</v>
      </c>
      <c r="AL186" s="73">
        <v>8.0399999999999991</v>
      </c>
      <c r="AM186" s="73">
        <v>0.35799999999999998</v>
      </c>
      <c r="AN186" s="87">
        <f t="shared" si="67"/>
        <v>0.71599999999999997</v>
      </c>
      <c r="AO186" s="73" t="s">
        <v>978</v>
      </c>
      <c r="AP186" s="73" t="s">
        <v>978</v>
      </c>
      <c r="AQ186" s="73" t="s">
        <v>978</v>
      </c>
      <c r="AR186" s="73" t="s">
        <v>773</v>
      </c>
      <c r="AS186" s="73" t="s">
        <v>376</v>
      </c>
      <c r="AT186" s="46"/>
      <c r="AU186" s="46"/>
      <c r="AV186" s="46"/>
      <c r="AW186" s="46"/>
      <c r="AX186" s="46"/>
      <c r="AY186" s="46"/>
    </row>
    <row r="187" spans="1:51" ht="15" hidden="1" customHeight="1">
      <c r="A187" s="73" t="s">
        <v>496</v>
      </c>
      <c r="B187" s="73" t="s">
        <v>604</v>
      </c>
      <c r="C187" s="73" t="s">
        <v>432</v>
      </c>
      <c r="D187" s="73" t="s">
        <v>450</v>
      </c>
      <c r="E187" s="73" t="s">
        <v>425</v>
      </c>
      <c r="F187" s="73">
        <v>1999</v>
      </c>
      <c r="G187" s="73" t="s">
        <v>749</v>
      </c>
      <c r="H187" s="73"/>
      <c r="I187" s="73" t="s">
        <v>223</v>
      </c>
      <c r="J187" s="73" t="s">
        <v>853</v>
      </c>
      <c r="K187" s="73" t="s">
        <v>854</v>
      </c>
      <c r="L187" s="73" t="s">
        <v>833</v>
      </c>
      <c r="M187" s="73" t="s">
        <v>924</v>
      </c>
      <c r="N187" s="73"/>
      <c r="O187" s="73">
        <v>1</v>
      </c>
      <c r="P187" s="73"/>
      <c r="Q187" s="73"/>
      <c r="R187" s="73" t="s">
        <v>224</v>
      </c>
      <c r="S187" s="73">
        <v>4</v>
      </c>
      <c r="T187" s="73">
        <v>4</v>
      </c>
      <c r="U187" s="73" t="s">
        <v>773</v>
      </c>
      <c r="V187" s="73" t="s">
        <v>773</v>
      </c>
      <c r="W187" s="73" t="s">
        <v>773</v>
      </c>
      <c r="X187" s="73" t="s">
        <v>773</v>
      </c>
      <c r="Y187" s="73" t="s">
        <v>773</v>
      </c>
      <c r="Z187" s="73" t="s">
        <v>773</v>
      </c>
      <c r="AA187" s="73" t="s">
        <v>773</v>
      </c>
      <c r="AB187" s="73" t="s">
        <v>773</v>
      </c>
      <c r="AC187" s="73" t="s">
        <v>773</v>
      </c>
      <c r="AD187" s="73" t="s">
        <v>120</v>
      </c>
      <c r="AE187" s="73" t="s">
        <v>773</v>
      </c>
      <c r="AF187" s="73">
        <v>7.02</v>
      </c>
      <c r="AG187" s="73">
        <v>0.14699999999999999</v>
      </c>
      <c r="AH187" s="73">
        <f t="shared" si="66"/>
        <v>0.29399999999999998</v>
      </c>
      <c r="AI187" s="73" t="s">
        <v>978</v>
      </c>
      <c r="AJ187" s="73" t="s">
        <v>978</v>
      </c>
      <c r="AK187" s="73" t="s">
        <v>978</v>
      </c>
      <c r="AL187" s="73">
        <v>8.19</v>
      </c>
      <c r="AM187" s="73">
        <v>0.35699999999999998</v>
      </c>
      <c r="AN187" s="87">
        <f t="shared" si="67"/>
        <v>0.71399999999999997</v>
      </c>
      <c r="AO187" s="73" t="s">
        <v>978</v>
      </c>
      <c r="AP187" s="73" t="s">
        <v>978</v>
      </c>
      <c r="AQ187" s="73" t="s">
        <v>978</v>
      </c>
      <c r="AR187" s="73" t="s">
        <v>773</v>
      </c>
      <c r="AS187" s="73" t="s">
        <v>375</v>
      </c>
      <c r="AT187" s="46"/>
      <c r="AU187" s="46"/>
      <c r="AV187" s="46"/>
      <c r="AW187" s="46"/>
      <c r="AX187" s="46"/>
      <c r="AY187" s="46"/>
    </row>
    <row r="188" spans="1:51" ht="15" hidden="1" customHeight="1">
      <c r="A188" s="78" t="s">
        <v>496</v>
      </c>
      <c r="B188" s="78" t="s">
        <v>604</v>
      </c>
      <c r="C188" s="78" t="s">
        <v>432</v>
      </c>
      <c r="D188" s="78" t="s">
        <v>450</v>
      </c>
      <c r="E188" s="78" t="s">
        <v>425</v>
      </c>
      <c r="F188" s="78">
        <v>1999</v>
      </c>
      <c r="G188" s="78" t="s">
        <v>750</v>
      </c>
      <c r="H188" s="78"/>
      <c r="I188" s="78" t="s">
        <v>996</v>
      </c>
      <c r="J188" s="78" t="s">
        <v>856</v>
      </c>
      <c r="K188" s="78" t="s">
        <v>617</v>
      </c>
      <c r="L188" s="78" t="s">
        <v>13</v>
      </c>
      <c r="M188" s="78" t="s">
        <v>924</v>
      </c>
      <c r="N188" s="78"/>
      <c r="O188" s="78">
        <v>1</v>
      </c>
      <c r="P188" s="78"/>
      <c r="Q188" s="78"/>
      <c r="R188" s="78" t="s">
        <v>30</v>
      </c>
      <c r="S188" s="78">
        <v>4</v>
      </c>
      <c r="T188" s="78">
        <v>4</v>
      </c>
      <c r="U188" s="78" t="s">
        <v>773</v>
      </c>
      <c r="V188" s="78" t="s">
        <v>773</v>
      </c>
      <c r="W188" s="78" t="s">
        <v>773</v>
      </c>
      <c r="X188" s="78" t="s">
        <v>773</v>
      </c>
      <c r="Y188" s="78" t="s">
        <v>773</v>
      </c>
      <c r="Z188" s="78" t="s">
        <v>773</v>
      </c>
      <c r="AA188" s="78" t="s">
        <v>773</v>
      </c>
      <c r="AB188" s="78" t="s">
        <v>773</v>
      </c>
      <c r="AC188" s="78" t="s">
        <v>773</v>
      </c>
      <c r="AD188" s="78" t="s">
        <v>120</v>
      </c>
      <c r="AE188" s="78" t="s">
        <v>773</v>
      </c>
      <c r="AF188" s="78">
        <v>8.92</v>
      </c>
      <c r="AG188" s="78">
        <v>0.29099999999999998</v>
      </c>
      <c r="AH188" s="78">
        <f t="shared" si="66"/>
        <v>0.58199999999999996</v>
      </c>
      <c r="AI188" s="78" t="s">
        <v>978</v>
      </c>
      <c r="AJ188" s="78" t="s">
        <v>978</v>
      </c>
      <c r="AK188" s="78" t="s">
        <v>978</v>
      </c>
      <c r="AL188" s="78">
        <v>7.93</v>
      </c>
      <c r="AM188" s="78">
        <v>4.1000000000000002E-2</v>
      </c>
      <c r="AN188" s="90">
        <f t="shared" si="67"/>
        <v>8.2000000000000003E-2</v>
      </c>
      <c r="AO188" s="78" t="s">
        <v>978</v>
      </c>
      <c r="AP188" s="78" t="s">
        <v>978</v>
      </c>
      <c r="AQ188" s="78" t="s">
        <v>978</v>
      </c>
      <c r="AR188" s="78" t="s">
        <v>773</v>
      </c>
      <c r="AS188" s="78" t="s">
        <v>375</v>
      </c>
      <c r="AT188" s="46"/>
      <c r="AU188" s="46"/>
      <c r="AV188" s="46"/>
      <c r="AW188" s="46"/>
      <c r="AX188" s="46"/>
      <c r="AY188" s="46"/>
    </row>
    <row r="189" spans="1:51" ht="15" customHeight="1">
      <c r="A189" s="73" t="s">
        <v>709</v>
      </c>
      <c r="B189" s="73" t="s">
        <v>604</v>
      </c>
      <c r="C189" s="73" t="s">
        <v>710</v>
      </c>
      <c r="D189" s="73" t="s">
        <v>424</v>
      </c>
      <c r="E189" s="73" t="s">
        <v>423</v>
      </c>
      <c r="F189" s="73" t="s">
        <v>271</v>
      </c>
      <c r="G189" s="73" t="s">
        <v>377</v>
      </c>
      <c r="H189" s="73"/>
      <c r="I189" s="73" t="s">
        <v>72</v>
      </c>
      <c r="J189" s="73" t="s">
        <v>122</v>
      </c>
      <c r="K189" s="73" t="s">
        <v>770</v>
      </c>
      <c r="L189" s="73" t="s">
        <v>131</v>
      </c>
      <c r="M189" s="73" t="s">
        <v>958</v>
      </c>
      <c r="N189" s="73">
        <v>1</v>
      </c>
      <c r="O189" s="73"/>
      <c r="P189" s="73"/>
      <c r="Q189" s="73"/>
      <c r="R189" s="73" t="s">
        <v>962</v>
      </c>
      <c r="S189" s="73">
        <v>5</v>
      </c>
      <c r="T189" s="73">
        <v>5</v>
      </c>
      <c r="U189" s="73" t="s">
        <v>773</v>
      </c>
      <c r="V189" s="73" t="s">
        <v>773</v>
      </c>
      <c r="W189" s="73" t="s">
        <v>773</v>
      </c>
      <c r="X189" s="73" t="s">
        <v>773</v>
      </c>
      <c r="Y189" s="73" t="s">
        <v>773</v>
      </c>
      <c r="Z189" s="73" t="s">
        <v>773</v>
      </c>
      <c r="AA189" s="73" t="s">
        <v>773</v>
      </c>
      <c r="AB189" s="73" t="s">
        <v>773</v>
      </c>
      <c r="AC189" s="73" t="s">
        <v>773</v>
      </c>
      <c r="AD189" s="73" t="s">
        <v>120</v>
      </c>
      <c r="AE189" s="73" t="s">
        <v>773</v>
      </c>
      <c r="AF189" s="73">
        <v>10.7</v>
      </c>
      <c r="AG189" s="73" t="s">
        <v>773</v>
      </c>
      <c r="AH189" s="92">
        <f>AJ189/AK189</f>
        <v>0.32833020637898686</v>
      </c>
      <c r="AI189" s="73" t="s">
        <v>570</v>
      </c>
      <c r="AJ189" s="73">
        <v>0.7</v>
      </c>
      <c r="AK189" s="73">
        <v>2.1320000000000001</v>
      </c>
      <c r="AL189" s="73">
        <v>9.3000000000000007</v>
      </c>
      <c r="AM189" s="73" t="s">
        <v>773</v>
      </c>
      <c r="AN189" s="87">
        <f>AP189/AQ189</f>
        <v>0.32833020637898686</v>
      </c>
      <c r="AO189" s="73" t="s">
        <v>570</v>
      </c>
      <c r="AP189" s="73">
        <v>0.7</v>
      </c>
      <c r="AQ189" s="73">
        <v>2.1320000000000001</v>
      </c>
      <c r="AR189" s="73" t="s">
        <v>773</v>
      </c>
      <c r="AS189" s="73" t="s">
        <v>375</v>
      </c>
      <c r="AT189" s="110">
        <f>AF189-AL189</f>
        <v>1.3999999999999986</v>
      </c>
      <c r="AU189" s="110">
        <f>SQRT(((T188-1)*AH189^2 + (T189-1)*AN189^2)/(T188+T189-2) )</f>
        <v>0.32833020637898686</v>
      </c>
      <c r="AV189" s="110">
        <f>1-3/(4*(S189+T189) - 9)</f>
        <v>0.90322580645161288</v>
      </c>
      <c r="AW189" s="110">
        <f>AT189/AU189*AV189</f>
        <v>3.8513548387096734</v>
      </c>
      <c r="AX189" s="110">
        <f>T188</f>
        <v>4</v>
      </c>
      <c r="AY189" s="110">
        <f>AW189*AX189</f>
        <v>15.405419354838694</v>
      </c>
    </row>
    <row r="190" spans="1:51" ht="15" hidden="1" customHeight="1">
      <c r="A190" s="78" t="s">
        <v>709</v>
      </c>
      <c r="B190" s="78" t="s">
        <v>604</v>
      </c>
      <c r="C190" s="78" t="s">
        <v>710</v>
      </c>
      <c r="D190" s="78" t="s">
        <v>424</v>
      </c>
      <c r="E190" s="78" t="s">
        <v>423</v>
      </c>
      <c r="F190" s="78" t="s">
        <v>271</v>
      </c>
      <c r="G190" s="78" t="s">
        <v>991</v>
      </c>
      <c r="H190" s="78"/>
      <c r="I190" s="78" t="s">
        <v>637</v>
      </c>
      <c r="J190" s="78" t="s">
        <v>379</v>
      </c>
      <c r="K190" s="73" t="s">
        <v>988</v>
      </c>
      <c r="L190" s="73" t="s">
        <v>833</v>
      </c>
      <c r="M190" s="73" t="s">
        <v>924</v>
      </c>
      <c r="N190" s="73">
        <v>1</v>
      </c>
      <c r="O190" s="73"/>
      <c r="P190" s="73"/>
      <c r="Q190" s="78"/>
      <c r="R190" s="78" t="s">
        <v>964</v>
      </c>
      <c r="S190" s="78">
        <v>5</v>
      </c>
      <c r="T190" s="78">
        <v>5</v>
      </c>
      <c r="U190" s="78" t="s">
        <v>773</v>
      </c>
      <c r="V190" s="78" t="s">
        <v>773</v>
      </c>
      <c r="W190" s="78" t="s">
        <v>773</v>
      </c>
      <c r="X190" s="78" t="s">
        <v>773</v>
      </c>
      <c r="Y190" s="78" t="s">
        <v>773</v>
      </c>
      <c r="Z190" s="78" t="s">
        <v>773</v>
      </c>
      <c r="AA190" s="78" t="s">
        <v>773</v>
      </c>
      <c r="AB190" s="78" t="s">
        <v>773</v>
      </c>
      <c r="AC190" s="78" t="s">
        <v>773</v>
      </c>
      <c r="AD190" s="78" t="s">
        <v>120</v>
      </c>
      <c r="AE190" s="78" t="s">
        <v>773</v>
      </c>
      <c r="AF190" s="78">
        <v>9.6999999999999993</v>
      </c>
      <c r="AG190" s="78" t="s">
        <v>773</v>
      </c>
      <c r="AH190" s="93">
        <f>AJ190/AK190</f>
        <v>0.32833020637898686</v>
      </c>
      <c r="AI190" s="78" t="s">
        <v>570</v>
      </c>
      <c r="AJ190" s="78">
        <v>0.7</v>
      </c>
      <c r="AK190" s="78">
        <v>2.1320000000000001</v>
      </c>
      <c r="AL190" s="78">
        <v>9.6</v>
      </c>
      <c r="AM190" s="78" t="s">
        <v>773</v>
      </c>
      <c r="AN190" s="90">
        <f>AP190/AQ190</f>
        <v>0.32833020637898686</v>
      </c>
      <c r="AO190" s="78" t="s">
        <v>570</v>
      </c>
      <c r="AP190" s="78">
        <v>0.7</v>
      </c>
      <c r="AQ190" s="78">
        <v>2.1320000000000001</v>
      </c>
      <c r="AR190" s="78" t="s">
        <v>773</v>
      </c>
      <c r="AS190" s="78" t="s">
        <v>376</v>
      </c>
      <c r="AT190" s="46"/>
      <c r="AU190" s="46"/>
      <c r="AV190" s="46"/>
      <c r="AW190" s="46"/>
      <c r="AX190" s="46"/>
      <c r="AY190" s="46"/>
    </row>
    <row r="191" spans="1:51" ht="15" hidden="1" customHeight="1">
      <c r="A191" s="73" t="s">
        <v>364</v>
      </c>
      <c r="B191" s="73" t="s">
        <v>604</v>
      </c>
      <c r="C191" s="73" t="s">
        <v>148</v>
      </c>
      <c r="D191" s="73" t="s">
        <v>422</v>
      </c>
      <c r="E191" s="73" t="s">
        <v>421</v>
      </c>
      <c r="F191" s="73">
        <v>1997</v>
      </c>
      <c r="G191" s="73" t="s">
        <v>838</v>
      </c>
      <c r="H191" s="73"/>
      <c r="I191" s="73" t="s">
        <v>992</v>
      </c>
      <c r="J191" s="73" t="s">
        <v>826</v>
      </c>
      <c r="K191" s="94" t="s">
        <v>935</v>
      </c>
      <c r="L191" s="94" t="s">
        <v>936</v>
      </c>
      <c r="M191" s="88" t="s">
        <v>793</v>
      </c>
      <c r="N191" s="94"/>
      <c r="O191" s="94"/>
      <c r="P191" s="94">
        <v>1</v>
      </c>
      <c r="Q191" s="73"/>
      <c r="R191" s="73" t="s">
        <v>365</v>
      </c>
      <c r="S191" s="73">
        <v>3</v>
      </c>
      <c r="T191" s="73">
        <v>3</v>
      </c>
      <c r="U191" s="73" t="s">
        <v>459</v>
      </c>
      <c r="V191" s="73" t="s">
        <v>459</v>
      </c>
      <c r="W191" s="73" t="s">
        <v>459</v>
      </c>
      <c r="X191" s="73" t="s">
        <v>459</v>
      </c>
      <c r="Y191" s="73" t="s">
        <v>459</v>
      </c>
      <c r="Z191" s="73" t="s">
        <v>459</v>
      </c>
      <c r="AA191" s="73" t="s">
        <v>459</v>
      </c>
      <c r="AB191" s="73" t="s">
        <v>459</v>
      </c>
      <c r="AC191" s="73" t="s">
        <v>459</v>
      </c>
      <c r="AD191" s="73" t="s">
        <v>459</v>
      </c>
      <c r="AE191" s="73" t="s">
        <v>459</v>
      </c>
      <c r="AF191" s="73">
        <v>11.122999999999999</v>
      </c>
      <c r="AG191" s="73">
        <v>0.27900000000000003</v>
      </c>
      <c r="AH191" s="92">
        <f t="shared" ref="AH191:AH208" si="68">AG191*SQRT(S191)</f>
        <v>0.48324217531171676</v>
      </c>
      <c r="AI191" s="73" t="s">
        <v>305</v>
      </c>
      <c r="AJ191" s="73" t="s">
        <v>305</v>
      </c>
      <c r="AK191" s="73" t="s">
        <v>305</v>
      </c>
      <c r="AL191" s="73">
        <v>10.108000000000001</v>
      </c>
      <c r="AM191" s="73">
        <v>0.53100000000000003</v>
      </c>
      <c r="AN191" s="87">
        <f t="shared" ref="AN191:AN208" si="69">AM191*SQRT(T191)</f>
        <v>0.91971897881907383</v>
      </c>
      <c r="AO191" s="73" t="s">
        <v>305</v>
      </c>
      <c r="AP191" s="73" t="s">
        <v>305</v>
      </c>
      <c r="AQ191" s="73" t="s">
        <v>305</v>
      </c>
      <c r="AR191" s="73" t="s">
        <v>459</v>
      </c>
      <c r="AS191" s="73" t="s">
        <v>460</v>
      </c>
      <c r="AT191" s="46"/>
      <c r="AU191" s="46"/>
      <c r="AV191" s="46"/>
      <c r="AW191" s="46"/>
      <c r="AX191" s="46"/>
      <c r="AY191" s="46"/>
    </row>
    <row r="192" spans="1:51" ht="15" hidden="1" customHeight="1">
      <c r="A192" s="73" t="s">
        <v>364</v>
      </c>
      <c r="B192" s="73" t="s">
        <v>604</v>
      </c>
      <c r="C192" s="73" t="s">
        <v>148</v>
      </c>
      <c r="D192" s="73" t="s">
        <v>422</v>
      </c>
      <c r="E192" s="73" t="s">
        <v>421</v>
      </c>
      <c r="F192" s="73">
        <v>1997</v>
      </c>
      <c r="G192" s="73" t="s">
        <v>751</v>
      </c>
      <c r="H192" s="73"/>
      <c r="I192" s="73" t="s">
        <v>993</v>
      </c>
      <c r="J192" s="73" t="s">
        <v>24</v>
      </c>
      <c r="K192" s="73" t="s">
        <v>934</v>
      </c>
      <c r="L192" s="73" t="s">
        <v>937</v>
      </c>
      <c r="M192" s="73" t="s">
        <v>793</v>
      </c>
      <c r="N192" s="73"/>
      <c r="O192" s="73"/>
      <c r="P192" s="73">
        <v>1</v>
      </c>
      <c r="Q192" s="73"/>
      <c r="R192" s="73" t="s">
        <v>349</v>
      </c>
      <c r="S192" s="73">
        <v>3</v>
      </c>
      <c r="T192" s="73">
        <v>3</v>
      </c>
      <c r="U192" s="73" t="s">
        <v>105</v>
      </c>
      <c r="V192" s="73" t="s">
        <v>105</v>
      </c>
      <c r="W192" s="73" t="s">
        <v>105</v>
      </c>
      <c r="X192" s="73" t="s">
        <v>105</v>
      </c>
      <c r="Y192" s="73" t="s">
        <v>105</v>
      </c>
      <c r="Z192" s="73" t="s">
        <v>105</v>
      </c>
      <c r="AA192" s="73" t="s">
        <v>105</v>
      </c>
      <c r="AB192" s="73" t="s">
        <v>105</v>
      </c>
      <c r="AC192" s="73" t="s">
        <v>105</v>
      </c>
      <c r="AD192" s="73" t="s">
        <v>105</v>
      </c>
      <c r="AE192" s="73" t="s">
        <v>105</v>
      </c>
      <c r="AF192" s="73">
        <v>11.771000000000001</v>
      </c>
      <c r="AG192" s="73">
        <v>0.40400000000000003</v>
      </c>
      <c r="AH192" s="92">
        <f t="shared" si="68"/>
        <v>0.69974852625782646</v>
      </c>
      <c r="AI192" s="73" t="s">
        <v>978</v>
      </c>
      <c r="AJ192" s="73" t="s">
        <v>978</v>
      </c>
      <c r="AK192" s="73" t="s">
        <v>978</v>
      </c>
      <c r="AL192" s="73">
        <v>10.856999999999999</v>
      </c>
      <c r="AM192" s="73">
        <v>0.42399999999999999</v>
      </c>
      <c r="AN192" s="87">
        <f t="shared" si="69"/>
        <v>0.73438954240920395</v>
      </c>
      <c r="AO192" s="73" t="s">
        <v>978</v>
      </c>
      <c r="AP192" s="73" t="s">
        <v>978</v>
      </c>
      <c r="AQ192" s="73" t="s">
        <v>978</v>
      </c>
      <c r="AR192" s="73" t="s">
        <v>105</v>
      </c>
      <c r="AS192" s="73" t="s">
        <v>460</v>
      </c>
      <c r="AT192" s="46"/>
      <c r="AU192" s="46"/>
      <c r="AV192" s="46"/>
      <c r="AW192" s="46"/>
      <c r="AX192" s="46"/>
      <c r="AY192" s="46"/>
    </row>
    <row r="193" spans="1:51" ht="15" customHeight="1">
      <c r="A193" s="73" t="s">
        <v>364</v>
      </c>
      <c r="B193" s="73" t="s">
        <v>604</v>
      </c>
      <c r="C193" s="73" t="s">
        <v>148</v>
      </c>
      <c r="D193" s="73" t="s">
        <v>422</v>
      </c>
      <c r="E193" s="73" t="s">
        <v>421</v>
      </c>
      <c r="F193" s="73">
        <v>1997</v>
      </c>
      <c r="G193" s="73" t="s">
        <v>611</v>
      </c>
      <c r="H193" s="73"/>
      <c r="I193" s="73" t="s">
        <v>997</v>
      </c>
      <c r="J193" s="73" t="s">
        <v>736</v>
      </c>
      <c r="K193" s="73" t="s">
        <v>569</v>
      </c>
      <c r="L193" s="73" t="s">
        <v>131</v>
      </c>
      <c r="M193" s="73" t="s">
        <v>958</v>
      </c>
      <c r="N193" s="73">
        <v>1</v>
      </c>
      <c r="O193" s="73"/>
      <c r="P193" s="73"/>
      <c r="Q193" s="73"/>
      <c r="R193" s="73" t="s">
        <v>350</v>
      </c>
      <c r="S193" s="73">
        <v>3</v>
      </c>
      <c r="T193" s="73">
        <v>3</v>
      </c>
      <c r="U193" s="73" t="s">
        <v>105</v>
      </c>
      <c r="V193" s="73" t="s">
        <v>105</v>
      </c>
      <c r="W193" s="73" t="s">
        <v>105</v>
      </c>
      <c r="X193" s="73" t="s">
        <v>105</v>
      </c>
      <c r="Y193" s="73" t="s">
        <v>105</v>
      </c>
      <c r="Z193" s="73" t="s">
        <v>105</v>
      </c>
      <c r="AA193" s="73" t="s">
        <v>105</v>
      </c>
      <c r="AB193" s="73" t="s">
        <v>105</v>
      </c>
      <c r="AC193" s="73" t="s">
        <v>105</v>
      </c>
      <c r="AD193" s="73" t="s">
        <v>105</v>
      </c>
      <c r="AE193" s="73" t="s">
        <v>105</v>
      </c>
      <c r="AF193" s="73">
        <v>10.367000000000001</v>
      </c>
      <c r="AG193" s="73">
        <v>0.45800000000000002</v>
      </c>
      <c r="AH193" s="92">
        <f t="shared" si="68"/>
        <v>0.79327926986654573</v>
      </c>
      <c r="AI193" s="73" t="s">
        <v>978</v>
      </c>
      <c r="AJ193" s="73" t="s">
        <v>978</v>
      </c>
      <c r="AK193" s="73" t="s">
        <v>978</v>
      </c>
      <c r="AL193" s="73">
        <v>10.403</v>
      </c>
      <c r="AM193" s="73">
        <v>0.63600000000000001</v>
      </c>
      <c r="AN193" s="87">
        <f t="shared" si="69"/>
        <v>1.1015843136138059</v>
      </c>
      <c r="AO193" s="73" t="s">
        <v>978</v>
      </c>
      <c r="AP193" s="73" t="s">
        <v>978</v>
      </c>
      <c r="AQ193" s="73" t="s">
        <v>978</v>
      </c>
      <c r="AR193" s="73" t="s">
        <v>105</v>
      </c>
      <c r="AS193" s="73" t="s">
        <v>458</v>
      </c>
      <c r="AT193" s="110">
        <f t="shared" ref="AT193:AT194" si="70">AF193-AL193</f>
        <v>-3.5999999999999588E-2</v>
      </c>
      <c r="AU193" s="110">
        <f t="shared" ref="AU193:AU194" si="71">SQRT(((T192-1)*AH193^2 + (T193-1)*AN193^2)/(T192+T193-2) )</f>
        <v>0.95989061876861781</v>
      </c>
      <c r="AV193" s="110">
        <f t="shared" ref="AV193:AV194" si="72">1-3/(4*(S193+T193) - 9)</f>
        <v>0.8</v>
      </c>
      <c r="AW193" s="110">
        <f t="shared" ref="AW193:AW194" si="73">AT193/AU193*AV193</f>
        <v>-3.0003418552986119E-2</v>
      </c>
      <c r="AX193" s="110">
        <f t="shared" ref="AX193:AX194" si="74">T192</f>
        <v>3</v>
      </c>
      <c r="AY193" s="110">
        <f t="shared" ref="AY193:AY194" si="75">AW193*AX193</f>
        <v>-9.0010255658958357E-2</v>
      </c>
    </row>
    <row r="194" spans="1:51" ht="15" customHeight="1">
      <c r="A194" s="73" t="s">
        <v>364</v>
      </c>
      <c r="B194" s="73" t="s">
        <v>604</v>
      </c>
      <c r="C194" s="73" t="s">
        <v>148</v>
      </c>
      <c r="D194" s="73" t="s">
        <v>422</v>
      </c>
      <c r="E194" s="73" t="s">
        <v>421</v>
      </c>
      <c r="F194" s="73">
        <v>1997</v>
      </c>
      <c r="G194" s="73" t="s">
        <v>611</v>
      </c>
      <c r="H194" s="73"/>
      <c r="I194" s="73" t="s">
        <v>998</v>
      </c>
      <c r="J194" s="73" t="s">
        <v>736</v>
      </c>
      <c r="K194" s="73" t="s">
        <v>569</v>
      </c>
      <c r="L194" s="73" t="s">
        <v>131</v>
      </c>
      <c r="M194" s="73" t="s">
        <v>958</v>
      </c>
      <c r="N194" s="73">
        <v>1</v>
      </c>
      <c r="O194" s="73"/>
      <c r="P194" s="73"/>
      <c r="Q194" s="73"/>
      <c r="R194" s="73" t="s">
        <v>81</v>
      </c>
      <c r="S194" s="73">
        <v>3</v>
      </c>
      <c r="T194" s="73">
        <v>3</v>
      </c>
      <c r="U194" s="73" t="s">
        <v>83</v>
      </c>
      <c r="V194" s="73" t="s">
        <v>83</v>
      </c>
      <c r="W194" s="73" t="s">
        <v>83</v>
      </c>
      <c r="X194" s="73" t="s">
        <v>83</v>
      </c>
      <c r="Y194" s="73" t="s">
        <v>83</v>
      </c>
      <c r="Z194" s="73" t="s">
        <v>83</v>
      </c>
      <c r="AA194" s="73" t="s">
        <v>83</v>
      </c>
      <c r="AB194" s="73" t="s">
        <v>83</v>
      </c>
      <c r="AC194" s="73" t="s">
        <v>83</v>
      </c>
      <c r="AD194" s="73" t="s">
        <v>83</v>
      </c>
      <c r="AE194" s="73" t="s">
        <v>83</v>
      </c>
      <c r="AF194" s="73">
        <v>10.71</v>
      </c>
      <c r="AG194" s="73">
        <v>0.70399999999999996</v>
      </c>
      <c r="AH194" s="92">
        <f t="shared" si="68"/>
        <v>1.2193637685284895</v>
      </c>
      <c r="AI194" s="73" t="s">
        <v>83</v>
      </c>
      <c r="AJ194" s="73" t="s">
        <v>83</v>
      </c>
      <c r="AK194" s="73" t="s">
        <v>83</v>
      </c>
      <c r="AL194" s="73">
        <v>10.86</v>
      </c>
      <c r="AM194" s="73">
        <v>0.53600000000000003</v>
      </c>
      <c r="AN194" s="87">
        <f t="shared" si="69"/>
        <v>0.92837923285691826</v>
      </c>
      <c r="AO194" s="73" t="s">
        <v>83</v>
      </c>
      <c r="AP194" s="73" t="s">
        <v>83</v>
      </c>
      <c r="AQ194" s="73" t="s">
        <v>83</v>
      </c>
      <c r="AR194" s="73" t="s">
        <v>83</v>
      </c>
      <c r="AS194" s="73" t="s">
        <v>322</v>
      </c>
      <c r="AT194" s="110">
        <f t="shared" si="70"/>
        <v>-0.14999999999999858</v>
      </c>
      <c r="AU194" s="110">
        <f t="shared" si="71"/>
        <v>1.0836826103615393</v>
      </c>
      <c r="AV194" s="110">
        <f t="shared" si="72"/>
        <v>0.8</v>
      </c>
      <c r="AW194" s="110">
        <f t="shared" si="73"/>
        <v>-0.1107335292202985</v>
      </c>
      <c r="AX194" s="110">
        <f t="shared" si="74"/>
        <v>3</v>
      </c>
      <c r="AY194" s="110">
        <f t="shared" si="75"/>
        <v>-0.3322005876608955</v>
      </c>
    </row>
    <row r="195" spans="1:51" ht="15" hidden="1" customHeight="1">
      <c r="A195" s="73" t="s">
        <v>364</v>
      </c>
      <c r="B195" s="73" t="s">
        <v>604</v>
      </c>
      <c r="C195" s="73" t="s">
        <v>148</v>
      </c>
      <c r="D195" s="73" t="s">
        <v>422</v>
      </c>
      <c r="E195" s="73" t="s">
        <v>421</v>
      </c>
      <c r="F195" s="73">
        <v>1997</v>
      </c>
      <c r="G195" s="73" t="s">
        <v>1000</v>
      </c>
      <c r="H195" s="73"/>
      <c r="I195" s="73" t="s">
        <v>290</v>
      </c>
      <c r="J195" s="73" t="s">
        <v>850</v>
      </c>
      <c r="K195" s="73" t="s">
        <v>854</v>
      </c>
      <c r="L195" s="73" t="s">
        <v>833</v>
      </c>
      <c r="M195" s="73" t="s">
        <v>924</v>
      </c>
      <c r="N195" s="73"/>
      <c r="O195" s="73">
        <v>1</v>
      </c>
      <c r="P195" s="73"/>
      <c r="Q195" s="73"/>
      <c r="R195" s="73" t="s">
        <v>142</v>
      </c>
      <c r="S195" s="73">
        <v>3</v>
      </c>
      <c r="T195" s="73">
        <v>3</v>
      </c>
      <c r="U195" s="73" t="s">
        <v>105</v>
      </c>
      <c r="V195" s="73" t="s">
        <v>105</v>
      </c>
      <c r="W195" s="73" t="s">
        <v>105</v>
      </c>
      <c r="X195" s="73" t="s">
        <v>105</v>
      </c>
      <c r="Y195" s="73" t="s">
        <v>105</v>
      </c>
      <c r="Z195" s="73" t="s">
        <v>105</v>
      </c>
      <c r="AA195" s="73" t="s">
        <v>105</v>
      </c>
      <c r="AB195" s="73" t="s">
        <v>105</v>
      </c>
      <c r="AC195" s="73" t="s">
        <v>105</v>
      </c>
      <c r="AD195" s="73" t="s">
        <v>105</v>
      </c>
      <c r="AE195" s="73" t="s">
        <v>105</v>
      </c>
      <c r="AF195" s="73">
        <v>11.207000000000001</v>
      </c>
      <c r="AG195" s="73">
        <v>0.378</v>
      </c>
      <c r="AH195" s="92">
        <f t="shared" si="68"/>
        <v>0.65471520526103555</v>
      </c>
      <c r="AI195" s="73" t="s">
        <v>978</v>
      </c>
      <c r="AJ195" s="73" t="s">
        <v>978</v>
      </c>
      <c r="AK195" s="73" t="s">
        <v>978</v>
      </c>
      <c r="AL195" s="73">
        <v>10.042999999999999</v>
      </c>
      <c r="AM195" s="73">
        <v>0.41799999999999998</v>
      </c>
      <c r="AN195" s="87">
        <f t="shared" si="69"/>
        <v>0.72399723756379064</v>
      </c>
      <c r="AO195" s="73" t="s">
        <v>978</v>
      </c>
      <c r="AP195" s="73" t="s">
        <v>978</v>
      </c>
      <c r="AQ195" s="73" t="s">
        <v>978</v>
      </c>
      <c r="AR195" s="73" t="s">
        <v>105</v>
      </c>
      <c r="AS195" s="73" t="s">
        <v>460</v>
      </c>
      <c r="AT195" s="46"/>
      <c r="AU195" s="46"/>
      <c r="AV195" s="46"/>
      <c r="AW195" s="46"/>
      <c r="AX195" s="46"/>
      <c r="AY195" s="46"/>
    </row>
    <row r="196" spans="1:51" ht="15" hidden="1" customHeight="1">
      <c r="A196" s="73" t="s">
        <v>364</v>
      </c>
      <c r="B196" s="73" t="s">
        <v>604</v>
      </c>
      <c r="C196" s="73" t="s">
        <v>148</v>
      </c>
      <c r="D196" s="73" t="s">
        <v>422</v>
      </c>
      <c r="E196" s="73" t="s">
        <v>421</v>
      </c>
      <c r="F196" s="73">
        <v>1997</v>
      </c>
      <c r="G196" s="73" t="s">
        <v>1000</v>
      </c>
      <c r="H196" s="73"/>
      <c r="I196" s="73" t="s">
        <v>927</v>
      </c>
      <c r="J196" s="73" t="s">
        <v>939</v>
      </c>
      <c r="K196" s="73" t="s">
        <v>617</v>
      </c>
      <c r="L196" s="73" t="s">
        <v>13</v>
      </c>
      <c r="M196" s="73" t="s">
        <v>924</v>
      </c>
      <c r="N196" s="73"/>
      <c r="O196" s="73">
        <v>1</v>
      </c>
      <c r="P196" s="73"/>
      <c r="Q196" s="73"/>
      <c r="R196" s="73" t="s">
        <v>162</v>
      </c>
      <c r="S196" s="73">
        <v>3</v>
      </c>
      <c r="T196" s="73">
        <v>3</v>
      </c>
      <c r="U196" s="73" t="s">
        <v>105</v>
      </c>
      <c r="V196" s="73" t="s">
        <v>105</v>
      </c>
      <c r="W196" s="73" t="s">
        <v>105</v>
      </c>
      <c r="X196" s="73" t="s">
        <v>105</v>
      </c>
      <c r="Y196" s="73" t="s">
        <v>105</v>
      </c>
      <c r="Z196" s="73" t="s">
        <v>105</v>
      </c>
      <c r="AA196" s="73" t="s">
        <v>105</v>
      </c>
      <c r="AB196" s="73" t="s">
        <v>105</v>
      </c>
      <c r="AC196" s="73" t="s">
        <v>105</v>
      </c>
      <c r="AD196" s="73" t="s">
        <v>105</v>
      </c>
      <c r="AE196" s="73" t="s">
        <v>105</v>
      </c>
      <c r="AF196" s="73">
        <v>10.805999999999999</v>
      </c>
      <c r="AG196" s="73">
        <v>0.35799999999999998</v>
      </c>
      <c r="AH196" s="92">
        <f t="shared" si="68"/>
        <v>0.62007418910965806</v>
      </c>
      <c r="AI196" s="73" t="s">
        <v>978</v>
      </c>
      <c r="AJ196" s="73" t="s">
        <v>978</v>
      </c>
      <c r="AK196" s="73" t="s">
        <v>978</v>
      </c>
      <c r="AL196" s="73">
        <v>9.6389999999999993</v>
      </c>
      <c r="AM196" s="73">
        <v>0.33500000000000002</v>
      </c>
      <c r="AN196" s="87">
        <f t="shared" si="69"/>
        <v>0.58023702053557391</v>
      </c>
      <c r="AO196" s="73" t="s">
        <v>978</v>
      </c>
      <c r="AP196" s="73" t="s">
        <v>978</v>
      </c>
      <c r="AQ196" s="73" t="s">
        <v>978</v>
      </c>
      <c r="AR196" s="73" t="s">
        <v>105</v>
      </c>
      <c r="AS196" s="73" t="s">
        <v>460</v>
      </c>
      <c r="AT196" s="46"/>
      <c r="AU196" s="46"/>
      <c r="AV196" s="46"/>
      <c r="AW196" s="46"/>
      <c r="AX196" s="46"/>
      <c r="AY196" s="46"/>
    </row>
    <row r="197" spans="1:51" ht="15" customHeight="1">
      <c r="A197" s="73" t="s">
        <v>364</v>
      </c>
      <c r="B197" s="73" t="s">
        <v>604</v>
      </c>
      <c r="C197" s="73" t="s">
        <v>148</v>
      </c>
      <c r="D197" s="73" t="s">
        <v>422</v>
      </c>
      <c r="E197" s="73" t="s">
        <v>421</v>
      </c>
      <c r="F197" s="73">
        <v>1997</v>
      </c>
      <c r="G197" s="73" t="s">
        <v>615</v>
      </c>
      <c r="H197" s="73"/>
      <c r="I197" s="73" t="s">
        <v>928</v>
      </c>
      <c r="J197" s="73" t="s">
        <v>736</v>
      </c>
      <c r="K197" s="73" t="s">
        <v>569</v>
      </c>
      <c r="L197" s="73" t="s">
        <v>131</v>
      </c>
      <c r="M197" s="73" t="s">
        <v>958</v>
      </c>
      <c r="N197" s="73">
        <v>1</v>
      </c>
      <c r="O197" s="73"/>
      <c r="P197" s="73"/>
      <c r="Q197" s="73"/>
      <c r="R197" s="73" t="s">
        <v>163</v>
      </c>
      <c r="S197" s="73">
        <v>3</v>
      </c>
      <c r="T197" s="73">
        <v>3</v>
      </c>
      <c r="U197" s="73" t="s">
        <v>105</v>
      </c>
      <c r="V197" s="73" t="s">
        <v>105</v>
      </c>
      <c r="W197" s="73" t="s">
        <v>105</v>
      </c>
      <c r="X197" s="73" t="s">
        <v>105</v>
      </c>
      <c r="Y197" s="73" t="s">
        <v>105</v>
      </c>
      <c r="Z197" s="73" t="s">
        <v>105</v>
      </c>
      <c r="AA197" s="73" t="s">
        <v>105</v>
      </c>
      <c r="AB197" s="73" t="s">
        <v>105</v>
      </c>
      <c r="AC197" s="73" t="s">
        <v>105</v>
      </c>
      <c r="AD197" s="73" t="s">
        <v>105</v>
      </c>
      <c r="AE197" s="73" t="s">
        <v>105</v>
      </c>
      <c r="AF197" s="73">
        <v>12.507</v>
      </c>
      <c r="AG197" s="73">
        <v>0.23100000000000001</v>
      </c>
      <c r="AH197" s="92">
        <f t="shared" si="68"/>
        <v>0.40010373654841064</v>
      </c>
      <c r="AI197" s="73" t="s">
        <v>978</v>
      </c>
      <c r="AJ197" s="73" t="s">
        <v>978</v>
      </c>
      <c r="AK197" s="73" t="s">
        <v>978</v>
      </c>
      <c r="AL197" s="73">
        <v>10.65</v>
      </c>
      <c r="AM197" s="73">
        <v>0.38700000000000001</v>
      </c>
      <c r="AN197" s="87">
        <f t="shared" si="69"/>
        <v>0.67030366252915552</v>
      </c>
      <c r="AO197" s="73" t="s">
        <v>978</v>
      </c>
      <c r="AP197" s="73" t="s">
        <v>978</v>
      </c>
      <c r="AQ197" s="73" t="s">
        <v>978</v>
      </c>
      <c r="AR197" s="73" t="s">
        <v>105</v>
      </c>
      <c r="AS197" s="73" t="s">
        <v>460</v>
      </c>
      <c r="AT197" s="110">
        <f t="shared" ref="AT197:AT198" si="76">AF197-AL197</f>
        <v>1.8569999999999993</v>
      </c>
      <c r="AU197" s="110">
        <f t="shared" ref="AU197:AU198" si="77">SQRT(((T196-1)*AH197^2 + (T197-1)*AN197^2)/(T196+T197-2) )</f>
        <v>0.55199184776588861</v>
      </c>
      <c r="AV197" s="110">
        <f t="shared" ref="AV197:AV198" si="78">1-3/(4*(S197+T197) - 9)</f>
        <v>0.8</v>
      </c>
      <c r="AW197" s="110">
        <f t="shared" ref="AW197:AW198" si="79">AT197/AU197*AV197</f>
        <v>2.6913440950491605</v>
      </c>
      <c r="AX197" s="110">
        <f t="shared" ref="AX197:AX198" si="80">T196</f>
        <v>3</v>
      </c>
      <c r="AY197" s="110">
        <f t="shared" ref="AY197:AY198" si="81">AW197*AX197</f>
        <v>8.0740322851474815</v>
      </c>
    </row>
    <row r="198" spans="1:51" ht="15" customHeight="1">
      <c r="A198" s="73" t="s">
        <v>364</v>
      </c>
      <c r="B198" s="73" t="s">
        <v>604</v>
      </c>
      <c r="C198" s="73" t="s">
        <v>148</v>
      </c>
      <c r="D198" s="73" t="s">
        <v>422</v>
      </c>
      <c r="E198" s="73" t="s">
        <v>421</v>
      </c>
      <c r="F198" s="73">
        <v>1998</v>
      </c>
      <c r="G198" s="73" t="s">
        <v>751</v>
      </c>
      <c r="H198" s="73"/>
      <c r="I198" s="73" t="s">
        <v>929</v>
      </c>
      <c r="J198" s="73" t="s">
        <v>736</v>
      </c>
      <c r="K198" s="73" t="s">
        <v>569</v>
      </c>
      <c r="L198" s="73" t="s">
        <v>131</v>
      </c>
      <c r="M198" s="73" t="s">
        <v>958</v>
      </c>
      <c r="N198" s="73">
        <v>1</v>
      </c>
      <c r="O198" s="73"/>
      <c r="P198" s="73"/>
      <c r="Q198" s="73"/>
      <c r="R198" s="73" t="s">
        <v>26</v>
      </c>
      <c r="S198" s="73">
        <v>3</v>
      </c>
      <c r="T198" s="73">
        <v>3</v>
      </c>
      <c r="U198" s="73" t="s">
        <v>105</v>
      </c>
      <c r="V198" s="73" t="s">
        <v>105</v>
      </c>
      <c r="W198" s="73" t="s">
        <v>105</v>
      </c>
      <c r="X198" s="73" t="s">
        <v>105</v>
      </c>
      <c r="Y198" s="73" t="s">
        <v>105</v>
      </c>
      <c r="Z198" s="73" t="s">
        <v>105</v>
      </c>
      <c r="AA198" s="73" t="s">
        <v>105</v>
      </c>
      <c r="AB198" s="73" t="s">
        <v>105</v>
      </c>
      <c r="AC198" s="73" t="s">
        <v>105</v>
      </c>
      <c r="AD198" s="73" t="s">
        <v>105</v>
      </c>
      <c r="AE198" s="73" t="s">
        <v>105</v>
      </c>
      <c r="AF198" s="73">
        <v>9.6430000000000007</v>
      </c>
      <c r="AG198" s="73">
        <v>5.5E-2</v>
      </c>
      <c r="AH198" s="92">
        <f t="shared" si="68"/>
        <v>9.5262794416288252E-2</v>
      </c>
      <c r="AI198" s="73" t="s">
        <v>978</v>
      </c>
      <c r="AJ198" s="73" t="s">
        <v>978</v>
      </c>
      <c r="AK198" s="73" t="s">
        <v>978</v>
      </c>
      <c r="AL198" s="73">
        <v>9.7629999999999999</v>
      </c>
      <c r="AM198" s="73">
        <v>0.22700000000000001</v>
      </c>
      <c r="AN198" s="87">
        <f t="shared" si="69"/>
        <v>0.39317553331813515</v>
      </c>
      <c r="AO198" s="73" t="s">
        <v>978</v>
      </c>
      <c r="AP198" s="73" t="s">
        <v>978</v>
      </c>
      <c r="AQ198" s="73" t="s">
        <v>978</v>
      </c>
      <c r="AR198" s="73" t="s">
        <v>105</v>
      </c>
      <c r="AS198" s="73" t="s">
        <v>458</v>
      </c>
      <c r="AT198" s="110">
        <f t="shared" si="76"/>
        <v>-0.11999999999999922</v>
      </c>
      <c r="AU198" s="110">
        <f t="shared" si="77"/>
        <v>0.28606118226701083</v>
      </c>
      <c r="AV198" s="110">
        <f t="shared" si="78"/>
        <v>0.8</v>
      </c>
      <c r="AW198" s="110">
        <f t="shared" si="79"/>
        <v>-0.33559254436134062</v>
      </c>
      <c r="AX198" s="110">
        <f t="shared" si="80"/>
        <v>3</v>
      </c>
      <c r="AY198" s="110">
        <f t="shared" si="81"/>
        <v>-1.0067776330840219</v>
      </c>
    </row>
    <row r="199" spans="1:51" ht="15" hidden="1" customHeight="1">
      <c r="A199" s="73" t="s">
        <v>364</v>
      </c>
      <c r="B199" s="73" t="s">
        <v>604</v>
      </c>
      <c r="C199" s="73" t="s">
        <v>148</v>
      </c>
      <c r="D199" s="73" t="s">
        <v>422</v>
      </c>
      <c r="E199" s="73" t="s">
        <v>421</v>
      </c>
      <c r="F199" s="73">
        <v>1998</v>
      </c>
      <c r="G199" s="73" t="s">
        <v>613</v>
      </c>
      <c r="H199" s="73"/>
      <c r="I199" s="73" t="s">
        <v>932</v>
      </c>
      <c r="J199" s="73" t="s">
        <v>201</v>
      </c>
      <c r="K199" s="73" t="s">
        <v>860</v>
      </c>
      <c r="L199" s="73" t="s">
        <v>13</v>
      </c>
      <c r="M199" s="73" t="s">
        <v>924</v>
      </c>
      <c r="N199" s="73"/>
      <c r="O199" s="73">
        <v>1</v>
      </c>
      <c r="P199" s="73"/>
      <c r="Q199" s="73"/>
      <c r="R199" s="73" t="s">
        <v>149</v>
      </c>
      <c r="S199" s="73">
        <v>3</v>
      </c>
      <c r="T199" s="73">
        <v>3</v>
      </c>
      <c r="U199" s="73" t="s">
        <v>105</v>
      </c>
      <c r="V199" s="73" t="s">
        <v>105</v>
      </c>
      <c r="W199" s="73" t="s">
        <v>105</v>
      </c>
      <c r="X199" s="73" t="s">
        <v>105</v>
      </c>
      <c r="Y199" s="73" t="s">
        <v>105</v>
      </c>
      <c r="Z199" s="73" t="s">
        <v>105</v>
      </c>
      <c r="AA199" s="73" t="s">
        <v>105</v>
      </c>
      <c r="AB199" s="73" t="s">
        <v>105</v>
      </c>
      <c r="AC199" s="73" t="s">
        <v>105</v>
      </c>
      <c r="AD199" s="73" t="s">
        <v>105</v>
      </c>
      <c r="AE199" s="73" t="s">
        <v>105</v>
      </c>
      <c r="AF199" s="73">
        <v>9.4469999999999992</v>
      </c>
      <c r="AG199" s="73">
        <v>0.126</v>
      </c>
      <c r="AH199" s="92">
        <f t="shared" si="68"/>
        <v>0.21823840175367853</v>
      </c>
      <c r="AI199" s="73" t="s">
        <v>978</v>
      </c>
      <c r="AJ199" s="73" t="s">
        <v>978</v>
      </c>
      <c r="AK199" s="73" t="s">
        <v>978</v>
      </c>
      <c r="AL199" s="73">
        <v>9.0519999999999996</v>
      </c>
      <c r="AM199" s="73">
        <v>0.309</v>
      </c>
      <c r="AN199" s="87">
        <f t="shared" si="69"/>
        <v>0.535203699538783</v>
      </c>
      <c r="AO199" s="73" t="s">
        <v>978</v>
      </c>
      <c r="AP199" s="73" t="s">
        <v>978</v>
      </c>
      <c r="AQ199" s="73" t="s">
        <v>978</v>
      </c>
      <c r="AR199" s="73" t="s">
        <v>105</v>
      </c>
      <c r="AS199" s="73" t="s">
        <v>458</v>
      </c>
      <c r="AT199" s="46"/>
      <c r="AU199" s="46"/>
      <c r="AV199" s="46"/>
      <c r="AW199" s="46"/>
      <c r="AX199" s="46"/>
      <c r="AY199" s="46"/>
    </row>
    <row r="200" spans="1:51" ht="15" customHeight="1">
      <c r="A200" s="73" t="s">
        <v>364</v>
      </c>
      <c r="B200" s="73" t="s">
        <v>604</v>
      </c>
      <c r="C200" s="73" t="s">
        <v>148</v>
      </c>
      <c r="D200" s="73" t="s">
        <v>422</v>
      </c>
      <c r="E200" s="73" t="s">
        <v>421</v>
      </c>
      <c r="F200" s="73">
        <v>1998</v>
      </c>
      <c r="G200" s="73" t="s">
        <v>611</v>
      </c>
      <c r="H200" s="73"/>
      <c r="I200" s="73" t="s">
        <v>150</v>
      </c>
      <c r="J200" s="73" t="s">
        <v>736</v>
      </c>
      <c r="K200" s="95" t="s">
        <v>569</v>
      </c>
      <c r="L200" s="95" t="s">
        <v>131</v>
      </c>
      <c r="M200" s="95" t="s">
        <v>919</v>
      </c>
      <c r="N200" s="95">
        <v>1</v>
      </c>
      <c r="O200" s="73"/>
      <c r="P200" s="73"/>
      <c r="Q200" s="73"/>
      <c r="R200" s="73" t="s">
        <v>350</v>
      </c>
      <c r="S200" s="73">
        <v>3</v>
      </c>
      <c r="T200" s="73">
        <v>3</v>
      </c>
      <c r="U200" s="73" t="s">
        <v>105</v>
      </c>
      <c r="V200" s="73" t="s">
        <v>105</v>
      </c>
      <c r="W200" s="73" t="s">
        <v>105</v>
      </c>
      <c r="X200" s="73" t="s">
        <v>105</v>
      </c>
      <c r="Y200" s="73" t="s">
        <v>105</v>
      </c>
      <c r="Z200" s="73" t="s">
        <v>105</v>
      </c>
      <c r="AA200" s="73" t="s">
        <v>105</v>
      </c>
      <c r="AB200" s="73" t="s">
        <v>105</v>
      </c>
      <c r="AC200" s="73" t="s">
        <v>105</v>
      </c>
      <c r="AD200" s="73" t="s">
        <v>105</v>
      </c>
      <c r="AE200" s="73" t="s">
        <v>105</v>
      </c>
      <c r="AF200" s="73">
        <v>8.2759999999999998</v>
      </c>
      <c r="AG200" s="73">
        <v>0.156</v>
      </c>
      <c r="AH200" s="92">
        <f t="shared" si="68"/>
        <v>0.27019992598074483</v>
      </c>
      <c r="AI200" s="73" t="s">
        <v>978</v>
      </c>
      <c r="AJ200" s="73" t="s">
        <v>978</v>
      </c>
      <c r="AK200" s="73" t="s">
        <v>978</v>
      </c>
      <c r="AL200" s="73">
        <v>7.968</v>
      </c>
      <c r="AM200" s="73">
        <v>0.222</v>
      </c>
      <c r="AN200" s="87">
        <f t="shared" si="69"/>
        <v>0.38451527928029072</v>
      </c>
      <c r="AO200" s="73" t="s">
        <v>978</v>
      </c>
      <c r="AP200" s="73" t="s">
        <v>978</v>
      </c>
      <c r="AQ200" s="73" t="s">
        <v>978</v>
      </c>
      <c r="AR200" s="73" t="s">
        <v>105</v>
      </c>
      <c r="AS200" s="73" t="s">
        <v>458</v>
      </c>
      <c r="AT200" s="110">
        <f>AF200-AL200</f>
        <v>0.30799999999999983</v>
      </c>
      <c r="AU200" s="110">
        <f>SQRT(((T199-1)*AH200^2 + (T200-1)*AN200^2)/(T199+T200-2) )</f>
        <v>0.33231009614515172</v>
      </c>
      <c r="AV200" s="110">
        <f>1-3/(4*(S200+T200) - 9)</f>
        <v>0.8</v>
      </c>
      <c r="AW200" s="110">
        <f>AT200/AU200*AV200</f>
        <v>0.74147611781368605</v>
      </c>
      <c r="AX200" s="110">
        <f>T199</f>
        <v>3</v>
      </c>
      <c r="AY200" s="110">
        <f>AW200*AX200</f>
        <v>2.2244283534410583</v>
      </c>
    </row>
    <row r="201" spans="1:51" ht="15" hidden="1" customHeight="1">
      <c r="A201" s="73" t="s">
        <v>364</v>
      </c>
      <c r="B201" s="73" t="s">
        <v>604</v>
      </c>
      <c r="C201" s="73" t="s">
        <v>148</v>
      </c>
      <c r="D201" s="73" t="s">
        <v>422</v>
      </c>
      <c r="E201" s="73" t="s">
        <v>421</v>
      </c>
      <c r="F201" s="73">
        <v>1998</v>
      </c>
      <c r="G201" s="73" t="s">
        <v>1000</v>
      </c>
      <c r="H201" s="73"/>
      <c r="I201" s="73" t="s">
        <v>151</v>
      </c>
      <c r="J201" s="73" t="s">
        <v>850</v>
      </c>
      <c r="K201" s="73" t="s">
        <v>854</v>
      </c>
      <c r="L201" s="73" t="s">
        <v>833</v>
      </c>
      <c r="M201" s="73" t="s">
        <v>924</v>
      </c>
      <c r="N201" s="73"/>
      <c r="O201" s="73">
        <v>1</v>
      </c>
      <c r="P201" s="73"/>
      <c r="Q201" s="73"/>
      <c r="R201" s="73" t="s">
        <v>152</v>
      </c>
      <c r="S201" s="73">
        <v>3</v>
      </c>
      <c r="T201" s="73">
        <v>3</v>
      </c>
      <c r="U201" s="73" t="s">
        <v>105</v>
      </c>
      <c r="V201" s="73" t="s">
        <v>105</v>
      </c>
      <c r="W201" s="73" t="s">
        <v>105</v>
      </c>
      <c r="X201" s="73" t="s">
        <v>105</v>
      </c>
      <c r="Y201" s="73" t="s">
        <v>105</v>
      </c>
      <c r="Z201" s="73" t="s">
        <v>105</v>
      </c>
      <c r="AA201" s="73" t="s">
        <v>105</v>
      </c>
      <c r="AB201" s="73" t="s">
        <v>105</v>
      </c>
      <c r="AC201" s="73" t="s">
        <v>105</v>
      </c>
      <c r="AD201" s="73" t="s">
        <v>105</v>
      </c>
      <c r="AE201" s="73" t="s">
        <v>105</v>
      </c>
      <c r="AF201" s="73">
        <v>10.452</v>
      </c>
      <c r="AG201" s="73">
        <v>0.35699999999999998</v>
      </c>
      <c r="AH201" s="92">
        <f t="shared" si="68"/>
        <v>0.61834213830208917</v>
      </c>
      <c r="AI201" s="73" t="s">
        <v>978</v>
      </c>
      <c r="AJ201" s="73" t="s">
        <v>978</v>
      </c>
      <c r="AK201" s="73" t="s">
        <v>978</v>
      </c>
      <c r="AL201" s="73">
        <v>10.1</v>
      </c>
      <c r="AM201" s="73">
        <v>0.251</v>
      </c>
      <c r="AN201" s="87">
        <f t="shared" si="69"/>
        <v>0.43474475269978818</v>
      </c>
      <c r="AO201" s="73" t="s">
        <v>978</v>
      </c>
      <c r="AP201" s="73" t="s">
        <v>978</v>
      </c>
      <c r="AQ201" s="73" t="s">
        <v>978</v>
      </c>
      <c r="AR201" s="73" t="s">
        <v>105</v>
      </c>
      <c r="AS201" s="73" t="s">
        <v>458</v>
      </c>
      <c r="AT201" s="46"/>
      <c r="AU201" s="46"/>
      <c r="AV201" s="46"/>
      <c r="AW201" s="46"/>
      <c r="AX201" s="46"/>
      <c r="AY201" s="46"/>
    </row>
    <row r="202" spans="1:51" ht="15" hidden="1" customHeight="1">
      <c r="A202" s="73" t="s">
        <v>364</v>
      </c>
      <c r="B202" s="73" t="s">
        <v>604</v>
      </c>
      <c r="C202" s="73" t="s">
        <v>148</v>
      </c>
      <c r="D202" s="73" t="s">
        <v>422</v>
      </c>
      <c r="E202" s="73" t="s">
        <v>421</v>
      </c>
      <c r="F202" s="73">
        <v>1998</v>
      </c>
      <c r="G202" s="73" t="s">
        <v>1000</v>
      </c>
      <c r="H202" s="73"/>
      <c r="I202" s="73" t="s">
        <v>153</v>
      </c>
      <c r="J202" s="73" t="s">
        <v>850</v>
      </c>
      <c r="K202" s="73" t="s">
        <v>854</v>
      </c>
      <c r="L202" s="73" t="s">
        <v>833</v>
      </c>
      <c r="M202" s="73" t="s">
        <v>924</v>
      </c>
      <c r="N202" s="73"/>
      <c r="O202" s="73">
        <v>1</v>
      </c>
      <c r="P202" s="73"/>
      <c r="Q202" s="73"/>
      <c r="R202" s="73" t="s">
        <v>306</v>
      </c>
      <c r="S202" s="73">
        <v>3</v>
      </c>
      <c r="T202" s="73">
        <v>3</v>
      </c>
      <c r="U202" s="73" t="s">
        <v>105</v>
      </c>
      <c r="V202" s="73" t="s">
        <v>105</v>
      </c>
      <c r="W202" s="73" t="s">
        <v>105</v>
      </c>
      <c r="X202" s="73" t="s">
        <v>105</v>
      </c>
      <c r="Y202" s="73" t="s">
        <v>105</v>
      </c>
      <c r="Z202" s="73" t="s">
        <v>105</v>
      </c>
      <c r="AA202" s="73" t="s">
        <v>105</v>
      </c>
      <c r="AB202" s="73" t="s">
        <v>105</v>
      </c>
      <c r="AC202" s="73" t="s">
        <v>105</v>
      </c>
      <c r="AD202" s="73" t="s">
        <v>105</v>
      </c>
      <c r="AE202" s="73" t="s">
        <v>105</v>
      </c>
      <c r="AF202" s="73">
        <v>10.409000000000001</v>
      </c>
      <c r="AG202" s="73">
        <v>0.249</v>
      </c>
      <c r="AH202" s="92">
        <f t="shared" si="68"/>
        <v>0.43128065108465041</v>
      </c>
      <c r="AI202" s="73" t="s">
        <v>978</v>
      </c>
      <c r="AJ202" s="73" t="s">
        <v>978</v>
      </c>
      <c r="AK202" s="73" t="s">
        <v>978</v>
      </c>
      <c r="AL202" s="73">
        <v>10.323</v>
      </c>
      <c r="AM202" s="73">
        <v>0.29499999999999998</v>
      </c>
      <c r="AN202" s="87">
        <f t="shared" si="69"/>
        <v>0.51095498823281871</v>
      </c>
      <c r="AO202" s="73" t="s">
        <v>978</v>
      </c>
      <c r="AP202" s="73" t="s">
        <v>978</v>
      </c>
      <c r="AQ202" s="73" t="s">
        <v>978</v>
      </c>
      <c r="AR202" s="73" t="s">
        <v>105</v>
      </c>
      <c r="AS202" s="73" t="s">
        <v>458</v>
      </c>
      <c r="AT202" s="46"/>
      <c r="AU202" s="46"/>
      <c r="AV202" s="46"/>
      <c r="AW202" s="46"/>
      <c r="AX202" s="46"/>
      <c r="AY202" s="46"/>
    </row>
    <row r="203" spans="1:51" ht="15" hidden="1" customHeight="1">
      <c r="A203" s="73" t="s">
        <v>364</v>
      </c>
      <c r="B203" s="73" t="s">
        <v>604</v>
      </c>
      <c r="C203" s="73" t="s">
        <v>148</v>
      </c>
      <c r="D203" s="73" t="s">
        <v>422</v>
      </c>
      <c r="E203" s="73" t="s">
        <v>421</v>
      </c>
      <c r="F203" s="73">
        <v>1998</v>
      </c>
      <c r="G203" s="73" t="s">
        <v>1000</v>
      </c>
      <c r="H203" s="73"/>
      <c r="I203" s="73" t="s">
        <v>927</v>
      </c>
      <c r="J203" s="73" t="s">
        <v>939</v>
      </c>
      <c r="K203" s="73" t="s">
        <v>617</v>
      </c>
      <c r="L203" s="73" t="s">
        <v>13</v>
      </c>
      <c r="M203" s="73" t="s">
        <v>924</v>
      </c>
      <c r="N203" s="73"/>
      <c r="O203" s="73">
        <v>1</v>
      </c>
      <c r="P203" s="73"/>
      <c r="Q203" s="73"/>
      <c r="R203" s="73" t="s">
        <v>162</v>
      </c>
      <c r="S203" s="73">
        <v>3</v>
      </c>
      <c r="T203" s="73">
        <v>3</v>
      </c>
      <c r="U203" s="73" t="s">
        <v>105</v>
      </c>
      <c r="V203" s="73" t="s">
        <v>105</v>
      </c>
      <c r="W203" s="73" t="s">
        <v>105</v>
      </c>
      <c r="X203" s="73" t="s">
        <v>105</v>
      </c>
      <c r="Y203" s="73" t="s">
        <v>105</v>
      </c>
      <c r="Z203" s="73" t="s">
        <v>105</v>
      </c>
      <c r="AA203" s="73" t="s">
        <v>105</v>
      </c>
      <c r="AB203" s="73" t="s">
        <v>105</v>
      </c>
      <c r="AC203" s="73" t="s">
        <v>105</v>
      </c>
      <c r="AD203" s="73" t="s">
        <v>105</v>
      </c>
      <c r="AE203" s="73" t="s">
        <v>105</v>
      </c>
      <c r="AF203" s="73">
        <v>8.4730000000000008</v>
      </c>
      <c r="AG203" s="73">
        <v>1.7999999999999999E-2</v>
      </c>
      <c r="AH203" s="92">
        <f t="shared" si="68"/>
        <v>3.1176914536239789E-2</v>
      </c>
      <c r="AI203" s="73" t="s">
        <v>978</v>
      </c>
      <c r="AJ203" s="73" t="s">
        <v>978</v>
      </c>
      <c r="AK203" s="73" t="s">
        <v>978</v>
      </c>
      <c r="AL203" s="73">
        <v>8.7439999999999998</v>
      </c>
      <c r="AM203" s="73">
        <v>0.23499999999999999</v>
      </c>
      <c r="AN203" s="87">
        <f t="shared" si="69"/>
        <v>0.40703193977868612</v>
      </c>
      <c r="AO203" s="73" t="s">
        <v>978</v>
      </c>
      <c r="AP203" s="73" t="s">
        <v>978</v>
      </c>
      <c r="AQ203" s="73" t="s">
        <v>978</v>
      </c>
      <c r="AR203" s="73" t="s">
        <v>105</v>
      </c>
      <c r="AS203" s="73" t="s">
        <v>458</v>
      </c>
      <c r="AT203" s="46"/>
      <c r="AU203" s="46"/>
      <c r="AV203" s="46"/>
      <c r="AW203" s="46"/>
      <c r="AX203" s="46"/>
      <c r="AY203" s="46"/>
    </row>
    <row r="204" spans="1:51" ht="15" hidden="1" customHeight="1">
      <c r="A204" s="73" t="s">
        <v>364</v>
      </c>
      <c r="B204" s="73" t="s">
        <v>604</v>
      </c>
      <c r="C204" s="73" t="s">
        <v>148</v>
      </c>
      <c r="D204" s="73" t="s">
        <v>422</v>
      </c>
      <c r="E204" s="73" t="s">
        <v>421</v>
      </c>
      <c r="F204" s="73">
        <v>1998</v>
      </c>
      <c r="G204" s="73" t="s">
        <v>1000</v>
      </c>
      <c r="H204" s="73"/>
      <c r="I204" s="73" t="s">
        <v>933</v>
      </c>
      <c r="J204" s="73" t="s">
        <v>939</v>
      </c>
      <c r="K204" s="73" t="s">
        <v>617</v>
      </c>
      <c r="L204" s="73" t="s">
        <v>13</v>
      </c>
      <c r="M204" s="73" t="s">
        <v>924</v>
      </c>
      <c r="N204" s="73"/>
      <c r="O204" s="73">
        <v>1</v>
      </c>
      <c r="P204" s="73"/>
      <c r="Q204" s="73"/>
      <c r="R204" s="73" t="s">
        <v>307</v>
      </c>
      <c r="S204" s="73">
        <v>3</v>
      </c>
      <c r="T204" s="73">
        <v>3</v>
      </c>
      <c r="U204" s="73" t="s">
        <v>105</v>
      </c>
      <c r="V204" s="73" t="s">
        <v>105</v>
      </c>
      <c r="W204" s="73" t="s">
        <v>105</v>
      </c>
      <c r="X204" s="73" t="s">
        <v>105</v>
      </c>
      <c r="Y204" s="73" t="s">
        <v>105</v>
      </c>
      <c r="Z204" s="73" t="s">
        <v>105</v>
      </c>
      <c r="AA204" s="73" t="s">
        <v>105</v>
      </c>
      <c r="AB204" s="73" t="s">
        <v>105</v>
      </c>
      <c r="AC204" s="73" t="s">
        <v>105</v>
      </c>
      <c r="AD204" s="73" t="s">
        <v>105</v>
      </c>
      <c r="AE204" s="73" t="s">
        <v>105</v>
      </c>
      <c r="AF204" s="73">
        <v>9.9559999999999995</v>
      </c>
      <c r="AG204" s="73">
        <v>0.17799999999999999</v>
      </c>
      <c r="AH204" s="92">
        <f t="shared" si="68"/>
        <v>0.30830504374726014</v>
      </c>
      <c r="AI204" s="73" t="s">
        <v>978</v>
      </c>
      <c r="AJ204" s="73" t="s">
        <v>978</v>
      </c>
      <c r="AK204" s="73" t="s">
        <v>978</v>
      </c>
      <c r="AL204" s="73">
        <v>10.082000000000001</v>
      </c>
      <c r="AM204" s="73">
        <v>0.22800000000000001</v>
      </c>
      <c r="AN204" s="87">
        <f t="shared" si="69"/>
        <v>0.39490758412570404</v>
      </c>
      <c r="AO204" s="73" t="s">
        <v>978</v>
      </c>
      <c r="AP204" s="73" t="s">
        <v>978</v>
      </c>
      <c r="AQ204" s="73" t="s">
        <v>978</v>
      </c>
      <c r="AR204" s="73" t="s">
        <v>105</v>
      </c>
      <c r="AS204" s="73" t="s">
        <v>458</v>
      </c>
      <c r="AT204" s="46"/>
      <c r="AU204" s="46"/>
      <c r="AV204" s="46"/>
      <c r="AW204" s="46"/>
      <c r="AX204" s="46"/>
      <c r="AY204" s="46"/>
    </row>
    <row r="205" spans="1:51" ht="15" hidden="1" customHeight="1">
      <c r="A205" s="73" t="s">
        <v>364</v>
      </c>
      <c r="B205" s="73" t="s">
        <v>604</v>
      </c>
      <c r="C205" s="73" t="s">
        <v>148</v>
      </c>
      <c r="D205" s="73" t="s">
        <v>422</v>
      </c>
      <c r="E205" s="73" t="s">
        <v>421</v>
      </c>
      <c r="F205" s="73">
        <v>1999</v>
      </c>
      <c r="G205" s="73" t="s">
        <v>613</v>
      </c>
      <c r="H205" s="73"/>
      <c r="I205" s="73" t="s">
        <v>931</v>
      </c>
      <c r="J205" s="73" t="s">
        <v>858</v>
      </c>
      <c r="K205" s="73" t="s">
        <v>860</v>
      </c>
      <c r="L205" s="73" t="s">
        <v>13</v>
      </c>
      <c r="M205" s="73" t="s">
        <v>924</v>
      </c>
      <c r="N205" s="73"/>
      <c r="O205" s="73">
        <v>1</v>
      </c>
      <c r="P205" s="73"/>
      <c r="Q205" s="73"/>
      <c r="R205" s="73" t="s">
        <v>149</v>
      </c>
      <c r="S205" s="73">
        <v>3</v>
      </c>
      <c r="T205" s="73">
        <v>3</v>
      </c>
      <c r="U205" s="73" t="s">
        <v>105</v>
      </c>
      <c r="V205" s="73" t="s">
        <v>105</v>
      </c>
      <c r="W205" s="73" t="s">
        <v>105</v>
      </c>
      <c r="X205" s="73" t="s">
        <v>105</v>
      </c>
      <c r="Y205" s="73" t="s">
        <v>105</v>
      </c>
      <c r="Z205" s="73" t="s">
        <v>105</v>
      </c>
      <c r="AA205" s="73" t="s">
        <v>105</v>
      </c>
      <c r="AB205" s="73" t="s">
        <v>105</v>
      </c>
      <c r="AC205" s="73" t="s">
        <v>105</v>
      </c>
      <c r="AD205" s="73" t="s">
        <v>105</v>
      </c>
      <c r="AE205" s="73" t="s">
        <v>105</v>
      </c>
      <c r="AF205" s="73">
        <v>9.02</v>
      </c>
      <c r="AG205" s="96">
        <v>0.73</v>
      </c>
      <c r="AH205" s="92">
        <f t="shared" si="68"/>
        <v>1.2643970895252803</v>
      </c>
      <c r="AI205" s="73" t="s">
        <v>978</v>
      </c>
      <c r="AJ205" s="73" t="s">
        <v>978</v>
      </c>
      <c r="AK205" s="73" t="s">
        <v>978</v>
      </c>
      <c r="AL205" s="73">
        <v>8.6609999999999996</v>
      </c>
      <c r="AM205" s="73">
        <v>0.47799999999999998</v>
      </c>
      <c r="AN205" s="87">
        <f t="shared" si="69"/>
        <v>0.82792028601792322</v>
      </c>
      <c r="AO205" s="73" t="s">
        <v>978</v>
      </c>
      <c r="AP205" s="73" t="s">
        <v>978</v>
      </c>
      <c r="AQ205" s="73" t="s">
        <v>978</v>
      </c>
      <c r="AR205" s="73" t="s">
        <v>105</v>
      </c>
      <c r="AS205" s="73" t="s">
        <v>458</v>
      </c>
      <c r="AT205" s="46"/>
      <c r="AU205" s="46"/>
      <c r="AV205" s="46"/>
      <c r="AW205" s="46"/>
      <c r="AX205" s="46"/>
      <c r="AY205" s="46"/>
    </row>
    <row r="206" spans="1:51" ht="15" customHeight="1">
      <c r="A206" s="73" t="s">
        <v>364</v>
      </c>
      <c r="B206" s="73" t="s">
        <v>604</v>
      </c>
      <c r="C206" s="73" t="s">
        <v>148</v>
      </c>
      <c r="D206" s="73" t="s">
        <v>422</v>
      </c>
      <c r="E206" s="73" t="s">
        <v>421</v>
      </c>
      <c r="F206" s="73">
        <v>1999</v>
      </c>
      <c r="G206" s="73" t="s">
        <v>611</v>
      </c>
      <c r="H206" s="73"/>
      <c r="I206" s="73" t="s">
        <v>308</v>
      </c>
      <c r="J206" s="73" t="s">
        <v>736</v>
      </c>
      <c r="K206" s="95" t="s">
        <v>902</v>
      </c>
      <c r="L206" s="95" t="s">
        <v>131</v>
      </c>
      <c r="M206" s="95" t="s">
        <v>919</v>
      </c>
      <c r="N206" s="95">
        <v>1</v>
      </c>
      <c r="O206" s="73"/>
      <c r="P206" s="73"/>
      <c r="Q206" s="73"/>
      <c r="R206" s="73" t="s">
        <v>309</v>
      </c>
      <c r="S206" s="73">
        <v>3</v>
      </c>
      <c r="T206" s="73">
        <v>3</v>
      </c>
      <c r="U206" s="73" t="s">
        <v>105</v>
      </c>
      <c r="V206" s="73" t="s">
        <v>105</v>
      </c>
      <c r="W206" s="73" t="s">
        <v>105</v>
      </c>
      <c r="X206" s="73" t="s">
        <v>105</v>
      </c>
      <c r="Y206" s="73" t="s">
        <v>105</v>
      </c>
      <c r="Z206" s="73" t="s">
        <v>105</v>
      </c>
      <c r="AA206" s="73" t="s">
        <v>105</v>
      </c>
      <c r="AB206" s="73" t="s">
        <v>105</v>
      </c>
      <c r="AC206" s="73" t="s">
        <v>105</v>
      </c>
      <c r="AD206" s="73" t="s">
        <v>105</v>
      </c>
      <c r="AE206" s="73" t="s">
        <v>105</v>
      </c>
      <c r="AF206" s="73">
        <v>8.0670000000000002</v>
      </c>
      <c r="AG206" s="73">
        <v>0.34399999999999997</v>
      </c>
      <c r="AH206" s="92">
        <f t="shared" si="68"/>
        <v>0.59582547780369366</v>
      </c>
      <c r="AI206" s="73" t="s">
        <v>978</v>
      </c>
      <c r="AJ206" s="73" t="s">
        <v>978</v>
      </c>
      <c r="AK206" s="73" t="s">
        <v>978</v>
      </c>
      <c r="AL206" s="73">
        <v>7.4649999999999999</v>
      </c>
      <c r="AM206" s="73">
        <v>0.32900000000000001</v>
      </c>
      <c r="AN206" s="87">
        <f t="shared" si="69"/>
        <v>0.5698447156901606</v>
      </c>
      <c r="AO206" s="73" t="s">
        <v>978</v>
      </c>
      <c r="AP206" s="73" t="s">
        <v>978</v>
      </c>
      <c r="AQ206" s="73" t="s">
        <v>978</v>
      </c>
      <c r="AR206" s="73" t="s">
        <v>105</v>
      </c>
      <c r="AS206" s="73" t="s">
        <v>458</v>
      </c>
      <c r="AT206" s="110">
        <f>AF206-AL206</f>
        <v>0.60200000000000031</v>
      </c>
      <c r="AU206" s="110">
        <f>SQRT(((T205-1)*AH206^2 + (T206-1)*AN206^2)/(T205+T206-2) )</f>
        <v>0.58297984527769053</v>
      </c>
      <c r="AV206" s="110">
        <f>1-3/(4*(S206+T206) - 9)</f>
        <v>0.8</v>
      </c>
      <c r="AW206" s="110">
        <f>AT206/AU206*AV206</f>
        <v>0.82610060004836017</v>
      </c>
      <c r="AX206" s="110">
        <f>T205</f>
        <v>3</v>
      </c>
      <c r="AY206" s="110">
        <f>AW206*AX206</f>
        <v>2.4783018001450805</v>
      </c>
    </row>
    <row r="207" spans="1:51" ht="15" hidden="1" customHeight="1">
      <c r="A207" s="73" t="s">
        <v>364</v>
      </c>
      <c r="B207" s="73" t="s">
        <v>604</v>
      </c>
      <c r="C207" s="73" t="s">
        <v>148</v>
      </c>
      <c r="D207" s="73" t="s">
        <v>422</v>
      </c>
      <c r="E207" s="73" t="s">
        <v>421</v>
      </c>
      <c r="F207" s="73">
        <v>1999</v>
      </c>
      <c r="G207" s="73" t="s">
        <v>1000</v>
      </c>
      <c r="H207" s="73"/>
      <c r="I207" s="73" t="s">
        <v>153</v>
      </c>
      <c r="J207" s="73" t="s">
        <v>850</v>
      </c>
      <c r="K207" s="73" t="s">
        <v>854</v>
      </c>
      <c r="L207" s="73" t="s">
        <v>833</v>
      </c>
      <c r="M207" s="73" t="s">
        <v>924</v>
      </c>
      <c r="N207" s="73"/>
      <c r="O207" s="73">
        <v>1</v>
      </c>
      <c r="P207" s="73"/>
      <c r="Q207" s="73"/>
      <c r="R207" s="73" t="s">
        <v>306</v>
      </c>
      <c r="S207" s="73">
        <v>3</v>
      </c>
      <c r="T207" s="73">
        <v>3</v>
      </c>
      <c r="U207" s="73" t="s">
        <v>105</v>
      </c>
      <c r="V207" s="73" t="s">
        <v>105</v>
      </c>
      <c r="W207" s="73" t="s">
        <v>105</v>
      </c>
      <c r="X207" s="73" t="s">
        <v>105</v>
      </c>
      <c r="Y207" s="73" t="s">
        <v>105</v>
      </c>
      <c r="Z207" s="73" t="s">
        <v>105</v>
      </c>
      <c r="AA207" s="73" t="s">
        <v>105</v>
      </c>
      <c r="AB207" s="73" t="s">
        <v>105</v>
      </c>
      <c r="AC207" s="73" t="s">
        <v>105</v>
      </c>
      <c r="AD207" s="73" t="s">
        <v>105</v>
      </c>
      <c r="AE207" s="73" t="s">
        <v>105</v>
      </c>
      <c r="AF207" s="73">
        <v>7.5039999999999996</v>
      </c>
      <c r="AG207" s="73">
        <v>0.56899999999999995</v>
      </c>
      <c r="AH207" s="92">
        <f t="shared" si="68"/>
        <v>0.98553690950669104</v>
      </c>
      <c r="AI207" s="73" t="s">
        <v>978</v>
      </c>
      <c r="AJ207" s="73" t="s">
        <v>978</v>
      </c>
      <c r="AK207" s="73" t="s">
        <v>978</v>
      </c>
      <c r="AL207" s="73">
        <v>7.66</v>
      </c>
      <c r="AM207" s="73">
        <v>0.33500000000000002</v>
      </c>
      <c r="AN207" s="87">
        <f t="shared" si="69"/>
        <v>0.58023702053557391</v>
      </c>
      <c r="AO207" s="73" t="s">
        <v>978</v>
      </c>
      <c r="AP207" s="73" t="s">
        <v>978</v>
      </c>
      <c r="AQ207" s="73" t="s">
        <v>978</v>
      </c>
      <c r="AR207" s="73" t="s">
        <v>105</v>
      </c>
      <c r="AS207" s="73" t="s">
        <v>458</v>
      </c>
      <c r="AT207" s="46"/>
      <c r="AU207" s="46"/>
      <c r="AV207" s="46"/>
      <c r="AW207" s="46"/>
      <c r="AX207" s="46"/>
      <c r="AY207" s="46"/>
    </row>
    <row r="208" spans="1:51" ht="15" hidden="1" customHeight="1">
      <c r="A208" s="78" t="s">
        <v>364</v>
      </c>
      <c r="B208" s="78" t="s">
        <v>604</v>
      </c>
      <c r="C208" s="78" t="s">
        <v>148</v>
      </c>
      <c r="D208" s="73" t="s">
        <v>422</v>
      </c>
      <c r="E208" s="73" t="s">
        <v>421</v>
      </c>
      <c r="F208" s="73">
        <v>1999</v>
      </c>
      <c r="G208" s="73" t="s">
        <v>1000</v>
      </c>
      <c r="H208" s="73"/>
      <c r="I208" s="73" t="s">
        <v>794</v>
      </c>
      <c r="J208" s="73" t="s">
        <v>939</v>
      </c>
      <c r="K208" s="73" t="s">
        <v>617</v>
      </c>
      <c r="L208" s="73" t="s">
        <v>13</v>
      </c>
      <c r="M208" s="73" t="s">
        <v>924</v>
      </c>
      <c r="N208" s="73"/>
      <c r="O208" s="73">
        <v>1</v>
      </c>
      <c r="P208" s="73"/>
      <c r="Q208" s="73"/>
      <c r="R208" s="73" t="s">
        <v>310</v>
      </c>
      <c r="S208" s="73">
        <v>3</v>
      </c>
      <c r="T208" s="73">
        <v>3</v>
      </c>
      <c r="U208" s="73" t="s">
        <v>105</v>
      </c>
      <c r="V208" s="73" t="s">
        <v>105</v>
      </c>
      <c r="W208" s="73" t="s">
        <v>105</v>
      </c>
      <c r="X208" s="73" t="s">
        <v>105</v>
      </c>
      <c r="Y208" s="73" t="s">
        <v>105</v>
      </c>
      <c r="Z208" s="73" t="s">
        <v>105</v>
      </c>
      <c r="AA208" s="73" t="s">
        <v>105</v>
      </c>
      <c r="AB208" s="73" t="s">
        <v>105</v>
      </c>
      <c r="AC208" s="73" t="s">
        <v>105</v>
      </c>
      <c r="AD208" s="73" t="s">
        <v>105</v>
      </c>
      <c r="AE208" s="73" t="s">
        <v>105</v>
      </c>
      <c r="AF208" s="73">
        <v>8.3010000000000002</v>
      </c>
      <c r="AG208" s="73">
        <v>0.86499999999999999</v>
      </c>
      <c r="AH208" s="92">
        <f t="shared" si="68"/>
        <v>1.4982239485470787</v>
      </c>
      <c r="AI208" s="73" t="s">
        <v>978</v>
      </c>
      <c r="AJ208" s="73" t="s">
        <v>978</v>
      </c>
      <c r="AK208" s="73" t="s">
        <v>978</v>
      </c>
      <c r="AL208" s="73">
        <v>7.9669999999999996</v>
      </c>
      <c r="AM208" s="73">
        <v>0.44800000000000001</v>
      </c>
      <c r="AN208" s="87">
        <f t="shared" si="69"/>
        <v>0.77595876179085699</v>
      </c>
      <c r="AO208" s="73" t="s">
        <v>978</v>
      </c>
      <c r="AP208" s="73" t="s">
        <v>978</v>
      </c>
      <c r="AQ208" s="73" t="s">
        <v>978</v>
      </c>
      <c r="AR208" s="73" t="s">
        <v>105</v>
      </c>
      <c r="AS208" s="73" t="s">
        <v>458</v>
      </c>
      <c r="AT208" s="46"/>
      <c r="AU208" s="46"/>
      <c r="AV208" s="46"/>
      <c r="AW208" s="46"/>
      <c r="AX208" s="46"/>
      <c r="AY208" s="46"/>
    </row>
    <row r="209" spans="1:51" ht="15" hidden="1" customHeight="1">
      <c r="A209" s="73" t="s">
        <v>56</v>
      </c>
      <c r="B209" s="73" t="s">
        <v>604</v>
      </c>
      <c r="C209" s="73" t="s">
        <v>949</v>
      </c>
      <c r="D209" s="88" t="s">
        <v>305</v>
      </c>
      <c r="E209" s="88" t="s">
        <v>305</v>
      </c>
      <c r="F209" s="88">
        <v>1998</v>
      </c>
      <c r="G209" s="88" t="s">
        <v>981</v>
      </c>
      <c r="H209" s="88"/>
      <c r="I209" s="88" t="s">
        <v>311</v>
      </c>
      <c r="J209" s="88" t="s">
        <v>850</v>
      </c>
      <c r="K209" s="88" t="s">
        <v>854</v>
      </c>
      <c r="L209" s="88" t="s">
        <v>833</v>
      </c>
      <c r="M209" s="88" t="s">
        <v>924</v>
      </c>
      <c r="N209" s="88"/>
      <c r="O209" s="88">
        <v>1</v>
      </c>
      <c r="P209" s="88"/>
      <c r="Q209" s="88"/>
      <c r="R209" s="88" t="s">
        <v>312</v>
      </c>
      <c r="S209" s="88">
        <v>4</v>
      </c>
      <c r="T209" s="88">
        <v>4</v>
      </c>
      <c r="U209" s="88" t="s">
        <v>758</v>
      </c>
      <c r="V209" s="88" t="s">
        <v>570</v>
      </c>
      <c r="W209" s="88" t="s">
        <v>570</v>
      </c>
      <c r="X209" s="88" t="s">
        <v>570</v>
      </c>
      <c r="Y209" s="88" t="s">
        <v>570</v>
      </c>
      <c r="Z209" s="88" t="s">
        <v>570</v>
      </c>
      <c r="AA209" s="88" t="s">
        <v>570</v>
      </c>
      <c r="AB209" s="88" t="s">
        <v>570</v>
      </c>
      <c r="AC209" s="88" t="s">
        <v>570</v>
      </c>
      <c r="AD209" s="88" t="s">
        <v>570</v>
      </c>
      <c r="AE209" s="88" t="s">
        <v>570</v>
      </c>
      <c r="AF209" s="88">
        <v>9.09</v>
      </c>
      <c r="AG209" s="88" t="s">
        <v>570</v>
      </c>
      <c r="AH209" s="86">
        <f t="shared" ref="AH209:AH224" si="82">AJ209/AK209</f>
        <v>0.35274118147046318</v>
      </c>
      <c r="AI209" s="88"/>
      <c r="AJ209" s="88">
        <v>0.83</v>
      </c>
      <c r="AK209" s="88">
        <v>2.3530000000000002</v>
      </c>
      <c r="AL209" s="88">
        <v>7.37</v>
      </c>
      <c r="AM209" s="88" t="s">
        <v>570</v>
      </c>
      <c r="AN209" s="86">
        <f t="shared" ref="AN209:AN220" si="83">AP209/AQ209</f>
        <v>0.35274118147046318</v>
      </c>
      <c r="AO209" s="88"/>
      <c r="AP209" s="88">
        <v>0.83</v>
      </c>
      <c r="AQ209" s="88">
        <v>2.3530000000000002</v>
      </c>
      <c r="AR209" s="88" t="s">
        <v>570</v>
      </c>
      <c r="AS209" s="88" t="s">
        <v>570</v>
      </c>
      <c r="AT209" s="46"/>
      <c r="AU209" s="46"/>
      <c r="AV209" s="46"/>
      <c r="AW209" s="46"/>
      <c r="AX209" s="46"/>
      <c r="AY209" s="46"/>
    </row>
    <row r="210" spans="1:51" ht="15" hidden="1" customHeight="1">
      <c r="A210" s="73" t="s">
        <v>56</v>
      </c>
      <c r="B210" s="73" t="s">
        <v>604</v>
      </c>
      <c r="C210" s="73" t="s">
        <v>949</v>
      </c>
      <c r="D210" s="73" t="s">
        <v>305</v>
      </c>
      <c r="E210" s="73" t="s">
        <v>305</v>
      </c>
      <c r="F210" s="73">
        <v>1998</v>
      </c>
      <c r="G210" s="73" t="s">
        <v>981</v>
      </c>
      <c r="H210" s="73"/>
      <c r="I210" s="73" t="s">
        <v>867</v>
      </c>
      <c r="J210" s="73" t="s">
        <v>850</v>
      </c>
      <c r="K210" s="73" t="s">
        <v>854</v>
      </c>
      <c r="L210" s="73" t="s">
        <v>833</v>
      </c>
      <c r="M210" s="73" t="s">
        <v>924</v>
      </c>
      <c r="N210" s="73"/>
      <c r="O210" s="73">
        <v>1</v>
      </c>
      <c r="P210" s="73"/>
      <c r="Q210" s="73"/>
      <c r="R210" s="73" t="s">
        <v>868</v>
      </c>
      <c r="S210" s="73">
        <v>4</v>
      </c>
      <c r="T210" s="73">
        <v>4</v>
      </c>
      <c r="U210" s="73" t="s">
        <v>758</v>
      </c>
      <c r="V210" s="73" t="s">
        <v>570</v>
      </c>
      <c r="W210" s="73" t="s">
        <v>570</v>
      </c>
      <c r="X210" s="73" t="s">
        <v>570</v>
      </c>
      <c r="Y210" s="73" t="s">
        <v>570</v>
      </c>
      <c r="Z210" s="73" t="s">
        <v>570</v>
      </c>
      <c r="AA210" s="73" t="s">
        <v>570</v>
      </c>
      <c r="AB210" s="73" t="s">
        <v>570</v>
      </c>
      <c r="AC210" s="73" t="s">
        <v>570</v>
      </c>
      <c r="AD210" s="73" t="s">
        <v>570</v>
      </c>
      <c r="AE210" s="73" t="s">
        <v>570</v>
      </c>
      <c r="AF210" s="73">
        <v>8.65</v>
      </c>
      <c r="AG210" s="73" t="s">
        <v>570</v>
      </c>
      <c r="AH210" s="87">
        <f t="shared" si="82"/>
        <v>0.35274118147046318</v>
      </c>
      <c r="AI210" s="73"/>
      <c r="AJ210" s="73">
        <v>0.83</v>
      </c>
      <c r="AK210" s="73">
        <v>2.3530000000000002</v>
      </c>
      <c r="AL210" s="73">
        <v>8.07</v>
      </c>
      <c r="AM210" s="73" t="s">
        <v>570</v>
      </c>
      <c r="AN210" s="87">
        <f t="shared" si="83"/>
        <v>0.35274118147046318</v>
      </c>
      <c r="AO210" s="73"/>
      <c r="AP210" s="73">
        <v>0.83</v>
      </c>
      <c r="AQ210" s="73">
        <v>2.3530000000000002</v>
      </c>
      <c r="AR210" s="73" t="s">
        <v>570</v>
      </c>
      <c r="AS210" s="73" t="s">
        <v>570</v>
      </c>
      <c r="AT210" s="46"/>
      <c r="AU210" s="46"/>
      <c r="AV210" s="46"/>
      <c r="AW210" s="46"/>
      <c r="AX210" s="46"/>
      <c r="AY210" s="46"/>
    </row>
    <row r="211" spans="1:51" ht="15" hidden="1" customHeight="1">
      <c r="A211" s="73" t="s">
        <v>56</v>
      </c>
      <c r="B211" s="73" t="s">
        <v>604</v>
      </c>
      <c r="C211" s="73" t="s">
        <v>949</v>
      </c>
      <c r="D211" s="73" t="s">
        <v>305</v>
      </c>
      <c r="E211" s="73" t="s">
        <v>305</v>
      </c>
      <c r="F211" s="73">
        <v>1998</v>
      </c>
      <c r="G211" s="73" t="s">
        <v>981</v>
      </c>
      <c r="H211" s="73"/>
      <c r="I211" s="73" t="s">
        <v>869</v>
      </c>
      <c r="J211" s="73" t="s">
        <v>850</v>
      </c>
      <c r="K211" s="73" t="s">
        <v>854</v>
      </c>
      <c r="L211" s="73" t="s">
        <v>833</v>
      </c>
      <c r="M211" s="73" t="s">
        <v>924</v>
      </c>
      <c r="N211" s="73"/>
      <c r="O211" s="73">
        <v>1</v>
      </c>
      <c r="P211" s="73"/>
      <c r="Q211" s="73"/>
      <c r="R211" s="73" t="s">
        <v>52</v>
      </c>
      <c r="S211" s="73">
        <v>4</v>
      </c>
      <c r="T211" s="73">
        <v>4</v>
      </c>
      <c r="U211" s="73" t="s">
        <v>758</v>
      </c>
      <c r="V211" s="73" t="s">
        <v>570</v>
      </c>
      <c r="W211" s="73" t="s">
        <v>570</v>
      </c>
      <c r="X211" s="73" t="s">
        <v>570</v>
      </c>
      <c r="Y211" s="73" t="s">
        <v>570</v>
      </c>
      <c r="Z211" s="73" t="s">
        <v>570</v>
      </c>
      <c r="AA211" s="73" t="s">
        <v>570</v>
      </c>
      <c r="AB211" s="73" t="s">
        <v>570</v>
      </c>
      <c r="AC211" s="73" t="s">
        <v>570</v>
      </c>
      <c r="AD211" s="73" t="s">
        <v>570</v>
      </c>
      <c r="AE211" s="73" t="s">
        <v>570</v>
      </c>
      <c r="AF211" s="73">
        <v>9.09</v>
      </c>
      <c r="AG211" s="73" t="s">
        <v>570</v>
      </c>
      <c r="AH211" s="87">
        <f t="shared" si="82"/>
        <v>0.35274118147046318</v>
      </c>
      <c r="AI211" s="73"/>
      <c r="AJ211" s="73">
        <v>0.83</v>
      </c>
      <c r="AK211" s="73">
        <v>2.3530000000000002</v>
      </c>
      <c r="AL211" s="73">
        <v>8.01</v>
      </c>
      <c r="AM211" s="73" t="s">
        <v>570</v>
      </c>
      <c r="AN211" s="87">
        <f t="shared" si="83"/>
        <v>0.35274118147046318</v>
      </c>
      <c r="AO211" s="73"/>
      <c r="AP211" s="73">
        <v>0.83</v>
      </c>
      <c r="AQ211" s="73">
        <v>2.3530000000000002</v>
      </c>
      <c r="AR211" s="73" t="s">
        <v>570</v>
      </c>
      <c r="AS211" s="73" t="s">
        <v>570</v>
      </c>
      <c r="AT211" s="46"/>
      <c r="AU211" s="46"/>
      <c r="AV211" s="46"/>
      <c r="AW211" s="46"/>
      <c r="AX211" s="46"/>
      <c r="AY211" s="46"/>
    </row>
    <row r="212" spans="1:51" ht="15" hidden="1" customHeight="1">
      <c r="A212" s="73" t="s">
        <v>56</v>
      </c>
      <c r="B212" s="73" t="s">
        <v>604</v>
      </c>
      <c r="C212" s="73" t="s">
        <v>949</v>
      </c>
      <c r="D212" s="73"/>
      <c r="E212" s="73" t="s">
        <v>999</v>
      </c>
      <c r="F212" s="73">
        <v>1998</v>
      </c>
      <c r="G212" s="73" t="s">
        <v>981</v>
      </c>
      <c r="H212" s="73"/>
      <c r="I212" s="73" t="s">
        <v>311</v>
      </c>
      <c r="J212" s="73" t="s">
        <v>850</v>
      </c>
      <c r="K212" s="73" t="s">
        <v>854</v>
      </c>
      <c r="L212" s="73" t="s">
        <v>833</v>
      </c>
      <c r="M212" s="73" t="s">
        <v>924</v>
      </c>
      <c r="N212" s="73"/>
      <c r="O212" s="73">
        <v>1</v>
      </c>
      <c r="P212" s="73"/>
      <c r="Q212" s="73"/>
      <c r="R212" s="73" t="s">
        <v>312</v>
      </c>
      <c r="S212" s="73">
        <v>4</v>
      </c>
      <c r="T212" s="73">
        <v>4</v>
      </c>
      <c r="U212" s="73" t="s">
        <v>27</v>
      </c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>
        <v>9.11</v>
      </c>
      <c r="AG212" s="73"/>
      <c r="AH212" s="87">
        <f>AJ212/AK212</f>
        <v>0.35274118147046318</v>
      </c>
      <c r="AI212" s="73"/>
      <c r="AJ212" s="73">
        <v>0.83</v>
      </c>
      <c r="AK212" s="73">
        <v>2.3530000000000002</v>
      </c>
      <c r="AL212" s="73">
        <v>8.84</v>
      </c>
      <c r="AM212" s="73"/>
      <c r="AN212" s="87">
        <f>AP212/AQ212</f>
        <v>0.35274118147046318</v>
      </c>
      <c r="AO212" s="73"/>
      <c r="AP212" s="73">
        <v>0.83</v>
      </c>
      <c r="AQ212" s="73">
        <v>2.3530000000000002</v>
      </c>
      <c r="AR212" s="73"/>
      <c r="AS212" s="73"/>
      <c r="AT212" s="46"/>
      <c r="AU212" s="46"/>
      <c r="AV212" s="46"/>
      <c r="AW212" s="46"/>
      <c r="AX212" s="46"/>
      <c r="AY212" s="46"/>
    </row>
    <row r="213" spans="1:51" ht="15" hidden="1" customHeight="1">
      <c r="A213" s="73" t="s">
        <v>56</v>
      </c>
      <c r="B213" s="73" t="s">
        <v>604</v>
      </c>
      <c r="C213" s="73" t="s">
        <v>949</v>
      </c>
      <c r="D213" s="73" t="s">
        <v>999</v>
      </c>
      <c r="E213" s="73" t="s">
        <v>981</v>
      </c>
      <c r="F213" s="73">
        <v>1998</v>
      </c>
      <c r="G213" s="73" t="s">
        <v>981</v>
      </c>
      <c r="H213" s="73"/>
      <c r="I213" s="73" t="s">
        <v>867</v>
      </c>
      <c r="J213" s="73" t="s">
        <v>850</v>
      </c>
      <c r="K213" s="73" t="s">
        <v>854</v>
      </c>
      <c r="L213" s="73" t="s">
        <v>833</v>
      </c>
      <c r="M213" s="73" t="s">
        <v>924</v>
      </c>
      <c r="N213" s="73"/>
      <c r="O213" s="73">
        <v>1</v>
      </c>
      <c r="P213" s="73"/>
      <c r="Q213" s="73"/>
      <c r="R213" s="73" t="s">
        <v>868</v>
      </c>
      <c r="S213" s="73">
        <v>4</v>
      </c>
      <c r="T213" s="73">
        <v>4</v>
      </c>
      <c r="U213" s="73" t="s">
        <v>27</v>
      </c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>
        <v>8.9600000000000009</v>
      </c>
      <c r="AG213" s="73"/>
      <c r="AH213" s="87">
        <f>AJ213/AK213</f>
        <v>0.35274118147046318</v>
      </c>
      <c r="AI213" s="73"/>
      <c r="AJ213" s="73">
        <v>0.83</v>
      </c>
      <c r="AK213" s="73">
        <v>2.3530000000000002</v>
      </c>
      <c r="AL213" s="73">
        <v>9.24</v>
      </c>
      <c r="AM213" s="73"/>
      <c r="AN213" s="87">
        <f>AP213/AQ213</f>
        <v>0.35274118147046318</v>
      </c>
      <c r="AO213" s="73"/>
      <c r="AP213" s="73">
        <v>0.83</v>
      </c>
      <c r="AQ213" s="73">
        <v>2.3530000000000002</v>
      </c>
      <c r="AR213" s="73"/>
      <c r="AS213" s="73"/>
      <c r="AT213" s="46"/>
      <c r="AU213" s="46"/>
      <c r="AV213" s="46"/>
      <c r="AW213" s="46"/>
      <c r="AX213" s="46"/>
      <c r="AY213" s="46"/>
    </row>
    <row r="214" spans="1:51" ht="15" hidden="1" customHeight="1">
      <c r="A214" s="73" t="s">
        <v>56</v>
      </c>
      <c r="B214" s="73" t="s">
        <v>604</v>
      </c>
      <c r="C214" s="73" t="s">
        <v>949</v>
      </c>
      <c r="D214" s="73" t="s">
        <v>795</v>
      </c>
      <c r="E214" s="73" t="s">
        <v>978</v>
      </c>
      <c r="F214" s="73">
        <v>1998</v>
      </c>
      <c r="G214" s="73" t="s">
        <v>981</v>
      </c>
      <c r="H214" s="73"/>
      <c r="I214" s="73" t="s">
        <v>869</v>
      </c>
      <c r="J214" s="73" t="s">
        <v>850</v>
      </c>
      <c r="K214" s="73" t="s">
        <v>854</v>
      </c>
      <c r="L214" s="73" t="s">
        <v>833</v>
      </c>
      <c r="M214" s="73" t="s">
        <v>924</v>
      </c>
      <c r="N214" s="73"/>
      <c r="O214" s="73">
        <v>1</v>
      </c>
      <c r="P214" s="73"/>
      <c r="Q214" s="73"/>
      <c r="R214" s="73" t="s">
        <v>52</v>
      </c>
      <c r="S214" s="73">
        <v>4</v>
      </c>
      <c r="T214" s="73">
        <v>4</v>
      </c>
      <c r="U214" s="73" t="s">
        <v>27</v>
      </c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>
        <v>9.0500000000000007</v>
      </c>
      <c r="AG214" s="73"/>
      <c r="AH214" s="87">
        <f>AJ214/AK214</f>
        <v>0.35274118147046318</v>
      </c>
      <c r="AI214" s="73"/>
      <c r="AJ214" s="73">
        <v>0.83</v>
      </c>
      <c r="AK214" s="73">
        <v>2.3530000000000002</v>
      </c>
      <c r="AL214" s="73">
        <v>9.08</v>
      </c>
      <c r="AM214" s="73"/>
      <c r="AN214" s="87">
        <f>AP214/AQ214</f>
        <v>0.35274118147046318</v>
      </c>
      <c r="AO214" s="73"/>
      <c r="AP214" s="73">
        <v>0.83</v>
      </c>
      <c r="AQ214" s="73">
        <v>2.3530000000000002</v>
      </c>
      <c r="AR214" s="73"/>
      <c r="AS214" s="73"/>
      <c r="AT214" s="46"/>
      <c r="AU214" s="46"/>
      <c r="AV214" s="46"/>
      <c r="AW214" s="46"/>
      <c r="AX214" s="46"/>
      <c r="AY214" s="46"/>
    </row>
    <row r="215" spans="1:51" ht="15" customHeight="1">
      <c r="A215" s="73" t="s">
        <v>56</v>
      </c>
      <c r="B215" s="73" t="s">
        <v>604</v>
      </c>
      <c r="C215" s="73" t="s">
        <v>949</v>
      </c>
      <c r="D215" s="73" t="s">
        <v>305</v>
      </c>
      <c r="E215" s="73" t="s">
        <v>305</v>
      </c>
      <c r="F215" s="73">
        <v>1999</v>
      </c>
      <c r="G215" s="73" t="s">
        <v>981</v>
      </c>
      <c r="H215" s="73"/>
      <c r="I215" s="73" t="s">
        <v>218</v>
      </c>
      <c r="J215" s="73" t="s">
        <v>461</v>
      </c>
      <c r="K215" s="73" t="s">
        <v>569</v>
      </c>
      <c r="L215" s="73" t="s">
        <v>131</v>
      </c>
      <c r="M215" s="73" t="s">
        <v>958</v>
      </c>
      <c r="N215" s="73">
        <v>1</v>
      </c>
      <c r="O215" s="73"/>
      <c r="P215" s="73"/>
      <c r="Q215" s="73"/>
      <c r="R215" s="73" t="s">
        <v>367</v>
      </c>
      <c r="S215" s="73">
        <v>4</v>
      </c>
      <c r="T215" s="73">
        <v>4</v>
      </c>
      <c r="U215" s="73" t="s">
        <v>758</v>
      </c>
      <c r="V215" s="73" t="s">
        <v>570</v>
      </c>
      <c r="W215" s="73" t="s">
        <v>570</v>
      </c>
      <c r="X215" s="73" t="s">
        <v>570</v>
      </c>
      <c r="Y215" s="73" t="s">
        <v>570</v>
      </c>
      <c r="Z215" s="73" t="s">
        <v>570</v>
      </c>
      <c r="AA215" s="73" t="s">
        <v>570</v>
      </c>
      <c r="AB215" s="73" t="s">
        <v>570</v>
      </c>
      <c r="AC215" s="73" t="s">
        <v>570</v>
      </c>
      <c r="AD215" s="73" t="s">
        <v>570</v>
      </c>
      <c r="AE215" s="73" t="s">
        <v>570</v>
      </c>
      <c r="AF215" s="73">
        <v>10.8</v>
      </c>
      <c r="AG215" s="73" t="s">
        <v>570</v>
      </c>
      <c r="AH215" s="87">
        <f t="shared" si="82"/>
        <v>5.9498512537186569E-2</v>
      </c>
      <c r="AI215" s="73"/>
      <c r="AJ215" s="73">
        <v>0.14000000000000001</v>
      </c>
      <c r="AK215" s="73">
        <v>2.3530000000000002</v>
      </c>
      <c r="AL215" s="73">
        <v>10.1</v>
      </c>
      <c r="AM215" s="73" t="s">
        <v>570</v>
      </c>
      <c r="AN215" s="87">
        <f t="shared" si="83"/>
        <v>5.9498512537186569E-2</v>
      </c>
      <c r="AO215" s="73"/>
      <c r="AP215" s="73">
        <v>0.14000000000000001</v>
      </c>
      <c r="AQ215" s="73">
        <v>2.3530000000000002</v>
      </c>
      <c r="AR215" s="73" t="s">
        <v>570</v>
      </c>
      <c r="AS215" s="73" t="s">
        <v>570</v>
      </c>
      <c r="AT215" s="110">
        <f>AF215-AL215</f>
        <v>0.70000000000000107</v>
      </c>
      <c r="AU215" s="110">
        <f>SQRT(((T214-1)*AH215^2 + (T215-1)*AN215^2)/(T214+T215-2) )</f>
        <v>5.9498512537186569E-2</v>
      </c>
      <c r="AV215" s="110">
        <f>1-3/(4*(S215+T215) - 9)</f>
        <v>0.86956521739130432</v>
      </c>
      <c r="AW215" s="110">
        <f>AT215/AU215*AV215</f>
        <v>10.230434782608711</v>
      </c>
      <c r="AX215" s="110">
        <f>T214</f>
        <v>4</v>
      </c>
      <c r="AY215" s="110">
        <f>AW215*AX215</f>
        <v>40.921739130434844</v>
      </c>
    </row>
    <row r="216" spans="1:51" ht="15" hidden="1" customHeight="1">
      <c r="A216" s="73" t="s">
        <v>56</v>
      </c>
      <c r="B216" s="73" t="s">
        <v>604</v>
      </c>
      <c r="C216" s="73" t="s">
        <v>949</v>
      </c>
      <c r="D216" s="73" t="s">
        <v>305</v>
      </c>
      <c r="E216" s="73" t="s">
        <v>305</v>
      </c>
      <c r="F216" s="73">
        <v>1999</v>
      </c>
      <c r="G216" s="73" t="s">
        <v>981</v>
      </c>
      <c r="H216" s="73"/>
      <c r="I216" s="73" t="s">
        <v>54</v>
      </c>
      <c r="J216" s="73" t="s">
        <v>850</v>
      </c>
      <c r="K216" s="73" t="s">
        <v>854</v>
      </c>
      <c r="L216" s="73" t="s">
        <v>833</v>
      </c>
      <c r="M216" s="73" t="s">
        <v>924</v>
      </c>
      <c r="N216" s="73"/>
      <c r="O216" s="73">
        <v>1</v>
      </c>
      <c r="P216" s="73"/>
      <c r="Q216" s="73"/>
      <c r="R216" s="73" t="s">
        <v>80</v>
      </c>
      <c r="S216" s="73">
        <v>4</v>
      </c>
      <c r="T216" s="73">
        <v>4</v>
      </c>
      <c r="U216" s="73" t="s">
        <v>758</v>
      </c>
      <c r="V216" s="73" t="s">
        <v>570</v>
      </c>
      <c r="W216" s="73" t="s">
        <v>570</v>
      </c>
      <c r="X216" s="73" t="s">
        <v>570</v>
      </c>
      <c r="Y216" s="73" t="s">
        <v>570</v>
      </c>
      <c r="Z216" s="73" t="s">
        <v>570</v>
      </c>
      <c r="AA216" s="73" t="s">
        <v>570</v>
      </c>
      <c r="AB216" s="73" t="s">
        <v>570</v>
      </c>
      <c r="AC216" s="73" t="s">
        <v>570</v>
      </c>
      <c r="AD216" s="73" t="s">
        <v>570</v>
      </c>
      <c r="AE216" s="73" t="s">
        <v>570</v>
      </c>
      <c r="AF216" s="73">
        <v>11.5</v>
      </c>
      <c r="AG216" s="73" t="s">
        <v>570</v>
      </c>
      <c r="AH216" s="87">
        <f t="shared" si="82"/>
        <v>5.9498512537186569E-2</v>
      </c>
      <c r="AI216" s="73"/>
      <c r="AJ216" s="73">
        <v>0.14000000000000001</v>
      </c>
      <c r="AK216" s="73">
        <v>2.3530000000000002</v>
      </c>
      <c r="AL216" s="73">
        <v>9.1</v>
      </c>
      <c r="AM216" s="73" t="s">
        <v>570</v>
      </c>
      <c r="AN216" s="87">
        <f t="shared" si="83"/>
        <v>5.9498512537186569E-2</v>
      </c>
      <c r="AO216" s="73"/>
      <c r="AP216" s="73">
        <v>0.14000000000000001</v>
      </c>
      <c r="AQ216" s="73">
        <v>2.3530000000000002</v>
      </c>
      <c r="AR216" s="73" t="s">
        <v>570</v>
      </c>
      <c r="AS216" s="73" t="s">
        <v>570</v>
      </c>
      <c r="AT216" s="46"/>
      <c r="AU216" s="46"/>
      <c r="AV216" s="46"/>
      <c r="AW216" s="46"/>
      <c r="AX216" s="46"/>
      <c r="AY216" s="46"/>
    </row>
    <row r="217" spans="1:51" ht="15" hidden="1" customHeight="1">
      <c r="A217" s="73" t="s">
        <v>56</v>
      </c>
      <c r="B217" s="73" t="s">
        <v>604</v>
      </c>
      <c r="C217" s="73" t="s">
        <v>949</v>
      </c>
      <c r="D217" s="73" t="s">
        <v>305</v>
      </c>
      <c r="E217" s="73" t="s">
        <v>305</v>
      </c>
      <c r="F217" s="73">
        <v>1999</v>
      </c>
      <c r="G217" s="73" t="s">
        <v>981</v>
      </c>
      <c r="H217" s="73"/>
      <c r="I217" s="73" t="s">
        <v>51</v>
      </c>
      <c r="J217" s="73" t="s">
        <v>850</v>
      </c>
      <c r="K217" s="73" t="s">
        <v>854</v>
      </c>
      <c r="L217" s="73" t="s">
        <v>833</v>
      </c>
      <c r="M217" s="73" t="s">
        <v>924</v>
      </c>
      <c r="N217" s="73"/>
      <c r="O217" s="73">
        <v>1</v>
      </c>
      <c r="P217" s="73"/>
      <c r="Q217" s="73"/>
      <c r="R217" s="73" t="s">
        <v>52</v>
      </c>
      <c r="S217" s="73">
        <v>4</v>
      </c>
      <c r="T217" s="73">
        <v>4</v>
      </c>
      <c r="U217" s="73" t="s">
        <v>758</v>
      </c>
      <c r="V217" s="73" t="s">
        <v>570</v>
      </c>
      <c r="W217" s="73" t="s">
        <v>570</v>
      </c>
      <c r="X217" s="73" t="s">
        <v>570</v>
      </c>
      <c r="Y217" s="73" t="s">
        <v>570</v>
      </c>
      <c r="Z217" s="73" t="s">
        <v>570</v>
      </c>
      <c r="AA217" s="73" t="s">
        <v>570</v>
      </c>
      <c r="AB217" s="73" t="s">
        <v>570</v>
      </c>
      <c r="AC217" s="73" t="s">
        <v>570</v>
      </c>
      <c r="AD217" s="73" t="s">
        <v>570</v>
      </c>
      <c r="AE217" s="73" t="s">
        <v>570</v>
      </c>
      <c r="AF217" s="73">
        <v>11.7</v>
      </c>
      <c r="AG217" s="73" t="s">
        <v>570</v>
      </c>
      <c r="AH217" s="87">
        <f t="shared" si="82"/>
        <v>5.9498512537186569E-2</v>
      </c>
      <c r="AI217" s="73"/>
      <c r="AJ217" s="73">
        <v>0.14000000000000001</v>
      </c>
      <c r="AK217" s="73">
        <v>2.3530000000000002</v>
      </c>
      <c r="AL217" s="73">
        <v>9.9</v>
      </c>
      <c r="AM217" s="73" t="s">
        <v>570</v>
      </c>
      <c r="AN217" s="87">
        <f t="shared" si="83"/>
        <v>5.9498512537186569E-2</v>
      </c>
      <c r="AO217" s="73"/>
      <c r="AP217" s="73">
        <v>0.14000000000000001</v>
      </c>
      <c r="AQ217" s="73">
        <v>2.3530000000000002</v>
      </c>
      <c r="AR217" s="73" t="s">
        <v>570</v>
      </c>
      <c r="AS217" s="73" t="s">
        <v>570</v>
      </c>
      <c r="AT217" s="46"/>
      <c r="AU217" s="46"/>
      <c r="AV217" s="46"/>
      <c r="AW217" s="46"/>
      <c r="AX217" s="46"/>
      <c r="AY217" s="46"/>
    </row>
    <row r="218" spans="1:51" ht="15" customHeight="1">
      <c r="A218" s="73" t="s">
        <v>56</v>
      </c>
      <c r="B218" s="73" t="s">
        <v>604</v>
      </c>
      <c r="C218" s="73" t="s">
        <v>949</v>
      </c>
      <c r="D218" s="73" t="s">
        <v>305</v>
      </c>
      <c r="E218" s="73" t="s">
        <v>305</v>
      </c>
      <c r="F218" s="73">
        <v>1999</v>
      </c>
      <c r="G218" s="73" t="s">
        <v>981</v>
      </c>
      <c r="H218" s="73"/>
      <c r="I218" s="73" t="s">
        <v>53</v>
      </c>
      <c r="J218" s="73" t="s">
        <v>461</v>
      </c>
      <c r="K218" s="73" t="s">
        <v>569</v>
      </c>
      <c r="L218" s="73" t="s">
        <v>131</v>
      </c>
      <c r="M218" s="73" t="s">
        <v>958</v>
      </c>
      <c r="N218" s="73">
        <v>1</v>
      </c>
      <c r="O218" s="73"/>
      <c r="P218" s="73"/>
      <c r="Q218" s="73"/>
      <c r="R218" s="73" t="s">
        <v>50</v>
      </c>
      <c r="S218" s="73">
        <v>4</v>
      </c>
      <c r="T218" s="73">
        <v>4</v>
      </c>
      <c r="U218" s="73" t="s">
        <v>758</v>
      </c>
      <c r="V218" s="73" t="s">
        <v>570</v>
      </c>
      <c r="W218" s="73" t="s">
        <v>570</v>
      </c>
      <c r="X218" s="73" t="s">
        <v>570</v>
      </c>
      <c r="Y218" s="73" t="s">
        <v>570</v>
      </c>
      <c r="Z218" s="73" t="s">
        <v>570</v>
      </c>
      <c r="AA218" s="73" t="s">
        <v>570</v>
      </c>
      <c r="AB218" s="73" t="s">
        <v>570</v>
      </c>
      <c r="AC218" s="73" t="s">
        <v>570</v>
      </c>
      <c r="AD218" s="73" t="s">
        <v>570</v>
      </c>
      <c r="AE218" s="73" t="s">
        <v>570</v>
      </c>
      <c r="AF218" s="73">
        <v>12.5</v>
      </c>
      <c r="AG218" s="73" t="s">
        <v>570</v>
      </c>
      <c r="AH218" s="87">
        <f t="shared" si="82"/>
        <v>5.9498512537186569E-2</v>
      </c>
      <c r="AI218" s="73"/>
      <c r="AJ218" s="73">
        <v>0.14000000000000001</v>
      </c>
      <c r="AK218" s="73">
        <v>2.3530000000000002</v>
      </c>
      <c r="AL218" s="73">
        <v>11.1</v>
      </c>
      <c r="AM218" s="73" t="s">
        <v>570</v>
      </c>
      <c r="AN218" s="87">
        <f t="shared" si="83"/>
        <v>5.9498512537186569E-2</v>
      </c>
      <c r="AO218" s="73"/>
      <c r="AP218" s="73">
        <v>0.14000000000000001</v>
      </c>
      <c r="AQ218" s="73">
        <v>2.3530000000000002</v>
      </c>
      <c r="AR218" s="73" t="s">
        <v>570</v>
      </c>
      <c r="AS218" s="73" t="s">
        <v>570</v>
      </c>
      <c r="AT218" s="110">
        <f>AF218-AL218</f>
        <v>1.4000000000000004</v>
      </c>
      <c r="AU218" s="110">
        <f>SQRT(((T217-1)*AH218^2 + (T218-1)*AN218^2)/(T217+T218-2) )</f>
        <v>5.9498512537186569E-2</v>
      </c>
      <c r="AV218" s="110">
        <f>1-3/(4*(S218+T218) - 9)</f>
        <v>0.86956521739130432</v>
      </c>
      <c r="AW218" s="110">
        <f>AT218/AU218*AV218</f>
        <v>20.460869565217394</v>
      </c>
      <c r="AX218" s="110">
        <f>T217</f>
        <v>4</v>
      </c>
      <c r="AY218" s="110">
        <f>AW218*AX218</f>
        <v>81.843478260869574</v>
      </c>
    </row>
    <row r="219" spans="1:51" ht="15" hidden="1" customHeight="1">
      <c r="A219" s="73" t="s">
        <v>56</v>
      </c>
      <c r="B219" s="73" t="s">
        <v>604</v>
      </c>
      <c r="C219" s="73" t="s">
        <v>949</v>
      </c>
      <c r="D219" s="73" t="s">
        <v>305</v>
      </c>
      <c r="E219" s="73" t="s">
        <v>305</v>
      </c>
      <c r="F219" s="73">
        <v>1999</v>
      </c>
      <c r="G219" s="73" t="s">
        <v>981</v>
      </c>
      <c r="H219" s="73"/>
      <c r="I219" s="73" t="s">
        <v>70</v>
      </c>
      <c r="J219" s="73" t="s">
        <v>850</v>
      </c>
      <c r="K219" s="73" t="s">
        <v>854</v>
      </c>
      <c r="L219" s="73" t="s">
        <v>833</v>
      </c>
      <c r="M219" s="73" t="s">
        <v>924</v>
      </c>
      <c r="N219" s="73"/>
      <c r="O219" s="73">
        <v>1</v>
      </c>
      <c r="P219" s="73"/>
      <c r="Q219" s="73"/>
      <c r="R219" s="73" t="s">
        <v>71</v>
      </c>
      <c r="S219" s="73">
        <v>4</v>
      </c>
      <c r="T219" s="73">
        <v>4</v>
      </c>
      <c r="U219" s="73" t="s">
        <v>758</v>
      </c>
      <c r="V219" s="73" t="s">
        <v>570</v>
      </c>
      <c r="W219" s="73" t="s">
        <v>570</v>
      </c>
      <c r="X219" s="73" t="s">
        <v>570</v>
      </c>
      <c r="Y219" s="73" t="s">
        <v>570</v>
      </c>
      <c r="Z219" s="73" t="s">
        <v>570</v>
      </c>
      <c r="AA219" s="73" t="s">
        <v>570</v>
      </c>
      <c r="AB219" s="73" t="s">
        <v>570</v>
      </c>
      <c r="AC219" s="73" t="s">
        <v>570</v>
      </c>
      <c r="AD219" s="73" t="s">
        <v>570</v>
      </c>
      <c r="AE219" s="73" t="s">
        <v>570</v>
      </c>
      <c r="AF219" s="73">
        <v>11.6</v>
      </c>
      <c r="AG219" s="73" t="s">
        <v>570</v>
      </c>
      <c r="AH219" s="87">
        <f t="shared" si="82"/>
        <v>5.9498512537186569E-2</v>
      </c>
      <c r="AI219" s="73"/>
      <c r="AJ219" s="73">
        <v>0.14000000000000001</v>
      </c>
      <c r="AK219" s="73">
        <v>2.3530000000000002</v>
      </c>
      <c r="AL219" s="73">
        <v>10.1</v>
      </c>
      <c r="AM219" s="73" t="s">
        <v>570</v>
      </c>
      <c r="AN219" s="87">
        <f t="shared" si="83"/>
        <v>5.9498512537186569E-2</v>
      </c>
      <c r="AO219" s="73"/>
      <c r="AP219" s="73">
        <v>0.14000000000000001</v>
      </c>
      <c r="AQ219" s="73">
        <v>2.3530000000000002</v>
      </c>
      <c r="AR219" s="73" t="s">
        <v>570</v>
      </c>
      <c r="AS219" s="73" t="s">
        <v>570</v>
      </c>
      <c r="AT219" s="46"/>
      <c r="AU219" s="46"/>
      <c r="AV219" s="46"/>
      <c r="AW219" s="46"/>
      <c r="AX219" s="46"/>
      <c r="AY219" s="46"/>
    </row>
    <row r="220" spans="1:51" ht="15" customHeight="1">
      <c r="A220" s="73" t="s">
        <v>56</v>
      </c>
      <c r="B220" s="73" t="s">
        <v>604</v>
      </c>
      <c r="C220" s="73" t="s">
        <v>949</v>
      </c>
      <c r="D220" s="73" t="s">
        <v>981</v>
      </c>
      <c r="E220" s="73" t="s">
        <v>978</v>
      </c>
      <c r="F220" s="73">
        <v>1999</v>
      </c>
      <c r="G220" s="73" t="s">
        <v>981</v>
      </c>
      <c r="H220" s="73"/>
      <c r="I220" s="73" t="s">
        <v>218</v>
      </c>
      <c r="J220" s="73" t="s">
        <v>378</v>
      </c>
      <c r="K220" s="73" t="s">
        <v>569</v>
      </c>
      <c r="L220" s="73" t="s">
        <v>131</v>
      </c>
      <c r="M220" s="73" t="s">
        <v>958</v>
      </c>
      <c r="N220" s="73">
        <v>1</v>
      </c>
      <c r="O220" s="73"/>
      <c r="P220" s="73"/>
      <c r="Q220" s="73"/>
      <c r="R220" s="73" t="s">
        <v>367</v>
      </c>
      <c r="S220" s="73">
        <v>4</v>
      </c>
      <c r="T220" s="73">
        <v>4</v>
      </c>
      <c r="U220" s="73" t="s">
        <v>27</v>
      </c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>
        <v>11.2</v>
      </c>
      <c r="AG220" s="73"/>
      <c r="AH220" s="87">
        <f t="shared" si="82"/>
        <v>4.2498937526561836E-2</v>
      </c>
      <c r="AI220" s="73"/>
      <c r="AJ220" s="87">
        <v>0.1</v>
      </c>
      <c r="AK220" s="73">
        <v>2.3530000000000002</v>
      </c>
      <c r="AL220" s="73">
        <v>11.9</v>
      </c>
      <c r="AM220" s="73"/>
      <c r="AN220" s="87">
        <f t="shared" si="83"/>
        <v>4.2498937526561836E-2</v>
      </c>
      <c r="AO220" s="73"/>
      <c r="AP220" s="87">
        <v>0.1</v>
      </c>
      <c r="AQ220" s="73">
        <v>2.3530000000000002</v>
      </c>
      <c r="AR220" s="73"/>
      <c r="AS220" s="73"/>
      <c r="AT220" s="110">
        <f>AF220-AL220</f>
        <v>-0.70000000000000107</v>
      </c>
      <c r="AU220" s="110">
        <f>SQRT(((T219-1)*AH220^2 + (T220-1)*AN220^2)/(T219+T220-2) )</f>
        <v>4.2498937526561836E-2</v>
      </c>
      <c r="AV220" s="110">
        <f>1-3/(4*(S220+T220) - 9)</f>
        <v>0.86956521739130432</v>
      </c>
      <c r="AW220" s="110">
        <f>AT220/AU220*AV220</f>
        <v>-14.322608695652196</v>
      </c>
      <c r="AX220" s="110">
        <f>T219</f>
        <v>4</v>
      </c>
      <c r="AY220" s="110">
        <f>AW220*AX220</f>
        <v>-57.290434782608784</v>
      </c>
    </row>
    <row r="221" spans="1:51" ht="15" hidden="1" customHeight="1">
      <c r="A221" s="73" t="s">
        <v>56</v>
      </c>
      <c r="B221" s="73" t="s">
        <v>604</v>
      </c>
      <c r="C221" s="73" t="s">
        <v>949</v>
      </c>
      <c r="D221" s="73" t="s">
        <v>981</v>
      </c>
      <c r="E221" s="73" t="s">
        <v>978</v>
      </c>
      <c r="F221" s="73">
        <v>1999</v>
      </c>
      <c r="G221" s="73" t="s">
        <v>981</v>
      </c>
      <c r="H221" s="73"/>
      <c r="I221" s="73" t="s">
        <v>54</v>
      </c>
      <c r="J221" s="73" t="s">
        <v>850</v>
      </c>
      <c r="K221" s="73" t="s">
        <v>854</v>
      </c>
      <c r="L221" s="73" t="s">
        <v>833</v>
      </c>
      <c r="M221" s="73" t="s">
        <v>924</v>
      </c>
      <c r="N221" s="73"/>
      <c r="O221" s="73">
        <v>1</v>
      </c>
      <c r="P221" s="73"/>
      <c r="Q221" s="73"/>
      <c r="R221" s="73" t="s">
        <v>80</v>
      </c>
      <c r="S221" s="73">
        <v>4</v>
      </c>
      <c r="T221" s="73">
        <v>4</v>
      </c>
      <c r="U221" s="73" t="s">
        <v>27</v>
      </c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>
        <v>11.7</v>
      </c>
      <c r="AG221" s="73"/>
      <c r="AH221" s="87">
        <f t="shared" si="82"/>
        <v>4.2498937526561836E-2</v>
      </c>
      <c r="AI221" s="73"/>
      <c r="AJ221" s="87">
        <v>0.1</v>
      </c>
      <c r="AK221" s="73">
        <v>2.3530000000000002</v>
      </c>
      <c r="AL221" s="73">
        <v>11.4</v>
      </c>
      <c r="AM221" s="73"/>
      <c r="AN221" s="87">
        <f>AP221/AQ221</f>
        <v>4.2498937526561836E-2</v>
      </c>
      <c r="AO221" s="73"/>
      <c r="AP221" s="87">
        <v>0.1</v>
      </c>
      <c r="AQ221" s="73">
        <v>2.3530000000000002</v>
      </c>
      <c r="AR221" s="73"/>
      <c r="AS221" s="73"/>
      <c r="AT221" s="46"/>
      <c r="AU221" s="46"/>
      <c r="AV221" s="46"/>
      <c r="AW221" s="46"/>
      <c r="AX221" s="46"/>
      <c r="AY221" s="46"/>
    </row>
    <row r="222" spans="1:51" ht="15" hidden="1" customHeight="1">
      <c r="A222" s="73" t="s">
        <v>56</v>
      </c>
      <c r="B222" s="73" t="s">
        <v>604</v>
      </c>
      <c r="C222" s="73" t="s">
        <v>949</v>
      </c>
      <c r="D222" s="73" t="s">
        <v>999</v>
      </c>
      <c r="E222" s="73" t="s">
        <v>979</v>
      </c>
      <c r="F222" s="73">
        <v>1999</v>
      </c>
      <c r="G222" s="73" t="s">
        <v>981</v>
      </c>
      <c r="H222" s="73"/>
      <c r="I222" s="73" t="s">
        <v>51</v>
      </c>
      <c r="J222" s="73" t="s">
        <v>850</v>
      </c>
      <c r="K222" s="73" t="s">
        <v>854</v>
      </c>
      <c r="L222" s="73" t="s">
        <v>833</v>
      </c>
      <c r="M222" s="73" t="s">
        <v>924</v>
      </c>
      <c r="N222" s="73"/>
      <c r="O222" s="73">
        <v>1</v>
      </c>
      <c r="P222" s="73"/>
      <c r="Q222" s="73"/>
      <c r="R222" s="73" t="s">
        <v>52</v>
      </c>
      <c r="S222" s="73">
        <v>4</v>
      </c>
      <c r="T222" s="73">
        <v>4</v>
      </c>
      <c r="U222" s="73" t="s">
        <v>27</v>
      </c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>
        <v>11.7</v>
      </c>
      <c r="AG222" s="73"/>
      <c r="AH222" s="87">
        <f t="shared" si="82"/>
        <v>4.2498937526561836E-2</v>
      </c>
      <c r="AI222" s="73"/>
      <c r="AJ222" s="87">
        <v>0.1</v>
      </c>
      <c r="AK222" s="73">
        <v>2.3530000000000002</v>
      </c>
      <c r="AL222" s="73">
        <v>11.2</v>
      </c>
      <c r="AM222" s="73"/>
      <c r="AN222" s="87">
        <f>AP222/AQ222</f>
        <v>4.2498937526561836E-2</v>
      </c>
      <c r="AO222" s="73"/>
      <c r="AP222" s="87">
        <v>0.1</v>
      </c>
      <c r="AQ222" s="73">
        <v>2.3530000000000002</v>
      </c>
      <c r="AR222" s="73"/>
      <c r="AS222" s="73"/>
      <c r="AT222" s="46"/>
      <c r="AU222" s="46"/>
      <c r="AV222" s="46"/>
      <c r="AW222" s="46"/>
      <c r="AX222" s="46"/>
      <c r="AY222" s="46"/>
    </row>
    <row r="223" spans="1:51" ht="15" customHeight="1">
      <c r="A223" s="73" t="s">
        <v>56</v>
      </c>
      <c r="B223" s="73" t="s">
        <v>604</v>
      </c>
      <c r="C223" s="73" t="s">
        <v>949</v>
      </c>
      <c r="D223" s="73" t="s">
        <v>981</v>
      </c>
      <c r="E223" s="73" t="s">
        <v>999</v>
      </c>
      <c r="F223" s="73">
        <v>1999</v>
      </c>
      <c r="G223" s="73" t="s">
        <v>981</v>
      </c>
      <c r="H223" s="73"/>
      <c r="I223" s="73" t="s">
        <v>53</v>
      </c>
      <c r="J223" s="73" t="s">
        <v>378</v>
      </c>
      <c r="K223" s="73" t="s">
        <v>569</v>
      </c>
      <c r="L223" s="73" t="s">
        <v>131</v>
      </c>
      <c r="M223" s="73" t="s">
        <v>958</v>
      </c>
      <c r="N223" s="73">
        <v>1</v>
      </c>
      <c r="O223" s="73"/>
      <c r="P223" s="73"/>
      <c r="Q223" s="73"/>
      <c r="R223" s="73" t="s">
        <v>50</v>
      </c>
      <c r="S223" s="73">
        <v>4</v>
      </c>
      <c r="T223" s="73">
        <v>4</v>
      </c>
      <c r="U223" s="73" t="s">
        <v>27</v>
      </c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>
        <v>12.8</v>
      </c>
      <c r="AG223" s="73"/>
      <c r="AH223" s="87">
        <f t="shared" si="82"/>
        <v>4.2498937526561836E-2</v>
      </c>
      <c r="AI223" s="73"/>
      <c r="AJ223" s="87">
        <v>0.1</v>
      </c>
      <c r="AK223" s="73">
        <v>2.3530000000000002</v>
      </c>
      <c r="AL223" s="73">
        <v>12.1</v>
      </c>
      <c r="AM223" s="73"/>
      <c r="AN223" s="87">
        <f>AP223/AQ223</f>
        <v>4.2498937526561836E-2</v>
      </c>
      <c r="AO223" s="73"/>
      <c r="AP223" s="87">
        <v>0.1</v>
      </c>
      <c r="AQ223" s="73">
        <v>2.3530000000000002</v>
      </c>
      <c r="AR223" s="73"/>
      <c r="AS223" s="73"/>
      <c r="AT223" s="110">
        <f>AF223-AL223</f>
        <v>0.70000000000000107</v>
      </c>
      <c r="AU223" s="110">
        <f>SQRT(((T222-1)*AH223^2 + (T223-1)*AN223^2)/(T222+T223-2) )</f>
        <v>4.2498937526561836E-2</v>
      </c>
      <c r="AV223" s="110">
        <f>1-3/(4*(S223+T223) - 9)</f>
        <v>0.86956521739130432</v>
      </c>
      <c r="AW223" s="110">
        <f>AT223/AU223*AV223</f>
        <v>14.322608695652196</v>
      </c>
      <c r="AX223" s="110">
        <f>T222</f>
        <v>4</v>
      </c>
      <c r="AY223" s="110">
        <f>AW223*AX223</f>
        <v>57.290434782608784</v>
      </c>
    </row>
    <row r="224" spans="1:51" ht="15" hidden="1" customHeight="1">
      <c r="A224" s="73" t="s">
        <v>56</v>
      </c>
      <c r="B224" s="73" t="s">
        <v>604</v>
      </c>
      <c r="C224" s="73" t="s">
        <v>949</v>
      </c>
      <c r="D224" s="73" t="s">
        <v>981</v>
      </c>
      <c r="E224" s="73" t="s">
        <v>981</v>
      </c>
      <c r="F224" s="78">
        <v>1999</v>
      </c>
      <c r="G224" s="78" t="s">
        <v>981</v>
      </c>
      <c r="H224" s="78"/>
      <c r="I224" s="78" t="s">
        <v>70</v>
      </c>
      <c r="J224" s="73" t="s">
        <v>850</v>
      </c>
      <c r="K224" s="73" t="s">
        <v>854</v>
      </c>
      <c r="L224" s="73" t="s">
        <v>833</v>
      </c>
      <c r="M224" s="73" t="s">
        <v>924</v>
      </c>
      <c r="N224" s="73"/>
      <c r="O224" s="73">
        <v>1</v>
      </c>
      <c r="P224" s="78"/>
      <c r="Q224" s="78"/>
      <c r="R224" s="78" t="s">
        <v>71</v>
      </c>
      <c r="S224" s="73">
        <v>4</v>
      </c>
      <c r="T224" s="73">
        <v>4</v>
      </c>
      <c r="U224" s="73" t="s">
        <v>27</v>
      </c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>
        <v>11.6</v>
      </c>
      <c r="AG224" s="73"/>
      <c r="AH224" s="87">
        <f t="shared" si="82"/>
        <v>4.2498937526561836E-2</v>
      </c>
      <c r="AI224" s="73"/>
      <c r="AJ224" s="87">
        <v>0.1</v>
      </c>
      <c r="AK224" s="73">
        <v>2.3530000000000002</v>
      </c>
      <c r="AL224" s="73">
        <v>11.6</v>
      </c>
      <c r="AM224" s="73"/>
      <c r="AN224" s="90">
        <f>AP224/AQ224</f>
        <v>4.2498937526561836E-2</v>
      </c>
      <c r="AO224" s="73"/>
      <c r="AP224" s="87">
        <v>0.1</v>
      </c>
      <c r="AQ224" s="73">
        <v>2.3530000000000002</v>
      </c>
      <c r="AR224" s="73"/>
      <c r="AS224" s="73"/>
      <c r="AT224" s="46"/>
      <c r="AU224" s="46"/>
      <c r="AV224" s="46"/>
      <c r="AW224" s="46"/>
      <c r="AX224" s="46"/>
      <c r="AY224" s="46"/>
    </row>
    <row r="225" spans="1:51" ht="15" hidden="1" customHeight="1">
      <c r="A225" s="88" t="s">
        <v>388</v>
      </c>
      <c r="B225" s="88" t="s">
        <v>604</v>
      </c>
      <c r="C225" s="88" t="s">
        <v>314</v>
      </c>
      <c r="D225" s="88" t="s">
        <v>11</v>
      </c>
      <c r="E225" s="88" t="s">
        <v>104</v>
      </c>
      <c r="F225" s="73">
        <v>1996</v>
      </c>
      <c r="G225" s="73" t="s">
        <v>105</v>
      </c>
      <c r="H225" s="73"/>
      <c r="I225" s="73" t="s">
        <v>389</v>
      </c>
      <c r="J225" s="88" t="s">
        <v>850</v>
      </c>
      <c r="K225" s="88" t="s">
        <v>854</v>
      </c>
      <c r="L225" s="88" t="s">
        <v>833</v>
      </c>
      <c r="M225" s="88" t="s">
        <v>924</v>
      </c>
      <c r="N225" s="88"/>
      <c r="O225" s="88">
        <v>1</v>
      </c>
      <c r="P225" s="73"/>
      <c r="Q225" s="73"/>
      <c r="R225" s="73" t="s">
        <v>390</v>
      </c>
      <c r="S225" s="88">
        <v>4</v>
      </c>
      <c r="T225" s="88">
        <v>4</v>
      </c>
      <c r="U225" s="88" t="s">
        <v>9</v>
      </c>
      <c r="V225" s="88" t="s">
        <v>105</v>
      </c>
      <c r="W225" s="88" t="s">
        <v>105</v>
      </c>
      <c r="X225" s="88" t="s">
        <v>105</v>
      </c>
      <c r="Y225" s="88" t="s">
        <v>105</v>
      </c>
      <c r="Z225" s="88" t="s">
        <v>105</v>
      </c>
      <c r="AA225" s="88" t="s">
        <v>105</v>
      </c>
      <c r="AB225" s="88" t="s">
        <v>105</v>
      </c>
      <c r="AC225" s="88" t="s">
        <v>105</v>
      </c>
      <c r="AD225" s="88" t="s">
        <v>105</v>
      </c>
      <c r="AE225" s="88" t="s">
        <v>105</v>
      </c>
      <c r="AF225" s="88">
        <v>7.1</v>
      </c>
      <c r="AG225" s="88" t="s">
        <v>105</v>
      </c>
      <c r="AH225" s="88">
        <f>(AI225/100)*AF225</f>
        <v>0.67449999999999999</v>
      </c>
      <c r="AI225" s="88">
        <v>9.5</v>
      </c>
      <c r="AJ225" s="88"/>
      <c r="AK225" s="88"/>
      <c r="AL225" s="88">
        <v>8.1999999999999993</v>
      </c>
      <c r="AM225" s="88" t="s">
        <v>105</v>
      </c>
      <c r="AN225" s="73">
        <f>(AO225/100)*AL225</f>
        <v>0.77899999999999991</v>
      </c>
      <c r="AO225" s="88">
        <v>9.5</v>
      </c>
      <c r="AP225" s="88"/>
      <c r="AQ225" s="88"/>
      <c r="AR225" s="88" t="s">
        <v>105</v>
      </c>
      <c r="AS225" s="88"/>
      <c r="AT225" s="46"/>
      <c r="AU225" s="46"/>
      <c r="AV225" s="46"/>
      <c r="AW225" s="46"/>
      <c r="AX225" s="46"/>
      <c r="AY225" s="46"/>
    </row>
    <row r="226" spans="1:51" ht="15" hidden="1" customHeight="1">
      <c r="A226" s="73" t="s">
        <v>388</v>
      </c>
      <c r="B226" s="73" t="s">
        <v>604</v>
      </c>
      <c r="C226" s="73" t="s">
        <v>314</v>
      </c>
      <c r="D226" s="73" t="s">
        <v>11</v>
      </c>
      <c r="E226" s="73" t="s">
        <v>104</v>
      </c>
      <c r="F226" s="73">
        <v>1996</v>
      </c>
      <c r="G226" s="73" t="s">
        <v>83</v>
      </c>
      <c r="H226" s="73"/>
      <c r="I226" s="73" t="s">
        <v>389</v>
      </c>
      <c r="J226" s="73" t="s">
        <v>850</v>
      </c>
      <c r="K226" s="73" t="s">
        <v>854</v>
      </c>
      <c r="L226" s="73" t="s">
        <v>833</v>
      </c>
      <c r="M226" s="73" t="s">
        <v>924</v>
      </c>
      <c r="N226" s="73"/>
      <c r="O226" s="73">
        <v>1</v>
      </c>
      <c r="P226" s="73"/>
      <c r="Q226" s="73"/>
      <c r="R226" s="73" t="s">
        <v>390</v>
      </c>
      <c r="S226" s="73">
        <v>4</v>
      </c>
      <c r="T226" s="73">
        <v>4</v>
      </c>
      <c r="U226" s="73" t="s">
        <v>391</v>
      </c>
      <c r="V226" s="73" t="s">
        <v>83</v>
      </c>
      <c r="W226" s="73" t="s">
        <v>83</v>
      </c>
      <c r="X226" s="73" t="s">
        <v>83</v>
      </c>
      <c r="Y226" s="73" t="s">
        <v>83</v>
      </c>
      <c r="Z226" s="73" t="s">
        <v>83</v>
      </c>
      <c r="AA226" s="73" t="s">
        <v>83</v>
      </c>
      <c r="AB226" s="73" t="s">
        <v>83</v>
      </c>
      <c r="AC226" s="73" t="s">
        <v>83</v>
      </c>
      <c r="AD226" s="73" t="s">
        <v>83</v>
      </c>
      <c r="AE226" s="73" t="s">
        <v>83</v>
      </c>
      <c r="AF226" s="73">
        <v>9.8000000000000007</v>
      </c>
      <c r="AG226" s="73" t="s">
        <v>83</v>
      </c>
      <c r="AH226" s="73">
        <f t="shared" ref="AH226:AH232" si="84">(AI226/100)*AF226</f>
        <v>0.93100000000000005</v>
      </c>
      <c r="AI226" s="73">
        <v>9.5</v>
      </c>
      <c r="AJ226" s="73"/>
      <c r="AK226" s="73"/>
      <c r="AL226" s="73">
        <v>10</v>
      </c>
      <c r="AM226" s="73" t="s">
        <v>83</v>
      </c>
      <c r="AN226" s="73">
        <f t="shared" ref="AN226:AN232" si="85">(AO226/100)*AL226</f>
        <v>0.95</v>
      </c>
      <c r="AO226" s="73">
        <v>9.5</v>
      </c>
      <c r="AP226" s="73"/>
      <c r="AQ226" s="73"/>
      <c r="AR226" s="73" t="s">
        <v>83</v>
      </c>
      <c r="AS226" s="73"/>
      <c r="AT226" s="46"/>
      <c r="AU226" s="46"/>
      <c r="AV226" s="46"/>
      <c r="AW226" s="46"/>
      <c r="AX226" s="46"/>
      <c r="AY226" s="46"/>
    </row>
    <row r="227" spans="1:51" ht="15" hidden="1" customHeight="1">
      <c r="A227" s="73" t="s">
        <v>388</v>
      </c>
      <c r="B227" s="73" t="s">
        <v>604</v>
      </c>
      <c r="C227" s="73" t="s">
        <v>314</v>
      </c>
      <c r="D227" s="73" t="s">
        <v>11</v>
      </c>
      <c r="E227" s="73" t="s">
        <v>104</v>
      </c>
      <c r="F227" s="73">
        <v>1996</v>
      </c>
      <c r="G227" s="73" t="s">
        <v>83</v>
      </c>
      <c r="H227" s="73"/>
      <c r="I227" s="73" t="s">
        <v>389</v>
      </c>
      <c r="J227" s="73" t="s">
        <v>850</v>
      </c>
      <c r="K227" s="73" t="s">
        <v>854</v>
      </c>
      <c r="L227" s="73" t="s">
        <v>833</v>
      </c>
      <c r="M227" s="73" t="s">
        <v>924</v>
      </c>
      <c r="N227" s="73"/>
      <c r="O227" s="73">
        <v>1</v>
      </c>
      <c r="P227" s="73"/>
      <c r="Q227" s="73"/>
      <c r="R227" s="73" t="s">
        <v>390</v>
      </c>
      <c r="S227" s="73">
        <v>4</v>
      </c>
      <c r="T227" s="73">
        <v>4</v>
      </c>
      <c r="U227" s="73" t="s">
        <v>243</v>
      </c>
      <c r="V227" s="73" t="s">
        <v>83</v>
      </c>
      <c r="W227" s="73" t="s">
        <v>83</v>
      </c>
      <c r="X227" s="73" t="s">
        <v>83</v>
      </c>
      <c r="Y227" s="73" t="s">
        <v>83</v>
      </c>
      <c r="Z227" s="73" t="s">
        <v>83</v>
      </c>
      <c r="AA227" s="73" t="s">
        <v>83</v>
      </c>
      <c r="AB227" s="73" t="s">
        <v>83</v>
      </c>
      <c r="AC227" s="73" t="s">
        <v>83</v>
      </c>
      <c r="AD227" s="73" t="s">
        <v>83</v>
      </c>
      <c r="AE227" s="73" t="s">
        <v>83</v>
      </c>
      <c r="AF227" s="73">
        <v>11.9</v>
      </c>
      <c r="AG227" s="73" t="s">
        <v>83</v>
      </c>
      <c r="AH227" s="73">
        <f t="shared" si="84"/>
        <v>1.1305000000000001</v>
      </c>
      <c r="AI227" s="73">
        <v>9.5</v>
      </c>
      <c r="AJ227" s="73"/>
      <c r="AK227" s="73"/>
      <c r="AL227" s="73">
        <v>9.6999999999999993</v>
      </c>
      <c r="AM227" s="73" t="s">
        <v>83</v>
      </c>
      <c r="AN227" s="73">
        <f t="shared" si="85"/>
        <v>0.92149999999999999</v>
      </c>
      <c r="AO227" s="73">
        <v>9.5</v>
      </c>
      <c r="AP227" s="73"/>
      <c r="AQ227" s="73"/>
      <c r="AR227" s="73" t="s">
        <v>83</v>
      </c>
      <c r="AS227" s="73"/>
      <c r="AT227" s="46"/>
      <c r="AU227" s="46"/>
      <c r="AV227" s="46"/>
      <c r="AW227" s="46"/>
      <c r="AX227" s="46"/>
      <c r="AY227" s="46"/>
    </row>
    <row r="228" spans="1:51" ht="15" hidden="1" customHeight="1">
      <c r="A228" s="73" t="s">
        <v>388</v>
      </c>
      <c r="B228" s="73" t="s">
        <v>604</v>
      </c>
      <c r="C228" s="73" t="s">
        <v>314</v>
      </c>
      <c r="D228" s="73" t="s">
        <v>11</v>
      </c>
      <c r="E228" s="73" t="s">
        <v>104</v>
      </c>
      <c r="F228" s="73">
        <v>1996</v>
      </c>
      <c r="G228" s="73" t="s">
        <v>105</v>
      </c>
      <c r="H228" s="73"/>
      <c r="I228" s="73" t="s">
        <v>389</v>
      </c>
      <c r="J228" s="73" t="s">
        <v>850</v>
      </c>
      <c r="K228" s="73" t="s">
        <v>854</v>
      </c>
      <c r="L228" s="73" t="s">
        <v>833</v>
      </c>
      <c r="M228" s="73" t="s">
        <v>924</v>
      </c>
      <c r="N228" s="73"/>
      <c r="O228" s="73">
        <v>1</v>
      </c>
      <c r="P228" s="73"/>
      <c r="Q228" s="73"/>
      <c r="R228" s="73" t="s">
        <v>390</v>
      </c>
      <c r="S228" s="73">
        <v>4</v>
      </c>
      <c r="T228" s="73">
        <v>4</v>
      </c>
      <c r="U228" s="73" t="s">
        <v>10</v>
      </c>
      <c r="V228" s="73" t="s">
        <v>105</v>
      </c>
      <c r="W228" s="73" t="s">
        <v>105</v>
      </c>
      <c r="X228" s="73" t="s">
        <v>105</v>
      </c>
      <c r="Y228" s="73" t="s">
        <v>105</v>
      </c>
      <c r="Z228" s="73" t="s">
        <v>105</v>
      </c>
      <c r="AA228" s="73" t="s">
        <v>105</v>
      </c>
      <c r="AB228" s="73" t="s">
        <v>105</v>
      </c>
      <c r="AC228" s="73" t="s">
        <v>105</v>
      </c>
      <c r="AD228" s="73" t="s">
        <v>105</v>
      </c>
      <c r="AE228" s="73" t="s">
        <v>105</v>
      </c>
      <c r="AF228" s="73">
        <v>11.9</v>
      </c>
      <c r="AG228" s="73" t="s">
        <v>105</v>
      </c>
      <c r="AH228" s="73">
        <f t="shared" si="84"/>
        <v>1.1305000000000001</v>
      </c>
      <c r="AI228" s="73">
        <v>9.5</v>
      </c>
      <c r="AJ228" s="73"/>
      <c r="AK228" s="73"/>
      <c r="AL228" s="73">
        <v>9.6</v>
      </c>
      <c r="AM228" s="73" t="s">
        <v>105</v>
      </c>
      <c r="AN228" s="73">
        <f t="shared" si="85"/>
        <v>0.91199999999999992</v>
      </c>
      <c r="AO228" s="73">
        <v>9.5</v>
      </c>
      <c r="AP228" s="73"/>
      <c r="AQ228" s="73"/>
      <c r="AR228" s="73" t="s">
        <v>105</v>
      </c>
      <c r="AS228" s="73"/>
      <c r="AT228" s="46"/>
      <c r="AU228" s="46"/>
      <c r="AV228" s="46"/>
      <c r="AW228" s="46"/>
      <c r="AX228" s="46"/>
      <c r="AY228" s="46"/>
    </row>
    <row r="229" spans="1:51" ht="15" hidden="1" customHeight="1">
      <c r="A229" s="73" t="s">
        <v>388</v>
      </c>
      <c r="B229" s="73" t="s">
        <v>604</v>
      </c>
      <c r="C229" s="73" t="s">
        <v>314</v>
      </c>
      <c r="D229" s="73" t="s">
        <v>11</v>
      </c>
      <c r="E229" s="73" t="s">
        <v>104</v>
      </c>
      <c r="F229" s="73">
        <v>1997</v>
      </c>
      <c r="G229" s="73" t="s">
        <v>105</v>
      </c>
      <c r="H229" s="73"/>
      <c r="I229" s="73" t="s">
        <v>389</v>
      </c>
      <c r="J229" s="73" t="s">
        <v>850</v>
      </c>
      <c r="K229" s="73" t="s">
        <v>854</v>
      </c>
      <c r="L229" s="73" t="s">
        <v>833</v>
      </c>
      <c r="M229" s="73" t="s">
        <v>796</v>
      </c>
      <c r="N229" s="73"/>
      <c r="O229" s="73">
        <v>1</v>
      </c>
      <c r="P229" s="73"/>
      <c r="Q229" s="73"/>
      <c r="R229" s="73" t="s">
        <v>390</v>
      </c>
      <c r="S229" s="73">
        <v>4</v>
      </c>
      <c r="T229" s="73">
        <v>4</v>
      </c>
      <c r="U229" s="73" t="s">
        <v>9</v>
      </c>
      <c r="V229" s="73" t="s">
        <v>105</v>
      </c>
      <c r="W229" s="73" t="s">
        <v>105</v>
      </c>
      <c r="X229" s="73" t="s">
        <v>105</v>
      </c>
      <c r="Y229" s="73" t="s">
        <v>105</v>
      </c>
      <c r="Z229" s="73" t="s">
        <v>105</v>
      </c>
      <c r="AA229" s="73" t="s">
        <v>105</v>
      </c>
      <c r="AB229" s="73" t="s">
        <v>105</v>
      </c>
      <c r="AC229" s="73" t="s">
        <v>105</v>
      </c>
      <c r="AD229" s="73" t="s">
        <v>105</v>
      </c>
      <c r="AE229" s="73" t="s">
        <v>105</v>
      </c>
      <c r="AF229" s="73">
        <v>4.7</v>
      </c>
      <c r="AG229" s="73" t="s">
        <v>105</v>
      </c>
      <c r="AH229" s="73">
        <f t="shared" si="84"/>
        <v>0.51229999999999998</v>
      </c>
      <c r="AI229" s="73">
        <v>10.9</v>
      </c>
      <c r="AJ229" s="73"/>
      <c r="AK229" s="73"/>
      <c r="AL229" s="73">
        <v>4.5999999999999996</v>
      </c>
      <c r="AM229" s="73" t="s">
        <v>105</v>
      </c>
      <c r="AN229" s="73">
        <f t="shared" si="85"/>
        <v>0.50139999999999996</v>
      </c>
      <c r="AO229" s="73">
        <v>10.9</v>
      </c>
      <c r="AP229" s="73"/>
      <c r="AQ229" s="73"/>
      <c r="AR229" s="73" t="s">
        <v>105</v>
      </c>
      <c r="AS229" s="73"/>
      <c r="AT229" s="46"/>
      <c r="AU229" s="46"/>
      <c r="AV229" s="46"/>
      <c r="AW229" s="46"/>
      <c r="AX229" s="46"/>
      <c r="AY229" s="46"/>
    </row>
    <row r="230" spans="1:51" ht="15" hidden="1" customHeight="1">
      <c r="A230" s="73" t="s">
        <v>388</v>
      </c>
      <c r="B230" s="73" t="s">
        <v>604</v>
      </c>
      <c r="C230" s="73" t="s">
        <v>314</v>
      </c>
      <c r="D230" s="73" t="s">
        <v>11</v>
      </c>
      <c r="E230" s="73" t="s">
        <v>104</v>
      </c>
      <c r="F230" s="73">
        <v>1997</v>
      </c>
      <c r="G230" s="73" t="s">
        <v>105</v>
      </c>
      <c r="H230" s="73"/>
      <c r="I230" s="73" t="s">
        <v>389</v>
      </c>
      <c r="J230" s="73" t="s">
        <v>850</v>
      </c>
      <c r="K230" s="73" t="s">
        <v>854</v>
      </c>
      <c r="L230" s="73" t="s">
        <v>833</v>
      </c>
      <c r="M230" s="73" t="s">
        <v>924</v>
      </c>
      <c r="N230" s="73"/>
      <c r="O230" s="73">
        <v>1</v>
      </c>
      <c r="P230" s="73"/>
      <c r="Q230" s="73"/>
      <c r="R230" s="73" t="s">
        <v>390</v>
      </c>
      <c r="S230" s="73">
        <v>4</v>
      </c>
      <c r="T230" s="73">
        <v>4</v>
      </c>
      <c r="U230" s="73" t="s">
        <v>391</v>
      </c>
      <c r="V230" s="73" t="s">
        <v>105</v>
      </c>
      <c r="W230" s="73" t="s">
        <v>105</v>
      </c>
      <c r="X230" s="73" t="s">
        <v>105</v>
      </c>
      <c r="Y230" s="73" t="s">
        <v>105</v>
      </c>
      <c r="Z230" s="73" t="s">
        <v>105</v>
      </c>
      <c r="AA230" s="73" t="s">
        <v>105</v>
      </c>
      <c r="AB230" s="73" t="s">
        <v>105</v>
      </c>
      <c r="AC230" s="73" t="s">
        <v>105</v>
      </c>
      <c r="AD230" s="73" t="s">
        <v>105</v>
      </c>
      <c r="AE230" s="73" t="s">
        <v>105</v>
      </c>
      <c r="AF230" s="73">
        <v>10.1</v>
      </c>
      <c r="AG230" s="73" t="s">
        <v>105</v>
      </c>
      <c r="AH230" s="73">
        <f t="shared" si="84"/>
        <v>1.1009</v>
      </c>
      <c r="AI230" s="73">
        <v>10.9</v>
      </c>
      <c r="AJ230" s="73"/>
      <c r="AK230" s="73"/>
      <c r="AL230" s="73">
        <v>9.5</v>
      </c>
      <c r="AM230" s="73" t="s">
        <v>105</v>
      </c>
      <c r="AN230" s="73">
        <f t="shared" si="85"/>
        <v>1.0355000000000001</v>
      </c>
      <c r="AO230" s="73">
        <v>10.9</v>
      </c>
      <c r="AP230" s="73"/>
      <c r="AQ230" s="73"/>
      <c r="AR230" s="73" t="s">
        <v>105</v>
      </c>
      <c r="AS230" s="73"/>
      <c r="AT230" s="46"/>
      <c r="AU230" s="46"/>
      <c r="AV230" s="46"/>
      <c r="AW230" s="46"/>
      <c r="AX230" s="46"/>
      <c r="AY230" s="46"/>
    </row>
    <row r="231" spans="1:51" ht="15" hidden="1" customHeight="1">
      <c r="A231" s="73" t="s">
        <v>388</v>
      </c>
      <c r="B231" s="73" t="s">
        <v>604</v>
      </c>
      <c r="C231" s="73" t="s">
        <v>314</v>
      </c>
      <c r="D231" s="73" t="s">
        <v>11</v>
      </c>
      <c r="E231" s="73" t="s">
        <v>104</v>
      </c>
      <c r="F231" s="73">
        <v>1997</v>
      </c>
      <c r="G231" s="73" t="s">
        <v>84</v>
      </c>
      <c r="H231" s="73"/>
      <c r="I231" s="73" t="s">
        <v>389</v>
      </c>
      <c r="J231" s="73" t="s">
        <v>850</v>
      </c>
      <c r="K231" s="73" t="s">
        <v>854</v>
      </c>
      <c r="L231" s="73" t="s">
        <v>833</v>
      </c>
      <c r="M231" s="73" t="s">
        <v>924</v>
      </c>
      <c r="N231" s="73"/>
      <c r="O231" s="73">
        <v>1</v>
      </c>
      <c r="P231" s="73"/>
      <c r="Q231" s="73"/>
      <c r="R231" s="73" t="s">
        <v>390</v>
      </c>
      <c r="S231" s="73">
        <v>4</v>
      </c>
      <c r="T231" s="73">
        <v>4</v>
      </c>
      <c r="U231" s="73" t="s">
        <v>243</v>
      </c>
      <c r="V231" s="73" t="s">
        <v>84</v>
      </c>
      <c r="W231" s="73" t="s">
        <v>84</v>
      </c>
      <c r="X231" s="73" t="s">
        <v>84</v>
      </c>
      <c r="Y231" s="73" t="s">
        <v>84</v>
      </c>
      <c r="Z231" s="73" t="s">
        <v>84</v>
      </c>
      <c r="AA231" s="73" t="s">
        <v>84</v>
      </c>
      <c r="AB231" s="73" t="s">
        <v>84</v>
      </c>
      <c r="AC231" s="73" t="s">
        <v>84</v>
      </c>
      <c r="AD231" s="73" t="s">
        <v>84</v>
      </c>
      <c r="AE231" s="73" t="s">
        <v>84</v>
      </c>
      <c r="AF231" s="73">
        <v>10.3</v>
      </c>
      <c r="AG231" s="73" t="s">
        <v>84</v>
      </c>
      <c r="AH231" s="73">
        <f t="shared" si="84"/>
        <v>1.1227</v>
      </c>
      <c r="AI231" s="73">
        <v>10.9</v>
      </c>
      <c r="AJ231" s="73"/>
      <c r="AK231" s="73"/>
      <c r="AL231" s="73">
        <v>9.5</v>
      </c>
      <c r="AM231" s="73" t="s">
        <v>84</v>
      </c>
      <c r="AN231" s="73">
        <f t="shared" si="85"/>
        <v>1.0355000000000001</v>
      </c>
      <c r="AO231" s="73">
        <v>10.9</v>
      </c>
      <c r="AP231" s="73"/>
      <c r="AQ231" s="73"/>
      <c r="AR231" s="73" t="s">
        <v>84</v>
      </c>
      <c r="AS231" s="73"/>
      <c r="AT231" s="46"/>
      <c r="AU231" s="46"/>
      <c r="AV231" s="46"/>
      <c r="AW231" s="46"/>
      <c r="AX231" s="46"/>
      <c r="AY231" s="46"/>
    </row>
    <row r="232" spans="1:51" ht="15" hidden="1" customHeight="1">
      <c r="A232" s="78" t="s">
        <v>388</v>
      </c>
      <c r="B232" s="78" t="s">
        <v>604</v>
      </c>
      <c r="C232" s="78" t="s">
        <v>314</v>
      </c>
      <c r="D232" s="78" t="s">
        <v>11</v>
      </c>
      <c r="E232" s="78" t="s">
        <v>104</v>
      </c>
      <c r="F232" s="78">
        <v>1997</v>
      </c>
      <c r="G232" s="78" t="s">
        <v>105</v>
      </c>
      <c r="H232" s="78"/>
      <c r="I232" s="78" t="s">
        <v>389</v>
      </c>
      <c r="J232" s="78" t="s">
        <v>850</v>
      </c>
      <c r="K232" s="78" t="s">
        <v>854</v>
      </c>
      <c r="L232" s="78" t="s">
        <v>833</v>
      </c>
      <c r="M232" s="78" t="s">
        <v>924</v>
      </c>
      <c r="N232" s="78"/>
      <c r="O232" s="78">
        <v>1</v>
      </c>
      <c r="P232" s="73"/>
      <c r="Q232" s="73"/>
      <c r="R232" s="78" t="s">
        <v>390</v>
      </c>
      <c r="S232" s="78">
        <v>4</v>
      </c>
      <c r="T232" s="78">
        <v>4</v>
      </c>
      <c r="U232" s="78" t="s">
        <v>10</v>
      </c>
      <c r="V232" s="78" t="s">
        <v>105</v>
      </c>
      <c r="W232" s="78" t="s">
        <v>105</v>
      </c>
      <c r="X232" s="78" t="s">
        <v>105</v>
      </c>
      <c r="Y232" s="78" t="s">
        <v>105</v>
      </c>
      <c r="Z232" s="78" t="s">
        <v>105</v>
      </c>
      <c r="AA232" s="78" t="s">
        <v>105</v>
      </c>
      <c r="AB232" s="78" t="s">
        <v>105</v>
      </c>
      <c r="AC232" s="78" t="s">
        <v>105</v>
      </c>
      <c r="AD232" s="78" t="s">
        <v>105</v>
      </c>
      <c r="AE232" s="78" t="s">
        <v>105</v>
      </c>
      <c r="AF232" s="78">
        <v>9.8000000000000007</v>
      </c>
      <c r="AG232" s="78" t="s">
        <v>105</v>
      </c>
      <c r="AH232" s="73">
        <f t="shared" si="84"/>
        <v>1.0682</v>
      </c>
      <c r="AI232" s="78">
        <v>10.9</v>
      </c>
      <c r="AJ232" s="73"/>
      <c r="AK232" s="78"/>
      <c r="AL232" s="78">
        <v>9.1999999999999993</v>
      </c>
      <c r="AM232" s="78" t="s">
        <v>105</v>
      </c>
      <c r="AN232" s="73">
        <f t="shared" si="85"/>
        <v>1.0027999999999999</v>
      </c>
      <c r="AO232" s="78">
        <v>10.9</v>
      </c>
      <c r="AP232" s="73"/>
      <c r="AQ232" s="78"/>
      <c r="AR232" s="78" t="s">
        <v>105</v>
      </c>
      <c r="AS232" s="73"/>
      <c r="AT232" s="46"/>
      <c r="AU232" s="46"/>
      <c r="AV232" s="46"/>
      <c r="AW232" s="46"/>
      <c r="AX232" s="46"/>
      <c r="AY232" s="46"/>
    </row>
    <row r="233" spans="1:51" ht="15" customHeight="1">
      <c r="A233" s="88" t="s">
        <v>315</v>
      </c>
      <c r="B233" s="88" t="s">
        <v>604</v>
      </c>
      <c r="C233" s="88" t="s">
        <v>316</v>
      </c>
      <c r="D233" s="88" t="s">
        <v>84</v>
      </c>
      <c r="E233" s="88" t="s">
        <v>84</v>
      </c>
      <c r="F233" s="88">
        <v>1994</v>
      </c>
      <c r="G233" s="88" t="s">
        <v>105</v>
      </c>
      <c r="H233" s="88"/>
      <c r="I233" s="88" t="s">
        <v>240</v>
      </c>
      <c r="J233" s="73" t="s">
        <v>895</v>
      </c>
      <c r="K233" s="73" t="s">
        <v>569</v>
      </c>
      <c r="L233" s="73" t="s">
        <v>131</v>
      </c>
      <c r="M233" s="73" t="s">
        <v>958</v>
      </c>
      <c r="N233" s="73">
        <v>1</v>
      </c>
      <c r="O233" s="73"/>
      <c r="P233" s="88"/>
      <c r="Q233" s="88"/>
      <c r="R233" s="88" t="s">
        <v>242</v>
      </c>
      <c r="S233" s="88">
        <v>16</v>
      </c>
      <c r="T233" s="88">
        <v>16</v>
      </c>
      <c r="U233" s="88" t="s">
        <v>236</v>
      </c>
      <c r="V233" s="88" t="s">
        <v>105</v>
      </c>
      <c r="W233" s="88" t="s">
        <v>105</v>
      </c>
      <c r="X233" s="88" t="s">
        <v>105</v>
      </c>
      <c r="Y233" s="88" t="s">
        <v>105</v>
      </c>
      <c r="Z233" s="88" t="s">
        <v>105</v>
      </c>
      <c r="AA233" s="88" t="s">
        <v>105</v>
      </c>
      <c r="AB233" s="88" t="s">
        <v>105</v>
      </c>
      <c r="AC233" s="88" t="s">
        <v>105</v>
      </c>
      <c r="AD233" s="88" t="s">
        <v>105</v>
      </c>
      <c r="AE233" s="88" t="s">
        <v>105</v>
      </c>
      <c r="AF233" s="97">
        <v>11.423319999999999</v>
      </c>
      <c r="AG233" s="88" t="s">
        <v>105</v>
      </c>
      <c r="AH233" s="86">
        <f t="shared" ref="AH233:AH240" si="86">AJ233/AK233</f>
        <v>0.16120935539075873</v>
      </c>
      <c r="AI233" s="88"/>
      <c r="AJ233" s="88">
        <v>0.28260000000000002</v>
      </c>
      <c r="AK233" s="88">
        <v>1.7529999999999999</v>
      </c>
      <c r="AL233" s="97">
        <v>10.971159999999998</v>
      </c>
      <c r="AM233" s="88" t="s">
        <v>105</v>
      </c>
      <c r="AN233" s="86">
        <f t="shared" ref="AN233:AN240" si="87">AP233/AQ233</f>
        <v>0.14687963491158013</v>
      </c>
      <c r="AO233" s="88"/>
      <c r="AP233" s="88">
        <v>0.25747999999999993</v>
      </c>
      <c r="AQ233" s="88">
        <v>1.7529999999999999</v>
      </c>
      <c r="AR233" s="88" t="s">
        <v>105</v>
      </c>
      <c r="AS233" s="88" t="s">
        <v>323</v>
      </c>
      <c r="AT233" s="110">
        <f t="shared" ref="AT233:AT243" si="88">AF233-AL233</f>
        <v>0.45216000000000101</v>
      </c>
      <c r="AU233" s="110">
        <f t="shared" ref="AU233:AU243" si="89">SQRT(((T232-1)*AH233^2 + (T233-1)*AN233^2)/(T232+T233-2) )</f>
        <v>0.14936342257744994</v>
      </c>
      <c r="AV233" s="110">
        <f t="shared" ref="AV233:AV243" si="90">1-3/(4*(S233+T233) - 9)</f>
        <v>0.97478991596638653</v>
      </c>
      <c r="AW233" s="110">
        <f t="shared" ref="AW233:AW243" si="91">AT233/AU233*AV233</f>
        <v>2.9509300255543685</v>
      </c>
      <c r="AX233" s="110">
        <f t="shared" ref="AX233:AX243" si="92">T232</f>
        <v>4</v>
      </c>
      <c r="AY233" s="110">
        <f t="shared" ref="AY233:AY243" si="93">AW233*AX233</f>
        <v>11.803720102217474</v>
      </c>
    </row>
    <row r="234" spans="1:51" ht="15" customHeight="1">
      <c r="A234" s="73" t="s">
        <v>315</v>
      </c>
      <c r="B234" s="73" t="s">
        <v>604</v>
      </c>
      <c r="C234" s="73" t="s">
        <v>316</v>
      </c>
      <c r="D234" s="73" t="s">
        <v>105</v>
      </c>
      <c r="E234" s="73" t="s">
        <v>105</v>
      </c>
      <c r="F234" s="73">
        <v>1994</v>
      </c>
      <c r="G234" s="73" t="s">
        <v>83</v>
      </c>
      <c r="H234" s="73"/>
      <c r="I234" s="73" t="s">
        <v>241</v>
      </c>
      <c r="J234" s="73" t="s">
        <v>895</v>
      </c>
      <c r="K234" s="73" t="s">
        <v>569</v>
      </c>
      <c r="L234" s="73" t="s">
        <v>131</v>
      </c>
      <c r="M234" s="73" t="s">
        <v>958</v>
      </c>
      <c r="N234" s="73">
        <v>1</v>
      </c>
      <c r="O234" s="73"/>
      <c r="P234" s="73"/>
      <c r="Q234" s="73"/>
      <c r="R234" s="73" t="s">
        <v>8</v>
      </c>
      <c r="S234" s="73">
        <v>16</v>
      </c>
      <c r="T234" s="73">
        <v>16</v>
      </c>
      <c r="U234" s="73" t="s">
        <v>236</v>
      </c>
      <c r="V234" s="73" t="s">
        <v>105</v>
      </c>
      <c r="W234" s="73" t="s">
        <v>105</v>
      </c>
      <c r="X234" s="73" t="s">
        <v>105</v>
      </c>
      <c r="Y234" s="73" t="s">
        <v>105</v>
      </c>
      <c r="Z234" s="73" t="s">
        <v>105</v>
      </c>
      <c r="AA234" s="73" t="s">
        <v>105</v>
      </c>
      <c r="AB234" s="73" t="s">
        <v>105</v>
      </c>
      <c r="AC234" s="73" t="s">
        <v>105</v>
      </c>
      <c r="AD234" s="73" t="s">
        <v>105</v>
      </c>
      <c r="AE234" s="73" t="s">
        <v>105</v>
      </c>
      <c r="AF234" s="98">
        <v>10.870679999999998</v>
      </c>
      <c r="AG234" s="73" t="s">
        <v>105</v>
      </c>
      <c r="AH234" s="87">
        <f t="shared" si="86"/>
        <v>0.16120935539075873</v>
      </c>
      <c r="AI234" s="73"/>
      <c r="AJ234" s="73">
        <v>0.28260000000000002</v>
      </c>
      <c r="AK234" s="73">
        <v>1.7529999999999999</v>
      </c>
      <c r="AL234" s="98">
        <v>11.10304</v>
      </c>
      <c r="AM234" s="73" t="s">
        <v>105</v>
      </c>
      <c r="AN234" s="87">
        <f t="shared" si="87"/>
        <v>0.14687963491158013</v>
      </c>
      <c r="AO234" s="73"/>
      <c r="AP234" s="73">
        <v>0.25747999999999993</v>
      </c>
      <c r="AQ234" s="73">
        <v>1.7529999999999999</v>
      </c>
      <c r="AR234" s="73" t="s">
        <v>105</v>
      </c>
      <c r="AS234" s="73" t="s">
        <v>458</v>
      </c>
      <c r="AT234" s="110">
        <f t="shared" si="88"/>
        <v>-0.23236000000000168</v>
      </c>
      <c r="AU234" s="110">
        <f t="shared" si="89"/>
        <v>0.15421102978915455</v>
      </c>
      <c r="AV234" s="110">
        <f t="shared" si="90"/>
        <v>0.97478991596638653</v>
      </c>
      <c r="AW234" s="110">
        <f t="shared" si="91"/>
        <v>-1.4687807038422409</v>
      </c>
      <c r="AX234" s="110">
        <f t="shared" si="92"/>
        <v>16</v>
      </c>
      <c r="AY234" s="110">
        <f t="shared" si="93"/>
        <v>-23.500491261475855</v>
      </c>
    </row>
    <row r="235" spans="1:51" ht="15" customHeight="1">
      <c r="A235" s="73" t="s">
        <v>315</v>
      </c>
      <c r="B235" s="73" t="s">
        <v>604</v>
      </c>
      <c r="C235" s="73" t="s">
        <v>316</v>
      </c>
      <c r="D235" s="73" t="s">
        <v>83</v>
      </c>
      <c r="E235" s="73" t="s">
        <v>83</v>
      </c>
      <c r="F235" s="73">
        <v>1994</v>
      </c>
      <c r="G235" s="73" t="s">
        <v>105</v>
      </c>
      <c r="H235" s="73"/>
      <c r="I235" s="73" t="s">
        <v>240</v>
      </c>
      <c r="J235" s="73" t="s">
        <v>895</v>
      </c>
      <c r="K235" s="73" t="s">
        <v>569</v>
      </c>
      <c r="L235" s="73" t="s">
        <v>131</v>
      </c>
      <c r="M235" s="73" t="s">
        <v>958</v>
      </c>
      <c r="N235" s="73">
        <v>1</v>
      </c>
      <c r="O235" s="73"/>
      <c r="P235" s="73"/>
      <c r="Q235" s="73"/>
      <c r="R235" s="73" t="s">
        <v>242</v>
      </c>
      <c r="S235" s="73">
        <v>4</v>
      </c>
      <c r="T235" s="73">
        <v>16</v>
      </c>
      <c r="U235" s="73" t="s">
        <v>237</v>
      </c>
      <c r="V235" s="73" t="s">
        <v>105</v>
      </c>
      <c r="W235" s="73" t="s">
        <v>105</v>
      </c>
      <c r="X235" s="73" t="s">
        <v>105</v>
      </c>
      <c r="Y235" s="73" t="s">
        <v>105</v>
      </c>
      <c r="Z235" s="73" t="s">
        <v>105</v>
      </c>
      <c r="AA235" s="73" t="s">
        <v>105</v>
      </c>
      <c r="AB235" s="73" t="s">
        <v>105</v>
      </c>
      <c r="AC235" s="73" t="s">
        <v>105</v>
      </c>
      <c r="AD235" s="73" t="s">
        <v>105</v>
      </c>
      <c r="AE235" s="73" t="s">
        <v>105</v>
      </c>
      <c r="AF235" s="98">
        <v>10.895799999999999</v>
      </c>
      <c r="AG235" s="73" t="s">
        <v>105</v>
      </c>
      <c r="AH235" s="87">
        <f t="shared" si="86"/>
        <v>0.16120935539075873</v>
      </c>
      <c r="AI235" s="73"/>
      <c r="AJ235" s="73">
        <v>0.28260000000000002</v>
      </c>
      <c r="AK235" s="73">
        <v>1.7529999999999999</v>
      </c>
      <c r="AL235" s="98">
        <v>11.1784</v>
      </c>
      <c r="AM235" s="73" t="s">
        <v>105</v>
      </c>
      <c r="AN235" s="87">
        <f t="shared" si="87"/>
        <v>0.14687963491158013</v>
      </c>
      <c r="AO235" s="73"/>
      <c r="AP235" s="73">
        <v>0.25747999999999993</v>
      </c>
      <c r="AQ235" s="73">
        <v>1.7529999999999999</v>
      </c>
      <c r="AR235" s="73" t="s">
        <v>105</v>
      </c>
      <c r="AS235" s="73" t="s">
        <v>458</v>
      </c>
      <c r="AT235" s="110">
        <f t="shared" si="88"/>
        <v>-0.28260000000000041</v>
      </c>
      <c r="AU235" s="110">
        <f t="shared" si="89"/>
        <v>0.15421102978915455</v>
      </c>
      <c r="AV235" s="110">
        <f t="shared" si="90"/>
        <v>0.95774647887323949</v>
      </c>
      <c r="AW235" s="110">
        <f t="shared" si="91"/>
        <v>-1.755121895623402</v>
      </c>
      <c r="AX235" s="110">
        <f t="shared" si="92"/>
        <v>16</v>
      </c>
      <c r="AY235" s="110">
        <f t="shared" si="93"/>
        <v>-28.081950329974433</v>
      </c>
    </row>
    <row r="236" spans="1:51" ht="15" customHeight="1">
      <c r="A236" s="73" t="s">
        <v>315</v>
      </c>
      <c r="B236" s="73" t="s">
        <v>604</v>
      </c>
      <c r="C236" s="73" t="s">
        <v>316</v>
      </c>
      <c r="D236" s="73" t="s">
        <v>83</v>
      </c>
      <c r="E236" s="73" t="s">
        <v>83</v>
      </c>
      <c r="F236" s="73">
        <v>1994</v>
      </c>
      <c r="G236" s="73" t="s">
        <v>105</v>
      </c>
      <c r="H236" s="73"/>
      <c r="I236" s="73" t="s">
        <v>241</v>
      </c>
      <c r="J236" s="73" t="s">
        <v>895</v>
      </c>
      <c r="K236" s="73" t="s">
        <v>569</v>
      </c>
      <c r="L236" s="73" t="s">
        <v>131</v>
      </c>
      <c r="M236" s="73" t="s">
        <v>958</v>
      </c>
      <c r="N236" s="73">
        <v>1</v>
      </c>
      <c r="O236" s="73"/>
      <c r="P236" s="73"/>
      <c r="Q236" s="73"/>
      <c r="R236" s="73" t="s">
        <v>8</v>
      </c>
      <c r="S236" s="73">
        <v>4</v>
      </c>
      <c r="T236" s="73">
        <v>16</v>
      </c>
      <c r="U236" s="73" t="s">
        <v>237</v>
      </c>
      <c r="V236" s="73" t="s">
        <v>83</v>
      </c>
      <c r="W236" s="73" t="s">
        <v>83</v>
      </c>
      <c r="X236" s="73" t="s">
        <v>83</v>
      </c>
      <c r="Y236" s="73" t="s">
        <v>83</v>
      </c>
      <c r="Z236" s="73" t="s">
        <v>83</v>
      </c>
      <c r="AA236" s="73" t="s">
        <v>83</v>
      </c>
      <c r="AB236" s="73" t="s">
        <v>83</v>
      </c>
      <c r="AC236" s="73" t="s">
        <v>83</v>
      </c>
      <c r="AD236" s="73" t="s">
        <v>83</v>
      </c>
      <c r="AE236" s="73" t="s">
        <v>83</v>
      </c>
      <c r="AF236" s="98">
        <v>10.657159999999998</v>
      </c>
      <c r="AG236" s="73" t="s">
        <v>83</v>
      </c>
      <c r="AH236" s="87">
        <f t="shared" si="86"/>
        <v>0.16120935539075873</v>
      </c>
      <c r="AI236" s="73"/>
      <c r="AJ236" s="73">
        <v>0.28260000000000002</v>
      </c>
      <c r="AK236" s="73">
        <v>1.7529999999999999</v>
      </c>
      <c r="AL236" s="98">
        <v>10.839279999999999</v>
      </c>
      <c r="AM236" s="73" t="s">
        <v>83</v>
      </c>
      <c r="AN236" s="87">
        <f t="shared" si="87"/>
        <v>0.14687963491158013</v>
      </c>
      <c r="AO236" s="73"/>
      <c r="AP236" s="73">
        <v>0.25747999999999993</v>
      </c>
      <c r="AQ236" s="73">
        <v>1.7529999999999999</v>
      </c>
      <c r="AR236" s="73" t="s">
        <v>83</v>
      </c>
      <c r="AS236" s="73" t="s">
        <v>458</v>
      </c>
      <c r="AT236" s="110">
        <f t="shared" si="88"/>
        <v>-0.18212000000000117</v>
      </c>
      <c r="AU236" s="110">
        <f t="shared" si="89"/>
        <v>0.15421102978915455</v>
      </c>
      <c r="AV236" s="110">
        <f t="shared" si="90"/>
        <v>0.95774647887323949</v>
      </c>
      <c r="AW236" s="110">
        <f t="shared" si="91"/>
        <v>-1.1310785549573095</v>
      </c>
      <c r="AX236" s="110">
        <f t="shared" si="92"/>
        <v>16</v>
      </c>
      <c r="AY236" s="110">
        <f t="shared" si="93"/>
        <v>-18.097256879316951</v>
      </c>
    </row>
    <row r="237" spans="1:51" ht="15" customHeight="1">
      <c r="A237" s="73" t="s">
        <v>315</v>
      </c>
      <c r="B237" s="73" t="s">
        <v>604</v>
      </c>
      <c r="C237" s="73" t="s">
        <v>316</v>
      </c>
      <c r="D237" s="73" t="s">
        <v>105</v>
      </c>
      <c r="E237" s="73" t="s">
        <v>105</v>
      </c>
      <c r="F237" s="73">
        <v>1994</v>
      </c>
      <c r="G237" s="73" t="s">
        <v>105</v>
      </c>
      <c r="H237" s="73"/>
      <c r="I237" s="73" t="s">
        <v>240</v>
      </c>
      <c r="J237" s="73" t="s">
        <v>895</v>
      </c>
      <c r="K237" s="73" t="s">
        <v>569</v>
      </c>
      <c r="L237" s="73" t="s">
        <v>131</v>
      </c>
      <c r="M237" s="73" t="s">
        <v>958</v>
      </c>
      <c r="N237" s="73">
        <v>1</v>
      </c>
      <c r="O237" s="73"/>
      <c r="P237" s="73"/>
      <c r="Q237" s="73"/>
      <c r="R237" s="73" t="s">
        <v>242</v>
      </c>
      <c r="S237" s="73">
        <v>4</v>
      </c>
      <c r="T237" s="73">
        <v>16</v>
      </c>
      <c r="U237" s="73" t="s">
        <v>238</v>
      </c>
      <c r="V237" s="73" t="s">
        <v>105</v>
      </c>
      <c r="W237" s="73" t="s">
        <v>105</v>
      </c>
      <c r="X237" s="73" t="s">
        <v>105</v>
      </c>
      <c r="Y237" s="73" t="s">
        <v>105</v>
      </c>
      <c r="Z237" s="73" t="s">
        <v>105</v>
      </c>
      <c r="AA237" s="73" t="s">
        <v>105</v>
      </c>
      <c r="AB237" s="73" t="s">
        <v>105</v>
      </c>
      <c r="AC237" s="73" t="s">
        <v>105</v>
      </c>
      <c r="AD237" s="73" t="s">
        <v>105</v>
      </c>
      <c r="AE237" s="73" t="s">
        <v>105</v>
      </c>
      <c r="AF237" s="98">
        <v>10.832999999999998</v>
      </c>
      <c r="AG237" s="73" t="s">
        <v>105</v>
      </c>
      <c r="AH237" s="87">
        <f t="shared" si="86"/>
        <v>0.16120935539075873</v>
      </c>
      <c r="AI237" s="73"/>
      <c r="AJ237" s="73">
        <v>0.28260000000000002</v>
      </c>
      <c r="AK237" s="73">
        <v>1.7529999999999999</v>
      </c>
      <c r="AL237" s="98">
        <v>11.10932</v>
      </c>
      <c r="AM237" s="73" t="s">
        <v>105</v>
      </c>
      <c r="AN237" s="87">
        <f t="shared" si="87"/>
        <v>0.14687963491158013</v>
      </c>
      <c r="AO237" s="73"/>
      <c r="AP237" s="73">
        <v>0.25747999999999993</v>
      </c>
      <c r="AQ237" s="73">
        <v>1.7529999999999999</v>
      </c>
      <c r="AR237" s="73" t="s">
        <v>105</v>
      </c>
      <c r="AS237" s="73" t="s">
        <v>458</v>
      </c>
      <c r="AT237" s="110">
        <f t="shared" si="88"/>
        <v>-0.2763200000000019</v>
      </c>
      <c r="AU237" s="110">
        <f t="shared" si="89"/>
        <v>0.15421102978915455</v>
      </c>
      <c r="AV237" s="110">
        <f t="shared" si="90"/>
        <v>0.95774647887323949</v>
      </c>
      <c r="AW237" s="110">
        <f t="shared" si="91"/>
        <v>-1.7161191868317804</v>
      </c>
      <c r="AX237" s="110">
        <f t="shared" si="92"/>
        <v>16</v>
      </c>
      <c r="AY237" s="110">
        <f t="shared" si="93"/>
        <v>-27.457906989308487</v>
      </c>
    </row>
    <row r="238" spans="1:51" ht="15" customHeight="1">
      <c r="A238" s="73" t="s">
        <v>315</v>
      </c>
      <c r="B238" s="73" t="s">
        <v>604</v>
      </c>
      <c r="C238" s="73" t="s">
        <v>316</v>
      </c>
      <c r="D238" s="73" t="s">
        <v>105</v>
      </c>
      <c r="E238" s="73" t="s">
        <v>105</v>
      </c>
      <c r="F238" s="73">
        <v>1994</v>
      </c>
      <c r="G238" s="73" t="s">
        <v>83</v>
      </c>
      <c r="H238" s="73"/>
      <c r="I238" s="73" t="s">
        <v>241</v>
      </c>
      <c r="J238" s="73" t="s">
        <v>895</v>
      </c>
      <c r="K238" s="73" t="s">
        <v>569</v>
      </c>
      <c r="L238" s="73" t="s">
        <v>131</v>
      </c>
      <c r="M238" s="73" t="s">
        <v>958</v>
      </c>
      <c r="N238" s="73">
        <v>1</v>
      </c>
      <c r="O238" s="73"/>
      <c r="P238" s="73"/>
      <c r="Q238" s="73"/>
      <c r="R238" s="73" t="s">
        <v>8</v>
      </c>
      <c r="S238" s="73">
        <v>4</v>
      </c>
      <c r="T238" s="73">
        <v>16</v>
      </c>
      <c r="U238" s="73" t="s">
        <v>238</v>
      </c>
      <c r="V238" s="73" t="s">
        <v>83</v>
      </c>
      <c r="W238" s="73" t="s">
        <v>83</v>
      </c>
      <c r="X238" s="73" t="s">
        <v>83</v>
      </c>
      <c r="Y238" s="73" t="s">
        <v>83</v>
      </c>
      <c r="Z238" s="73" t="s">
        <v>83</v>
      </c>
      <c r="AA238" s="73" t="s">
        <v>83</v>
      </c>
      <c r="AB238" s="73" t="s">
        <v>83</v>
      </c>
      <c r="AC238" s="73" t="s">
        <v>83</v>
      </c>
      <c r="AD238" s="73" t="s">
        <v>83</v>
      </c>
      <c r="AE238" s="73" t="s">
        <v>83</v>
      </c>
      <c r="AF238" s="98">
        <v>10.8644</v>
      </c>
      <c r="AG238" s="73" t="s">
        <v>83</v>
      </c>
      <c r="AH238" s="87">
        <f t="shared" si="86"/>
        <v>0.16120935539075873</v>
      </c>
      <c r="AI238" s="73"/>
      <c r="AJ238" s="73">
        <v>0.28260000000000002</v>
      </c>
      <c r="AK238" s="73">
        <v>1.7529999999999999</v>
      </c>
      <c r="AL238" s="98">
        <v>10.66972</v>
      </c>
      <c r="AM238" s="73" t="s">
        <v>83</v>
      </c>
      <c r="AN238" s="87">
        <f t="shared" si="87"/>
        <v>0.14687963491158013</v>
      </c>
      <c r="AO238" s="73"/>
      <c r="AP238" s="73">
        <v>0.25747999999999993</v>
      </c>
      <c r="AQ238" s="73">
        <v>1.7529999999999999</v>
      </c>
      <c r="AR238" s="73" t="s">
        <v>83</v>
      </c>
      <c r="AS238" s="73" t="s">
        <v>458</v>
      </c>
      <c r="AT238" s="110">
        <f t="shared" si="88"/>
        <v>0.19467999999999996</v>
      </c>
      <c r="AU238" s="110">
        <f t="shared" si="89"/>
        <v>0.15421102978915455</v>
      </c>
      <c r="AV238" s="110">
        <f t="shared" si="90"/>
        <v>0.95774647887323949</v>
      </c>
      <c r="AW238" s="110">
        <f t="shared" si="91"/>
        <v>1.209083972540564</v>
      </c>
      <c r="AX238" s="110">
        <f t="shared" si="92"/>
        <v>16</v>
      </c>
      <c r="AY238" s="110">
        <f t="shared" si="93"/>
        <v>19.345343560649024</v>
      </c>
    </row>
    <row r="239" spans="1:51" ht="15" customHeight="1">
      <c r="A239" s="73" t="s">
        <v>315</v>
      </c>
      <c r="B239" s="73" t="s">
        <v>604</v>
      </c>
      <c r="C239" s="73" t="s">
        <v>316</v>
      </c>
      <c r="D239" s="73" t="s">
        <v>83</v>
      </c>
      <c r="E239" s="73" t="s">
        <v>83</v>
      </c>
      <c r="F239" s="73">
        <v>1994</v>
      </c>
      <c r="G239" s="73" t="s">
        <v>105</v>
      </c>
      <c r="H239" s="73"/>
      <c r="I239" s="73" t="s">
        <v>240</v>
      </c>
      <c r="J239" s="73" t="s">
        <v>895</v>
      </c>
      <c r="K239" s="73" t="s">
        <v>569</v>
      </c>
      <c r="L239" s="73" t="s">
        <v>131</v>
      </c>
      <c r="M239" s="73" t="s">
        <v>958</v>
      </c>
      <c r="N239" s="73">
        <v>1</v>
      </c>
      <c r="O239" s="73"/>
      <c r="P239" s="73"/>
      <c r="Q239" s="73"/>
      <c r="R239" s="73" t="s">
        <v>242</v>
      </c>
      <c r="S239" s="73">
        <v>4</v>
      </c>
      <c r="T239" s="73">
        <v>16</v>
      </c>
      <c r="U239" s="73" t="s">
        <v>239</v>
      </c>
      <c r="V239" s="73" t="s">
        <v>105</v>
      </c>
      <c r="W239" s="73" t="s">
        <v>105</v>
      </c>
      <c r="X239" s="73" t="s">
        <v>105</v>
      </c>
      <c r="Y239" s="73" t="s">
        <v>105</v>
      </c>
      <c r="Z239" s="73" t="s">
        <v>105</v>
      </c>
      <c r="AA239" s="73" t="s">
        <v>105</v>
      </c>
      <c r="AB239" s="73" t="s">
        <v>105</v>
      </c>
      <c r="AC239" s="73" t="s">
        <v>105</v>
      </c>
      <c r="AD239" s="73" t="s">
        <v>105</v>
      </c>
      <c r="AE239" s="73" t="s">
        <v>105</v>
      </c>
      <c r="AF239" s="98">
        <v>11.241199999999999</v>
      </c>
      <c r="AG239" s="73" t="s">
        <v>105</v>
      </c>
      <c r="AH239" s="87">
        <f t="shared" si="86"/>
        <v>0.16120935539075873</v>
      </c>
      <c r="AI239" s="73"/>
      <c r="AJ239" s="73">
        <v>0.28260000000000002</v>
      </c>
      <c r="AK239" s="73">
        <v>1.7529999999999999</v>
      </c>
      <c r="AL239" s="98">
        <v>10.97744</v>
      </c>
      <c r="AM239" s="73" t="s">
        <v>105</v>
      </c>
      <c r="AN239" s="87">
        <f t="shared" si="87"/>
        <v>0.14687963491158013</v>
      </c>
      <c r="AO239" s="73"/>
      <c r="AP239" s="73">
        <v>0.25747999999999993</v>
      </c>
      <c r="AQ239" s="73">
        <v>1.7529999999999999</v>
      </c>
      <c r="AR239" s="73" t="s">
        <v>105</v>
      </c>
      <c r="AS239" s="73" t="s">
        <v>458</v>
      </c>
      <c r="AT239" s="110">
        <f t="shared" si="88"/>
        <v>0.26375999999999955</v>
      </c>
      <c r="AU239" s="110">
        <f t="shared" si="89"/>
        <v>0.15421102978915455</v>
      </c>
      <c r="AV239" s="110">
        <f t="shared" si="90"/>
        <v>0.95774647887323949</v>
      </c>
      <c r="AW239" s="110">
        <f t="shared" si="91"/>
        <v>1.6381137692485037</v>
      </c>
      <c r="AX239" s="110">
        <f t="shared" si="92"/>
        <v>16</v>
      </c>
      <c r="AY239" s="110">
        <f t="shared" si="93"/>
        <v>26.209820307976059</v>
      </c>
    </row>
    <row r="240" spans="1:51" ht="15" customHeight="1">
      <c r="A240" s="78" t="s">
        <v>315</v>
      </c>
      <c r="B240" s="78" t="s">
        <v>604</v>
      </c>
      <c r="C240" s="78" t="s">
        <v>316</v>
      </c>
      <c r="D240" s="78" t="s">
        <v>83</v>
      </c>
      <c r="E240" s="78" t="s">
        <v>83</v>
      </c>
      <c r="F240" s="78">
        <v>1994</v>
      </c>
      <c r="G240" s="78" t="s">
        <v>105</v>
      </c>
      <c r="H240" s="78"/>
      <c r="I240" s="78" t="s">
        <v>241</v>
      </c>
      <c r="J240" s="73" t="s">
        <v>895</v>
      </c>
      <c r="K240" s="78" t="s">
        <v>569</v>
      </c>
      <c r="L240" s="73" t="s">
        <v>131</v>
      </c>
      <c r="M240" s="73" t="s">
        <v>958</v>
      </c>
      <c r="N240" s="73">
        <v>1</v>
      </c>
      <c r="O240" s="73"/>
      <c r="P240" s="73"/>
      <c r="Q240" s="73"/>
      <c r="R240" s="78" t="s">
        <v>8</v>
      </c>
      <c r="S240" s="78">
        <v>4</v>
      </c>
      <c r="T240" s="73">
        <v>16</v>
      </c>
      <c r="U240" s="78" t="s">
        <v>239</v>
      </c>
      <c r="V240" s="78" t="s">
        <v>83</v>
      </c>
      <c r="W240" s="78" t="s">
        <v>83</v>
      </c>
      <c r="X240" s="78" t="s">
        <v>83</v>
      </c>
      <c r="Y240" s="78" t="s">
        <v>83</v>
      </c>
      <c r="Z240" s="78" t="s">
        <v>83</v>
      </c>
      <c r="AA240" s="78" t="s">
        <v>83</v>
      </c>
      <c r="AB240" s="78" t="s">
        <v>83</v>
      </c>
      <c r="AC240" s="78" t="s">
        <v>83</v>
      </c>
      <c r="AD240" s="78" t="s">
        <v>83</v>
      </c>
      <c r="AE240" s="78" t="s">
        <v>83</v>
      </c>
      <c r="AF240" s="99">
        <v>10.380839999999999</v>
      </c>
      <c r="AG240" s="78" t="s">
        <v>83</v>
      </c>
      <c r="AH240" s="90">
        <f t="shared" si="86"/>
        <v>0.16120935539075873</v>
      </c>
      <c r="AI240" s="78"/>
      <c r="AJ240" s="78">
        <v>0.28260000000000002</v>
      </c>
      <c r="AK240" s="78">
        <v>1.7529999999999999</v>
      </c>
      <c r="AL240" s="99">
        <v>10.44364</v>
      </c>
      <c r="AM240" s="78" t="s">
        <v>83</v>
      </c>
      <c r="AN240" s="87">
        <f t="shared" si="87"/>
        <v>0.14687963491158013</v>
      </c>
      <c r="AO240" s="78"/>
      <c r="AP240" s="78">
        <v>0.25747999999999993</v>
      </c>
      <c r="AQ240" s="73">
        <v>1.7529999999999999</v>
      </c>
      <c r="AR240" s="78" t="s">
        <v>83</v>
      </c>
      <c r="AS240" s="78" t="s">
        <v>458</v>
      </c>
      <c r="AT240" s="110">
        <f t="shared" si="88"/>
        <v>-6.2800000000001077E-2</v>
      </c>
      <c r="AU240" s="110">
        <f t="shared" si="89"/>
        <v>0.15421102978915455</v>
      </c>
      <c r="AV240" s="110">
        <f t="shared" si="90"/>
        <v>0.95774647887323949</v>
      </c>
      <c r="AW240" s="110">
        <f t="shared" si="91"/>
        <v>-0.39002708791631774</v>
      </c>
      <c r="AX240" s="110">
        <f t="shared" si="92"/>
        <v>16</v>
      </c>
      <c r="AY240" s="110">
        <f t="shared" si="93"/>
        <v>-6.2404334066610838</v>
      </c>
    </row>
    <row r="241" spans="1:51" ht="15" customHeight="1">
      <c r="A241" s="88" t="s">
        <v>451</v>
      </c>
      <c r="B241" s="88" t="s">
        <v>604</v>
      </c>
      <c r="C241" s="88" t="s">
        <v>132</v>
      </c>
      <c r="D241" s="88" t="s">
        <v>133</v>
      </c>
      <c r="E241" s="88" t="s">
        <v>134</v>
      </c>
      <c r="F241" s="88">
        <v>2012</v>
      </c>
      <c r="G241" s="88" t="s">
        <v>145</v>
      </c>
      <c r="H241" s="88"/>
      <c r="I241" s="88" t="s">
        <v>804</v>
      </c>
      <c r="J241" s="88" t="s">
        <v>736</v>
      </c>
      <c r="K241" s="88" t="s">
        <v>146</v>
      </c>
      <c r="L241" s="88" t="s">
        <v>131</v>
      </c>
      <c r="M241" s="88" t="s">
        <v>958</v>
      </c>
      <c r="N241" s="88">
        <v>1</v>
      </c>
      <c r="O241" s="88"/>
      <c r="P241" s="88"/>
      <c r="Q241" s="88"/>
      <c r="R241" s="88" t="s">
        <v>901</v>
      </c>
      <c r="S241" s="88">
        <v>10</v>
      </c>
      <c r="T241" s="88">
        <v>10</v>
      </c>
      <c r="U241" s="88" t="s">
        <v>950</v>
      </c>
      <c r="V241" s="88" t="s">
        <v>570</v>
      </c>
      <c r="W241" s="88" t="s">
        <v>570</v>
      </c>
      <c r="X241" s="88" t="s">
        <v>570</v>
      </c>
      <c r="Y241" s="88" t="s">
        <v>570</v>
      </c>
      <c r="Z241" s="88" t="s">
        <v>570</v>
      </c>
      <c r="AA241" s="88" t="s">
        <v>570</v>
      </c>
      <c r="AB241" s="88" t="s">
        <v>570</v>
      </c>
      <c r="AC241" s="88" t="s">
        <v>570</v>
      </c>
      <c r="AD241" s="88" t="s">
        <v>570</v>
      </c>
      <c r="AE241" s="88" t="s">
        <v>570</v>
      </c>
      <c r="AF241" s="88">
        <v>11.3</v>
      </c>
      <c r="AG241" s="88">
        <v>0.92</v>
      </c>
      <c r="AH241" s="86">
        <f t="shared" ref="AH241:AH267" si="94">AG241*SQRT(S241)</f>
        <v>2.9092954473549093</v>
      </c>
      <c r="AI241" s="88"/>
      <c r="AJ241" s="88"/>
      <c r="AK241" s="88"/>
      <c r="AL241" s="88">
        <v>11.09</v>
      </c>
      <c r="AM241" s="88">
        <v>0.93</v>
      </c>
      <c r="AN241" s="86">
        <f t="shared" ref="AN241:AN267" si="95">AM241*SQRT(T241)</f>
        <v>2.9409182239565932</v>
      </c>
      <c r="AO241" s="88"/>
      <c r="AP241" s="88"/>
      <c r="AQ241" s="88"/>
      <c r="AR241" s="88" t="s">
        <v>570</v>
      </c>
      <c r="AS241" s="88" t="s">
        <v>458</v>
      </c>
      <c r="AT241" s="110">
        <f t="shared" si="88"/>
        <v>0.21000000000000085</v>
      </c>
      <c r="AU241" s="110">
        <f t="shared" si="89"/>
        <v>2.9211941051563146</v>
      </c>
      <c r="AV241" s="110">
        <f t="shared" si="90"/>
        <v>0.95774647887323949</v>
      </c>
      <c r="AW241" s="110">
        <f t="shared" si="91"/>
        <v>6.8850871706321856E-2</v>
      </c>
      <c r="AX241" s="110">
        <f t="shared" si="92"/>
        <v>16</v>
      </c>
      <c r="AY241" s="110">
        <f t="shared" si="93"/>
        <v>1.1016139473011497</v>
      </c>
    </row>
    <row r="242" spans="1:51" ht="15" customHeight="1">
      <c r="A242" s="73" t="s">
        <v>451</v>
      </c>
      <c r="B242" s="73" t="s">
        <v>604</v>
      </c>
      <c r="C242" s="73" t="s">
        <v>132</v>
      </c>
      <c r="D242" s="73" t="s">
        <v>133</v>
      </c>
      <c r="E242" s="73" t="s">
        <v>134</v>
      </c>
      <c r="F242" s="73">
        <v>2013</v>
      </c>
      <c r="G242" s="73" t="s">
        <v>143</v>
      </c>
      <c r="H242" s="73"/>
      <c r="I242" s="73" t="s">
        <v>31</v>
      </c>
      <c r="J242" s="73" t="s">
        <v>736</v>
      </c>
      <c r="K242" s="73" t="s">
        <v>321</v>
      </c>
      <c r="L242" s="78" t="s">
        <v>131</v>
      </c>
      <c r="M242" s="78" t="s">
        <v>958</v>
      </c>
      <c r="N242" s="78">
        <v>1</v>
      </c>
      <c r="O242" s="78"/>
      <c r="P242" s="73"/>
      <c r="Q242" s="73"/>
      <c r="R242" s="73" t="s">
        <v>452</v>
      </c>
      <c r="S242" s="73">
        <v>10</v>
      </c>
      <c r="T242" s="73">
        <v>10</v>
      </c>
      <c r="U242" s="73" t="s">
        <v>105</v>
      </c>
      <c r="V242" s="73" t="s">
        <v>570</v>
      </c>
      <c r="W242" s="73" t="s">
        <v>570</v>
      </c>
      <c r="X242" s="73" t="s">
        <v>570</v>
      </c>
      <c r="Y242" s="73" t="s">
        <v>570</v>
      </c>
      <c r="Z242" s="73" t="s">
        <v>570</v>
      </c>
      <c r="AA242" s="73" t="s">
        <v>570</v>
      </c>
      <c r="AB242" s="73" t="s">
        <v>570</v>
      </c>
      <c r="AC242" s="73" t="s">
        <v>570</v>
      </c>
      <c r="AD242" s="73" t="s">
        <v>570</v>
      </c>
      <c r="AE242" s="73" t="s">
        <v>570</v>
      </c>
      <c r="AF242" s="73">
        <v>6.44</v>
      </c>
      <c r="AG242" s="73">
        <v>0.44</v>
      </c>
      <c r="AH242" s="87">
        <f t="shared" si="94"/>
        <v>1.3914021704740871</v>
      </c>
      <c r="AI242" s="73"/>
      <c r="AJ242" s="73"/>
      <c r="AK242" s="73"/>
      <c r="AL242" s="73">
        <v>6.08</v>
      </c>
      <c r="AM242" s="73">
        <v>0.45</v>
      </c>
      <c r="AN242" s="90">
        <f t="shared" si="95"/>
        <v>1.4230249470757708</v>
      </c>
      <c r="AO242" s="73"/>
      <c r="AP242" s="73"/>
      <c r="AQ242" s="73"/>
      <c r="AR242" s="73" t="s">
        <v>570</v>
      </c>
      <c r="AS242" s="78" t="s">
        <v>458</v>
      </c>
      <c r="AT242" s="110">
        <f t="shared" si="88"/>
        <v>0.36000000000000032</v>
      </c>
      <c r="AU242" s="110">
        <f t="shared" si="89"/>
        <v>1.4073023839957071</v>
      </c>
      <c r="AV242" s="110">
        <f t="shared" si="90"/>
        <v>0.95774647887323949</v>
      </c>
      <c r="AW242" s="110">
        <f t="shared" si="91"/>
        <v>0.24499975010020184</v>
      </c>
      <c r="AX242" s="110">
        <f t="shared" si="92"/>
        <v>10</v>
      </c>
      <c r="AY242" s="110">
        <f t="shared" si="93"/>
        <v>2.4499975010020183</v>
      </c>
    </row>
    <row r="243" spans="1:51" ht="15" customHeight="1">
      <c r="A243" s="100" t="s">
        <v>291</v>
      </c>
      <c r="B243" s="88" t="s">
        <v>604</v>
      </c>
      <c r="C243" s="100" t="s">
        <v>369</v>
      </c>
      <c r="D243" s="100" t="s">
        <v>292</v>
      </c>
      <c r="E243" s="100" t="s">
        <v>293</v>
      </c>
      <c r="F243" s="100">
        <v>2012</v>
      </c>
      <c r="G243" s="100" t="s">
        <v>105</v>
      </c>
      <c r="H243" s="100"/>
      <c r="I243" s="100" t="s">
        <v>999</v>
      </c>
      <c r="J243" s="88" t="s">
        <v>453</v>
      </c>
      <c r="K243" s="88" t="s">
        <v>82</v>
      </c>
      <c r="L243" s="88" t="s">
        <v>131</v>
      </c>
      <c r="M243" s="88" t="s">
        <v>803</v>
      </c>
      <c r="N243" s="88">
        <v>1</v>
      </c>
      <c r="O243" s="88"/>
      <c r="P243" s="100"/>
      <c r="Q243" s="100"/>
      <c r="R243" s="100" t="s">
        <v>454</v>
      </c>
      <c r="S243" s="100">
        <v>4</v>
      </c>
      <c r="T243" s="100">
        <v>4</v>
      </c>
      <c r="U243" s="100" t="s">
        <v>105</v>
      </c>
      <c r="V243" s="100" t="s">
        <v>105</v>
      </c>
      <c r="W243" s="100" t="s">
        <v>105</v>
      </c>
      <c r="X243" s="100" t="s">
        <v>105</v>
      </c>
      <c r="Y243" s="100" t="s">
        <v>105</v>
      </c>
      <c r="Z243" s="100" t="s">
        <v>105</v>
      </c>
      <c r="AA243" s="100" t="s">
        <v>105</v>
      </c>
      <c r="AB243" s="100" t="s">
        <v>105</v>
      </c>
      <c r="AC243" s="100" t="s">
        <v>105</v>
      </c>
      <c r="AD243" s="100" t="s">
        <v>105</v>
      </c>
      <c r="AE243" s="100" t="s">
        <v>105</v>
      </c>
      <c r="AF243" s="100">
        <v>9.66</v>
      </c>
      <c r="AG243" s="100">
        <v>0.1734</v>
      </c>
      <c r="AH243" s="101">
        <f t="shared" si="94"/>
        <v>0.3468</v>
      </c>
      <c r="AI243" s="100"/>
      <c r="AJ243" s="100"/>
      <c r="AK243" s="100"/>
      <c r="AL243" s="100">
        <v>9.15</v>
      </c>
      <c r="AM243" s="100">
        <v>0.27074999999999999</v>
      </c>
      <c r="AN243" s="101">
        <f t="shared" si="95"/>
        <v>0.54149999999999998</v>
      </c>
      <c r="AO243" s="100"/>
      <c r="AP243" s="100"/>
      <c r="AQ243" s="100"/>
      <c r="AR243" s="100" t="s">
        <v>105</v>
      </c>
      <c r="AS243" s="78" t="s">
        <v>477</v>
      </c>
      <c r="AT243" s="110">
        <f t="shared" si="88"/>
        <v>0.50999999999999979</v>
      </c>
      <c r="AU243" s="110">
        <f t="shared" si="89"/>
        <v>0.40436152450499047</v>
      </c>
      <c r="AV243" s="110">
        <f t="shared" si="90"/>
        <v>0.86956521739130432</v>
      </c>
      <c r="AW243" s="110">
        <f t="shared" si="91"/>
        <v>1.0967370385015249</v>
      </c>
      <c r="AX243" s="110">
        <f t="shared" si="92"/>
        <v>10</v>
      </c>
      <c r="AY243" s="110">
        <f t="shared" si="93"/>
        <v>10.967370385015249</v>
      </c>
    </row>
    <row r="244" spans="1:51" ht="15" hidden="1" customHeight="1">
      <c r="A244" s="73" t="s">
        <v>492</v>
      </c>
      <c r="B244" s="88" t="s">
        <v>147</v>
      </c>
      <c r="C244" s="73" t="s">
        <v>67</v>
      </c>
      <c r="D244" s="73" t="s">
        <v>539</v>
      </c>
      <c r="E244" s="73" t="s">
        <v>540</v>
      </c>
      <c r="F244" s="73">
        <v>1999</v>
      </c>
      <c r="G244" s="73" t="s">
        <v>687</v>
      </c>
      <c r="H244" s="73"/>
      <c r="I244" s="73" t="s">
        <v>387</v>
      </c>
      <c r="J244" s="88" t="s">
        <v>862</v>
      </c>
      <c r="K244" s="88" t="s">
        <v>805</v>
      </c>
      <c r="L244" s="88" t="s">
        <v>13</v>
      </c>
      <c r="M244" s="88" t="s">
        <v>806</v>
      </c>
      <c r="N244" s="88">
        <v>1</v>
      </c>
      <c r="O244" s="88"/>
      <c r="P244" s="73"/>
      <c r="Q244" s="73"/>
      <c r="R244" s="73" t="s">
        <v>896</v>
      </c>
      <c r="S244" s="73">
        <v>4</v>
      </c>
      <c r="T244" s="73">
        <v>4</v>
      </c>
      <c r="U244" s="73" t="s">
        <v>570</v>
      </c>
      <c r="V244" s="73" t="s">
        <v>570</v>
      </c>
      <c r="W244" s="73" t="s">
        <v>570</v>
      </c>
      <c r="X244" s="73" t="s">
        <v>570</v>
      </c>
      <c r="Y244" s="73" t="s">
        <v>570</v>
      </c>
      <c r="Z244" s="73" t="s">
        <v>570</v>
      </c>
      <c r="AA244" s="73" t="s">
        <v>570</v>
      </c>
      <c r="AB244" s="73" t="s">
        <v>570</v>
      </c>
      <c r="AC244" s="73" t="s">
        <v>570</v>
      </c>
      <c r="AD244" s="73" t="s">
        <v>570</v>
      </c>
      <c r="AE244" s="73" t="s">
        <v>570</v>
      </c>
      <c r="AF244" s="73">
        <v>9.4700000000000006</v>
      </c>
      <c r="AG244" s="73">
        <v>0.43</v>
      </c>
      <c r="AH244" s="73">
        <f t="shared" si="94"/>
        <v>0.86</v>
      </c>
      <c r="AI244" s="73"/>
      <c r="AJ244" s="73"/>
      <c r="AK244" s="73"/>
      <c r="AL244" s="73">
        <v>9.36</v>
      </c>
      <c r="AM244" s="73">
        <v>0.64</v>
      </c>
      <c r="AN244" s="73">
        <f t="shared" si="95"/>
        <v>1.28</v>
      </c>
      <c r="AO244" s="73"/>
      <c r="AP244" s="73"/>
      <c r="AQ244" s="73"/>
      <c r="AR244" s="73">
        <v>0.46</v>
      </c>
      <c r="AS244" s="73" t="s">
        <v>457</v>
      </c>
      <c r="AT244" s="46"/>
      <c r="AU244" s="46"/>
      <c r="AV244" s="46"/>
      <c r="AW244" s="46"/>
      <c r="AX244" s="46"/>
      <c r="AY244" s="46"/>
    </row>
    <row r="245" spans="1:51" ht="15" customHeight="1">
      <c r="A245" s="73" t="s">
        <v>492</v>
      </c>
      <c r="B245" s="73" t="s">
        <v>147</v>
      </c>
      <c r="C245" s="73" t="s">
        <v>67</v>
      </c>
      <c r="D245" s="73" t="s">
        <v>539</v>
      </c>
      <c r="E245" s="73" t="s">
        <v>540</v>
      </c>
      <c r="F245" s="73">
        <v>1999</v>
      </c>
      <c r="G245" s="73" t="s">
        <v>808</v>
      </c>
      <c r="H245" s="73"/>
      <c r="I245" s="73" t="s">
        <v>362</v>
      </c>
      <c r="J245" s="73" t="s">
        <v>736</v>
      </c>
      <c r="K245" s="73" t="s">
        <v>683</v>
      </c>
      <c r="L245" s="73" t="s">
        <v>131</v>
      </c>
      <c r="M245" s="73" t="s">
        <v>958</v>
      </c>
      <c r="N245" s="73">
        <v>1</v>
      </c>
      <c r="O245" s="73"/>
      <c r="P245" s="73"/>
      <c r="Q245" s="73"/>
      <c r="R245" s="73" t="s">
        <v>897</v>
      </c>
      <c r="S245" s="73">
        <v>4</v>
      </c>
      <c r="T245" s="73">
        <v>4</v>
      </c>
      <c r="U245" s="73" t="s">
        <v>570</v>
      </c>
      <c r="V245" s="73" t="s">
        <v>570</v>
      </c>
      <c r="W245" s="73" t="s">
        <v>570</v>
      </c>
      <c r="X245" s="73" t="s">
        <v>570</v>
      </c>
      <c r="Y245" s="73" t="s">
        <v>570</v>
      </c>
      <c r="Z245" s="73" t="s">
        <v>570</v>
      </c>
      <c r="AA245" s="73" t="s">
        <v>570</v>
      </c>
      <c r="AB245" s="73" t="s">
        <v>570</v>
      </c>
      <c r="AC245" s="73" t="s">
        <v>570</v>
      </c>
      <c r="AD245" s="73" t="s">
        <v>570</v>
      </c>
      <c r="AE245" s="73" t="s">
        <v>570</v>
      </c>
      <c r="AF245" s="73">
        <v>10.1</v>
      </c>
      <c r="AG245" s="73">
        <v>0.67</v>
      </c>
      <c r="AH245" s="73">
        <f t="shared" si="94"/>
        <v>1.34</v>
      </c>
      <c r="AI245" s="73" t="s">
        <v>570</v>
      </c>
      <c r="AJ245" s="73" t="s">
        <v>570</v>
      </c>
      <c r="AK245" s="73" t="s">
        <v>570</v>
      </c>
      <c r="AL245" s="73">
        <v>9.82</v>
      </c>
      <c r="AM245" s="73">
        <v>0.74</v>
      </c>
      <c r="AN245" s="73">
        <f t="shared" si="95"/>
        <v>1.48</v>
      </c>
      <c r="AO245" s="73" t="s">
        <v>570</v>
      </c>
      <c r="AP245" s="73" t="s">
        <v>570</v>
      </c>
      <c r="AQ245" s="73" t="s">
        <v>570</v>
      </c>
      <c r="AR245" s="73">
        <v>0.46</v>
      </c>
      <c r="AS245" s="73" t="s">
        <v>457</v>
      </c>
      <c r="AT245" s="110">
        <f>AF245-AL245</f>
        <v>0.27999999999999936</v>
      </c>
      <c r="AU245" s="110">
        <f>SQRT(((T244-1)*AH245^2 + (T245-1)*AN245^2)/(T244+T245-2) )</f>
        <v>1.4117365193264642</v>
      </c>
      <c r="AV245" s="110">
        <f>1-3/(4*(S245+T245) - 9)</f>
        <v>0.86956521739130432</v>
      </c>
      <c r="AW245" s="110">
        <f>AT245/AU245*AV245</f>
        <v>0.17246721150610136</v>
      </c>
      <c r="AX245" s="110">
        <f>T244</f>
        <v>4</v>
      </c>
      <c r="AY245" s="110">
        <f>AW245*AX245</f>
        <v>0.68986884602440546</v>
      </c>
    </row>
    <row r="246" spans="1:51" ht="15" hidden="1" customHeight="1">
      <c r="A246" s="73" t="s">
        <v>492</v>
      </c>
      <c r="B246" s="73" t="s">
        <v>147</v>
      </c>
      <c r="C246" s="73" t="s">
        <v>67</v>
      </c>
      <c r="D246" s="73" t="s">
        <v>539</v>
      </c>
      <c r="E246" s="73" t="s">
        <v>540</v>
      </c>
      <c r="F246" s="73">
        <v>1999</v>
      </c>
      <c r="G246" s="73" t="s">
        <v>687</v>
      </c>
      <c r="H246" s="73"/>
      <c r="I246" s="73" t="s">
        <v>530</v>
      </c>
      <c r="J246" s="73" t="s">
        <v>684</v>
      </c>
      <c r="K246" s="73" t="s">
        <v>852</v>
      </c>
      <c r="L246" s="73" t="s">
        <v>685</v>
      </c>
      <c r="M246" s="73" t="s">
        <v>686</v>
      </c>
      <c r="N246" s="73"/>
      <c r="O246" s="73">
        <v>1</v>
      </c>
      <c r="P246" s="73"/>
      <c r="Q246" s="73"/>
      <c r="R246" s="73" t="s">
        <v>898</v>
      </c>
      <c r="S246" s="73">
        <v>4</v>
      </c>
      <c r="T246" s="73">
        <v>4</v>
      </c>
      <c r="U246" s="73" t="s">
        <v>570</v>
      </c>
      <c r="V246" s="73" t="s">
        <v>570</v>
      </c>
      <c r="W246" s="73" t="s">
        <v>570</v>
      </c>
      <c r="X246" s="73" t="s">
        <v>570</v>
      </c>
      <c r="Y246" s="73" t="s">
        <v>570</v>
      </c>
      <c r="Z246" s="73" t="s">
        <v>570</v>
      </c>
      <c r="AA246" s="73" t="s">
        <v>570</v>
      </c>
      <c r="AB246" s="73" t="s">
        <v>570</v>
      </c>
      <c r="AC246" s="73" t="s">
        <v>570</v>
      </c>
      <c r="AD246" s="73" t="s">
        <v>570</v>
      </c>
      <c r="AE246" s="73" t="s">
        <v>570</v>
      </c>
      <c r="AF246" s="73">
        <v>9.82</v>
      </c>
      <c r="AG246" s="73">
        <v>0.74</v>
      </c>
      <c r="AH246" s="73">
        <f t="shared" si="94"/>
        <v>1.48</v>
      </c>
      <c r="AI246" s="73" t="s">
        <v>570</v>
      </c>
      <c r="AJ246" s="73" t="s">
        <v>570</v>
      </c>
      <c r="AK246" s="73" t="s">
        <v>570</v>
      </c>
      <c r="AL246" s="73">
        <v>9.67</v>
      </c>
      <c r="AM246" s="73">
        <v>0.43</v>
      </c>
      <c r="AN246" s="73">
        <f t="shared" si="95"/>
        <v>0.86</v>
      </c>
      <c r="AO246" s="73" t="s">
        <v>570</v>
      </c>
      <c r="AP246" s="73" t="s">
        <v>570</v>
      </c>
      <c r="AQ246" s="73" t="s">
        <v>570</v>
      </c>
      <c r="AR246" s="73">
        <v>0.75</v>
      </c>
      <c r="AS246" s="73" t="s">
        <v>457</v>
      </c>
      <c r="AT246" s="46"/>
      <c r="AU246" s="46"/>
      <c r="AV246" s="46"/>
      <c r="AW246" s="46"/>
      <c r="AX246" s="46"/>
      <c r="AY246" s="46"/>
    </row>
    <row r="247" spans="1:51" ht="15" hidden="1" customHeight="1">
      <c r="A247" s="73" t="s">
        <v>492</v>
      </c>
      <c r="B247" s="73" t="s">
        <v>147</v>
      </c>
      <c r="C247" s="73" t="s">
        <v>67</v>
      </c>
      <c r="D247" s="73" t="s">
        <v>539</v>
      </c>
      <c r="E247" s="73" t="s">
        <v>540</v>
      </c>
      <c r="F247" s="73">
        <v>1999</v>
      </c>
      <c r="G247" s="73" t="s">
        <v>687</v>
      </c>
      <c r="H247" s="73"/>
      <c r="I247" s="73" t="s">
        <v>387</v>
      </c>
      <c r="J247" s="73" t="s">
        <v>862</v>
      </c>
      <c r="K247" s="73" t="s">
        <v>855</v>
      </c>
      <c r="L247" s="73" t="s">
        <v>13</v>
      </c>
      <c r="M247" s="73" t="s">
        <v>806</v>
      </c>
      <c r="N247" s="73">
        <v>1</v>
      </c>
      <c r="O247" s="73"/>
      <c r="P247" s="73"/>
      <c r="Q247" s="73"/>
      <c r="R247" s="73" t="s">
        <v>896</v>
      </c>
      <c r="S247" s="73">
        <v>4</v>
      </c>
      <c r="T247" s="73">
        <v>4</v>
      </c>
      <c r="U247" s="73" t="s">
        <v>570</v>
      </c>
      <c r="V247" s="73" t="s">
        <v>570</v>
      </c>
      <c r="W247" s="73" t="s">
        <v>570</v>
      </c>
      <c r="X247" s="73" t="s">
        <v>570</v>
      </c>
      <c r="Y247" s="73" t="s">
        <v>570</v>
      </c>
      <c r="Z247" s="73" t="s">
        <v>570</v>
      </c>
      <c r="AA247" s="73" t="s">
        <v>570</v>
      </c>
      <c r="AB247" s="73" t="s">
        <v>570</v>
      </c>
      <c r="AC247" s="73" t="s">
        <v>570</v>
      </c>
      <c r="AD247" s="73" t="s">
        <v>570</v>
      </c>
      <c r="AE247" s="73" t="s">
        <v>570</v>
      </c>
      <c r="AF247" s="73">
        <v>8.2200000000000006</v>
      </c>
      <c r="AG247" s="73">
        <v>0.45</v>
      </c>
      <c r="AH247" s="73">
        <f t="shared" si="94"/>
        <v>0.9</v>
      </c>
      <c r="AI247" s="73" t="s">
        <v>570</v>
      </c>
      <c r="AJ247" s="73" t="s">
        <v>570</v>
      </c>
      <c r="AK247" s="73" t="s">
        <v>570</v>
      </c>
      <c r="AL247" s="73">
        <v>9.18</v>
      </c>
      <c r="AM247" s="73">
        <v>0.5</v>
      </c>
      <c r="AN247" s="73">
        <f t="shared" si="95"/>
        <v>1</v>
      </c>
      <c r="AO247" s="73" t="s">
        <v>570</v>
      </c>
      <c r="AP247" s="73" t="s">
        <v>570</v>
      </c>
      <c r="AQ247" s="73" t="s">
        <v>570</v>
      </c>
      <c r="AR247" s="73">
        <v>1.07</v>
      </c>
      <c r="AS247" s="73" t="s">
        <v>457</v>
      </c>
      <c r="AT247" s="46"/>
      <c r="AU247" s="46"/>
      <c r="AV247" s="46"/>
      <c r="AW247" s="46"/>
      <c r="AX247" s="46"/>
      <c r="AY247" s="46"/>
    </row>
    <row r="248" spans="1:51" ht="15" customHeight="1">
      <c r="A248" s="73" t="s">
        <v>492</v>
      </c>
      <c r="B248" s="73" t="s">
        <v>147</v>
      </c>
      <c r="C248" s="73" t="s">
        <v>67</v>
      </c>
      <c r="D248" s="73" t="s">
        <v>539</v>
      </c>
      <c r="E248" s="73" t="s">
        <v>540</v>
      </c>
      <c r="F248" s="73">
        <v>1999</v>
      </c>
      <c r="G248" s="73" t="s">
        <v>808</v>
      </c>
      <c r="H248" s="73"/>
      <c r="I248" s="73" t="s">
        <v>362</v>
      </c>
      <c r="J248" s="73" t="s">
        <v>736</v>
      </c>
      <c r="K248" s="73" t="s">
        <v>683</v>
      </c>
      <c r="L248" s="73" t="s">
        <v>131</v>
      </c>
      <c r="M248" s="73" t="s">
        <v>958</v>
      </c>
      <c r="N248" s="73">
        <v>1</v>
      </c>
      <c r="O248" s="73"/>
      <c r="P248" s="73"/>
      <c r="Q248" s="73"/>
      <c r="R248" s="73" t="s">
        <v>897</v>
      </c>
      <c r="S248" s="73">
        <v>4</v>
      </c>
      <c r="T248" s="73">
        <v>4</v>
      </c>
      <c r="U248" s="73" t="s">
        <v>570</v>
      </c>
      <c r="V248" s="73" t="s">
        <v>570</v>
      </c>
      <c r="W248" s="73" t="s">
        <v>570</v>
      </c>
      <c r="X248" s="73" t="s">
        <v>570</v>
      </c>
      <c r="Y248" s="73" t="s">
        <v>570</v>
      </c>
      <c r="Z248" s="73" t="s">
        <v>570</v>
      </c>
      <c r="AA248" s="73" t="s">
        <v>570</v>
      </c>
      <c r="AB248" s="73" t="s">
        <v>570</v>
      </c>
      <c r="AC248" s="73" t="s">
        <v>570</v>
      </c>
      <c r="AD248" s="73" t="s">
        <v>570</v>
      </c>
      <c r="AE248" s="73" t="s">
        <v>570</v>
      </c>
      <c r="AF248" s="73">
        <v>8.3800000000000008</v>
      </c>
      <c r="AG248" s="73">
        <v>0.53</v>
      </c>
      <c r="AH248" s="73">
        <f t="shared" si="94"/>
        <v>1.06</v>
      </c>
      <c r="AI248" s="73" t="s">
        <v>570</v>
      </c>
      <c r="AJ248" s="73" t="s">
        <v>570</v>
      </c>
      <c r="AK248" s="73" t="s">
        <v>570</v>
      </c>
      <c r="AL248" s="73">
        <v>7.9</v>
      </c>
      <c r="AM248" s="73">
        <v>0.56000000000000005</v>
      </c>
      <c r="AN248" s="73">
        <f t="shared" si="95"/>
        <v>1.1200000000000001</v>
      </c>
      <c r="AO248" s="73" t="s">
        <v>570</v>
      </c>
      <c r="AP248" s="73" t="s">
        <v>570</v>
      </c>
      <c r="AQ248" s="73" t="s">
        <v>570</v>
      </c>
      <c r="AR248" s="73">
        <v>1.07</v>
      </c>
      <c r="AS248" s="73" t="s">
        <v>457</v>
      </c>
      <c r="AT248" s="110">
        <f>AF248-AL248</f>
        <v>0.48000000000000043</v>
      </c>
      <c r="AU248" s="110">
        <f>SQRT(((T247-1)*AH248^2 + (T248-1)*AN248^2)/(T247+T248-2) )</f>
        <v>1.0904127658827183</v>
      </c>
      <c r="AV248" s="110">
        <f>1-3/(4*(S248+T248) - 9)</f>
        <v>0.86956521739130432</v>
      </c>
      <c r="AW248" s="110">
        <f>AT248/AU248*AV248</f>
        <v>0.38278284830051218</v>
      </c>
      <c r="AX248" s="110">
        <f>T247</f>
        <v>4</v>
      </c>
      <c r="AY248" s="110">
        <f>AW248*AX248</f>
        <v>1.5311313932020487</v>
      </c>
    </row>
    <row r="249" spans="1:51" ht="15" hidden="1" customHeight="1">
      <c r="A249" s="73" t="s">
        <v>492</v>
      </c>
      <c r="B249" s="73" t="s">
        <v>147</v>
      </c>
      <c r="C249" s="73" t="s">
        <v>67</v>
      </c>
      <c r="D249" s="73" t="s">
        <v>539</v>
      </c>
      <c r="E249" s="73" t="s">
        <v>540</v>
      </c>
      <c r="F249" s="73">
        <v>1999</v>
      </c>
      <c r="G249" s="73" t="s">
        <v>687</v>
      </c>
      <c r="H249" s="73"/>
      <c r="I249" s="73" t="s">
        <v>530</v>
      </c>
      <c r="J249" s="73" t="s">
        <v>684</v>
      </c>
      <c r="K249" s="73" t="s">
        <v>852</v>
      </c>
      <c r="L249" s="73" t="s">
        <v>685</v>
      </c>
      <c r="M249" s="73" t="s">
        <v>686</v>
      </c>
      <c r="N249" s="73"/>
      <c r="O249" s="73">
        <v>1</v>
      </c>
      <c r="P249" s="73"/>
      <c r="Q249" s="73"/>
      <c r="R249" s="73" t="s">
        <v>898</v>
      </c>
      <c r="S249" s="73">
        <v>4</v>
      </c>
      <c r="T249" s="73">
        <v>4</v>
      </c>
      <c r="U249" s="73" t="s">
        <v>570</v>
      </c>
      <c r="V249" s="73" t="s">
        <v>570</v>
      </c>
      <c r="W249" s="73" t="s">
        <v>570</v>
      </c>
      <c r="X249" s="73" t="s">
        <v>570</v>
      </c>
      <c r="Y249" s="73" t="s">
        <v>570</v>
      </c>
      <c r="Z249" s="73" t="s">
        <v>570</v>
      </c>
      <c r="AA249" s="73" t="s">
        <v>570</v>
      </c>
      <c r="AB249" s="73" t="s">
        <v>570</v>
      </c>
      <c r="AC249" s="73" t="s">
        <v>570</v>
      </c>
      <c r="AD249" s="73" t="s">
        <v>570</v>
      </c>
      <c r="AE249" s="73" t="s">
        <v>570</v>
      </c>
      <c r="AF249" s="73">
        <v>8.51</v>
      </c>
      <c r="AG249" s="73">
        <v>0.43</v>
      </c>
      <c r="AH249" s="73">
        <f t="shared" si="94"/>
        <v>0.86</v>
      </c>
      <c r="AI249" s="73" t="s">
        <v>570</v>
      </c>
      <c r="AJ249" s="73" t="s">
        <v>570</v>
      </c>
      <c r="AK249" s="73" t="s">
        <v>570</v>
      </c>
      <c r="AL249" s="73">
        <v>8.65</v>
      </c>
      <c r="AM249" s="73">
        <v>0.54</v>
      </c>
      <c r="AN249" s="73">
        <f t="shared" si="95"/>
        <v>1.08</v>
      </c>
      <c r="AO249" s="73" t="s">
        <v>570</v>
      </c>
      <c r="AP249" s="73" t="s">
        <v>570</v>
      </c>
      <c r="AQ249" s="73" t="s">
        <v>570</v>
      </c>
      <c r="AR249" s="73">
        <v>0.19</v>
      </c>
      <c r="AS249" s="73" t="s">
        <v>457</v>
      </c>
      <c r="AT249" s="46"/>
      <c r="AU249" s="46"/>
      <c r="AV249" s="46"/>
      <c r="AW249" s="46"/>
      <c r="AX249" s="46"/>
      <c r="AY249" s="46"/>
    </row>
    <row r="250" spans="1:51" ht="15" hidden="1" customHeight="1">
      <c r="A250" s="73" t="s">
        <v>492</v>
      </c>
      <c r="B250" s="73" t="s">
        <v>147</v>
      </c>
      <c r="C250" s="73" t="s">
        <v>538</v>
      </c>
      <c r="D250" s="73" t="s">
        <v>541</v>
      </c>
      <c r="E250" s="73" t="s">
        <v>542</v>
      </c>
      <c r="F250" s="73">
        <v>1999</v>
      </c>
      <c r="G250" s="73" t="s">
        <v>687</v>
      </c>
      <c r="H250" s="73"/>
      <c r="I250" s="73" t="s">
        <v>387</v>
      </c>
      <c r="J250" s="73" t="s">
        <v>862</v>
      </c>
      <c r="K250" s="73" t="s">
        <v>855</v>
      </c>
      <c r="L250" s="73" t="s">
        <v>13</v>
      </c>
      <c r="M250" s="73" t="s">
        <v>806</v>
      </c>
      <c r="N250" s="73">
        <v>1</v>
      </c>
      <c r="O250" s="73"/>
      <c r="P250" s="73"/>
      <c r="Q250" s="73"/>
      <c r="R250" s="73" t="s">
        <v>896</v>
      </c>
      <c r="S250" s="73">
        <v>4</v>
      </c>
      <c r="T250" s="73">
        <v>4</v>
      </c>
      <c r="U250" s="73" t="s">
        <v>570</v>
      </c>
      <c r="V250" s="73" t="s">
        <v>570</v>
      </c>
      <c r="W250" s="73" t="s">
        <v>570</v>
      </c>
      <c r="X250" s="73" t="s">
        <v>570</v>
      </c>
      <c r="Y250" s="73" t="s">
        <v>570</v>
      </c>
      <c r="Z250" s="73" t="s">
        <v>570</v>
      </c>
      <c r="AA250" s="73" t="s">
        <v>570</v>
      </c>
      <c r="AB250" s="73" t="s">
        <v>570</v>
      </c>
      <c r="AC250" s="73" t="s">
        <v>570</v>
      </c>
      <c r="AD250" s="73" t="s">
        <v>570</v>
      </c>
      <c r="AE250" s="73" t="s">
        <v>570</v>
      </c>
      <c r="AF250" s="73">
        <v>8.1</v>
      </c>
      <c r="AG250" s="73">
        <v>0.55000000000000004</v>
      </c>
      <c r="AH250" s="73">
        <f t="shared" si="94"/>
        <v>1.1000000000000001</v>
      </c>
      <c r="AI250" s="73" t="s">
        <v>570</v>
      </c>
      <c r="AJ250" s="73" t="s">
        <v>570</v>
      </c>
      <c r="AK250" s="73" t="s">
        <v>570</v>
      </c>
      <c r="AL250" s="73">
        <v>9.1300000000000008</v>
      </c>
      <c r="AM250" s="73">
        <v>0.59</v>
      </c>
      <c r="AN250" s="73">
        <f t="shared" si="95"/>
        <v>1.18</v>
      </c>
      <c r="AO250" s="73" t="s">
        <v>570</v>
      </c>
      <c r="AP250" s="73" t="s">
        <v>570</v>
      </c>
      <c r="AQ250" s="73" t="s">
        <v>570</v>
      </c>
      <c r="AR250" s="73">
        <v>4.43</v>
      </c>
      <c r="AS250" s="73" t="s">
        <v>785</v>
      </c>
      <c r="AT250" s="46"/>
      <c r="AU250" s="46"/>
      <c r="AV250" s="46"/>
      <c r="AW250" s="46"/>
      <c r="AX250" s="46"/>
      <c r="AY250" s="46"/>
    </row>
    <row r="251" spans="1:51" ht="15" customHeight="1">
      <c r="A251" s="73" t="s">
        <v>492</v>
      </c>
      <c r="B251" s="73" t="s">
        <v>147</v>
      </c>
      <c r="C251" s="73" t="s">
        <v>538</v>
      </c>
      <c r="D251" s="73" t="s">
        <v>541</v>
      </c>
      <c r="E251" s="73" t="s">
        <v>542</v>
      </c>
      <c r="F251" s="73">
        <v>1999</v>
      </c>
      <c r="G251" s="73" t="s">
        <v>808</v>
      </c>
      <c r="H251" s="73"/>
      <c r="I251" s="73" t="s">
        <v>362</v>
      </c>
      <c r="J251" s="73" t="s">
        <v>736</v>
      </c>
      <c r="K251" s="73" t="s">
        <v>683</v>
      </c>
      <c r="L251" s="73" t="s">
        <v>131</v>
      </c>
      <c r="M251" s="73" t="s">
        <v>958</v>
      </c>
      <c r="N251" s="73">
        <v>1</v>
      </c>
      <c r="O251" s="73"/>
      <c r="P251" s="73"/>
      <c r="Q251" s="73"/>
      <c r="R251" s="73" t="s">
        <v>897</v>
      </c>
      <c r="S251" s="73">
        <v>4</v>
      </c>
      <c r="T251" s="73">
        <v>4</v>
      </c>
      <c r="U251" s="73" t="s">
        <v>570</v>
      </c>
      <c r="V251" s="73" t="s">
        <v>570</v>
      </c>
      <c r="W251" s="73" t="s">
        <v>570</v>
      </c>
      <c r="X251" s="73" t="s">
        <v>570</v>
      </c>
      <c r="Y251" s="73" t="s">
        <v>570</v>
      </c>
      <c r="Z251" s="73" t="s">
        <v>570</v>
      </c>
      <c r="AA251" s="73" t="s">
        <v>570</v>
      </c>
      <c r="AB251" s="73" t="s">
        <v>570</v>
      </c>
      <c r="AC251" s="73" t="s">
        <v>570</v>
      </c>
      <c r="AD251" s="73" t="s">
        <v>570</v>
      </c>
      <c r="AE251" s="73" t="s">
        <v>570</v>
      </c>
      <c r="AF251" s="73">
        <v>8.91</v>
      </c>
      <c r="AG251" s="73">
        <v>0.91</v>
      </c>
      <c r="AH251" s="73">
        <f t="shared" si="94"/>
        <v>1.82</v>
      </c>
      <c r="AI251" s="73" t="s">
        <v>570</v>
      </c>
      <c r="AJ251" s="73" t="s">
        <v>570</v>
      </c>
      <c r="AK251" s="73" t="s">
        <v>570</v>
      </c>
      <c r="AL251" s="73">
        <v>9.36</v>
      </c>
      <c r="AM251" s="73">
        <v>0.73</v>
      </c>
      <c r="AN251" s="73">
        <f t="shared" si="95"/>
        <v>1.46</v>
      </c>
      <c r="AO251" s="73" t="s">
        <v>570</v>
      </c>
      <c r="AP251" s="73" t="s">
        <v>570</v>
      </c>
      <c r="AQ251" s="73" t="s">
        <v>570</v>
      </c>
      <c r="AR251" s="73">
        <v>4.43</v>
      </c>
      <c r="AS251" s="73" t="s">
        <v>785</v>
      </c>
      <c r="AT251" s="110">
        <f>AF251-AL251</f>
        <v>-0.44999999999999929</v>
      </c>
      <c r="AU251" s="110">
        <f>SQRT(((T250-1)*AH251^2 + (T251-1)*AN251^2)/(T250+T251-2) )</f>
        <v>1.6498484778912275</v>
      </c>
      <c r="AV251" s="110">
        <f>1-3/(4*(S251+T251) - 9)</f>
        <v>0.86956521739130432</v>
      </c>
      <c r="AW251" s="110">
        <f>AT251/AU251*AV251</f>
        <v>-0.237175930438313</v>
      </c>
      <c r="AX251" s="110">
        <f>T250</f>
        <v>4</v>
      </c>
      <c r="AY251" s="110">
        <f>AW251*AX251</f>
        <v>-0.94870372175325202</v>
      </c>
    </row>
    <row r="252" spans="1:51" ht="15" hidden="1" customHeight="1">
      <c r="A252" s="73" t="s">
        <v>492</v>
      </c>
      <c r="B252" s="73" t="s">
        <v>147</v>
      </c>
      <c r="C252" s="73" t="s">
        <v>538</v>
      </c>
      <c r="D252" s="73" t="s">
        <v>541</v>
      </c>
      <c r="E252" s="73" t="s">
        <v>542</v>
      </c>
      <c r="F252" s="73">
        <v>1999</v>
      </c>
      <c r="G252" s="73" t="s">
        <v>687</v>
      </c>
      <c r="H252" s="73"/>
      <c r="I252" s="73" t="s">
        <v>530</v>
      </c>
      <c r="J252" s="73" t="s">
        <v>684</v>
      </c>
      <c r="K252" s="73" t="s">
        <v>852</v>
      </c>
      <c r="L252" s="73" t="s">
        <v>685</v>
      </c>
      <c r="M252" s="73" t="s">
        <v>686</v>
      </c>
      <c r="N252" s="73"/>
      <c r="O252" s="73">
        <v>1</v>
      </c>
      <c r="P252" s="73"/>
      <c r="Q252" s="73"/>
      <c r="R252" s="73" t="s">
        <v>898</v>
      </c>
      <c r="S252" s="73">
        <v>4</v>
      </c>
      <c r="T252" s="73">
        <v>4</v>
      </c>
      <c r="U252" s="73" t="s">
        <v>570</v>
      </c>
      <c r="V252" s="73" t="s">
        <v>570</v>
      </c>
      <c r="W252" s="73" t="s">
        <v>570</v>
      </c>
      <c r="X252" s="73" t="s">
        <v>570</v>
      </c>
      <c r="Y252" s="73" t="s">
        <v>570</v>
      </c>
      <c r="Z252" s="73" t="s">
        <v>570</v>
      </c>
      <c r="AA252" s="73" t="s">
        <v>570</v>
      </c>
      <c r="AB252" s="73" t="s">
        <v>570</v>
      </c>
      <c r="AC252" s="73" t="s">
        <v>570</v>
      </c>
      <c r="AD252" s="73" t="s">
        <v>570</v>
      </c>
      <c r="AE252" s="73" t="s">
        <v>570</v>
      </c>
      <c r="AF252" s="73">
        <v>7.3</v>
      </c>
      <c r="AG252" s="73">
        <v>0.5</v>
      </c>
      <c r="AH252" s="73">
        <f t="shared" si="94"/>
        <v>1</v>
      </c>
      <c r="AI252" s="73" t="s">
        <v>570</v>
      </c>
      <c r="AJ252" s="73" t="s">
        <v>570</v>
      </c>
      <c r="AK252" s="73" t="s">
        <v>570</v>
      </c>
      <c r="AL252" s="73">
        <v>8.35</v>
      </c>
      <c r="AM252" s="73">
        <v>0.56999999999999995</v>
      </c>
      <c r="AN252" s="73">
        <f t="shared" si="95"/>
        <v>1.1399999999999999</v>
      </c>
      <c r="AO252" s="73" t="s">
        <v>570</v>
      </c>
      <c r="AP252" s="73" t="s">
        <v>570</v>
      </c>
      <c r="AQ252" s="73" t="s">
        <v>570</v>
      </c>
      <c r="AR252" s="73">
        <v>4.4400000000000004</v>
      </c>
      <c r="AS252" s="73" t="s">
        <v>785</v>
      </c>
      <c r="AT252" s="46"/>
      <c r="AU252" s="46"/>
      <c r="AV252" s="46"/>
      <c r="AW252" s="46"/>
      <c r="AX252" s="46"/>
      <c r="AY252" s="46"/>
    </row>
    <row r="253" spans="1:51" ht="15" hidden="1" customHeight="1">
      <c r="A253" s="73" t="s">
        <v>492</v>
      </c>
      <c r="B253" s="73" t="s">
        <v>147</v>
      </c>
      <c r="C253" s="73" t="s">
        <v>67</v>
      </c>
      <c r="D253" s="73" t="s">
        <v>539</v>
      </c>
      <c r="E253" s="73" t="s">
        <v>540</v>
      </c>
      <c r="F253" s="73">
        <v>2000</v>
      </c>
      <c r="G253" s="73" t="s">
        <v>687</v>
      </c>
      <c r="H253" s="73"/>
      <c r="I253" s="73" t="s">
        <v>387</v>
      </c>
      <c r="J253" s="73" t="s">
        <v>862</v>
      </c>
      <c r="K253" s="73" t="s">
        <v>855</v>
      </c>
      <c r="L253" s="73" t="s">
        <v>13</v>
      </c>
      <c r="M253" s="73" t="s">
        <v>806</v>
      </c>
      <c r="N253" s="73">
        <v>1</v>
      </c>
      <c r="O253" s="73"/>
      <c r="P253" s="73"/>
      <c r="Q253" s="73"/>
      <c r="R253" s="73" t="s">
        <v>896</v>
      </c>
      <c r="S253" s="73">
        <v>4</v>
      </c>
      <c r="T253" s="73">
        <v>4</v>
      </c>
      <c r="U253" s="73" t="s">
        <v>570</v>
      </c>
      <c r="V253" s="73" t="s">
        <v>570</v>
      </c>
      <c r="W253" s="73" t="s">
        <v>570</v>
      </c>
      <c r="X253" s="73" t="s">
        <v>570</v>
      </c>
      <c r="Y253" s="73" t="s">
        <v>570</v>
      </c>
      <c r="Z253" s="73" t="s">
        <v>570</v>
      </c>
      <c r="AA253" s="73" t="s">
        <v>570</v>
      </c>
      <c r="AB253" s="73" t="s">
        <v>570</v>
      </c>
      <c r="AC253" s="73" t="s">
        <v>570</v>
      </c>
      <c r="AD253" s="73" t="s">
        <v>570</v>
      </c>
      <c r="AE253" s="73" t="s">
        <v>570</v>
      </c>
      <c r="AF253" s="73">
        <v>6.8</v>
      </c>
      <c r="AG253" s="73">
        <v>0.39</v>
      </c>
      <c r="AH253" s="73">
        <f t="shared" si="94"/>
        <v>0.78</v>
      </c>
      <c r="AI253" s="73" t="s">
        <v>570</v>
      </c>
      <c r="AJ253" s="73" t="s">
        <v>570</v>
      </c>
      <c r="AK253" s="73" t="s">
        <v>570</v>
      </c>
      <c r="AL253" s="73">
        <v>7.12</v>
      </c>
      <c r="AM253" s="73">
        <v>0.28999999999999998</v>
      </c>
      <c r="AN253" s="73">
        <f t="shared" si="95"/>
        <v>0.57999999999999996</v>
      </c>
      <c r="AO253" s="73" t="s">
        <v>570</v>
      </c>
      <c r="AP253" s="73" t="s">
        <v>570</v>
      </c>
      <c r="AQ253" s="73" t="s">
        <v>570</v>
      </c>
      <c r="AR253" s="73">
        <v>0.03</v>
      </c>
      <c r="AS253" s="73" t="s">
        <v>457</v>
      </c>
      <c r="AT253" s="46"/>
      <c r="AU253" s="46"/>
      <c r="AV253" s="46"/>
      <c r="AW253" s="46"/>
      <c r="AX253" s="46"/>
      <c r="AY253" s="46"/>
    </row>
    <row r="254" spans="1:51" ht="15" customHeight="1">
      <c r="A254" s="73" t="s">
        <v>492</v>
      </c>
      <c r="B254" s="73" t="s">
        <v>147</v>
      </c>
      <c r="C254" s="73" t="s">
        <v>67</v>
      </c>
      <c r="D254" s="73" t="s">
        <v>539</v>
      </c>
      <c r="E254" s="73" t="s">
        <v>540</v>
      </c>
      <c r="F254" s="73">
        <v>2000</v>
      </c>
      <c r="G254" s="73" t="s">
        <v>808</v>
      </c>
      <c r="H254" s="73"/>
      <c r="I254" s="73" t="s">
        <v>531</v>
      </c>
      <c r="J254" s="73" t="s">
        <v>736</v>
      </c>
      <c r="K254" s="73" t="s">
        <v>683</v>
      </c>
      <c r="L254" s="73" t="s">
        <v>131</v>
      </c>
      <c r="M254" s="73" t="s">
        <v>958</v>
      </c>
      <c r="N254" s="73">
        <v>1</v>
      </c>
      <c r="O254" s="73"/>
      <c r="P254" s="73"/>
      <c r="Q254" s="73"/>
      <c r="R254" s="73" t="s">
        <v>899</v>
      </c>
      <c r="S254" s="73">
        <v>4</v>
      </c>
      <c r="T254" s="73">
        <v>4</v>
      </c>
      <c r="U254" s="73" t="s">
        <v>570</v>
      </c>
      <c r="V254" s="73" t="s">
        <v>570</v>
      </c>
      <c r="W254" s="73" t="s">
        <v>570</v>
      </c>
      <c r="X254" s="73" t="s">
        <v>570</v>
      </c>
      <c r="Y254" s="73" t="s">
        <v>570</v>
      </c>
      <c r="Z254" s="73" t="s">
        <v>570</v>
      </c>
      <c r="AA254" s="73" t="s">
        <v>570</v>
      </c>
      <c r="AB254" s="73" t="s">
        <v>570</v>
      </c>
      <c r="AC254" s="73" t="s">
        <v>570</v>
      </c>
      <c r="AD254" s="73" t="s">
        <v>570</v>
      </c>
      <c r="AE254" s="73" t="s">
        <v>570</v>
      </c>
      <c r="AF254" s="73">
        <v>6.13</v>
      </c>
      <c r="AG254" s="73">
        <v>0.35</v>
      </c>
      <c r="AH254" s="73">
        <f t="shared" si="94"/>
        <v>0.7</v>
      </c>
      <c r="AI254" s="73" t="s">
        <v>570</v>
      </c>
      <c r="AJ254" s="73" t="s">
        <v>570</v>
      </c>
      <c r="AK254" s="73" t="s">
        <v>570</v>
      </c>
      <c r="AL254" s="73">
        <v>7.51</v>
      </c>
      <c r="AM254" s="73">
        <v>0.39</v>
      </c>
      <c r="AN254" s="73">
        <f t="shared" si="95"/>
        <v>0.78</v>
      </c>
      <c r="AO254" s="73" t="s">
        <v>570</v>
      </c>
      <c r="AP254" s="73" t="s">
        <v>570</v>
      </c>
      <c r="AQ254" s="73" t="s">
        <v>570</v>
      </c>
      <c r="AR254" s="73">
        <v>0.03</v>
      </c>
      <c r="AS254" s="73" t="s">
        <v>457</v>
      </c>
      <c r="AT254" s="110">
        <f>AF254-AL254</f>
        <v>-1.38</v>
      </c>
      <c r="AU254" s="110">
        <f>SQRT(((T253-1)*AH254^2 + (T254-1)*AN254^2)/(T253+T254-2) )</f>
        <v>0.7410802925459562</v>
      </c>
      <c r="AV254" s="110">
        <f>1-3/(4*(S254+T254) - 9)</f>
        <v>0.86956521739130432</v>
      </c>
      <c r="AW254" s="110">
        <f>AT254/AU254*AV254</f>
        <v>-1.6192577404500132</v>
      </c>
      <c r="AX254" s="110">
        <f>T253</f>
        <v>4</v>
      </c>
      <c r="AY254" s="110">
        <f>AW254*AX254</f>
        <v>-6.477030961800053</v>
      </c>
    </row>
    <row r="255" spans="1:51" ht="15" hidden="1" customHeight="1">
      <c r="A255" s="73" t="s">
        <v>492</v>
      </c>
      <c r="B255" s="73" t="s">
        <v>147</v>
      </c>
      <c r="C255" s="73" t="s">
        <v>67</v>
      </c>
      <c r="D255" s="73" t="s">
        <v>539</v>
      </c>
      <c r="E255" s="73" t="s">
        <v>540</v>
      </c>
      <c r="F255" s="73">
        <v>2000</v>
      </c>
      <c r="G255" s="73" t="s">
        <v>687</v>
      </c>
      <c r="H255" s="73"/>
      <c r="I255" s="73" t="s">
        <v>532</v>
      </c>
      <c r="J255" s="73" t="s">
        <v>684</v>
      </c>
      <c r="K255" s="73" t="s">
        <v>852</v>
      </c>
      <c r="L255" s="73" t="s">
        <v>685</v>
      </c>
      <c r="M255" s="73" t="s">
        <v>686</v>
      </c>
      <c r="N255" s="73"/>
      <c r="O255" s="73">
        <v>1</v>
      </c>
      <c r="P255" s="73"/>
      <c r="Q255" s="73"/>
      <c r="R255" s="73" t="s">
        <v>898</v>
      </c>
      <c r="S255" s="73">
        <v>4</v>
      </c>
      <c r="T255" s="73">
        <v>4</v>
      </c>
      <c r="U255" s="73" t="s">
        <v>570</v>
      </c>
      <c r="V255" s="73" t="s">
        <v>570</v>
      </c>
      <c r="W255" s="73" t="s">
        <v>570</v>
      </c>
      <c r="X255" s="73" t="s">
        <v>570</v>
      </c>
      <c r="Y255" s="73" t="s">
        <v>570</v>
      </c>
      <c r="Z255" s="73" t="s">
        <v>570</v>
      </c>
      <c r="AA255" s="73" t="s">
        <v>570</v>
      </c>
      <c r="AB255" s="73" t="s">
        <v>570</v>
      </c>
      <c r="AC255" s="73" t="s">
        <v>570</v>
      </c>
      <c r="AD255" s="73" t="s">
        <v>570</v>
      </c>
      <c r="AE255" s="73" t="s">
        <v>570</v>
      </c>
      <c r="AF255" s="73">
        <v>7.1</v>
      </c>
      <c r="AG255" s="73">
        <v>0.37</v>
      </c>
      <c r="AH255" s="73">
        <f t="shared" si="94"/>
        <v>0.74</v>
      </c>
      <c r="AI255" s="73" t="s">
        <v>570</v>
      </c>
      <c r="AJ255" s="73" t="s">
        <v>570</v>
      </c>
      <c r="AK255" s="73" t="s">
        <v>570</v>
      </c>
      <c r="AL255" s="73">
        <v>7.21</v>
      </c>
      <c r="AM255" s="73">
        <v>0.25</v>
      </c>
      <c r="AN255" s="73">
        <f t="shared" si="95"/>
        <v>0.5</v>
      </c>
      <c r="AO255" s="73" t="s">
        <v>570</v>
      </c>
      <c r="AP255" s="73" t="s">
        <v>570</v>
      </c>
      <c r="AQ255" s="73" t="s">
        <v>570</v>
      </c>
      <c r="AR255" s="73">
        <v>0.08</v>
      </c>
      <c r="AS255" s="73" t="s">
        <v>457</v>
      </c>
      <c r="AT255" s="46"/>
      <c r="AU255" s="46"/>
      <c r="AV255" s="46"/>
      <c r="AW255" s="46"/>
      <c r="AX255" s="46"/>
      <c r="AY255" s="46"/>
    </row>
    <row r="256" spans="1:51" ht="15" hidden="1" customHeight="1">
      <c r="A256" s="73" t="s">
        <v>492</v>
      </c>
      <c r="B256" s="73" t="s">
        <v>147</v>
      </c>
      <c r="C256" s="73" t="s">
        <v>67</v>
      </c>
      <c r="D256" s="73" t="s">
        <v>539</v>
      </c>
      <c r="E256" s="73" t="s">
        <v>540</v>
      </c>
      <c r="F256" s="73">
        <v>2000</v>
      </c>
      <c r="G256" s="73" t="s">
        <v>687</v>
      </c>
      <c r="H256" s="73"/>
      <c r="I256" s="73" t="s">
        <v>387</v>
      </c>
      <c r="J256" s="73" t="s">
        <v>862</v>
      </c>
      <c r="K256" s="73" t="s">
        <v>855</v>
      </c>
      <c r="L256" s="73" t="s">
        <v>13</v>
      </c>
      <c r="M256" s="73" t="s">
        <v>806</v>
      </c>
      <c r="N256" s="73">
        <v>1</v>
      </c>
      <c r="O256" s="73"/>
      <c r="P256" s="73"/>
      <c r="Q256" s="73"/>
      <c r="R256" s="73" t="s">
        <v>896</v>
      </c>
      <c r="S256" s="73">
        <v>4</v>
      </c>
      <c r="T256" s="73">
        <v>4</v>
      </c>
      <c r="U256" s="73" t="s">
        <v>570</v>
      </c>
      <c r="V256" s="73" t="s">
        <v>570</v>
      </c>
      <c r="W256" s="73" t="s">
        <v>570</v>
      </c>
      <c r="X256" s="73" t="s">
        <v>570</v>
      </c>
      <c r="Y256" s="73" t="s">
        <v>570</v>
      </c>
      <c r="Z256" s="73" t="s">
        <v>570</v>
      </c>
      <c r="AA256" s="73" t="s">
        <v>570</v>
      </c>
      <c r="AB256" s="73" t="s">
        <v>570</v>
      </c>
      <c r="AC256" s="73" t="s">
        <v>570</v>
      </c>
      <c r="AD256" s="73" t="s">
        <v>570</v>
      </c>
      <c r="AE256" s="73" t="s">
        <v>570</v>
      </c>
      <c r="AF256" s="73">
        <v>7.55</v>
      </c>
      <c r="AG256" s="73">
        <v>0.59</v>
      </c>
      <c r="AH256" s="73">
        <f t="shared" si="94"/>
        <v>1.18</v>
      </c>
      <c r="AI256" s="73" t="s">
        <v>570</v>
      </c>
      <c r="AJ256" s="73" t="s">
        <v>570</v>
      </c>
      <c r="AK256" s="73" t="s">
        <v>570</v>
      </c>
      <c r="AL256" s="73">
        <v>7.88</v>
      </c>
      <c r="AM256" s="73">
        <v>0.59</v>
      </c>
      <c r="AN256" s="73">
        <f t="shared" si="95"/>
        <v>1.18</v>
      </c>
      <c r="AO256" s="73" t="s">
        <v>570</v>
      </c>
      <c r="AP256" s="73" t="s">
        <v>570</v>
      </c>
      <c r="AQ256" s="73" t="s">
        <v>570</v>
      </c>
      <c r="AR256" s="73">
        <v>0.02</v>
      </c>
      <c r="AS256" s="73" t="s">
        <v>457</v>
      </c>
      <c r="AT256" s="46"/>
      <c r="AU256" s="46"/>
      <c r="AV256" s="46"/>
      <c r="AW256" s="46"/>
      <c r="AX256" s="46"/>
      <c r="AY256" s="46"/>
    </row>
    <row r="257" spans="1:51" ht="15" customHeight="1">
      <c r="A257" s="73" t="s">
        <v>492</v>
      </c>
      <c r="B257" s="73" t="s">
        <v>147</v>
      </c>
      <c r="C257" s="73" t="s">
        <v>67</v>
      </c>
      <c r="D257" s="73" t="s">
        <v>539</v>
      </c>
      <c r="E257" s="73" t="s">
        <v>540</v>
      </c>
      <c r="F257" s="73">
        <v>2000</v>
      </c>
      <c r="G257" s="73" t="s">
        <v>808</v>
      </c>
      <c r="H257" s="73"/>
      <c r="I257" s="73" t="s">
        <v>531</v>
      </c>
      <c r="J257" s="73" t="s">
        <v>736</v>
      </c>
      <c r="K257" s="73" t="s">
        <v>683</v>
      </c>
      <c r="L257" s="73" t="s">
        <v>131</v>
      </c>
      <c r="M257" s="73" t="s">
        <v>958</v>
      </c>
      <c r="N257" s="73">
        <v>1</v>
      </c>
      <c r="O257" s="73"/>
      <c r="P257" s="73"/>
      <c r="Q257" s="73"/>
      <c r="R257" s="73" t="s">
        <v>899</v>
      </c>
      <c r="S257" s="73">
        <v>4</v>
      </c>
      <c r="T257" s="73">
        <v>4</v>
      </c>
      <c r="U257" s="73" t="s">
        <v>570</v>
      </c>
      <c r="V257" s="73" t="s">
        <v>570</v>
      </c>
      <c r="W257" s="73" t="s">
        <v>570</v>
      </c>
      <c r="X257" s="73" t="s">
        <v>570</v>
      </c>
      <c r="Y257" s="73" t="s">
        <v>570</v>
      </c>
      <c r="Z257" s="73" t="s">
        <v>570</v>
      </c>
      <c r="AA257" s="73" t="s">
        <v>570</v>
      </c>
      <c r="AB257" s="73" t="s">
        <v>570</v>
      </c>
      <c r="AC257" s="73" t="s">
        <v>570</v>
      </c>
      <c r="AD257" s="73" t="s">
        <v>570</v>
      </c>
      <c r="AE257" s="73" t="s">
        <v>570</v>
      </c>
      <c r="AF257" s="73">
        <v>8.02</v>
      </c>
      <c r="AG257" s="73">
        <v>0.55000000000000004</v>
      </c>
      <c r="AH257" s="73">
        <f t="shared" si="94"/>
        <v>1.1000000000000001</v>
      </c>
      <c r="AI257" s="73" t="s">
        <v>570</v>
      </c>
      <c r="AJ257" s="73" t="s">
        <v>570</v>
      </c>
      <c r="AK257" s="73" t="s">
        <v>570</v>
      </c>
      <c r="AL257" s="73">
        <v>7.77</v>
      </c>
      <c r="AM257" s="73">
        <v>0.38</v>
      </c>
      <c r="AN257" s="73">
        <f t="shared" si="95"/>
        <v>0.76</v>
      </c>
      <c r="AO257" s="73" t="s">
        <v>570</v>
      </c>
      <c r="AP257" s="73" t="s">
        <v>570</v>
      </c>
      <c r="AQ257" s="73" t="s">
        <v>570</v>
      </c>
      <c r="AR257" s="73">
        <v>0.02</v>
      </c>
      <c r="AS257" s="73" t="s">
        <v>457</v>
      </c>
      <c r="AT257" s="110">
        <f>AF257-AL257</f>
        <v>0.25</v>
      </c>
      <c r="AU257" s="110">
        <f>SQRT(((T256-1)*AH257^2 + (T257-1)*AN257^2)/(T256+T257-2) )</f>
        <v>0.94540996398387944</v>
      </c>
      <c r="AV257" s="110">
        <f>1-3/(4*(S257+T257) - 9)</f>
        <v>0.86956521739130432</v>
      </c>
      <c r="AW257" s="110">
        <f>AT257/AU257*AV257</f>
        <v>0.22994395302515863</v>
      </c>
      <c r="AX257" s="110">
        <f>T256</f>
        <v>4</v>
      </c>
      <c r="AY257" s="110">
        <f>AW257*AX257</f>
        <v>0.91977581210063453</v>
      </c>
    </row>
    <row r="258" spans="1:51" ht="15" hidden="1" customHeight="1">
      <c r="A258" s="73" t="s">
        <v>492</v>
      </c>
      <c r="B258" s="73" t="s">
        <v>147</v>
      </c>
      <c r="C258" s="73" t="s">
        <v>67</v>
      </c>
      <c r="D258" s="73" t="s">
        <v>539</v>
      </c>
      <c r="E258" s="73" t="s">
        <v>540</v>
      </c>
      <c r="F258" s="73">
        <v>2000</v>
      </c>
      <c r="G258" s="73" t="s">
        <v>687</v>
      </c>
      <c r="H258" s="73"/>
      <c r="I258" s="73" t="s">
        <v>532</v>
      </c>
      <c r="J258" s="73" t="s">
        <v>684</v>
      </c>
      <c r="K258" s="73" t="s">
        <v>852</v>
      </c>
      <c r="L258" s="73" t="s">
        <v>685</v>
      </c>
      <c r="M258" s="73" t="s">
        <v>686</v>
      </c>
      <c r="N258" s="73"/>
      <c r="O258" s="73">
        <v>1</v>
      </c>
      <c r="P258" s="73"/>
      <c r="Q258" s="73"/>
      <c r="R258" s="73" t="s">
        <v>896</v>
      </c>
      <c r="S258" s="73">
        <v>4</v>
      </c>
      <c r="T258" s="73">
        <v>4</v>
      </c>
      <c r="U258" s="73" t="s">
        <v>570</v>
      </c>
      <c r="V258" s="73" t="s">
        <v>570</v>
      </c>
      <c r="W258" s="73" t="s">
        <v>570</v>
      </c>
      <c r="X258" s="73" t="s">
        <v>570</v>
      </c>
      <c r="Y258" s="73" t="s">
        <v>570</v>
      </c>
      <c r="Z258" s="73" t="s">
        <v>570</v>
      </c>
      <c r="AA258" s="73" t="s">
        <v>570</v>
      </c>
      <c r="AB258" s="73" t="s">
        <v>570</v>
      </c>
      <c r="AC258" s="73" t="s">
        <v>570</v>
      </c>
      <c r="AD258" s="73" t="s">
        <v>570</v>
      </c>
      <c r="AE258" s="73" t="s">
        <v>570</v>
      </c>
      <c r="AF258" s="73">
        <v>8.2100000000000009</v>
      </c>
      <c r="AG258" s="73">
        <v>0.31</v>
      </c>
      <c r="AH258" s="73">
        <f t="shared" si="94"/>
        <v>0.62</v>
      </c>
      <c r="AI258" s="73" t="s">
        <v>570</v>
      </c>
      <c r="AJ258" s="73" t="s">
        <v>570</v>
      </c>
      <c r="AK258" s="73" t="s">
        <v>570</v>
      </c>
      <c r="AL258" s="73">
        <v>8.3000000000000007</v>
      </c>
      <c r="AM258" s="73">
        <v>0.45</v>
      </c>
      <c r="AN258" s="73">
        <f t="shared" si="95"/>
        <v>0.9</v>
      </c>
      <c r="AO258" s="73" t="s">
        <v>570</v>
      </c>
      <c r="AP258" s="73" t="s">
        <v>570</v>
      </c>
      <c r="AQ258" s="73" t="s">
        <v>570</v>
      </c>
      <c r="AR258" s="73">
        <v>0.05</v>
      </c>
      <c r="AS258" s="73" t="s">
        <v>457</v>
      </c>
      <c r="AT258" s="46"/>
      <c r="AU258" s="46"/>
      <c r="AV258" s="46"/>
      <c r="AW258" s="46"/>
      <c r="AX258" s="46"/>
      <c r="AY258" s="46"/>
    </row>
    <row r="259" spans="1:51" ht="15" hidden="1" customHeight="1">
      <c r="A259" s="73" t="s">
        <v>492</v>
      </c>
      <c r="B259" s="73" t="s">
        <v>147</v>
      </c>
      <c r="C259" s="73" t="s">
        <v>67</v>
      </c>
      <c r="D259" s="73" t="s">
        <v>539</v>
      </c>
      <c r="E259" s="73" t="s">
        <v>540</v>
      </c>
      <c r="F259" s="73">
        <v>2000</v>
      </c>
      <c r="G259" s="73" t="s">
        <v>687</v>
      </c>
      <c r="H259" s="73"/>
      <c r="I259" s="73" t="s">
        <v>387</v>
      </c>
      <c r="J259" s="73" t="s">
        <v>862</v>
      </c>
      <c r="K259" s="73" t="s">
        <v>855</v>
      </c>
      <c r="L259" s="73" t="s">
        <v>13</v>
      </c>
      <c r="M259" s="73" t="s">
        <v>806</v>
      </c>
      <c r="N259" s="73">
        <v>1</v>
      </c>
      <c r="O259" s="73"/>
      <c r="P259" s="73"/>
      <c r="Q259" s="73"/>
      <c r="R259" s="73" t="s">
        <v>896</v>
      </c>
      <c r="S259" s="73">
        <v>4</v>
      </c>
      <c r="T259" s="73">
        <v>4</v>
      </c>
      <c r="U259" s="73" t="s">
        <v>570</v>
      </c>
      <c r="V259" s="73" t="s">
        <v>570</v>
      </c>
      <c r="W259" s="73" t="s">
        <v>570</v>
      </c>
      <c r="X259" s="73" t="s">
        <v>570</v>
      </c>
      <c r="Y259" s="73" t="s">
        <v>570</v>
      </c>
      <c r="Z259" s="73" t="s">
        <v>570</v>
      </c>
      <c r="AA259" s="73" t="s">
        <v>570</v>
      </c>
      <c r="AB259" s="73" t="s">
        <v>570</v>
      </c>
      <c r="AC259" s="73" t="s">
        <v>570</v>
      </c>
      <c r="AD259" s="73" t="s">
        <v>570</v>
      </c>
      <c r="AE259" s="73" t="s">
        <v>570</v>
      </c>
      <c r="AF259" s="73">
        <v>6.71</v>
      </c>
      <c r="AG259" s="73">
        <v>0.48</v>
      </c>
      <c r="AH259" s="73">
        <f t="shared" si="94"/>
        <v>0.96</v>
      </c>
      <c r="AI259" s="73" t="s">
        <v>570</v>
      </c>
      <c r="AJ259" s="73" t="s">
        <v>570</v>
      </c>
      <c r="AK259" s="73" t="s">
        <v>570</v>
      </c>
      <c r="AL259" s="73">
        <v>6.99</v>
      </c>
      <c r="AM259" s="73">
        <v>0.51</v>
      </c>
      <c r="AN259" s="73">
        <f t="shared" si="95"/>
        <v>1.02</v>
      </c>
      <c r="AO259" s="73" t="s">
        <v>570</v>
      </c>
      <c r="AP259" s="73" t="s">
        <v>570</v>
      </c>
      <c r="AQ259" s="73" t="s">
        <v>570</v>
      </c>
      <c r="AR259" s="73">
        <v>1.08</v>
      </c>
      <c r="AS259" s="73" t="s">
        <v>457</v>
      </c>
      <c r="AT259" s="46"/>
      <c r="AU259" s="46"/>
      <c r="AV259" s="46"/>
      <c r="AW259" s="46"/>
      <c r="AX259" s="46"/>
      <c r="AY259" s="46"/>
    </row>
    <row r="260" spans="1:51" ht="15" customHeight="1">
      <c r="A260" s="73" t="s">
        <v>492</v>
      </c>
      <c r="B260" s="73" t="s">
        <v>147</v>
      </c>
      <c r="C260" s="73" t="s">
        <v>67</v>
      </c>
      <c r="D260" s="73" t="s">
        <v>539</v>
      </c>
      <c r="E260" s="73" t="s">
        <v>540</v>
      </c>
      <c r="F260" s="73">
        <v>2000</v>
      </c>
      <c r="G260" s="73" t="s">
        <v>808</v>
      </c>
      <c r="H260" s="73"/>
      <c r="I260" s="73" t="s">
        <v>531</v>
      </c>
      <c r="J260" s="73" t="s">
        <v>736</v>
      </c>
      <c r="K260" s="73" t="s">
        <v>683</v>
      </c>
      <c r="L260" s="73" t="s">
        <v>131</v>
      </c>
      <c r="M260" s="73" t="s">
        <v>958</v>
      </c>
      <c r="N260" s="73">
        <v>1</v>
      </c>
      <c r="O260" s="73"/>
      <c r="P260" s="73"/>
      <c r="Q260" s="73"/>
      <c r="R260" s="73" t="s">
        <v>899</v>
      </c>
      <c r="S260" s="73">
        <v>4</v>
      </c>
      <c r="T260" s="73">
        <v>4</v>
      </c>
      <c r="U260" s="73" t="s">
        <v>570</v>
      </c>
      <c r="V260" s="73" t="s">
        <v>570</v>
      </c>
      <c r="W260" s="73" t="s">
        <v>570</v>
      </c>
      <c r="X260" s="73" t="s">
        <v>570</v>
      </c>
      <c r="Y260" s="73" t="s">
        <v>570</v>
      </c>
      <c r="Z260" s="73" t="s">
        <v>570</v>
      </c>
      <c r="AA260" s="73" t="s">
        <v>570</v>
      </c>
      <c r="AB260" s="73" t="s">
        <v>570</v>
      </c>
      <c r="AC260" s="73" t="s">
        <v>570</v>
      </c>
      <c r="AD260" s="73" t="s">
        <v>570</v>
      </c>
      <c r="AE260" s="73" t="s">
        <v>570</v>
      </c>
      <c r="AF260" s="73">
        <v>6.52</v>
      </c>
      <c r="AG260" s="73">
        <v>0.55000000000000004</v>
      </c>
      <c r="AH260" s="73">
        <f t="shared" si="94"/>
        <v>1.1000000000000001</v>
      </c>
      <c r="AI260" s="73" t="s">
        <v>570</v>
      </c>
      <c r="AJ260" s="73" t="s">
        <v>570</v>
      </c>
      <c r="AK260" s="73" t="s">
        <v>570</v>
      </c>
      <c r="AL260" s="73">
        <v>6.96</v>
      </c>
      <c r="AM260" s="73">
        <v>0.72</v>
      </c>
      <c r="AN260" s="73">
        <f t="shared" si="95"/>
        <v>1.44</v>
      </c>
      <c r="AO260" s="73" t="s">
        <v>570</v>
      </c>
      <c r="AP260" s="73" t="s">
        <v>570</v>
      </c>
      <c r="AQ260" s="73" t="s">
        <v>570</v>
      </c>
      <c r="AR260" s="73">
        <v>1.08</v>
      </c>
      <c r="AS260" s="73" t="s">
        <v>457</v>
      </c>
      <c r="AT260" s="110">
        <f>AF260-AL260</f>
        <v>-0.44000000000000039</v>
      </c>
      <c r="AU260" s="110">
        <f>SQRT(((T259-1)*AH260^2 + (T260-1)*AN260^2)/(T259+T260-2) )</f>
        <v>1.2813274366843161</v>
      </c>
      <c r="AV260" s="110">
        <f>1-3/(4*(S260+T260) - 9)</f>
        <v>0.86956521739130432</v>
      </c>
      <c r="AW260" s="110">
        <f>AT260/AU260*AV260</f>
        <v>-0.29860337389032166</v>
      </c>
      <c r="AX260" s="110">
        <f>T259</f>
        <v>4</v>
      </c>
      <c r="AY260" s="110">
        <f>AW260*AX260</f>
        <v>-1.1944134955612866</v>
      </c>
    </row>
    <row r="261" spans="1:51" ht="15" hidden="1" customHeight="1">
      <c r="A261" s="73" t="s">
        <v>492</v>
      </c>
      <c r="B261" s="73" t="s">
        <v>147</v>
      </c>
      <c r="C261" s="73" t="s">
        <v>67</v>
      </c>
      <c r="D261" s="73" t="s">
        <v>539</v>
      </c>
      <c r="E261" s="73" t="s">
        <v>540</v>
      </c>
      <c r="F261" s="73">
        <v>2000</v>
      </c>
      <c r="G261" s="73" t="s">
        <v>687</v>
      </c>
      <c r="H261" s="73"/>
      <c r="I261" s="73" t="s">
        <v>532</v>
      </c>
      <c r="J261" s="73" t="s">
        <v>684</v>
      </c>
      <c r="K261" s="73" t="s">
        <v>852</v>
      </c>
      <c r="L261" s="73" t="s">
        <v>685</v>
      </c>
      <c r="M261" s="73" t="s">
        <v>686</v>
      </c>
      <c r="N261" s="73"/>
      <c r="O261" s="73">
        <v>1</v>
      </c>
      <c r="P261" s="73"/>
      <c r="Q261" s="73"/>
      <c r="R261" s="73" t="s">
        <v>898</v>
      </c>
      <c r="S261" s="73">
        <v>4</v>
      </c>
      <c r="T261" s="73">
        <v>4</v>
      </c>
      <c r="U261" s="73" t="s">
        <v>570</v>
      </c>
      <c r="V261" s="73" t="s">
        <v>570</v>
      </c>
      <c r="W261" s="73" t="s">
        <v>570</v>
      </c>
      <c r="X261" s="73" t="s">
        <v>570</v>
      </c>
      <c r="Y261" s="73" t="s">
        <v>570</v>
      </c>
      <c r="Z261" s="73" t="s">
        <v>570</v>
      </c>
      <c r="AA261" s="73" t="s">
        <v>570</v>
      </c>
      <c r="AB261" s="73" t="s">
        <v>570</v>
      </c>
      <c r="AC261" s="73" t="s">
        <v>570</v>
      </c>
      <c r="AD261" s="73" t="s">
        <v>570</v>
      </c>
      <c r="AE261" s="73" t="s">
        <v>570</v>
      </c>
      <c r="AF261" s="73">
        <v>7.14</v>
      </c>
      <c r="AG261" s="73">
        <v>0.52</v>
      </c>
      <c r="AH261" s="73">
        <f t="shared" si="94"/>
        <v>1.04</v>
      </c>
      <c r="AI261" s="73" t="s">
        <v>570</v>
      </c>
      <c r="AJ261" s="73" t="s">
        <v>570</v>
      </c>
      <c r="AK261" s="73" t="s">
        <v>570</v>
      </c>
      <c r="AL261" s="73">
        <v>6.76</v>
      </c>
      <c r="AM261" s="73">
        <v>0.46</v>
      </c>
      <c r="AN261" s="73">
        <f t="shared" si="95"/>
        <v>0.92</v>
      </c>
      <c r="AO261" s="73" t="s">
        <v>570</v>
      </c>
      <c r="AP261" s="73" t="s">
        <v>570</v>
      </c>
      <c r="AQ261" s="73" t="s">
        <v>570</v>
      </c>
      <c r="AR261" s="73">
        <v>0.57999999999999996</v>
      </c>
      <c r="AS261" s="73" t="s">
        <v>457</v>
      </c>
      <c r="AT261" s="46"/>
      <c r="AU261" s="46"/>
      <c r="AV261" s="46"/>
      <c r="AW261" s="46"/>
      <c r="AX261" s="46"/>
      <c r="AY261" s="46"/>
    </row>
    <row r="262" spans="1:51" ht="15" hidden="1" customHeight="1">
      <c r="A262" s="73" t="s">
        <v>492</v>
      </c>
      <c r="B262" s="73" t="s">
        <v>147</v>
      </c>
      <c r="C262" s="73" t="s">
        <v>538</v>
      </c>
      <c r="D262" s="73" t="s">
        <v>541</v>
      </c>
      <c r="E262" s="73" t="s">
        <v>542</v>
      </c>
      <c r="F262" s="73">
        <v>2000</v>
      </c>
      <c r="G262" s="73" t="s">
        <v>687</v>
      </c>
      <c r="H262" s="73"/>
      <c r="I262" s="73" t="s">
        <v>387</v>
      </c>
      <c r="J262" s="73" t="s">
        <v>862</v>
      </c>
      <c r="K262" s="73" t="s">
        <v>855</v>
      </c>
      <c r="L262" s="73" t="s">
        <v>13</v>
      </c>
      <c r="M262" s="73" t="s">
        <v>806</v>
      </c>
      <c r="N262" s="73">
        <v>1</v>
      </c>
      <c r="O262" s="73"/>
      <c r="P262" s="73"/>
      <c r="Q262" s="73"/>
      <c r="R262" s="73" t="s">
        <v>896</v>
      </c>
      <c r="S262" s="73">
        <v>4</v>
      </c>
      <c r="T262" s="73">
        <v>4</v>
      </c>
      <c r="U262" s="73" t="s">
        <v>570</v>
      </c>
      <c r="V262" s="73" t="s">
        <v>570</v>
      </c>
      <c r="W262" s="73" t="s">
        <v>570</v>
      </c>
      <c r="X262" s="73" t="s">
        <v>570</v>
      </c>
      <c r="Y262" s="73" t="s">
        <v>570</v>
      </c>
      <c r="Z262" s="73" t="s">
        <v>570</v>
      </c>
      <c r="AA262" s="73" t="s">
        <v>570</v>
      </c>
      <c r="AB262" s="73" t="s">
        <v>570</v>
      </c>
      <c r="AC262" s="73" t="s">
        <v>570</v>
      </c>
      <c r="AD262" s="73" t="s">
        <v>570</v>
      </c>
      <c r="AE262" s="73" t="s">
        <v>570</v>
      </c>
      <c r="AF262" s="73">
        <v>8.8800000000000008</v>
      </c>
      <c r="AG262" s="73">
        <v>0.3</v>
      </c>
      <c r="AH262" s="73">
        <f t="shared" si="94"/>
        <v>0.6</v>
      </c>
      <c r="AI262" s="73" t="s">
        <v>570</v>
      </c>
      <c r="AJ262" s="73" t="s">
        <v>570</v>
      </c>
      <c r="AK262" s="73" t="s">
        <v>570</v>
      </c>
      <c r="AL262" s="73">
        <v>8.8800000000000008</v>
      </c>
      <c r="AM262" s="73">
        <v>0.45</v>
      </c>
      <c r="AN262" s="73">
        <f t="shared" si="95"/>
        <v>0.9</v>
      </c>
      <c r="AO262" s="73" t="s">
        <v>570</v>
      </c>
      <c r="AP262" s="73" t="s">
        <v>570</v>
      </c>
      <c r="AQ262" s="73" t="s">
        <v>570</v>
      </c>
      <c r="AR262" s="73">
        <v>0.2</v>
      </c>
      <c r="AS262" s="73" t="s">
        <v>457</v>
      </c>
      <c r="AT262" s="46"/>
      <c r="AU262" s="46"/>
      <c r="AV262" s="46"/>
      <c r="AW262" s="46"/>
      <c r="AX262" s="46"/>
      <c r="AY262" s="46"/>
    </row>
    <row r="263" spans="1:51" ht="15" customHeight="1">
      <c r="A263" s="73" t="s">
        <v>492</v>
      </c>
      <c r="B263" s="73" t="s">
        <v>147</v>
      </c>
      <c r="C263" s="73" t="s">
        <v>538</v>
      </c>
      <c r="D263" s="73" t="s">
        <v>541</v>
      </c>
      <c r="E263" s="73" t="s">
        <v>542</v>
      </c>
      <c r="F263" s="73">
        <v>2000</v>
      </c>
      <c r="G263" s="73" t="s">
        <v>808</v>
      </c>
      <c r="H263" s="73"/>
      <c r="I263" s="73" t="s">
        <v>531</v>
      </c>
      <c r="J263" s="73" t="s">
        <v>736</v>
      </c>
      <c r="K263" s="73" t="s">
        <v>683</v>
      </c>
      <c r="L263" s="73" t="s">
        <v>131</v>
      </c>
      <c r="M263" s="73" t="s">
        <v>958</v>
      </c>
      <c r="N263" s="73">
        <v>1</v>
      </c>
      <c r="O263" s="73"/>
      <c r="P263" s="73"/>
      <c r="Q263" s="73"/>
      <c r="R263" s="73" t="s">
        <v>899</v>
      </c>
      <c r="S263" s="73">
        <v>4</v>
      </c>
      <c r="T263" s="73">
        <v>4</v>
      </c>
      <c r="U263" s="73" t="s">
        <v>570</v>
      </c>
      <c r="V263" s="73" t="s">
        <v>570</v>
      </c>
      <c r="W263" s="73" t="s">
        <v>570</v>
      </c>
      <c r="X263" s="73" t="s">
        <v>570</v>
      </c>
      <c r="Y263" s="73" t="s">
        <v>570</v>
      </c>
      <c r="Z263" s="73" t="s">
        <v>570</v>
      </c>
      <c r="AA263" s="73" t="s">
        <v>570</v>
      </c>
      <c r="AB263" s="73" t="s">
        <v>570</v>
      </c>
      <c r="AC263" s="73" t="s">
        <v>570</v>
      </c>
      <c r="AD263" s="73" t="s">
        <v>570</v>
      </c>
      <c r="AE263" s="73" t="s">
        <v>570</v>
      </c>
      <c r="AF263" s="73">
        <v>9.11</v>
      </c>
      <c r="AG263" s="73">
        <v>0.34</v>
      </c>
      <c r="AH263" s="73">
        <f t="shared" si="94"/>
        <v>0.68</v>
      </c>
      <c r="AI263" s="73" t="s">
        <v>570</v>
      </c>
      <c r="AJ263" s="73" t="s">
        <v>570</v>
      </c>
      <c r="AK263" s="73" t="s">
        <v>570</v>
      </c>
      <c r="AL263" s="73">
        <v>8.83</v>
      </c>
      <c r="AM263" s="73">
        <v>0.27</v>
      </c>
      <c r="AN263" s="73">
        <f t="shared" si="95"/>
        <v>0.54</v>
      </c>
      <c r="AO263" s="73" t="s">
        <v>570</v>
      </c>
      <c r="AP263" s="73" t="s">
        <v>570</v>
      </c>
      <c r="AQ263" s="73" t="s">
        <v>570</v>
      </c>
      <c r="AR263" s="73">
        <v>0.2</v>
      </c>
      <c r="AS263" s="73" t="s">
        <v>457</v>
      </c>
      <c r="AT263" s="110">
        <f>AF263-AL263</f>
        <v>0.27999999999999936</v>
      </c>
      <c r="AU263" s="110">
        <f>SQRT(((T262-1)*AH263^2 + (T263-1)*AN263^2)/(T262+T263-2) )</f>
        <v>0.6140032573203501</v>
      </c>
      <c r="AV263" s="110">
        <f>1-3/(4*(S263+T263) - 9)</f>
        <v>0.86956521739130432</v>
      </c>
      <c r="AW263" s="110">
        <f>AT263/AU263*AV263</f>
        <v>0.39654229512097244</v>
      </c>
      <c r="AX263" s="110">
        <f>T262</f>
        <v>4</v>
      </c>
      <c r="AY263" s="110">
        <f>AW263*AX263</f>
        <v>1.5861691804838898</v>
      </c>
    </row>
    <row r="264" spans="1:51" ht="15" hidden="1" customHeight="1">
      <c r="A264" s="73" t="s">
        <v>492</v>
      </c>
      <c r="B264" s="73" t="s">
        <v>147</v>
      </c>
      <c r="C264" s="73" t="s">
        <v>538</v>
      </c>
      <c r="D264" s="73" t="s">
        <v>541</v>
      </c>
      <c r="E264" s="73" t="s">
        <v>542</v>
      </c>
      <c r="F264" s="73">
        <v>2000</v>
      </c>
      <c r="G264" s="73" t="s">
        <v>687</v>
      </c>
      <c r="H264" s="73"/>
      <c r="I264" s="73" t="s">
        <v>532</v>
      </c>
      <c r="J264" s="73" t="s">
        <v>684</v>
      </c>
      <c r="K264" s="73" t="s">
        <v>852</v>
      </c>
      <c r="L264" s="73" t="s">
        <v>685</v>
      </c>
      <c r="M264" s="73" t="s">
        <v>686</v>
      </c>
      <c r="N264" s="73"/>
      <c r="O264" s="73">
        <v>1</v>
      </c>
      <c r="P264" s="73"/>
      <c r="Q264" s="73"/>
      <c r="R264" s="73" t="s">
        <v>898</v>
      </c>
      <c r="S264" s="73">
        <v>4</v>
      </c>
      <c r="T264" s="73">
        <v>4</v>
      </c>
      <c r="U264" s="73" t="s">
        <v>570</v>
      </c>
      <c r="V264" s="73" t="s">
        <v>570</v>
      </c>
      <c r="W264" s="73" t="s">
        <v>570</v>
      </c>
      <c r="X264" s="73" t="s">
        <v>570</v>
      </c>
      <c r="Y264" s="73" t="s">
        <v>570</v>
      </c>
      <c r="Z264" s="73" t="s">
        <v>570</v>
      </c>
      <c r="AA264" s="73" t="s">
        <v>570</v>
      </c>
      <c r="AB264" s="73" t="s">
        <v>570</v>
      </c>
      <c r="AC264" s="73" t="s">
        <v>570</v>
      </c>
      <c r="AD264" s="73" t="s">
        <v>570</v>
      </c>
      <c r="AE264" s="73" t="s">
        <v>570</v>
      </c>
      <c r="AF264" s="73">
        <v>6.98</v>
      </c>
      <c r="AG264" s="73">
        <v>0.41</v>
      </c>
      <c r="AH264" s="73">
        <f t="shared" si="94"/>
        <v>0.82</v>
      </c>
      <c r="AI264" s="73" t="s">
        <v>570</v>
      </c>
      <c r="AJ264" s="73" t="s">
        <v>570</v>
      </c>
      <c r="AK264" s="73" t="s">
        <v>570</v>
      </c>
      <c r="AL264" s="73">
        <v>7.85</v>
      </c>
      <c r="AM264" s="73">
        <v>0.4</v>
      </c>
      <c r="AN264" s="73">
        <f t="shared" si="95"/>
        <v>0.8</v>
      </c>
      <c r="AO264" s="73" t="s">
        <v>570</v>
      </c>
      <c r="AP264" s="73" t="s">
        <v>570</v>
      </c>
      <c r="AQ264" s="73" t="s">
        <v>570</v>
      </c>
      <c r="AR264" s="73">
        <v>3.88</v>
      </c>
      <c r="AS264" s="73" t="s">
        <v>457</v>
      </c>
      <c r="AT264" s="46"/>
      <c r="AU264" s="46"/>
      <c r="AV264" s="46"/>
      <c r="AW264" s="46"/>
      <c r="AX264" s="46"/>
      <c r="AY264" s="46"/>
    </row>
    <row r="265" spans="1:51" ht="15" hidden="1" customHeight="1">
      <c r="A265" s="73" t="s">
        <v>492</v>
      </c>
      <c r="B265" s="73" t="s">
        <v>147</v>
      </c>
      <c r="C265" s="73" t="s">
        <v>538</v>
      </c>
      <c r="D265" s="73" t="s">
        <v>541</v>
      </c>
      <c r="E265" s="73" t="s">
        <v>542</v>
      </c>
      <c r="F265" s="73">
        <v>2000</v>
      </c>
      <c r="G265" s="73" t="s">
        <v>687</v>
      </c>
      <c r="H265" s="73"/>
      <c r="I265" s="73" t="s">
        <v>387</v>
      </c>
      <c r="J265" s="73" t="s">
        <v>862</v>
      </c>
      <c r="K265" s="73" t="s">
        <v>855</v>
      </c>
      <c r="L265" s="73" t="s">
        <v>13</v>
      </c>
      <c r="M265" s="73" t="s">
        <v>806</v>
      </c>
      <c r="N265" s="73">
        <v>1</v>
      </c>
      <c r="O265" s="73"/>
      <c r="P265" s="73"/>
      <c r="Q265" s="73"/>
      <c r="R265" s="73" t="s">
        <v>896</v>
      </c>
      <c r="S265" s="73">
        <v>4</v>
      </c>
      <c r="T265" s="73">
        <v>4</v>
      </c>
      <c r="U265" s="73" t="s">
        <v>570</v>
      </c>
      <c r="V265" s="73" t="s">
        <v>570</v>
      </c>
      <c r="W265" s="73" t="s">
        <v>570</v>
      </c>
      <c r="X265" s="73" t="s">
        <v>570</v>
      </c>
      <c r="Y265" s="73" t="s">
        <v>570</v>
      </c>
      <c r="Z265" s="73" t="s">
        <v>570</v>
      </c>
      <c r="AA265" s="73" t="s">
        <v>570</v>
      </c>
      <c r="AB265" s="73" t="s">
        <v>570</v>
      </c>
      <c r="AC265" s="73" t="s">
        <v>570</v>
      </c>
      <c r="AD265" s="73" t="s">
        <v>570</v>
      </c>
      <c r="AE265" s="73" t="s">
        <v>570</v>
      </c>
      <c r="AF265" s="73">
        <v>5</v>
      </c>
      <c r="AG265" s="73">
        <v>1.25</v>
      </c>
      <c r="AH265" s="73">
        <f t="shared" si="94"/>
        <v>2.5</v>
      </c>
      <c r="AI265" s="73" t="s">
        <v>570</v>
      </c>
      <c r="AJ265" s="73" t="s">
        <v>570</v>
      </c>
      <c r="AK265" s="73" t="s">
        <v>570</v>
      </c>
      <c r="AL265" s="73">
        <v>4.96</v>
      </c>
      <c r="AM265" s="73">
        <v>0.6</v>
      </c>
      <c r="AN265" s="73">
        <f t="shared" si="95"/>
        <v>1.2</v>
      </c>
      <c r="AO265" s="73" t="s">
        <v>570</v>
      </c>
      <c r="AP265" s="73" t="s">
        <v>570</v>
      </c>
      <c r="AQ265" s="73" t="s">
        <v>570</v>
      </c>
      <c r="AR265" s="73">
        <v>0.01</v>
      </c>
      <c r="AS265" s="73" t="s">
        <v>457</v>
      </c>
      <c r="AT265" s="46"/>
      <c r="AU265" s="46"/>
      <c r="AV265" s="46"/>
      <c r="AW265" s="46"/>
      <c r="AX265" s="46"/>
      <c r="AY265" s="46"/>
    </row>
    <row r="266" spans="1:51" ht="15" customHeight="1">
      <c r="A266" s="73" t="s">
        <v>492</v>
      </c>
      <c r="B266" s="73" t="s">
        <v>147</v>
      </c>
      <c r="C266" s="73" t="s">
        <v>538</v>
      </c>
      <c r="D266" s="73" t="s">
        <v>541</v>
      </c>
      <c r="E266" s="73" t="s">
        <v>542</v>
      </c>
      <c r="F266" s="73">
        <v>2000</v>
      </c>
      <c r="G266" s="73" t="s">
        <v>808</v>
      </c>
      <c r="H266" s="73"/>
      <c r="I266" s="73" t="s">
        <v>531</v>
      </c>
      <c r="J266" s="73" t="s">
        <v>736</v>
      </c>
      <c r="K266" s="73" t="s">
        <v>683</v>
      </c>
      <c r="L266" s="73" t="s">
        <v>131</v>
      </c>
      <c r="M266" s="73" t="s">
        <v>958</v>
      </c>
      <c r="N266" s="73">
        <v>1</v>
      </c>
      <c r="O266" s="73"/>
      <c r="P266" s="73"/>
      <c r="Q266" s="73"/>
      <c r="R266" s="73" t="s">
        <v>899</v>
      </c>
      <c r="S266" s="73">
        <v>4</v>
      </c>
      <c r="T266" s="73">
        <v>4</v>
      </c>
      <c r="U266" s="73" t="s">
        <v>570</v>
      </c>
      <c r="V266" s="73" t="s">
        <v>570</v>
      </c>
      <c r="W266" s="73" t="s">
        <v>570</v>
      </c>
      <c r="X266" s="73" t="s">
        <v>570</v>
      </c>
      <c r="Y266" s="73" t="s">
        <v>570</v>
      </c>
      <c r="Z266" s="73" t="s">
        <v>570</v>
      </c>
      <c r="AA266" s="73" t="s">
        <v>570</v>
      </c>
      <c r="AB266" s="73" t="s">
        <v>570</v>
      </c>
      <c r="AC266" s="73" t="s">
        <v>570</v>
      </c>
      <c r="AD266" s="73" t="s">
        <v>570</v>
      </c>
      <c r="AE266" s="73" t="s">
        <v>570</v>
      </c>
      <c r="AF266" s="73">
        <v>4.88</v>
      </c>
      <c r="AG266" s="73">
        <v>0.38</v>
      </c>
      <c r="AH266" s="73">
        <f t="shared" si="94"/>
        <v>0.76</v>
      </c>
      <c r="AI266" s="73" t="s">
        <v>570</v>
      </c>
      <c r="AJ266" s="73" t="s">
        <v>570</v>
      </c>
      <c r="AK266" s="73" t="s">
        <v>570</v>
      </c>
      <c r="AL266" s="73">
        <v>4.8099999999999996</v>
      </c>
      <c r="AM266" s="73">
        <v>0.86</v>
      </c>
      <c r="AN266" s="73">
        <f t="shared" si="95"/>
        <v>1.72</v>
      </c>
      <c r="AO266" s="73" t="s">
        <v>570</v>
      </c>
      <c r="AP266" s="73" t="s">
        <v>570</v>
      </c>
      <c r="AQ266" s="73" t="s">
        <v>570</v>
      </c>
      <c r="AR266" s="73">
        <v>0.01</v>
      </c>
      <c r="AS266" s="73" t="s">
        <v>457</v>
      </c>
      <c r="AT266" s="110">
        <f>AF266-AL266</f>
        <v>7.0000000000000284E-2</v>
      </c>
      <c r="AU266" s="110">
        <f>SQRT(((T265-1)*AH266^2 + (T266-1)*AN266^2)/(T265+T266-2) )</f>
        <v>1.329661611087573</v>
      </c>
      <c r="AV266" s="110">
        <f>1-3/(4*(S266+T266) - 9)</f>
        <v>0.86956521739130432</v>
      </c>
      <c r="AW266" s="110">
        <f>AT266/AU266*AV266</f>
        <v>4.5778237643188315E-2</v>
      </c>
      <c r="AX266" s="110">
        <f>T265</f>
        <v>4</v>
      </c>
      <c r="AY266" s="110">
        <f>AW266*AX266</f>
        <v>0.18311295057275326</v>
      </c>
    </row>
    <row r="267" spans="1:51" ht="15" hidden="1" customHeight="1">
      <c r="A267" s="78" t="s">
        <v>492</v>
      </c>
      <c r="B267" s="78" t="s">
        <v>147</v>
      </c>
      <c r="C267" s="78" t="s">
        <v>538</v>
      </c>
      <c r="D267" s="78" t="s">
        <v>541</v>
      </c>
      <c r="E267" s="78" t="s">
        <v>542</v>
      </c>
      <c r="F267" s="78">
        <v>2000</v>
      </c>
      <c r="G267" s="78" t="s">
        <v>687</v>
      </c>
      <c r="H267" s="78"/>
      <c r="I267" s="78" t="s">
        <v>532</v>
      </c>
      <c r="J267" s="78" t="s">
        <v>684</v>
      </c>
      <c r="K267" s="78" t="s">
        <v>852</v>
      </c>
      <c r="L267" s="78" t="s">
        <v>685</v>
      </c>
      <c r="M267" s="78" t="s">
        <v>686</v>
      </c>
      <c r="N267" s="78"/>
      <c r="O267" s="78">
        <v>1</v>
      </c>
      <c r="P267" s="78"/>
      <c r="Q267" s="78"/>
      <c r="R267" s="78" t="s">
        <v>898</v>
      </c>
      <c r="S267" s="78">
        <v>4</v>
      </c>
      <c r="T267" s="78">
        <v>4</v>
      </c>
      <c r="U267" s="78" t="s">
        <v>570</v>
      </c>
      <c r="V267" s="78" t="s">
        <v>570</v>
      </c>
      <c r="W267" s="78" t="s">
        <v>570</v>
      </c>
      <c r="X267" s="78" t="s">
        <v>570</v>
      </c>
      <c r="Y267" s="78" t="s">
        <v>570</v>
      </c>
      <c r="Z267" s="78" t="s">
        <v>570</v>
      </c>
      <c r="AA267" s="78" t="s">
        <v>570</v>
      </c>
      <c r="AB267" s="78" t="s">
        <v>570</v>
      </c>
      <c r="AC267" s="78" t="s">
        <v>570</v>
      </c>
      <c r="AD267" s="78" t="s">
        <v>570</v>
      </c>
      <c r="AE267" s="78" t="s">
        <v>570</v>
      </c>
      <c r="AF267" s="78">
        <v>3.62</v>
      </c>
      <c r="AG267" s="78">
        <v>0.67</v>
      </c>
      <c r="AH267" s="78">
        <f t="shared" si="94"/>
        <v>1.34</v>
      </c>
      <c r="AI267" s="78" t="s">
        <v>570</v>
      </c>
      <c r="AJ267" s="78" t="s">
        <v>570</v>
      </c>
      <c r="AK267" s="78" t="s">
        <v>570</v>
      </c>
      <c r="AL267" s="78">
        <v>3.8</v>
      </c>
      <c r="AM267" s="78">
        <v>0.83</v>
      </c>
      <c r="AN267" s="78">
        <f t="shared" si="95"/>
        <v>1.66</v>
      </c>
      <c r="AO267" s="78" t="s">
        <v>570</v>
      </c>
      <c r="AP267" s="78" t="s">
        <v>570</v>
      </c>
      <c r="AQ267" s="78" t="s">
        <v>570</v>
      </c>
      <c r="AR267" s="78">
        <v>0.01</v>
      </c>
      <c r="AS267" s="78" t="s">
        <v>457</v>
      </c>
      <c r="AT267" s="46"/>
      <c r="AU267" s="46"/>
      <c r="AV267" s="46"/>
      <c r="AW267" s="46"/>
      <c r="AX267" s="46"/>
      <c r="AY267" s="46"/>
    </row>
    <row r="268" spans="1:51" ht="15" customHeight="1">
      <c r="A268" s="73" t="s">
        <v>543</v>
      </c>
      <c r="B268" s="73" t="s">
        <v>604</v>
      </c>
      <c r="C268" s="73" t="s">
        <v>912</v>
      </c>
      <c r="D268" s="73" t="s">
        <v>913</v>
      </c>
      <c r="E268" s="73" t="s">
        <v>914</v>
      </c>
      <c r="F268" s="73">
        <v>1994</v>
      </c>
      <c r="G268" s="73" t="s">
        <v>374</v>
      </c>
      <c r="H268" s="73"/>
      <c r="I268" s="73" t="s">
        <v>545</v>
      </c>
      <c r="J268" s="73" t="s">
        <v>809</v>
      </c>
      <c r="K268" s="73" t="s">
        <v>569</v>
      </c>
      <c r="L268" s="73" t="s">
        <v>131</v>
      </c>
      <c r="M268" s="73" t="s">
        <v>958</v>
      </c>
      <c r="N268" s="73">
        <v>1</v>
      </c>
      <c r="O268" s="73"/>
      <c r="P268" s="73"/>
      <c r="Q268" s="73"/>
      <c r="R268" s="73" t="s">
        <v>547</v>
      </c>
      <c r="S268" s="73">
        <v>6</v>
      </c>
      <c r="T268" s="73">
        <v>6</v>
      </c>
      <c r="U268" s="73" t="s">
        <v>548</v>
      </c>
      <c r="V268" s="73" t="s">
        <v>570</v>
      </c>
      <c r="W268" s="73" t="s">
        <v>570</v>
      </c>
      <c r="X268" s="73" t="s">
        <v>570</v>
      </c>
      <c r="Y268" s="73" t="s">
        <v>570</v>
      </c>
      <c r="Z268" s="73" t="s">
        <v>570</v>
      </c>
      <c r="AA268" s="73" t="s">
        <v>570</v>
      </c>
      <c r="AB268" s="73" t="s">
        <v>570</v>
      </c>
      <c r="AC268" s="73" t="s">
        <v>570</v>
      </c>
      <c r="AD268" s="73" t="s">
        <v>570</v>
      </c>
      <c r="AE268" s="73" t="s">
        <v>570</v>
      </c>
      <c r="AF268" s="73">
        <v>8.9499999999999993</v>
      </c>
      <c r="AG268" s="73" t="s">
        <v>570</v>
      </c>
      <c r="AH268" s="87">
        <f t="shared" ref="AH268:AH277" si="96">AJ268/AK268</f>
        <v>0.41191066997518605</v>
      </c>
      <c r="AI268" s="73" t="s">
        <v>570</v>
      </c>
      <c r="AJ268" s="73">
        <v>0.83</v>
      </c>
      <c r="AK268" s="73">
        <v>2.0150000000000001</v>
      </c>
      <c r="AL268" s="73">
        <v>8.36</v>
      </c>
      <c r="AM268" s="73" t="s">
        <v>570</v>
      </c>
      <c r="AN268" s="87">
        <f t="shared" ref="AN268:AN277" si="97">AP268/AQ268</f>
        <v>0.41191066997518605</v>
      </c>
      <c r="AO268" s="73" t="s">
        <v>570</v>
      </c>
      <c r="AP268" s="73">
        <v>0.83</v>
      </c>
      <c r="AQ268" s="73">
        <v>2.0150000000000001</v>
      </c>
      <c r="AR268" s="73" t="s">
        <v>570</v>
      </c>
      <c r="AS268" s="73" t="s">
        <v>785</v>
      </c>
      <c r="AT268" s="110">
        <f t="shared" ref="AT268:AT277" si="98">AF268-AL268</f>
        <v>0.58999999999999986</v>
      </c>
      <c r="AU268" s="110">
        <f t="shared" ref="AU268:AU277" si="99">SQRT(((T267-1)*AH268^2 + (T268-1)*AN268^2)/(T267+T268-2) )</f>
        <v>0.41191066997518605</v>
      </c>
      <c r="AV268" s="110">
        <f t="shared" ref="AV268:AV277" si="100">1-3/(4*(S268+T268) - 9)</f>
        <v>0.92307692307692313</v>
      </c>
      <c r="AW268" s="110">
        <f t="shared" ref="AW268:AW277" si="101">AT268/AU268*AV268</f>
        <v>1.3221686746987953</v>
      </c>
      <c r="AX268" s="110">
        <f t="shared" ref="AX268:AX277" si="102">T267</f>
        <v>4</v>
      </c>
      <c r="AY268" s="110">
        <f t="shared" ref="AY268:AY277" si="103">AW268*AX268</f>
        <v>5.2886746987951812</v>
      </c>
    </row>
    <row r="269" spans="1:51" ht="15" customHeight="1">
      <c r="A269" s="73" t="s">
        <v>543</v>
      </c>
      <c r="B269" s="73" t="s">
        <v>604</v>
      </c>
      <c r="C269" s="73" t="s">
        <v>544</v>
      </c>
      <c r="D269" s="73" t="s">
        <v>913</v>
      </c>
      <c r="E269" s="73" t="s">
        <v>914</v>
      </c>
      <c r="F269" s="73">
        <v>1994</v>
      </c>
      <c r="G269" s="73" t="s">
        <v>374</v>
      </c>
      <c r="H269" s="73"/>
      <c r="I269" s="73" t="s">
        <v>545</v>
      </c>
      <c r="J269" s="73" t="s">
        <v>546</v>
      </c>
      <c r="K269" s="73" t="s">
        <v>569</v>
      </c>
      <c r="L269" s="73" t="s">
        <v>131</v>
      </c>
      <c r="M269" s="73" t="s">
        <v>958</v>
      </c>
      <c r="N269" s="73">
        <v>1</v>
      </c>
      <c r="O269" s="73"/>
      <c r="P269" s="73"/>
      <c r="Q269" s="73"/>
      <c r="R269" s="73" t="s">
        <v>547</v>
      </c>
      <c r="S269" s="73">
        <v>6</v>
      </c>
      <c r="T269" s="73">
        <v>6</v>
      </c>
      <c r="U269" s="73" t="s">
        <v>549</v>
      </c>
      <c r="V269" s="73" t="s">
        <v>570</v>
      </c>
      <c r="W269" s="73" t="s">
        <v>570</v>
      </c>
      <c r="X269" s="73" t="s">
        <v>570</v>
      </c>
      <c r="Y269" s="73" t="s">
        <v>570</v>
      </c>
      <c r="Z269" s="73" t="s">
        <v>570</v>
      </c>
      <c r="AA269" s="73" t="s">
        <v>570</v>
      </c>
      <c r="AB269" s="73" t="s">
        <v>570</v>
      </c>
      <c r="AC269" s="73" t="s">
        <v>570</v>
      </c>
      <c r="AD269" s="73" t="s">
        <v>570</v>
      </c>
      <c r="AE269" s="73" t="s">
        <v>570</v>
      </c>
      <c r="AF269" s="73">
        <v>9.93</v>
      </c>
      <c r="AG269" s="73" t="s">
        <v>570</v>
      </c>
      <c r="AH269" s="87">
        <f t="shared" si="96"/>
        <v>0.41191066997518605</v>
      </c>
      <c r="AI269" s="73" t="s">
        <v>570</v>
      </c>
      <c r="AJ269" s="73">
        <v>0.83</v>
      </c>
      <c r="AK269" s="73">
        <v>2.0150000000000001</v>
      </c>
      <c r="AL269" s="73">
        <v>8.7100000000000009</v>
      </c>
      <c r="AM269" s="73" t="s">
        <v>570</v>
      </c>
      <c r="AN269" s="87">
        <f t="shared" si="97"/>
        <v>0.41191066997518605</v>
      </c>
      <c r="AO269" s="73" t="s">
        <v>570</v>
      </c>
      <c r="AP269" s="73">
        <v>0.83</v>
      </c>
      <c r="AQ269" s="73">
        <v>2.0150000000000001</v>
      </c>
      <c r="AR269" s="73" t="s">
        <v>570</v>
      </c>
      <c r="AS269" s="73" t="s">
        <v>457</v>
      </c>
      <c r="AT269" s="110">
        <f t="shared" si="98"/>
        <v>1.2199999999999989</v>
      </c>
      <c r="AU269" s="110">
        <f t="shared" si="99"/>
        <v>0.41191066997518605</v>
      </c>
      <c r="AV269" s="110">
        <f t="shared" si="100"/>
        <v>0.92307692307692313</v>
      </c>
      <c r="AW269" s="110">
        <f t="shared" si="101"/>
        <v>2.7339759036144557</v>
      </c>
      <c r="AX269" s="110">
        <f t="shared" si="102"/>
        <v>6</v>
      </c>
      <c r="AY269" s="110">
        <f t="shared" si="103"/>
        <v>16.403855421686735</v>
      </c>
    </row>
    <row r="270" spans="1:51" ht="15" customHeight="1">
      <c r="A270" s="73" t="s">
        <v>543</v>
      </c>
      <c r="B270" s="73" t="s">
        <v>604</v>
      </c>
      <c r="C270" s="73" t="s">
        <v>544</v>
      </c>
      <c r="D270" s="73" t="s">
        <v>913</v>
      </c>
      <c r="E270" s="73" t="s">
        <v>914</v>
      </c>
      <c r="F270" s="73">
        <v>1994</v>
      </c>
      <c r="G270" s="73" t="s">
        <v>374</v>
      </c>
      <c r="H270" s="73"/>
      <c r="I270" s="73" t="s">
        <v>545</v>
      </c>
      <c r="J270" s="73" t="s">
        <v>546</v>
      </c>
      <c r="K270" s="73" t="s">
        <v>569</v>
      </c>
      <c r="L270" s="73" t="s">
        <v>131</v>
      </c>
      <c r="M270" s="73" t="s">
        <v>958</v>
      </c>
      <c r="N270" s="73">
        <v>1</v>
      </c>
      <c r="O270" s="73"/>
      <c r="P270" s="73"/>
      <c r="Q270" s="73"/>
      <c r="R270" s="73" t="s">
        <v>547</v>
      </c>
      <c r="S270" s="73">
        <v>6</v>
      </c>
      <c r="T270" s="73">
        <v>6</v>
      </c>
      <c r="U270" s="73" t="s">
        <v>550</v>
      </c>
      <c r="V270" s="73" t="s">
        <v>570</v>
      </c>
      <c r="W270" s="73" t="s">
        <v>570</v>
      </c>
      <c r="X270" s="73" t="s">
        <v>570</v>
      </c>
      <c r="Y270" s="73" t="s">
        <v>570</v>
      </c>
      <c r="Z270" s="73" t="s">
        <v>570</v>
      </c>
      <c r="AA270" s="73" t="s">
        <v>570</v>
      </c>
      <c r="AB270" s="73" t="s">
        <v>570</v>
      </c>
      <c r="AC270" s="73" t="s">
        <v>570</v>
      </c>
      <c r="AD270" s="73" t="s">
        <v>570</v>
      </c>
      <c r="AE270" s="73" t="s">
        <v>570</v>
      </c>
      <c r="AF270" s="73">
        <v>9.94</v>
      </c>
      <c r="AG270" s="73" t="s">
        <v>570</v>
      </c>
      <c r="AH270" s="87">
        <f t="shared" si="96"/>
        <v>0.41191066997518605</v>
      </c>
      <c r="AI270" s="73" t="s">
        <v>570</v>
      </c>
      <c r="AJ270" s="73">
        <v>0.83</v>
      </c>
      <c r="AK270" s="73">
        <v>2.0150000000000001</v>
      </c>
      <c r="AL270" s="73">
        <v>9.41</v>
      </c>
      <c r="AM270" s="73" t="s">
        <v>570</v>
      </c>
      <c r="AN270" s="87">
        <f t="shared" si="97"/>
        <v>0.41191066997518605</v>
      </c>
      <c r="AO270" s="73" t="s">
        <v>570</v>
      </c>
      <c r="AP270" s="73">
        <v>0.83</v>
      </c>
      <c r="AQ270" s="73">
        <v>2.0150000000000001</v>
      </c>
      <c r="AR270" s="73" t="s">
        <v>570</v>
      </c>
      <c r="AS270" s="73" t="s">
        <v>457</v>
      </c>
      <c r="AT270" s="110">
        <f t="shared" si="98"/>
        <v>0.52999999999999936</v>
      </c>
      <c r="AU270" s="110">
        <f t="shared" si="99"/>
        <v>0.41191066997518605</v>
      </c>
      <c r="AV270" s="110">
        <f t="shared" si="100"/>
        <v>0.92307692307692313</v>
      </c>
      <c r="AW270" s="110">
        <f t="shared" si="101"/>
        <v>1.1877108433734926</v>
      </c>
      <c r="AX270" s="110">
        <f t="shared" si="102"/>
        <v>6</v>
      </c>
      <c r="AY270" s="110">
        <f t="shared" si="103"/>
        <v>7.1262650602409554</v>
      </c>
    </row>
    <row r="271" spans="1:51" ht="15" customHeight="1">
      <c r="A271" s="73" t="s">
        <v>543</v>
      </c>
      <c r="B271" s="73" t="s">
        <v>604</v>
      </c>
      <c r="C271" s="73" t="s">
        <v>544</v>
      </c>
      <c r="D271" s="73" t="s">
        <v>913</v>
      </c>
      <c r="E271" s="73" t="s">
        <v>914</v>
      </c>
      <c r="F271" s="73">
        <v>1994</v>
      </c>
      <c r="G271" s="73" t="s">
        <v>374</v>
      </c>
      <c r="H271" s="73"/>
      <c r="I271" s="73" t="s">
        <v>545</v>
      </c>
      <c r="J271" s="73" t="s">
        <v>546</v>
      </c>
      <c r="K271" s="73" t="s">
        <v>569</v>
      </c>
      <c r="L271" s="73" t="s">
        <v>131</v>
      </c>
      <c r="M271" s="73" t="s">
        <v>958</v>
      </c>
      <c r="N271" s="73">
        <v>1</v>
      </c>
      <c r="O271" s="73"/>
      <c r="P271" s="73"/>
      <c r="Q271" s="73"/>
      <c r="R271" s="73" t="s">
        <v>547</v>
      </c>
      <c r="S271" s="73">
        <v>6</v>
      </c>
      <c r="T271" s="73">
        <v>6</v>
      </c>
      <c r="U271" s="73" t="s">
        <v>551</v>
      </c>
      <c r="V271" s="73" t="s">
        <v>570</v>
      </c>
      <c r="W271" s="73" t="s">
        <v>570</v>
      </c>
      <c r="X271" s="73" t="s">
        <v>570</v>
      </c>
      <c r="Y271" s="73" t="s">
        <v>570</v>
      </c>
      <c r="Z271" s="73" t="s">
        <v>570</v>
      </c>
      <c r="AA271" s="73" t="s">
        <v>570</v>
      </c>
      <c r="AB271" s="73" t="s">
        <v>570</v>
      </c>
      <c r="AC271" s="73" t="s">
        <v>570</v>
      </c>
      <c r="AD271" s="73" t="s">
        <v>570</v>
      </c>
      <c r="AE271" s="73" t="s">
        <v>570</v>
      </c>
      <c r="AF271" s="73">
        <v>9.17</v>
      </c>
      <c r="AG271" s="73" t="s">
        <v>570</v>
      </c>
      <c r="AH271" s="87">
        <f t="shared" si="96"/>
        <v>0.41191066997518605</v>
      </c>
      <c r="AI271" s="73" t="s">
        <v>570</v>
      </c>
      <c r="AJ271" s="73">
        <v>0.83</v>
      </c>
      <c r="AK271" s="73">
        <v>2.0150000000000001</v>
      </c>
      <c r="AL271" s="73">
        <v>7.85</v>
      </c>
      <c r="AM271" s="73" t="s">
        <v>570</v>
      </c>
      <c r="AN271" s="87">
        <f t="shared" si="97"/>
        <v>0.41191066997518605</v>
      </c>
      <c r="AO271" s="73" t="s">
        <v>570</v>
      </c>
      <c r="AP271" s="73">
        <v>0.83</v>
      </c>
      <c r="AQ271" s="73">
        <v>2.0150000000000001</v>
      </c>
      <c r="AR271" s="73" t="s">
        <v>570</v>
      </c>
      <c r="AS271" s="73" t="s">
        <v>785</v>
      </c>
      <c r="AT271" s="110">
        <f t="shared" si="98"/>
        <v>1.3200000000000003</v>
      </c>
      <c r="AU271" s="110">
        <f t="shared" si="99"/>
        <v>0.41191066997518605</v>
      </c>
      <c r="AV271" s="110">
        <f t="shared" si="100"/>
        <v>0.92307692307692313</v>
      </c>
      <c r="AW271" s="110">
        <f t="shared" si="101"/>
        <v>2.9580722891566276</v>
      </c>
      <c r="AX271" s="110">
        <f t="shared" si="102"/>
        <v>6</v>
      </c>
      <c r="AY271" s="110">
        <f t="shared" si="103"/>
        <v>17.748433734939766</v>
      </c>
    </row>
    <row r="272" spans="1:51" ht="15" customHeight="1">
      <c r="A272" s="73" t="s">
        <v>543</v>
      </c>
      <c r="B272" s="73" t="s">
        <v>604</v>
      </c>
      <c r="C272" s="73" t="s">
        <v>544</v>
      </c>
      <c r="D272" s="73" t="s">
        <v>913</v>
      </c>
      <c r="E272" s="73" t="s">
        <v>914</v>
      </c>
      <c r="F272" s="73">
        <v>1994</v>
      </c>
      <c r="G272" s="73" t="s">
        <v>374</v>
      </c>
      <c r="H272" s="73"/>
      <c r="I272" s="73" t="s">
        <v>545</v>
      </c>
      <c r="J272" s="73" t="s">
        <v>546</v>
      </c>
      <c r="K272" s="73" t="s">
        <v>569</v>
      </c>
      <c r="L272" s="73" t="s">
        <v>131</v>
      </c>
      <c r="M272" s="73" t="s">
        <v>958</v>
      </c>
      <c r="N272" s="73">
        <v>1</v>
      </c>
      <c r="O272" s="73"/>
      <c r="P272" s="73"/>
      <c r="Q272" s="73"/>
      <c r="R272" s="73" t="s">
        <v>547</v>
      </c>
      <c r="S272" s="73">
        <v>6</v>
      </c>
      <c r="T272" s="73">
        <v>6</v>
      </c>
      <c r="U272" s="73" t="s">
        <v>552</v>
      </c>
      <c r="V272" s="73" t="s">
        <v>570</v>
      </c>
      <c r="W272" s="73" t="s">
        <v>570</v>
      </c>
      <c r="X272" s="73" t="s">
        <v>570</v>
      </c>
      <c r="Y272" s="73" t="s">
        <v>570</v>
      </c>
      <c r="Z272" s="73" t="s">
        <v>570</v>
      </c>
      <c r="AA272" s="73" t="s">
        <v>570</v>
      </c>
      <c r="AB272" s="73" t="s">
        <v>570</v>
      </c>
      <c r="AC272" s="73" t="s">
        <v>570</v>
      </c>
      <c r="AD272" s="73" t="s">
        <v>570</v>
      </c>
      <c r="AE272" s="73" t="s">
        <v>570</v>
      </c>
      <c r="AF272" s="73">
        <v>10.08</v>
      </c>
      <c r="AG272" s="73" t="s">
        <v>570</v>
      </c>
      <c r="AH272" s="87">
        <f t="shared" si="96"/>
        <v>0.41191066997518605</v>
      </c>
      <c r="AI272" s="73" t="s">
        <v>570</v>
      </c>
      <c r="AJ272" s="73">
        <v>0.83</v>
      </c>
      <c r="AK272" s="73">
        <v>2.0150000000000001</v>
      </c>
      <c r="AL272" s="73">
        <v>9.9700000000000006</v>
      </c>
      <c r="AM272" s="73" t="s">
        <v>570</v>
      </c>
      <c r="AN272" s="87">
        <f t="shared" si="97"/>
        <v>0.41191066997518605</v>
      </c>
      <c r="AO272" s="73" t="s">
        <v>570</v>
      </c>
      <c r="AP272" s="73">
        <v>0.83</v>
      </c>
      <c r="AQ272" s="73">
        <v>2.0150000000000001</v>
      </c>
      <c r="AR272" s="73" t="s">
        <v>570</v>
      </c>
      <c r="AS272" s="73" t="s">
        <v>457</v>
      </c>
      <c r="AT272" s="110">
        <f t="shared" si="98"/>
        <v>0.10999999999999943</v>
      </c>
      <c r="AU272" s="110">
        <f t="shared" si="99"/>
        <v>0.41191066997518605</v>
      </c>
      <c r="AV272" s="110">
        <f t="shared" si="100"/>
        <v>0.92307692307692313</v>
      </c>
      <c r="AW272" s="110">
        <f t="shared" si="101"/>
        <v>0.24650602409638431</v>
      </c>
      <c r="AX272" s="110">
        <f t="shared" si="102"/>
        <v>6</v>
      </c>
      <c r="AY272" s="110">
        <f t="shared" si="103"/>
        <v>1.4790361445783058</v>
      </c>
    </row>
    <row r="273" spans="1:51" ht="15" customHeight="1">
      <c r="A273" s="73" t="s">
        <v>543</v>
      </c>
      <c r="B273" s="73" t="s">
        <v>604</v>
      </c>
      <c r="C273" s="73" t="s">
        <v>915</v>
      </c>
      <c r="D273" s="73" t="s">
        <v>976</v>
      </c>
      <c r="E273" s="73" t="s">
        <v>977</v>
      </c>
      <c r="F273" s="73">
        <v>1994</v>
      </c>
      <c r="G273" s="73" t="s">
        <v>374</v>
      </c>
      <c r="H273" s="73"/>
      <c r="I273" s="73" t="s">
        <v>545</v>
      </c>
      <c r="J273" s="73" t="s">
        <v>546</v>
      </c>
      <c r="K273" s="73" t="s">
        <v>569</v>
      </c>
      <c r="L273" s="73" t="s">
        <v>131</v>
      </c>
      <c r="M273" s="73" t="s">
        <v>958</v>
      </c>
      <c r="N273" s="73">
        <v>1</v>
      </c>
      <c r="O273" s="73"/>
      <c r="P273" s="73"/>
      <c r="Q273" s="73"/>
      <c r="R273" s="73" t="s">
        <v>547</v>
      </c>
      <c r="S273" s="73">
        <v>6</v>
      </c>
      <c r="T273" s="73">
        <v>6</v>
      </c>
      <c r="U273" s="73" t="s">
        <v>548</v>
      </c>
      <c r="V273" s="73" t="s">
        <v>570</v>
      </c>
      <c r="W273" s="73" t="s">
        <v>570</v>
      </c>
      <c r="X273" s="73" t="s">
        <v>570</v>
      </c>
      <c r="Y273" s="73" t="s">
        <v>570</v>
      </c>
      <c r="Z273" s="73" t="s">
        <v>570</v>
      </c>
      <c r="AA273" s="73" t="s">
        <v>570</v>
      </c>
      <c r="AB273" s="73" t="s">
        <v>570</v>
      </c>
      <c r="AC273" s="73" t="s">
        <v>570</v>
      </c>
      <c r="AD273" s="73" t="s">
        <v>570</v>
      </c>
      <c r="AE273" s="73" t="s">
        <v>570</v>
      </c>
      <c r="AF273" s="73">
        <v>10.42</v>
      </c>
      <c r="AG273" s="73" t="s">
        <v>570</v>
      </c>
      <c r="AH273" s="87">
        <f t="shared" si="96"/>
        <v>0.25310173697270472</v>
      </c>
      <c r="AI273" s="73" t="s">
        <v>570</v>
      </c>
      <c r="AJ273" s="73">
        <v>0.51</v>
      </c>
      <c r="AK273" s="73">
        <v>2.0150000000000001</v>
      </c>
      <c r="AL273" s="73">
        <v>9.1999999999999993</v>
      </c>
      <c r="AM273" s="73" t="s">
        <v>570</v>
      </c>
      <c r="AN273" s="87">
        <f t="shared" si="97"/>
        <v>0.25310173697270472</v>
      </c>
      <c r="AO273" s="73" t="s">
        <v>570</v>
      </c>
      <c r="AP273" s="73">
        <v>0.51</v>
      </c>
      <c r="AQ273" s="73">
        <v>2.0150000000000001</v>
      </c>
      <c r="AR273" s="73" t="s">
        <v>570</v>
      </c>
      <c r="AS273" s="73" t="s">
        <v>785</v>
      </c>
      <c r="AT273" s="110">
        <f t="shared" si="98"/>
        <v>1.2200000000000006</v>
      </c>
      <c r="AU273" s="110">
        <f t="shared" si="99"/>
        <v>0.25310173697270472</v>
      </c>
      <c r="AV273" s="110">
        <f t="shared" si="100"/>
        <v>0.92307692307692313</v>
      </c>
      <c r="AW273" s="110">
        <f t="shared" si="101"/>
        <v>4.4494117647058848</v>
      </c>
      <c r="AX273" s="110">
        <f t="shared" si="102"/>
        <v>6</v>
      </c>
      <c r="AY273" s="110">
        <f t="shared" si="103"/>
        <v>26.696470588235307</v>
      </c>
    </row>
    <row r="274" spans="1:51" ht="15" customHeight="1">
      <c r="A274" s="73" t="s">
        <v>543</v>
      </c>
      <c r="B274" s="73" t="s">
        <v>604</v>
      </c>
      <c r="C274" s="73" t="s">
        <v>553</v>
      </c>
      <c r="D274" s="73" t="s">
        <v>976</v>
      </c>
      <c r="E274" s="73" t="s">
        <v>977</v>
      </c>
      <c r="F274" s="73">
        <v>1994</v>
      </c>
      <c r="G274" s="73" t="s">
        <v>374</v>
      </c>
      <c r="H274" s="73"/>
      <c r="I274" s="73" t="s">
        <v>545</v>
      </c>
      <c r="J274" s="73" t="s">
        <v>546</v>
      </c>
      <c r="K274" s="73" t="s">
        <v>569</v>
      </c>
      <c r="L274" s="73" t="s">
        <v>131</v>
      </c>
      <c r="M274" s="73" t="s">
        <v>958</v>
      </c>
      <c r="N274" s="73">
        <v>1</v>
      </c>
      <c r="O274" s="73"/>
      <c r="P274" s="73"/>
      <c r="Q274" s="73"/>
      <c r="R274" s="73" t="s">
        <v>547</v>
      </c>
      <c r="S274" s="73">
        <v>6</v>
      </c>
      <c r="T274" s="73">
        <v>6</v>
      </c>
      <c r="U274" s="73" t="s">
        <v>549</v>
      </c>
      <c r="V274" s="73" t="s">
        <v>570</v>
      </c>
      <c r="W274" s="73" t="s">
        <v>570</v>
      </c>
      <c r="X274" s="73" t="s">
        <v>570</v>
      </c>
      <c r="Y274" s="73" t="s">
        <v>570</v>
      </c>
      <c r="Z274" s="73" t="s">
        <v>570</v>
      </c>
      <c r="AA274" s="73" t="s">
        <v>570</v>
      </c>
      <c r="AB274" s="73" t="s">
        <v>570</v>
      </c>
      <c r="AC274" s="73" t="s">
        <v>570</v>
      </c>
      <c r="AD274" s="73" t="s">
        <v>570</v>
      </c>
      <c r="AE274" s="73" t="s">
        <v>570</v>
      </c>
      <c r="AF274" s="73">
        <v>10.050000000000001</v>
      </c>
      <c r="AG274" s="73" t="s">
        <v>570</v>
      </c>
      <c r="AH274" s="87">
        <f t="shared" si="96"/>
        <v>0.25310173697270472</v>
      </c>
      <c r="AI274" s="73" t="s">
        <v>570</v>
      </c>
      <c r="AJ274" s="73">
        <v>0.51</v>
      </c>
      <c r="AK274" s="73">
        <v>2.0150000000000001</v>
      </c>
      <c r="AL274" s="73">
        <v>9.93</v>
      </c>
      <c r="AM274" s="73" t="s">
        <v>570</v>
      </c>
      <c r="AN274" s="87">
        <f t="shared" si="97"/>
        <v>0.25310173697270472</v>
      </c>
      <c r="AO274" s="73" t="s">
        <v>570</v>
      </c>
      <c r="AP274" s="73">
        <v>0.51</v>
      </c>
      <c r="AQ274" s="73">
        <v>2.0150000000000001</v>
      </c>
      <c r="AR274" s="73" t="s">
        <v>570</v>
      </c>
      <c r="AS274" s="73" t="s">
        <v>457</v>
      </c>
      <c r="AT274" s="110">
        <f t="shared" si="98"/>
        <v>0.12000000000000099</v>
      </c>
      <c r="AU274" s="110">
        <f t="shared" si="99"/>
        <v>0.25310173697270472</v>
      </c>
      <c r="AV274" s="110">
        <f t="shared" si="100"/>
        <v>0.92307692307692313</v>
      </c>
      <c r="AW274" s="110">
        <f t="shared" si="101"/>
        <v>0.43764705882353305</v>
      </c>
      <c r="AX274" s="110">
        <f t="shared" si="102"/>
        <v>6</v>
      </c>
      <c r="AY274" s="110">
        <f t="shared" si="103"/>
        <v>2.6258823529411983</v>
      </c>
    </row>
    <row r="275" spans="1:51" ht="15" customHeight="1">
      <c r="A275" s="73" t="s">
        <v>543</v>
      </c>
      <c r="B275" s="73" t="s">
        <v>604</v>
      </c>
      <c r="C275" s="73" t="s">
        <v>553</v>
      </c>
      <c r="D275" s="73" t="s">
        <v>976</v>
      </c>
      <c r="E275" s="73" t="s">
        <v>977</v>
      </c>
      <c r="F275" s="73">
        <v>1994</v>
      </c>
      <c r="G275" s="73" t="s">
        <v>374</v>
      </c>
      <c r="H275" s="73"/>
      <c r="I275" s="73" t="s">
        <v>545</v>
      </c>
      <c r="J275" s="73" t="s">
        <v>546</v>
      </c>
      <c r="K275" s="73" t="s">
        <v>569</v>
      </c>
      <c r="L275" s="73" t="s">
        <v>131</v>
      </c>
      <c r="M275" s="73" t="s">
        <v>958</v>
      </c>
      <c r="N275" s="73">
        <v>1</v>
      </c>
      <c r="O275" s="73"/>
      <c r="P275" s="73"/>
      <c r="Q275" s="73"/>
      <c r="R275" s="73" t="s">
        <v>547</v>
      </c>
      <c r="S275" s="73">
        <v>6</v>
      </c>
      <c r="T275" s="73">
        <v>6</v>
      </c>
      <c r="U275" s="73" t="s">
        <v>550</v>
      </c>
      <c r="V275" s="73" t="s">
        <v>570</v>
      </c>
      <c r="W275" s="73" t="s">
        <v>570</v>
      </c>
      <c r="X275" s="73" t="s">
        <v>570</v>
      </c>
      <c r="Y275" s="73" t="s">
        <v>570</v>
      </c>
      <c r="Z275" s="73" t="s">
        <v>570</v>
      </c>
      <c r="AA275" s="73" t="s">
        <v>570</v>
      </c>
      <c r="AB275" s="73" t="s">
        <v>570</v>
      </c>
      <c r="AC275" s="73" t="s">
        <v>570</v>
      </c>
      <c r="AD275" s="73" t="s">
        <v>570</v>
      </c>
      <c r="AE275" s="73" t="s">
        <v>570</v>
      </c>
      <c r="AF275" s="73">
        <v>10.33</v>
      </c>
      <c r="AG275" s="73" t="s">
        <v>570</v>
      </c>
      <c r="AH275" s="87">
        <f t="shared" si="96"/>
        <v>0.25310173697270472</v>
      </c>
      <c r="AI275" s="73" t="s">
        <v>570</v>
      </c>
      <c r="AJ275" s="73">
        <v>0.51</v>
      </c>
      <c r="AK275" s="73">
        <v>2.0150000000000001</v>
      </c>
      <c r="AL275" s="73">
        <v>10.119999999999999</v>
      </c>
      <c r="AM275" s="73" t="s">
        <v>570</v>
      </c>
      <c r="AN275" s="87">
        <f t="shared" si="97"/>
        <v>0.25310173697270472</v>
      </c>
      <c r="AO275" s="73" t="s">
        <v>570</v>
      </c>
      <c r="AP275" s="73">
        <v>0.51</v>
      </c>
      <c r="AQ275" s="73">
        <v>2.0150000000000001</v>
      </c>
      <c r="AR275" s="73" t="s">
        <v>570</v>
      </c>
      <c r="AS275" s="73" t="s">
        <v>457</v>
      </c>
      <c r="AT275" s="110">
        <f t="shared" si="98"/>
        <v>0.21000000000000085</v>
      </c>
      <c r="AU275" s="110">
        <f t="shared" si="99"/>
        <v>0.25310173697270472</v>
      </c>
      <c r="AV275" s="110">
        <f t="shared" si="100"/>
        <v>0.92307692307692313</v>
      </c>
      <c r="AW275" s="110">
        <f t="shared" si="101"/>
        <v>0.76588235294117957</v>
      </c>
      <c r="AX275" s="110">
        <f t="shared" si="102"/>
        <v>6</v>
      </c>
      <c r="AY275" s="110">
        <f t="shared" si="103"/>
        <v>4.595294117647077</v>
      </c>
    </row>
    <row r="276" spans="1:51" ht="15" customHeight="1">
      <c r="A276" s="73" t="s">
        <v>543</v>
      </c>
      <c r="B276" s="73" t="s">
        <v>604</v>
      </c>
      <c r="C276" s="73" t="s">
        <v>553</v>
      </c>
      <c r="D276" s="73" t="s">
        <v>976</v>
      </c>
      <c r="E276" s="73" t="s">
        <v>977</v>
      </c>
      <c r="F276" s="73">
        <v>1994</v>
      </c>
      <c r="G276" s="73" t="s">
        <v>374</v>
      </c>
      <c r="H276" s="73"/>
      <c r="I276" s="73" t="s">
        <v>545</v>
      </c>
      <c r="J276" s="73" t="s">
        <v>546</v>
      </c>
      <c r="K276" s="73" t="s">
        <v>569</v>
      </c>
      <c r="L276" s="73" t="s">
        <v>131</v>
      </c>
      <c r="M276" s="73" t="s">
        <v>958</v>
      </c>
      <c r="N276" s="73">
        <v>1</v>
      </c>
      <c r="O276" s="73"/>
      <c r="P276" s="73"/>
      <c r="Q276" s="73"/>
      <c r="R276" s="73" t="s">
        <v>547</v>
      </c>
      <c r="S276" s="73">
        <v>6</v>
      </c>
      <c r="T276" s="73">
        <v>6</v>
      </c>
      <c r="U276" s="73" t="s">
        <v>551</v>
      </c>
      <c r="V276" s="73" t="s">
        <v>570</v>
      </c>
      <c r="W276" s="73" t="s">
        <v>570</v>
      </c>
      <c r="X276" s="73" t="s">
        <v>570</v>
      </c>
      <c r="Y276" s="73" t="s">
        <v>570</v>
      </c>
      <c r="Z276" s="73" t="s">
        <v>570</v>
      </c>
      <c r="AA276" s="73" t="s">
        <v>570</v>
      </c>
      <c r="AB276" s="73" t="s">
        <v>570</v>
      </c>
      <c r="AC276" s="73" t="s">
        <v>570</v>
      </c>
      <c r="AD276" s="73" t="s">
        <v>570</v>
      </c>
      <c r="AE276" s="73" t="s">
        <v>570</v>
      </c>
      <c r="AF276" s="73">
        <v>10.26</v>
      </c>
      <c r="AG276" s="73" t="s">
        <v>570</v>
      </c>
      <c r="AH276" s="87">
        <f t="shared" si="96"/>
        <v>0.25310173697270472</v>
      </c>
      <c r="AI276" s="73" t="s">
        <v>570</v>
      </c>
      <c r="AJ276" s="73">
        <v>0.51</v>
      </c>
      <c r="AK276" s="73">
        <v>2.0150000000000001</v>
      </c>
      <c r="AL276" s="73">
        <v>8.4499999999999993</v>
      </c>
      <c r="AM276" s="73" t="s">
        <v>570</v>
      </c>
      <c r="AN276" s="87">
        <f t="shared" si="97"/>
        <v>0.25310173697270472</v>
      </c>
      <c r="AO276" s="73" t="s">
        <v>570</v>
      </c>
      <c r="AP276" s="73">
        <v>0.51</v>
      </c>
      <c r="AQ276" s="73">
        <v>2.0150000000000001</v>
      </c>
      <c r="AR276" s="73" t="s">
        <v>570</v>
      </c>
      <c r="AS276" s="73" t="s">
        <v>457</v>
      </c>
      <c r="AT276" s="110">
        <f t="shared" si="98"/>
        <v>1.8100000000000005</v>
      </c>
      <c r="AU276" s="110">
        <f t="shared" si="99"/>
        <v>0.25310173697270472</v>
      </c>
      <c r="AV276" s="110">
        <f t="shared" si="100"/>
        <v>0.92307692307692313</v>
      </c>
      <c r="AW276" s="110">
        <f t="shared" si="101"/>
        <v>6.6011764705882374</v>
      </c>
      <c r="AX276" s="110">
        <f t="shared" si="102"/>
        <v>6</v>
      </c>
      <c r="AY276" s="110">
        <f t="shared" si="103"/>
        <v>39.607058823529428</v>
      </c>
    </row>
    <row r="277" spans="1:51" ht="15" customHeight="1">
      <c r="A277" s="78" t="s">
        <v>543</v>
      </c>
      <c r="B277" s="78" t="s">
        <v>604</v>
      </c>
      <c r="C277" s="78" t="s">
        <v>553</v>
      </c>
      <c r="D277" s="78" t="s">
        <v>976</v>
      </c>
      <c r="E277" s="78" t="s">
        <v>977</v>
      </c>
      <c r="F277" s="78">
        <v>1994</v>
      </c>
      <c r="G277" s="78" t="s">
        <v>374</v>
      </c>
      <c r="H277" s="78"/>
      <c r="I277" s="78" t="s">
        <v>545</v>
      </c>
      <c r="J277" s="78" t="s">
        <v>546</v>
      </c>
      <c r="K277" s="78" t="s">
        <v>569</v>
      </c>
      <c r="L277" s="78" t="s">
        <v>131</v>
      </c>
      <c r="M277" s="78" t="s">
        <v>958</v>
      </c>
      <c r="N277" s="78">
        <v>1</v>
      </c>
      <c r="O277" s="78"/>
      <c r="P277" s="78"/>
      <c r="Q277" s="78"/>
      <c r="R277" s="78" t="s">
        <v>547</v>
      </c>
      <c r="S277" s="78">
        <v>6</v>
      </c>
      <c r="T277" s="78">
        <v>6</v>
      </c>
      <c r="U277" s="78" t="s">
        <v>552</v>
      </c>
      <c r="V277" s="78" t="s">
        <v>570</v>
      </c>
      <c r="W277" s="78" t="s">
        <v>570</v>
      </c>
      <c r="X277" s="78" t="s">
        <v>570</v>
      </c>
      <c r="Y277" s="78" t="s">
        <v>570</v>
      </c>
      <c r="Z277" s="78" t="s">
        <v>570</v>
      </c>
      <c r="AA277" s="78" t="s">
        <v>570</v>
      </c>
      <c r="AB277" s="78" t="s">
        <v>570</v>
      </c>
      <c r="AC277" s="78" t="s">
        <v>570</v>
      </c>
      <c r="AD277" s="78" t="s">
        <v>570</v>
      </c>
      <c r="AE277" s="78" t="s">
        <v>570</v>
      </c>
      <c r="AF277" s="90">
        <v>10.46</v>
      </c>
      <c r="AG277" s="78" t="s">
        <v>570</v>
      </c>
      <c r="AH277" s="90">
        <f t="shared" si="96"/>
        <v>0.25310173697270472</v>
      </c>
      <c r="AI277" s="78" t="s">
        <v>570</v>
      </c>
      <c r="AJ277" s="78">
        <v>0.51</v>
      </c>
      <c r="AK277" s="78">
        <v>2.0150000000000001</v>
      </c>
      <c r="AL277" s="90">
        <v>10.32</v>
      </c>
      <c r="AM277" s="78" t="s">
        <v>570</v>
      </c>
      <c r="AN277" s="90">
        <f t="shared" si="97"/>
        <v>0.25310173697270472</v>
      </c>
      <c r="AO277" s="78" t="s">
        <v>570</v>
      </c>
      <c r="AP277" s="78">
        <v>0.51</v>
      </c>
      <c r="AQ277" s="78">
        <v>2.0150000000000001</v>
      </c>
      <c r="AR277" s="78" t="s">
        <v>570</v>
      </c>
      <c r="AS277" s="78" t="s">
        <v>457</v>
      </c>
      <c r="AT277" s="110">
        <f t="shared" si="98"/>
        <v>0.14000000000000057</v>
      </c>
      <c r="AU277" s="110">
        <f t="shared" si="99"/>
        <v>0.25310173697270472</v>
      </c>
      <c r="AV277" s="110">
        <f t="shared" si="100"/>
        <v>0.92307692307692313</v>
      </c>
      <c r="AW277" s="110">
        <f t="shared" si="101"/>
        <v>0.51058823529411967</v>
      </c>
      <c r="AX277" s="110">
        <f t="shared" si="102"/>
        <v>6</v>
      </c>
      <c r="AY277" s="110">
        <f t="shared" si="103"/>
        <v>3.0635294117647183</v>
      </c>
    </row>
    <row r="278" spans="1:51" ht="15" hidden="1" customHeight="1">
      <c r="N278" s="2"/>
      <c r="O278" s="2"/>
      <c r="AF278" s="64"/>
      <c r="AL278" s="64"/>
      <c r="AM278" s="64"/>
      <c r="AT278" s="46"/>
      <c r="AU278" s="46"/>
      <c r="AV278" s="46"/>
      <c r="AW278" s="46"/>
      <c r="AX278" s="46"/>
      <c r="AY278" s="46"/>
    </row>
    <row r="279" spans="1:51" ht="15" hidden="1" customHeight="1">
      <c r="N279" s="2"/>
      <c r="AT279" s="46"/>
      <c r="AU279" s="46"/>
      <c r="AV279" s="46"/>
      <c r="AW279" s="46"/>
      <c r="AX279" s="46"/>
      <c r="AY279" s="46"/>
    </row>
    <row r="281" spans="1:51" ht="15" customHeight="1">
      <c r="AW281" s="110">
        <f>AVERAGE(AW79:AW277)</f>
        <v>1.176556417467834</v>
      </c>
      <c r="AX281" s="110">
        <f>SUM(AX79:AX277)</f>
        <v>865</v>
      </c>
      <c r="AY281" s="110">
        <f>SUM(AY79:AY277)</f>
        <v>884.03032461439602</v>
      </c>
    </row>
    <row r="282" spans="1:51" ht="15" customHeight="1">
      <c r="AY282" s="110">
        <f>AY281/AX281</f>
        <v>1.0220003752767584</v>
      </c>
    </row>
  </sheetData>
  <autoFilter ref="A1:AS279">
    <filterColumn colId="11">
      <filters>
        <filter val="single"/>
      </filters>
    </filterColumn>
  </autoFilter>
  <phoneticPr fontId="1" type="noConversion"/>
  <pageMargins left="0.75" right="0.75" top="1" bottom="1" header="0.5" footer="0.5"/>
  <pageSetup orientation="portrait" horizontalDpi="4294967293" verticalDpi="4294967293" r:id="rId1"/>
  <ignoredErrors>
    <ignoredError sqref="AN10:AN1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45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33203125" defaultRowHeight="10.199999999999999"/>
  <cols>
    <col min="1" max="1" width="10.77734375" style="1" customWidth="1"/>
    <col min="2" max="2" width="6.33203125" style="1" customWidth="1"/>
    <col min="3" max="3" width="78" style="1" customWidth="1"/>
    <col min="4" max="4" width="13.77734375" style="1" customWidth="1"/>
    <col min="5" max="5" width="11.44140625" style="1" customWidth="1"/>
    <col min="6" max="9" width="13.77734375" style="1" customWidth="1"/>
    <col min="10" max="10" width="9" style="1" customWidth="1"/>
    <col min="11" max="11" width="10.109375" style="1" customWidth="1"/>
    <col min="12" max="12" width="9.77734375" style="1" customWidth="1"/>
    <col min="13" max="13" width="8.44140625" style="1" customWidth="1"/>
    <col min="14" max="14" width="14.44140625" style="1" customWidth="1"/>
    <col min="15" max="15" width="12.77734375" style="1" customWidth="1"/>
    <col min="16" max="16" width="10.109375" style="1" customWidth="1"/>
    <col min="17" max="17" width="28.77734375" style="1" customWidth="1"/>
    <col min="18" max="18" width="16.109375" style="1" bestFit="1" customWidth="1"/>
    <col min="19" max="19" width="10.6640625" style="1" bestFit="1" customWidth="1"/>
    <col min="20" max="20" width="15.6640625" style="1" bestFit="1" customWidth="1"/>
    <col min="21" max="21" width="13.33203125" style="1" customWidth="1"/>
    <col min="22" max="22" width="28.33203125" style="1" customWidth="1"/>
    <col min="23" max="23" width="23.33203125" style="1" customWidth="1"/>
    <col min="24" max="24" width="15.77734375" style="1" customWidth="1"/>
    <col min="25" max="25" width="12.44140625" style="1" customWidth="1"/>
    <col min="26" max="26" width="27.109375" style="1" customWidth="1"/>
    <col min="27" max="27" width="15" style="1" customWidth="1"/>
    <col min="28" max="29" width="7.77734375" style="1" customWidth="1"/>
    <col min="30" max="30" width="17.44140625" style="1" customWidth="1"/>
    <col min="31" max="33" width="10.6640625" style="1" customWidth="1"/>
    <col min="34" max="34" width="10.33203125" style="1" customWidth="1"/>
    <col min="35" max="35" width="12.109375" style="1" customWidth="1"/>
    <col min="36" max="36" width="19" style="1" customWidth="1"/>
    <col min="37" max="37" width="10.77734375" style="1" customWidth="1"/>
    <col min="38" max="38" width="16.44140625" style="1" customWidth="1"/>
    <col min="39" max="39" width="15.33203125" style="1" customWidth="1"/>
    <col min="40" max="41" width="10.77734375" style="1" customWidth="1"/>
    <col min="42" max="42" width="14.77734375" style="1" customWidth="1"/>
    <col min="43" max="44" width="10.77734375" style="1" customWidth="1"/>
    <col min="45" max="45" width="9.33203125" style="1" customWidth="1"/>
    <col min="46" max="49" width="11.109375" style="1" customWidth="1"/>
    <col min="50" max="50" width="1.6640625" style="1" bestFit="1" customWidth="1"/>
    <col min="51" max="51" width="10.109375" style="1" customWidth="1"/>
    <col min="52" max="53" width="8.77734375" style="1" customWidth="1"/>
    <col min="54" max="54" width="7.44140625" style="1" customWidth="1"/>
    <col min="55" max="56" width="7.77734375" style="1" customWidth="1"/>
    <col min="57" max="57" width="7.44140625" style="1" customWidth="1"/>
    <col min="58" max="58" width="4.44140625" style="1" customWidth="1"/>
    <col min="59" max="16384" width="8.33203125" style="1"/>
  </cols>
  <sheetData>
    <row r="1" spans="1:58" s="3" customFormat="1" ht="66" customHeight="1">
      <c r="A1" s="62" t="s">
        <v>836</v>
      </c>
      <c r="B1" s="10" t="s">
        <v>87</v>
      </c>
      <c r="C1" s="10" t="s">
        <v>88</v>
      </c>
      <c r="D1" s="10" t="s">
        <v>520</v>
      </c>
      <c r="E1" s="10" t="s">
        <v>521</v>
      </c>
      <c r="F1" s="10" t="s">
        <v>89</v>
      </c>
      <c r="G1" s="10" t="s">
        <v>90</v>
      </c>
      <c r="H1" s="10" t="s">
        <v>91</v>
      </c>
      <c r="I1" s="10" t="s">
        <v>92</v>
      </c>
      <c r="J1" s="10" t="s">
        <v>522</v>
      </c>
      <c r="K1" s="62" t="s">
        <v>109</v>
      </c>
      <c r="L1" s="62" t="s">
        <v>110</v>
      </c>
      <c r="M1" s="10" t="s">
        <v>267</v>
      </c>
      <c r="N1" s="10" t="s">
        <v>268</v>
      </c>
      <c r="O1" s="10" t="s">
        <v>269</v>
      </c>
      <c r="P1" s="10" t="s">
        <v>270</v>
      </c>
      <c r="Q1" s="62" t="s">
        <v>275</v>
      </c>
      <c r="R1" s="10" t="s">
        <v>276</v>
      </c>
      <c r="S1" s="10" t="s">
        <v>909</v>
      </c>
      <c r="T1" s="10" t="s">
        <v>85</v>
      </c>
      <c r="U1" s="70" t="s">
        <v>169</v>
      </c>
      <c r="V1" s="10" t="s">
        <v>280</v>
      </c>
      <c r="W1" s="62" t="s">
        <v>462</v>
      </c>
      <c r="X1" s="62" t="s">
        <v>15</v>
      </c>
      <c r="Y1" s="10" t="s">
        <v>465</v>
      </c>
      <c r="Z1" s="10" t="s">
        <v>466</v>
      </c>
      <c r="AA1" s="10" t="s">
        <v>467</v>
      </c>
      <c r="AB1" s="62" t="s">
        <v>252</v>
      </c>
      <c r="AC1" s="62" t="s">
        <v>253</v>
      </c>
      <c r="AD1" s="62" t="s">
        <v>254</v>
      </c>
      <c r="AE1" s="62" t="s">
        <v>255</v>
      </c>
      <c r="AF1" s="62" t="s">
        <v>256</v>
      </c>
      <c r="AG1" s="62" t="s">
        <v>257</v>
      </c>
      <c r="AH1" s="62" t="s">
        <v>258</v>
      </c>
      <c r="AI1" s="62" t="s">
        <v>259</v>
      </c>
      <c r="AJ1" s="62" t="s">
        <v>260</v>
      </c>
      <c r="AK1" s="62" t="s">
        <v>261</v>
      </c>
      <c r="AL1" s="62" t="s">
        <v>16</v>
      </c>
      <c r="AM1" s="62" t="s">
        <v>262</v>
      </c>
      <c r="AN1" s="62" t="s">
        <v>263</v>
      </c>
      <c r="AO1" s="62" t="s">
        <v>264</v>
      </c>
      <c r="AP1" s="62" t="s">
        <v>117</v>
      </c>
      <c r="AQ1" s="62" t="s">
        <v>118</v>
      </c>
      <c r="AR1" s="62" t="s">
        <v>348</v>
      </c>
      <c r="AS1" s="62" t="s">
        <v>562</v>
      </c>
      <c r="AT1" s="62" t="s">
        <v>563</v>
      </c>
      <c r="AU1" s="62" t="s">
        <v>564</v>
      </c>
      <c r="AV1" s="62" t="s">
        <v>565</v>
      </c>
      <c r="AW1" s="62" t="s">
        <v>566</v>
      </c>
      <c r="AX1" s="62" t="s">
        <v>60</v>
      </c>
      <c r="AY1" s="62" t="s">
        <v>554</v>
      </c>
      <c r="AZ1" s="62" t="s">
        <v>555</v>
      </c>
      <c r="BA1" s="62" t="s">
        <v>556</v>
      </c>
      <c r="BB1" s="47" t="s">
        <v>397</v>
      </c>
      <c r="BC1" s="47" t="s">
        <v>398</v>
      </c>
      <c r="BD1" s="62" t="s">
        <v>565</v>
      </c>
      <c r="BE1" s="62" t="s">
        <v>566</v>
      </c>
      <c r="BF1" s="62" t="s">
        <v>60</v>
      </c>
    </row>
    <row r="2" spans="1:58" s="2" customFormat="1" ht="40.799999999999997">
      <c r="A2" s="4" t="s">
        <v>399</v>
      </c>
      <c r="B2" s="4" t="s">
        <v>508</v>
      </c>
      <c r="C2" s="4" t="s">
        <v>478</v>
      </c>
      <c r="D2" s="4" t="s">
        <v>479</v>
      </c>
      <c r="E2" s="4" t="s">
        <v>480</v>
      </c>
      <c r="F2" s="4" t="s">
        <v>481</v>
      </c>
      <c r="G2" s="4" t="s">
        <v>570</v>
      </c>
      <c r="H2" s="4" t="s">
        <v>570</v>
      </c>
      <c r="I2" s="4" t="s">
        <v>570</v>
      </c>
      <c r="J2" s="4">
        <v>0</v>
      </c>
      <c r="K2" s="4" t="s">
        <v>570</v>
      </c>
      <c r="L2" s="4" t="s">
        <v>570</v>
      </c>
      <c r="M2" s="4" t="s">
        <v>482</v>
      </c>
      <c r="N2" s="4" t="s">
        <v>483</v>
      </c>
      <c r="O2" s="4">
        <v>2011</v>
      </c>
      <c r="P2" s="4" t="s">
        <v>570</v>
      </c>
      <c r="Q2" s="16" t="s">
        <v>328</v>
      </c>
      <c r="R2" s="4" t="s">
        <v>55</v>
      </c>
      <c r="S2" s="4" t="s">
        <v>570</v>
      </c>
      <c r="T2" s="4" t="s">
        <v>570</v>
      </c>
      <c r="U2" s="4" t="s">
        <v>570</v>
      </c>
      <c r="V2" s="4" t="s">
        <v>329</v>
      </c>
      <c r="W2" s="14" t="s">
        <v>330</v>
      </c>
      <c r="X2" s="14" t="s">
        <v>14</v>
      </c>
      <c r="Y2" s="4">
        <v>1</v>
      </c>
      <c r="Z2" s="4" t="s">
        <v>331</v>
      </c>
      <c r="AA2" s="4" t="s">
        <v>570</v>
      </c>
      <c r="AB2" s="4">
        <f t="shared" ref="AB2:AC9" si="0">6*6</f>
        <v>36</v>
      </c>
      <c r="AC2" s="4">
        <f t="shared" si="0"/>
        <v>36</v>
      </c>
      <c r="AD2" s="4"/>
      <c r="AE2" s="4" t="s">
        <v>570</v>
      </c>
      <c r="AF2" s="14" t="s">
        <v>703</v>
      </c>
      <c r="AG2" s="4" t="s">
        <v>570</v>
      </c>
      <c r="AH2" s="4" t="s">
        <v>570</v>
      </c>
      <c r="AI2" s="4" t="s">
        <v>570</v>
      </c>
      <c r="AJ2" s="4" t="s">
        <v>570</v>
      </c>
      <c r="AK2" s="14" t="s">
        <v>332</v>
      </c>
      <c r="AL2" s="48" t="s">
        <v>1027</v>
      </c>
      <c r="AM2" s="4" t="s">
        <v>570</v>
      </c>
      <c r="AN2" s="4" t="s">
        <v>570</v>
      </c>
      <c r="AO2" s="14" t="s">
        <v>194</v>
      </c>
      <c r="AP2" s="4" t="s">
        <v>570</v>
      </c>
      <c r="AQ2" s="4" t="s">
        <v>570</v>
      </c>
      <c r="AR2" s="4" t="s">
        <v>570</v>
      </c>
      <c r="AS2" s="5">
        <v>3.6720658689999999</v>
      </c>
      <c r="AT2" s="5">
        <v>0.34730489200000036</v>
      </c>
      <c r="AU2" s="7">
        <f t="shared" ref="AU2:AU33" si="1">AT2*SQRT(AB2)</f>
        <v>2.0838293520000022</v>
      </c>
      <c r="AV2" s="4" t="s">
        <v>570</v>
      </c>
      <c r="AW2" s="4" t="s">
        <v>570</v>
      </c>
      <c r="AX2" s="4" t="s">
        <v>570</v>
      </c>
      <c r="AY2" s="5">
        <v>7.131343717</v>
      </c>
      <c r="AZ2" s="7">
        <v>0.67316506600000015</v>
      </c>
      <c r="BA2" s="7">
        <f t="shared" ref="BA2:BA33" si="2">AZ2*SQRT(AC2)</f>
        <v>4.0389903960000009</v>
      </c>
      <c r="BB2" s="2" t="s">
        <v>570</v>
      </c>
      <c r="BC2" s="4" t="s">
        <v>785</v>
      </c>
      <c r="BD2" s="4" t="s">
        <v>570</v>
      </c>
      <c r="BE2" s="4" t="s">
        <v>570</v>
      </c>
      <c r="BF2" s="4" t="s">
        <v>570</v>
      </c>
    </row>
    <row r="3" spans="1:58" s="2" customFormat="1" ht="91.8">
      <c r="A3" s="2" t="s">
        <v>399</v>
      </c>
      <c r="B3" s="2" t="s">
        <v>508</v>
      </c>
      <c r="C3" s="2" t="s">
        <v>478</v>
      </c>
      <c r="D3" s="2" t="s">
        <v>479</v>
      </c>
      <c r="E3" s="2" t="s">
        <v>480</v>
      </c>
      <c r="F3" s="2" t="s">
        <v>481</v>
      </c>
      <c r="G3" s="2" t="s">
        <v>570</v>
      </c>
      <c r="H3" s="2" t="s">
        <v>570</v>
      </c>
      <c r="I3" s="2" t="s">
        <v>570</v>
      </c>
      <c r="J3" s="2">
        <v>0</v>
      </c>
      <c r="K3" s="2" t="s">
        <v>570</v>
      </c>
      <c r="L3" s="2" t="s">
        <v>570</v>
      </c>
      <c r="M3" s="2" t="s">
        <v>482</v>
      </c>
      <c r="N3" s="2" t="s">
        <v>483</v>
      </c>
      <c r="O3" s="2">
        <v>2011</v>
      </c>
      <c r="P3" s="2" t="s">
        <v>570</v>
      </c>
      <c r="Q3" s="18" t="s">
        <v>328</v>
      </c>
      <c r="R3" s="2" t="s">
        <v>55</v>
      </c>
      <c r="S3" s="2" t="s">
        <v>570</v>
      </c>
      <c r="T3" s="2" t="s">
        <v>570</v>
      </c>
      <c r="U3" s="2" t="s">
        <v>570</v>
      </c>
      <c r="V3" s="2" t="s">
        <v>329</v>
      </c>
      <c r="W3" s="19" t="s">
        <v>330</v>
      </c>
      <c r="X3" s="19" t="s">
        <v>14</v>
      </c>
      <c r="Y3" s="2">
        <v>2</v>
      </c>
      <c r="Z3" s="2" t="s">
        <v>331</v>
      </c>
      <c r="AA3" s="2" t="s">
        <v>570</v>
      </c>
      <c r="AB3" s="2">
        <f t="shared" si="0"/>
        <v>36</v>
      </c>
      <c r="AC3" s="2">
        <f t="shared" si="0"/>
        <v>36</v>
      </c>
      <c r="AE3" s="2" t="s">
        <v>570</v>
      </c>
      <c r="AF3" s="19" t="s">
        <v>703</v>
      </c>
      <c r="AG3" s="2" t="s">
        <v>570</v>
      </c>
      <c r="AH3" s="2" t="s">
        <v>570</v>
      </c>
      <c r="AI3" s="2" t="s">
        <v>570</v>
      </c>
      <c r="AJ3" s="2" t="s">
        <v>570</v>
      </c>
      <c r="AK3" s="19" t="s">
        <v>337</v>
      </c>
      <c r="AL3" s="49" t="s">
        <v>1028</v>
      </c>
      <c r="AM3" s="2" t="s">
        <v>570</v>
      </c>
      <c r="AN3" s="2" t="s">
        <v>570</v>
      </c>
      <c r="AO3" s="19" t="s">
        <v>194</v>
      </c>
      <c r="AP3" s="2" t="s">
        <v>570</v>
      </c>
      <c r="AQ3" s="2" t="s">
        <v>570</v>
      </c>
      <c r="AR3" s="2" t="s">
        <v>570</v>
      </c>
      <c r="AS3" s="7">
        <v>3.4420225229999999</v>
      </c>
      <c r="AT3" s="7">
        <v>0.46925358299999997</v>
      </c>
      <c r="AU3" s="7">
        <f t="shared" si="1"/>
        <v>2.8155214979999998</v>
      </c>
      <c r="AV3" s="2" t="s">
        <v>570</v>
      </c>
      <c r="AW3" s="2" t="s">
        <v>570</v>
      </c>
      <c r="AX3" s="2" t="s">
        <v>570</v>
      </c>
      <c r="AY3" s="7">
        <v>3.2145094049999998</v>
      </c>
      <c r="AZ3" s="7">
        <v>0.49011759399999999</v>
      </c>
      <c r="BA3" s="7">
        <f t="shared" si="2"/>
        <v>2.9407055639999999</v>
      </c>
      <c r="BB3" s="2" t="s">
        <v>570</v>
      </c>
      <c r="BC3" s="2" t="s">
        <v>457</v>
      </c>
      <c r="BD3" s="2" t="s">
        <v>570</v>
      </c>
      <c r="BE3" s="2" t="s">
        <v>570</v>
      </c>
      <c r="BF3" s="2" t="s">
        <v>570</v>
      </c>
    </row>
    <row r="4" spans="1:58" s="2" customFormat="1" ht="40.799999999999997">
      <c r="A4" s="2" t="s">
        <v>399</v>
      </c>
      <c r="B4" s="2" t="s">
        <v>508</v>
      </c>
      <c r="C4" s="2" t="s">
        <v>478</v>
      </c>
      <c r="D4" s="2" t="s">
        <v>479</v>
      </c>
      <c r="E4" s="2" t="s">
        <v>480</v>
      </c>
      <c r="F4" s="2" t="s">
        <v>481</v>
      </c>
      <c r="G4" s="2" t="s">
        <v>570</v>
      </c>
      <c r="H4" s="2" t="s">
        <v>570</v>
      </c>
      <c r="I4" s="2" t="s">
        <v>570</v>
      </c>
      <c r="J4" s="2">
        <v>0</v>
      </c>
      <c r="K4" s="2" t="s">
        <v>570</v>
      </c>
      <c r="L4" s="2" t="s">
        <v>570</v>
      </c>
      <c r="M4" s="2" t="s">
        <v>482</v>
      </c>
      <c r="N4" s="2" t="s">
        <v>483</v>
      </c>
      <c r="O4" s="2">
        <v>2011</v>
      </c>
      <c r="P4" s="2" t="s">
        <v>570</v>
      </c>
      <c r="Q4" s="18" t="s">
        <v>328</v>
      </c>
      <c r="R4" s="2" t="s">
        <v>55</v>
      </c>
      <c r="S4" s="2" t="s">
        <v>570</v>
      </c>
      <c r="T4" s="2" t="s">
        <v>570</v>
      </c>
      <c r="U4" s="2" t="s">
        <v>570</v>
      </c>
      <c r="V4" s="2" t="s">
        <v>329</v>
      </c>
      <c r="W4" s="19" t="s">
        <v>330</v>
      </c>
      <c r="X4" s="19" t="s">
        <v>14</v>
      </c>
      <c r="Y4" s="2">
        <v>3</v>
      </c>
      <c r="Z4" s="2" t="s">
        <v>331</v>
      </c>
      <c r="AA4" s="2" t="s">
        <v>570</v>
      </c>
      <c r="AB4" s="2">
        <f t="shared" si="0"/>
        <v>36</v>
      </c>
      <c r="AC4" s="2">
        <f t="shared" si="0"/>
        <v>36</v>
      </c>
      <c r="AE4" s="2" t="s">
        <v>570</v>
      </c>
      <c r="AF4" s="19" t="s">
        <v>509</v>
      </c>
      <c r="AG4" s="2" t="s">
        <v>570</v>
      </c>
      <c r="AH4" s="2" t="s">
        <v>570</v>
      </c>
      <c r="AI4" s="2" t="s">
        <v>570</v>
      </c>
      <c r="AJ4" s="2" t="s">
        <v>570</v>
      </c>
      <c r="AK4" s="19" t="s">
        <v>332</v>
      </c>
      <c r="AL4" s="49" t="s">
        <v>1027</v>
      </c>
      <c r="AM4" s="2" t="s">
        <v>570</v>
      </c>
      <c r="AN4" s="2" t="s">
        <v>570</v>
      </c>
      <c r="AO4" s="19" t="s">
        <v>194</v>
      </c>
      <c r="AP4" s="2" t="s">
        <v>570</v>
      </c>
      <c r="AQ4" s="2" t="s">
        <v>570</v>
      </c>
      <c r="AR4" s="2" t="s">
        <v>570</v>
      </c>
      <c r="AS4" s="7">
        <v>5.3299873489999996</v>
      </c>
      <c r="AT4" s="7">
        <v>0.71381463000000078</v>
      </c>
      <c r="AU4" s="7">
        <f t="shared" si="1"/>
        <v>4.2828877800000047</v>
      </c>
      <c r="AV4" s="2" t="s">
        <v>570</v>
      </c>
      <c r="AW4" s="2" t="s">
        <v>570</v>
      </c>
      <c r="AX4" s="2" t="s">
        <v>570</v>
      </c>
      <c r="AY4" s="7">
        <v>8.9927618890000005</v>
      </c>
      <c r="AZ4" s="7">
        <v>0.77499637100000029</v>
      </c>
      <c r="BA4" s="7">
        <f t="shared" si="2"/>
        <v>4.6499782260000018</v>
      </c>
      <c r="BB4" s="2" t="s">
        <v>570</v>
      </c>
      <c r="BC4" s="2" t="s">
        <v>785</v>
      </c>
      <c r="BD4" s="2" t="s">
        <v>570</v>
      </c>
      <c r="BE4" s="2" t="s">
        <v>570</v>
      </c>
      <c r="BF4" s="2" t="s">
        <v>570</v>
      </c>
    </row>
    <row r="5" spans="1:58" s="2" customFormat="1" ht="91.8">
      <c r="A5" s="2" t="s">
        <v>399</v>
      </c>
      <c r="B5" s="2" t="s">
        <v>508</v>
      </c>
      <c r="C5" s="2" t="s">
        <v>478</v>
      </c>
      <c r="D5" s="2" t="s">
        <v>479</v>
      </c>
      <c r="E5" s="2" t="s">
        <v>480</v>
      </c>
      <c r="F5" s="2" t="s">
        <v>481</v>
      </c>
      <c r="G5" s="2" t="s">
        <v>570</v>
      </c>
      <c r="H5" s="2" t="s">
        <v>570</v>
      </c>
      <c r="I5" s="2" t="s">
        <v>570</v>
      </c>
      <c r="J5" s="2">
        <v>0</v>
      </c>
      <c r="K5" s="2" t="s">
        <v>570</v>
      </c>
      <c r="L5" s="2" t="s">
        <v>570</v>
      </c>
      <c r="M5" s="2" t="s">
        <v>482</v>
      </c>
      <c r="N5" s="2" t="s">
        <v>483</v>
      </c>
      <c r="O5" s="2">
        <v>2011</v>
      </c>
      <c r="P5" s="2" t="s">
        <v>570</v>
      </c>
      <c r="Q5" s="18" t="s">
        <v>328</v>
      </c>
      <c r="R5" s="2" t="s">
        <v>55</v>
      </c>
      <c r="S5" s="2" t="s">
        <v>570</v>
      </c>
      <c r="T5" s="2" t="s">
        <v>570</v>
      </c>
      <c r="U5" s="2" t="s">
        <v>570</v>
      </c>
      <c r="V5" s="2" t="s">
        <v>329</v>
      </c>
      <c r="W5" s="19" t="s">
        <v>330</v>
      </c>
      <c r="X5" s="19" t="s">
        <v>14</v>
      </c>
      <c r="Y5" s="2">
        <v>4</v>
      </c>
      <c r="Z5" s="2" t="s">
        <v>331</v>
      </c>
      <c r="AA5" s="2" t="s">
        <v>570</v>
      </c>
      <c r="AB5" s="2">
        <f t="shared" si="0"/>
        <v>36</v>
      </c>
      <c r="AC5" s="2">
        <f t="shared" si="0"/>
        <v>36</v>
      </c>
      <c r="AE5" s="2" t="s">
        <v>570</v>
      </c>
      <c r="AF5" s="19" t="s">
        <v>509</v>
      </c>
      <c r="AG5" s="2" t="s">
        <v>570</v>
      </c>
      <c r="AH5" s="2" t="s">
        <v>570</v>
      </c>
      <c r="AI5" s="2" t="s">
        <v>570</v>
      </c>
      <c r="AJ5" s="2" t="s">
        <v>570</v>
      </c>
      <c r="AK5" s="19" t="s">
        <v>337</v>
      </c>
      <c r="AL5" s="49" t="s">
        <v>1027</v>
      </c>
      <c r="AM5" s="2" t="s">
        <v>570</v>
      </c>
      <c r="AN5" s="2" t="s">
        <v>570</v>
      </c>
      <c r="AO5" s="19" t="s">
        <v>194</v>
      </c>
      <c r="AP5" s="2" t="s">
        <v>570</v>
      </c>
      <c r="AQ5" s="2" t="s">
        <v>570</v>
      </c>
      <c r="AR5" s="2" t="s">
        <v>570</v>
      </c>
      <c r="AS5" s="7">
        <v>5.0592114810000002</v>
      </c>
      <c r="AT5" s="7">
        <v>0.69336541100000026</v>
      </c>
      <c r="AU5" s="7">
        <f t="shared" si="1"/>
        <v>4.1601924660000016</v>
      </c>
      <c r="AV5" s="2" t="s">
        <v>570</v>
      </c>
      <c r="AW5" s="2" t="s">
        <v>570</v>
      </c>
      <c r="AX5" s="2" t="s">
        <v>570</v>
      </c>
      <c r="AY5" s="7">
        <v>4.9539788869999999</v>
      </c>
      <c r="AZ5" s="7">
        <v>0.51023497899999981</v>
      </c>
      <c r="BA5" s="7">
        <f t="shared" si="2"/>
        <v>3.0614098739999989</v>
      </c>
      <c r="BB5" s="2" t="s">
        <v>570</v>
      </c>
      <c r="BC5" s="2" t="s">
        <v>457</v>
      </c>
      <c r="BD5" s="2" t="s">
        <v>570</v>
      </c>
      <c r="BE5" s="2" t="s">
        <v>570</v>
      </c>
      <c r="BF5" s="2" t="s">
        <v>570</v>
      </c>
    </row>
    <row r="6" spans="1:58" s="2" customFormat="1" ht="40.799999999999997">
      <c r="A6" s="2" t="s">
        <v>399</v>
      </c>
      <c r="B6" s="2" t="s">
        <v>508</v>
      </c>
      <c r="C6" s="2" t="s">
        <v>478</v>
      </c>
      <c r="D6" s="2" t="s">
        <v>479</v>
      </c>
      <c r="E6" s="2" t="s">
        <v>480</v>
      </c>
      <c r="F6" s="2" t="s">
        <v>481</v>
      </c>
      <c r="G6" s="2" t="s">
        <v>570</v>
      </c>
      <c r="H6" s="2" t="s">
        <v>570</v>
      </c>
      <c r="I6" s="2" t="s">
        <v>570</v>
      </c>
      <c r="J6" s="2">
        <v>0</v>
      </c>
      <c r="K6" s="2" t="s">
        <v>570</v>
      </c>
      <c r="L6" s="2" t="s">
        <v>570</v>
      </c>
      <c r="M6" s="2" t="s">
        <v>482</v>
      </c>
      <c r="N6" s="2" t="s">
        <v>483</v>
      </c>
      <c r="O6" s="2">
        <v>2011</v>
      </c>
      <c r="P6" s="2" t="s">
        <v>570</v>
      </c>
      <c r="Q6" s="18" t="s">
        <v>328</v>
      </c>
      <c r="R6" s="2" t="s">
        <v>55</v>
      </c>
      <c r="S6" s="2" t="s">
        <v>570</v>
      </c>
      <c r="T6" s="2" t="s">
        <v>570</v>
      </c>
      <c r="U6" s="2" t="s">
        <v>570</v>
      </c>
      <c r="V6" s="2" t="s">
        <v>623</v>
      </c>
      <c r="W6" s="19" t="s">
        <v>338</v>
      </c>
      <c r="X6" s="19" t="s">
        <v>14</v>
      </c>
      <c r="Y6" s="2">
        <v>5</v>
      </c>
      <c r="Z6" s="2" t="s">
        <v>331</v>
      </c>
      <c r="AA6" s="2" t="s">
        <v>570</v>
      </c>
      <c r="AB6" s="2">
        <f t="shared" si="0"/>
        <v>36</v>
      </c>
      <c r="AC6" s="2">
        <f t="shared" si="0"/>
        <v>36</v>
      </c>
      <c r="AE6" s="2" t="s">
        <v>570</v>
      </c>
      <c r="AF6" s="19" t="s">
        <v>703</v>
      </c>
      <c r="AG6" s="2" t="s">
        <v>570</v>
      </c>
      <c r="AH6" s="2" t="s">
        <v>570</v>
      </c>
      <c r="AI6" s="2" t="s">
        <v>570</v>
      </c>
      <c r="AJ6" s="2" t="s">
        <v>570</v>
      </c>
      <c r="AK6" s="19" t="s">
        <v>332</v>
      </c>
      <c r="AL6" s="49" t="s">
        <v>1027</v>
      </c>
      <c r="AM6" s="2" t="s">
        <v>570</v>
      </c>
      <c r="AN6" s="2" t="s">
        <v>570</v>
      </c>
      <c r="AO6" s="19" t="s">
        <v>339</v>
      </c>
      <c r="AP6" s="2" t="s">
        <v>570</v>
      </c>
      <c r="AQ6" s="2" t="s">
        <v>570</v>
      </c>
      <c r="AR6" s="2" t="s">
        <v>570</v>
      </c>
      <c r="AS6" s="7">
        <v>1.0887031540000001</v>
      </c>
      <c r="AT6" s="7">
        <v>0.24530767200000003</v>
      </c>
      <c r="AU6" s="7">
        <f t="shared" si="1"/>
        <v>1.4718460320000002</v>
      </c>
      <c r="AV6" s="2" t="s">
        <v>570</v>
      </c>
      <c r="AW6" s="2" t="s">
        <v>570</v>
      </c>
      <c r="AX6" s="2" t="s">
        <v>570</v>
      </c>
      <c r="AY6" s="7">
        <v>7.131343717</v>
      </c>
      <c r="AZ6" s="7">
        <v>0.67316506600000015</v>
      </c>
      <c r="BA6" s="7">
        <f t="shared" si="2"/>
        <v>4.0389903960000009</v>
      </c>
      <c r="BB6" s="2" t="s">
        <v>570</v>
      </c>
      <c r="BC6" s="2" t="s">
        <v>785</v>
      </c>
      <c r="BD6" s="2" t="s">
        <v>570</v>
      </c>
      <c r="BE6" s="2" t="s">
        <v>570</v>
      </c>
      <c r="BF6" s="2" t="s">
        <v>570</v>
      </c>
    </row>
    <row r="7" spans="1:58" s="2" customFormat="1" ht="91.8">
      <c r="A7" s="2" t="s">
        <v>399</v>
      </c>
      <c r="B7" s="2" t="s">
        <v>508</v>
      </c>
      <c r="C7" s="2" t="s">
        <v>478</v>
      </c>
      <c r="D7" s="2" t="s">
        <v>479</v>
      </c>
      <c r="E7" s="2" t="s">
        <v>480</v>
      </c>
      <c r="F7" s="2" t="s">
        <v>481</v>
      </c>
      <c r="G7" s="2" t="s">
        <v>570</v>
      </c>
      <c r="H7" s="2" t="s">
        <v>570</v>
      </c>
      <c r="I7" s="2" t="s">
        <v>570</v>
      </c>
      <c r="J7" s="2">
        <v>0</v>
      </c>
      <c r="K7" s="2" t="s">
        <v>570</v>
      </c>
      <c r="L7" s="2" t="s">
        <v>570</v>
      </c>
      <c r="M7" s="2" t="s">
        <v>482</v>
      </c>
      <c r="N7" s="2" t="s">
        <v>483</v>
      </c>
      <c r="O7" s="2">
        <v>2011</v>
      </c>
      <c r="P7" s="2" t="s">
        <v>570</v>
      </c>
      <c r="Q7" s="18" t="s">
        <v>328</v>
      </c>
      <c r="R7" s="2" t="s">
        <v>55</v>
      </c>
      <c r="S7" s="2" t="s">
        <v>570</v>
      </c>
      <c r="T7" s="2" t="s">
        <v>570</v>
      </c>
      <c r="U7" s="2" t="s">
        <v>570</v>
      </c>
      <c r="V7" s="2" t="s">
        <v>623</v>
      </c>
      <c r="W7" s="19" t="s">
        <v>338</v>
      </c>
      <c r="X7" s="19" t="s">
        <v>14</v>
      </c>
      <c r="Y7" s="2">
        <v>6</v>
      </c>
      <c r="Z7" s="2" t="s">
        <v>331</v>
      </c>
      <c r="AA7" s="2" t="s">
        <v>570</v>
      </c>
      <c r="AB7" s="2">
        <f t="shared" si="0"/>
        <v>36</v>
      </c>
      <c r="AC7" s="2">
        <f t="shared" si="0"/>
        <v>36</v>
      </c>
      <c r="AE7" s="2" t="s">
        <v>570</v>
      </c>
      <c r="AF7" s="19" t="s">
        <v>703</v>
      </c>
      <c r="AG7" s="2" t="s">
        <v>570</v>
      </c>
      <c r="AH7" s="2" t="s">
        <v>570</v>
      </c>
      <c r="AI7" s="2" t="s">
        <v>570</v>
      </c>
      <c r="AJ7" s="2" t="s">
        <v>570</v>
      </c>
      <c r="AK7" s="19" t="s">
        <v>337</v>
      </c>
      <c r="AL7" s="49" t="s">
        <v>1027</v>
      </c>
      <c r="AM7" s="2" t="s">
        <v>570</v>
      </c>
      <c r="AN7" s="2" t="s">
        <v>570</v>
      </c>
      <c r="AO7" s="19" t="s">
        <v>339</v>
      </c>
      <c r="AP7" s="2" t="s">
        <v>570</v>
      </c>
      <c r="AQ7" s="2" t="s">
        <v>570</v>
      </c>
      <c r="AR7" s="2" t="s">
        <v>570</v>
      </c>
      <c r="AS7" s="7">
        <v>1.4898479790000001</v>
      </c>
      <c r="AT7" s="7">
        <v>0.26575689099999988</v>
      </c>
      <c r="AU7" s="7">
        <f t="shared" si="1"/>
        <v>1.5945413459999993</v>
      </c>
      <c r="AV7" s="2" t="s">
        <v>570</v>
      </c>
      <c r="AW7" s="2" t="s">
        <v>570</v>
      </c>
      <c r="AX7" s="2" t="s">
        <v>570</v>
      </c>
      <c r="AY7" s="7">
        <v>3.2145094049999998</v>
      </c>
      <c r="AZ7" s="7">
        <v>0.49011759399999999</v>
      </c>
      <c r="BA7" s="7">
        <f t="shared" si="2"/>
        <v>2.9407055639999999</v>
      </c>
      <c r="BB7" s="2" t="s">
        <v>570</v>
      </c>
      <c r="BC7" s="2" t="s">
        <v>785</v>
      </c>
      <c r="BD7" s="2" t="s">
        <v>570</v>
      </c>
      <c r="BE7" s="2" t="s">
        <v>570</v>
      </c>
      <c r="BF7" s="2" t="s">
        <v>570</v>
      </c>
    </row>
    <row r="8" spans="1:58" s="2" customFormat="1" ht="40.799999999999997">
      <c r="A8" s="2" t="s">
        <v>399</v>
      </c>
      <c r="B8" s="2" t="s">
        <v>508</v>
      </c>
      <c r="C8" s="2" t="s">
        <v>478</v>
      </c>
      <c r="D8" s="2" t="s">
        <v>479</v>
      </c>
      <c r="E8" s="2" t="s">
        <v>480</v>
      </c>
      <c r="F8" s="2" t="s">
        <v>481</v>
      </c>
      <c r="G8" s="2" t="s">
        <v>570</v>
      </c>
      <c r="H8" s="2" t="s">
        <v>570</v>
      </c>
      <c r="I8" s="2" t="s">
        <v>570</v>
      </c>
      <c r="J8" s="2">
        <v>0</v>
      </c>
      <c r="K8" s="2" t="s">
        <v>570</v>
      </c>
      <c r="L8" s="2" t="s">
        <v>570</v>
      </c>
      <c r="M8" s="2" t="s">
        <v>482</v>
      </c>
      <c r="N8" s="2" t="s">
        <v>483</v>
      </c>
      <c r="O8" s="2">
        <v>2011</v>
      </c>
      <c r="P8" s="2" t="s">
        <v>570</v>
      </c>
      <c r="Q8" s="18" t="s">
        <v>328</v>
      </c>
      <c r="R8" s="2" t="s">
        <v>55</v>
      </c>
      <c r="S8" s="2" t="s">
        <v>570</v>
      </c>
      <c r="T8" s="2" t="s">
        <v>570</v>
      </c>
      <c r="U8" s="2" t="s">
        <v>570</v>
      </c>
      <c r="V8" s="2" t="s">
        <v>623</v>
      </c>
      <c r="W8" s="19" t="s">
        <v>338</v>
      </c>
      <c r="X8" s="19" t="s">
        <v>14</v>
      </c>
      <c r="Y8" s="2">
        <v>7</v>
      </c>
      <c r="Z8" s="2" t="s">
        <v>331</v>
      </c>
      <c r="AA8" s="2" t="s">
        <v>570</v>
      </c>
      <c r="AB8" s="2">
        <f t="shared" si="0"/>
        <v>36</v>
      </c>
      <c r="AC8" s="2">
        <f t="shared" si="0"/>
        <v>36</v>
      </c>
      <c r="AE8" s="2" t="s">
        <v>570</v>
      </c>
      <c r="AF8" s="19" t="s">
        <v>509</v>
      </c>
      <c r="AG8" s="2" t="s">
        <v>570</v>
      </c>
      <c r="AH8" s="2" t="s">
        <v>570</v>
      </c>
      <c r="AI8" s="2" t="s">
        <v>570</v>
      </c>
      <c r="AJ8" s="2" t="s">
        <v>570</v>
      </c>
      <c r="AK8" s="19" t="s">
        <v>332</v>
      </c>
      <c r="AL8" s="49" t="s">
        <v>1027</v>
      </c>
      <c r="AM8" s="2" t="s">
        <v>570</v>
      </c>
      <c r="AN8" s="2" t="s">
        <v>570</v>
      </c>
      <c r="AO8" s="19" t="s">
        <v>339</v>
      </c>
      <c r="AP8" s="2" t="s">
        <v>570</v>
      </c>
      <c r="AQ8" s="2" t="s">
        <v>570</v>
      </c>
      <c r="AR8" s="2" t="s">
        <v>570</v>
      </c>
      <c r="AS8" s="7">
        <v>1.3614700209999999</v>
      </c>
      <c r="AT8" s="7">
        <v>0.26592280700000015</v>
      </c>
      <c r="AU8" s="7">
        <f t="shared" si="1"/>
        <v>1.5955368420000009</v>
      </c>
      <c r="AV8" s="2" t="s">
        <v>570</v>
      </c>
      <c r="AW8" s="2" t="s">
        <v>570</v>
      </c>
      <c r="AX8" s="2" t="s">
        <v>570</v>
      </c>
      <c r="AY8" s="7">
        <v>8.9927618890000005</v>
      </c>
      <c r="AZ8" s="7">
        <v>0.77499637100000029</v>
      </c>
      <c r="BA8" s="7">
        <f t="shared" si="2"/>
        <v>4.6499782260000018</v>
      </c>
      <c r="BB8" s="2" t="s">
        <v>570</v>
      </c>
      <c r="BC8" s="2" t="s">
        <v>785</v>
      </c>
      <c r="BD8" s="2" t="s">
        <v>570</v>
      </c>
      <c r="BE8" s="2" t="s">
        <v>570</v>
      </c>
      <c r="BF8" s="2" t="s">
        <v>570</v>
      </c>
    </row>
    <row r="9" spans="1:58" s="2" customFormat="1" ht="91.8">
      <c r="A9" s="2" t="s">
        <v>399</v>
      </c>
      <c r="B9" s="2" t="s">
        <v>508</v>
      </c>
      <c r="C9" s="2" t="s">
        <v>478</v>
      </c>
      <c r="D9" s="2" t="s">
        <v>479</v>
      </c>
      <c r="E9" s="2" t="s">
        <v>480</v>
      </c>
      <c r="F9" s="2" t="s">
        <v>481</v>
      </c>
      <c r="G9" s="2" t="s">
        <v>570</v>
      </c>
      <c r="H9" s="2" t="s">
        <v>570</v>
      </c>
      <c r="I9" s="2" t="s">
        <v>570</v>
      </c>
      <c r="J9" s="2">
        <v>0</v>
      </c>
      <c r="K9" s="2" t="s">
        <v>570</v>
      </c>
      <c r="L9" s="2" t="s">
        <v>570</v>
      </c>
      <c r="M9" s="2" t="s">
        <v>482</v>
      </c>
      <c r="N9" s="2" t="s">
        <v>483</v>
      </c>
      <c r="O9" s="2">
        <v>2011</v>
      </c>
      <c r="P9" s="2" t="s">
        <v>570</v>
      </c>
      <c r="Q9" s="18" t="s">
        <v>328</v>
      </c>
      <c r="R9" s="2" t="s">
        <v>55</v>
      </c>
      <c r="S9" s="2" t="s">
        <v>570</v>
      </c>
      <c r="T9" s="2" t="s">
        <v>570</v>
      </c>
      <c r="U9" s="2" t="s">
        <v>570</v>
      </c>
      <c r="V9" s="2" t="s">
        <v>623</v>
      </c>
      <c r="W9" s="19" t="s">
        <v>338</v>
      </c>
      <c r="X9" s="19" t="s">
        <v>14</v>
      </c>
      <c r="Y9" s="2">
        <v>8</v>
      </c>
      <c r="Z9" s="2" t="s">
        <v>331</v>
      </c>
      <c r="AA9" s="2" t="s">
        <v>570</v>
      </c>
      <c r="AB9" s="2">
        <f t="shared" si="0"/>
        <v>36</v>
      </c>
      <c r="AC9" s="2">
        <f t="shared" si="0"/>
        <v>36</v>
      </c>
      <c r="AE9" s="2" t="s">
        <v>570</v>
      </c>
      <c r="AF9" s="19" t="s">
        <v>509</v>
      </c>
      <c r="AG9" s="2" t="s">
        <v>570</v>
      </c>
      <c r="AH9" s="2" t="s">
        <v>570</v>
      </c>
      <c r="AI9" s="2" t="s">
        <v>570</v>
      </c>
      <c r="AJ9" s="2" t="s">
        <v>570</v>
      </c>
      <c r="AK9" s="19" t="s">
        <v>337</v>
      </c>
      <c r="AL9" s="49" t="s">
        <v>1027</v>
      </c>
      <c r="AM9" s="2" t="s">
        <v>570</v>
      </c>
      <c r="AN9" s="2" t="s">
        <v>570</v>
      </c>
      <c r="AO9" s="19" t="s">
        <v>339</v>
      </c>
      <c r="AP9" s="2" t="s">
        <v>570</v>
      </c>
      <c r="AQ9" s="2" t="s">
        <v>570</v>
      </c>
      <c r="AR9" s="2" t="s">
        <v>570</v>
      </c>
      <c r="AS9" s="7">
        <v>2.1905551980000002</v>
      </c>
      <c r="AT9" s="7">
        <v>0.30640645499999986</v>
      </c>
      <c r="AU9" s="7">
        <f t="shared" si="1"/>
        <v>1.8384387299999991</v>
      </c>
      <c r="AV9" s="2" t="s">
        <v>570</v>
      </c>
      <c r="AW9" s="2" t="s">
        <v>570</v>
      </c>
      <c r="AX9" s="2" t="s">
        <v>570</v>
      </c>
      <c r="AY9" s="7">
        <v>4.9539788869999999</v>
      </c>
      <c r="AZ9" s="7">
        <v>0.51023497899999981</v>
      </c>
      <c r="BA9" s="7">
        <f t="shared" si="2"/>
        <v>3.0614098739999989</v>
      </c>
      <c r="BB9" s="2" t="s">
        <v>570</v>
      </c>
      <c r="BC9" s="2" t="s">
        <v>785</v>
      </c>
      <c r="BD9" s="2" t="s">
        <v>570</v>
      </c>
      <c r="BE9" s="2" t="s">
        <v>570</v>
      </c>
      <c r="BF9" s="2" t="s">
        <v>570</v>
      </c>
    </row>
    <row r="10" spans="1:58" s="2" customFormat="1" ht="40.799999999999997">
      <c r="A10" s="2" t="s">
        <v>399</v>
      </c>
      <c r="B10" s="2" t="s">
        <v>508</v>
      </c>
      <c r="C10" s="2" t="s">
        <v>478</v>
      </c>
      <c r="D10" s="2" t="s">
        <v>479</v>
      </c>
      <c r="E10" s="2" t="s">
        <v>480</v>
      </c>
      <c r="F10" s="2" t="s">
        <v>481</v>
      </c>
      <c r="G10" s="2" t="s">
        <v>570</v>
      </c>
      <c r="H10" s="2" t="s">
        <v>570</v>
      </c>
      <c r="I10" s="2" t="s">
        <v>570</v>
      </c>
      <c r="J10" s="2">
        <v>0</v>
      </c>
      <c r="K10" s="2" t="s">
        <v>570</v>
      </c>
      <c r="L10" s="2" t="s">
        <v>570</v>
      </c>
      <c r="M10" s="2" t="s">
        <v>482</v>
      </c>
      <c r="N10" s="2" t="s">
        <v>483</v>
      </c>
      <c r="O10" s="2">
        <v>2012</v>
      </c>
      <c r="P10" s="2" t="s">
        <v>570</v>
      </c>
      <c r="Q10" s="18" t="s">
        <v>328</v>
      </c>
      <c r="R10" s="2" t="s">
        <v>55</v>
      </c>
      <c r="S10" s="2" t="s">
        <v>570</v>
      </c>
      <c r="T10" s="2" t="s">
        <v>570</v>
      </c>
      <c r="U10" s="2" t="s">
        <v>570</v>
      </c>
      <c r="V10" s="2" t="s">
        <v>329</v>
      </c>
      <c r="W10" s="19" t="s">
        <v>330</v>
      </c>
      <c r="X10" s="19" t="s">
        <v>14</v>
      </c>
      <c r="Y10" s="2">
        <v>9</v>
      </c>
      <c r="Z10" s="2" t="s">
        <v>570</v>
      </c>
      <c r="AA10" s="2" t="s">
        <v>570</v>
      </c>
      <c r="AB10" s="2">
        <f t="shared" ref="AB10:AC41" si="3">6*5</f>
        <v>30</v>
      </c>
      <c r="AC10" s="2">
        <f t="shared" si="3"/>
        <v>30</v>
      </c>
      <c r="AE10" s="2" t="s">
        <v>570</v>
      </c>
      <c r="AF10" s="19" t="s">
        <v>703</v>
      </c>
      <c r="AG10" s="2" t="s">
        <v>570</v>
      </c>
      <c r="AH10" s="2" t="s">
        <v>570</v>
      </c>
      <c r="AI10" s="2" t="s">
        <v>570</v>
      </c>
      <c r="AJ10" s="2" t="s">
        <v>570</v>
      </c>
      <c r="AK10" s="19" t="s">
        <v>332</v>
      </c>
      <c r="AL10" s="49" t="s">
        <v>1027</v>
      </c>
      <c r="AM10" s="2" t="s">
        <v>570</v>
      </c>
      <c r="AN10" s="2" t="s">
        <v>570</v>
      </c>
      <c r="AO10" s="19" t="s">
        <v>517</v>
      </c>
      <c r="AP10" s="2" t="s">
        <v>570</v>
      </c>
      <c r="AQ10" s="2" t="s">
        <v>570</v>
      </c>
      <c r="AR10" s="2" t="s">
        <v>570</v>
      </c>
      <c r="AS10" s="7">
        <v>3.37580671</v>
      </c>
      <c r="AT10" s="7">
        <v>0.48562590000000005</v>
      </c>
      <c r="AU10" s="7">
        <f t="shared" si="1"/>
        <v>2.6598825993874806</v>
      </c>
      <c r="AV10" s="2" t="s">
        <v>570</v>
      </c>
      <c r="AW10" s="2" t="s">
        <v>570</v>
      </c>
      <c r="AX10" s="2" t="s">
        <v>570</v>
      </c>
      <c r="AY10" s="7">
        <v>4.6207797749999999</v>
      </c>
      <c r="AZ10" s="7">
        <v>0.43949010600000005</v>
      </c>
      <c r="BA10" s="7">
        <f t="shared" si="2"/>
        <v>2.407186448565366</v>
      </c>
      <c r="BB10" s="2" t="s">
        <v>570</v>
      </c>
      <c r="BC10" s="2" t="s">
        <v>457</v>
      </c>
      <c r="BD10" s="2" t="s">
        <v>570</v>
      </c>
      <c r="BE10" s="2" t="s">
        <v>570</v>
      </c>
      <c r="BF10" s="2" t="s">
        <v>570</v>
      </c>
    </row>
    <row r="11" spans="1:58" s="2" customFormat="1" ht="91.8">
      <c r="A11" s="2" t="s">
        <v>399</v>
      </c>
      <c r="B11" s="2" t="s">
        <v>508</v>
      </c>
      <c r="C11" s="2" t="s">
        <v>478</v>
      </c>
      <c r="D11" s="2" t="s">
        <v>479</v>
      </c>
      <c r="E11" s="2" t="s">
        <v>480</v>
      </c>
      <c r="F11" s="2" t="s">
        <v>481</v>
      </c>
      <c r="G11" s="2" t="s">
        <v>570</v>
      </c>
      <c r="H11" s="2" t="s">
        <v>570</v>
      </c>
      <c r="I11" s="2" t="s">
        <v>570</v>
      </c>
      <c r="J11" s="2">
        <v>0</v>
      </c>
      <c r="K11" s="2" t="s">
        <v>570</v>
      </c>
      <c r="L11" s="2" t="s">
        <v>570</v>
      </c>
      <c r="M11" s="2" t="s">
        <v>482</v>
      </c>
      <c r="N11" s="2" t="s">
        <v>483</v>
      </c>
      <c r="O11" s="2">
        <v>2012</v>
      </c>
      <c r="P11" s="2" t="s">
        <v>570</v>
      </c>
      <c r="Q11" s="18" t="s">
        <v>328</v>
      </c>
      <c r="R11" s="2" t="s">
        <v>55</v>
      </c>
      <c r="S11" s="2" t="s">
        <v>570</v>
      </c>
      <c r="T11" s="2" t="s">
        <v>570</v>
      </c>
      <c r="U11" s="2" t="s">
        <v>570</v>
      </c>
      <c r="V11" s="2" t="s">
        <v>329</v>
      </c>
      <c r="W11" s="19" t="s">
        <v>330</v>
      </c>
      <c r="X11" s="19" t="s">
        <v>14</v>
      </c>
      <c r="Y11" s="2">
        <v>10</v>
      </c>
      <c r="Z11" s="2" t="s">
        <v>570</v>
      </c>
      <c r="AA11" s="2" t="s">
        <v>570</v>
      </c>
      <c r="AB11" s="2">
        <f t="shared" si="3"/>
        <v>30</v>
      </c>
      <c r="AC11" s="2">
        <f t="shared" si="3"/>
        <v>30</v>
      </c>
      <c r="AE11" s="2" t="s">
        <v>570</v>
      </c>
      <c r="AF11" s="19" t="s">
        <v>703</v>
      </c>
      <c r="AG11" s="2" t="s">
        <v>570</v>
      </c>
      <c r="AH11" s="2" t="s">
        <v>570</v>
      </c>
      <c r="AI11" s="2" t="s">
        <v>570</v>
      </c>
      <c r="AJ11" s="2" t="s">
        <v>570</v>
      </c>
      <c r="AK11" s="19" t="s">
        <v>337</v>
      </c>
      <c r="AL11" s="49" t="s">
        <v>1027</v>
      </c>
      <c r="AM11" s="2" t="s">
        <v>570</v>
      </c>
      <c r="AN11" s="2" t="s">
        <v>570</v>
      </c>
      <c r="AO11" s="19" t="s">
        <v>517</v>
      </c>
      <c r="AP11" s="2" t="s">
        <v>570</v>
      </c>
      <c r="AQ11" s="2" t="s">
        <v>570</v>
      </c>
      <c r="AR11" s="2" t="s">
        <v>570</v>
      </c>
      <c r="AS11" s="7">
        <v>0.728945544</v>
      </c>
      <c r="AT11" s="7">
        <v>0.18560989900000002</v>
      </c>
      <c r="AU11" s="7">
        <f t="shared" si="1"/>
        <v>1.0166272857855558</v>
      </c>
      <c r="AV11" s="2" t="s">
        <v>570</v>
      </c>
      <c r="AW11" s="2" t="s">
        <v>570</v>
      </c>
      <c r="AX11" s="2" t="s">
        <v>570</v>
      </c>
      <c r="AY11" s="7">
        <v>0.91183529799999996</v>
      </c>
      <c r="AZ11" s="7">
        <v>0.23163902100000011</v>
      </c>
      <c r="BA11" s="7">
        <f t="shared" si="2"/>
        <v>1.2687391700011295</v>
      </c>
      <c r="BB11" s="2" t="s">
        <v>570</v>
      </c>
      <c r="BC11" s="2" t="s">
        <v>457</v>
      </c>
      <c r="BD11" s="2" t="s">
        <v>570</v>
      </c>
      <c r="BE11" s="2" t="s">
        <v>570</v>
      </c>
      <c r="BF11" s="2" t="s">
        <v>570</v>
      </c>
    </row>
    <row r="12" spans="1:58" s="2" customFormat="1" ht="40.799999999999997">
      <c r="A12" s="2" t="s">
        <v>399</v>
      </c>
      <c r="B12" s="2" t="s">
        <v>508</v>
      </c>
      <c r="C12" s="2" t="s">
        <v>478</v>
      </c>
      <c r="D12" s="2" t="s">
        <v>479</v>
      </c>
      <c r="E12" s="2" t="s">
        <v>480</v>
      </c>
      <c r="F12" s="2" t="s">
        <v>481</v>
      </c>
      <c r="G12" s="2" t="s">
        <v>570</v>
      </c>
      <c r="H12" s="2" t="s">
        <v>570</v>
      </c>
      <c r="I12" s="2" t="s">
        <v>570</v>
      </c>
      <c r="J12" s="2">
        <v>0</v>
      </c>
      <c r="K12" s="2" t="s">
        <v>570</v>
      </c>
      <c r="L12" s="2" t="s">
        <v>570</v>
      </c>
      <c r="M12" s="2" t="s">
        <v>482</v>
      </c>
      <c r="N12" s="2" t="s">
        <v>483</v>
      </c>
      <c r="O12" s="2">
        <v>2012</v>
      </c>
      <c r="P12" s="2" t="s">
        <v>570</v>
      </c>
      <c r="Q12" s="18" t="s">
        <v>328</v>
      </c>
      <c r="R12" s="2" t="s">
        <v>55</v>
      </c>
      <c r="S12" s="2" t="s">
        <v>570</v>
      </c>
      <c r="T12" s="2" t="s">
        <v>570</v>
      </c>
      <c r="U12" s="2" t="s">
        <v>570</v>
      </c>
      <c r="V12" s="2" t="s">
        <v>329</v>
      </c>
      <c r="W12" s="19" t="s">
        <v>825</v>
      </c>
      <c r="X12" s="19" t="s">
        <v>14</v>
      </c>
      <c r="Y12" s="2">
        <v>11</v>
      </c>
      <c r="Z12" s="2" t="s">
        <v>570</v>
      </c>
      <c r="AA12" s="2" t="s">
        <v>570</v>
      </c>
      <c r="AB12" s="2">
        <f t="shared" si="3"/>
        <v>30</v>
      </c>
      <c r="AC12" s="2">
        <f t="shared" si="3"/>
        <v>30</v>
      </c>
      <c r="AE12" s="2" t="s">
        <v>570</v>
      </c>
      <c r="AF12" s="19" t="s">
        <v>509</v>
      </c>
      <c r="AG12" s="2" t="s">
        <v>570</v>
      </c>
      <c r="AH12" s="2" t="s">
        <v>570</v>
      </c>
      <c r="AI12" s="2" t="s">
        <v>570</v>
      </c>
      <c r="AJ12" s="2" t="s">
        <v>570</v>
      </c>
      <c r="AK12" s="19" t="s">
        <v>332</v>
      </c>
      <c r="AL12" s="49" t="s">
        <v>1027</v>
      </c>
      <c r="AM12" s="2" t="s">
        <v>570</v>
      </c>
      <c r="AN12" s="2" t="s">
        <v>570</v>
      </c>
      <c r="AO12" s="19" t="s">
        <v>712</v>
      </c>
      <c r="AP12" s="2" t="s">
        <v>570</v>
      </c>
      <c r="AQ12" s="2" t="s">
        <v>570</v>
      </c>
      <c r="AR12" s="2" t="s">
        <v>570</v>
      </c>
      <c r="AS12" s="7">
        <v>4.7335857910000003</v>
      </c>
      <c r="AT12" s="7">
        <v>0.60120539799999939</v>
      </c>
      <c r="AU12" s="7">
        <f t="shared" si="1"/>
        <v>3.2929375817847095</v>
      </c>
      <c r="AV12" s="2" t="s">
        <v>570</v>
      </c>
      <c r="AW12" s="2" t="s">
        <v>570</v>
      </c>
      <c r="AX12" s="2" t="s">
        <v>570</v>
      </c>
      <c r="AY12" s="7">
        <v>5.886180596</v>
      </c>
      <c r="AZ12" s="7">
        <v>0.62440663499999971</v>
      </c>
      <c r="BA12" s="7">
        <f t="shared" si="2"/>
        <v>3.4200159904539462</v>
      </c>
      <c r="BB12" s="2" t="s">
        <v>570</v>
      </c>
      <c r="BC12" s="2" t="s">
        <v>457</v>
      </c>
      <c r="BD12" s="2" t="s">
        <v>570</v>
      </c>
      <c r="BE12" s="2" t="s">
        <v>570</v>
      </c>
      <c r="BF12" s="2" t="s">
        <v>570</v>
      </c>
    </row>
    <row r="13" spans="1:58" s="2" customFormat="1" ht="91.8">
      <c r="A13" s="2" t="s">
        <v>399</v>
      </c>
      <c r="B13" s="2" t="s">
        <v>508</v>
      </c>
      <c r="C13" s="2" t="s">
        <v>478</v>
      </c>
      <c r="D13" s="2" t="s">
        <v>479</v>
      </c>
      <c r="E13" s="2" t="s">
        <v>480</v>
      </c>
      <c r="F13" s="2" t="s">
        <v>481</v>
      </c>
      <c r="G13" s="2" t="s">
        <v>570</v>
      </c>
      <c r="H13" s="2" t="s">
        <v>570</v>
      </c>
      <c r="I13" s="2" t="s">
        <v>570</v>
      </c>
      <c r="J13" s="2">
        <v>0</v>
      </c>
      <c r="K13" s="2" t="s">
        <v>570</v>
      </c>
      <c r="L13" s="2" t="s">
        <v>570</v>
      </c>
      <c r="M13" s="2" t="s">
        <v>482</v>
      </c>
      <c r="N13" s="2" t="s">
        <v>483</v>
      </c>
      <c r="O13" s="2">
        <v>2012</v>
      </c>
      <c r="P13" s="2" t="s">
        <v>570</v>
      </c>
      <c r="Q13" s="18" t="s">
        <v>328</v>
      </c>
      <c r="R13" s="2" t="s">
        <v>55</v>
      </c>
      <c r="S13" s="2" t="s">
        <v>570</v>
      </c>
      <c r="T13" s="2" t="s">
        <v>570</v>
      </c>
      <c r="U13" s="2" t="s">
        <v>570</v>
      </c>
      <c r="V13" s="2" t="s">
        <v>329</v>
      </c>
      <c r="W13" s="19" t="s">
        <v>330</v>
      </c>
      <c r="X13" s="19" t="s">
        <v>14</v>
      </c>
      <c r="Y13" s="2">
        <v>12</v>
      </c>
      <c r="Z13" s="2" t="s">
        <v>570</v>
      </c>
      <c r="AA13" s="2" t="s">
        <v>570</v>
      </c>
      <c r="AB13" s="2">
        <f t="shared" si="3"/>
        <v>30</v>
      </c>
      <c r="AC13" s="2">
        <f t="shared" si="3"/>
        <v>30</v>
      </c>
      <c r="AE13" s="2" t="s">
        <v>570</v>
      </c>
      <c r="AF13" s="19" t="s">
        <v>509</v>
      </c>
      <c r="AG13" s="2" t="s">
        <v>570</v>
      </c>
      <c r="AH13" s="2" t="s">
        <v>570</v>
      </c>
      <c r="AI13" s="2" t="s">
        <v>570</v>
      </c>
      <c r="AJ13" s="2" t="s">
        <v>570</v>
      </c>
      <c r="AK13" s="19" t="s">
        <v>337</v>
      </c>
      <c r="AL13" s="49" t="s">
        <v>1027</v>
      </c>
      <c r="AM13" s="2" t="s">
        <v>570</v>
      </c>
      <c r="AN13" s="2" t="s">
        <v>570</v>
      </c>
      <c r="AO13" s="19" t="s">
        <v>712</v>
      </c>
      <c r="AP13" s="2" t="s">
        <v>570</v>
      </c>
      <c r="AQ13" s="2" t="s">
        <v>570</v>
      </c>
      <c r="AR13" s="2" t="s">
        <v>570</v>
      </c>
      <c r="AS13" s="7">
        <v>1.4404501569999999</v>
      </c>
      <c r="AT13" s="7">
        <v>0.30092271600000009</v>
      </c>
      <c r="AU13" s="7">
        <f t="shared" si="1"/>
        <v>1.6482215961892082</v>
      </c>
      <c r="AV13" s="2" t="s">
        <v>570</v>
      </c>
      <c r="AW13" s="2" t="s">
        <v>570</v>
      </c>
      <c r="AX13" s="2" t="s">
        <v>570</v>
      </c>
      <c r="AY13" s="7">
        <v>1.8308176439999999</v>
      </c>
      <c r="AZ13" s="7">
        <v>0.27798815900000018</v>
      </c>
      <c r="BA13" s="7">
        <f t="shared" si="2"/>
        <v>1.5226038540363287</v>
      </c>
      <c r="BB13" s="2" t="s">
        <v>570</v>
      </c>
      <c r="BC13" s="2" t="s">
        <v>457</v>
      </c>
      <c r="BD13" s="2" t="s">
        <v>570</v>
      </c>
      <c r="BE13" s="2" t="s">
        <v>570</v>
      </c>
      <c r="BF13" s="2" t="s">
        <v>570</v>
      </c>
    </row>
    <row r="14" spans="1:58" s="2" customFormat="1" ht="40.799999999999997">
      <c r="A14" s="2" t="s">
        <v>399</v>
      </c>
      <c r="B14" s="2" t="s">
        <v>508</v>
      </c>
      <c r="C14" s="2" t="s">
        <v>478</v>
      </c>
      <c r="D14" s="2" t="s">
        <v>479</v>
      </c>
      <c r="E14" s="2" t="s">
        <v>480</v>
      </c>
      <c r="F14" s="2" t="s">
        <v>481</v>
      </c>
      <c r="G14" s="2" t="s">
        <v>570</v>
      </c>
      <c r="H14" s="2" t="s">
        <v>570</v>
      </c>
      <c r="I14" s="2" t="s">
        <v>570</v>
      </c>
      <c r="J14" s="2">
        <v>0</v>
      </c>
      <c r="K14" s="2" t="s">
        <v>570</v>
      </c>
      <c r="L14" s="2" t="s">
        <v>570</v>
      </c>
      <c r="M14" s="2" t="s">
        <v>482</v>
      </c>
      <c r="N14" s="2" t="s">
        <v>483</v>
      </c>
      <c r="O14" s="2">
        <v>2012</v>
      </c>
      <c r="P14" s="2" t="s">
        <v>570</v>
      </c>
      <c r="Q14" s="18" t="s">
        <v>328</v>
      </c>
      <c r="R14" s="2" t="s">
        <v>55</v>
      </c>
      <c r="S14" s="2" t="s">
        <v>570</v>
      </c>
      <c r="T14" s="2" t="s">
        <v>570</v>
      </c>
      <c r="U14" s="2" t="s">
        <v>570</v>
      </c>
      <c r="V14" s="2" t="s">
        <v>623</v>
      </c>
      <c r="W14" s="19" t="s">
        <v>338</v>
      </c>
      <c r="X14" s="19" t="s">
        <v>14</v>
      </c>
      <c r="Y14" s="2">
        <v>13</v>
      </c>
      <c r="Z14" s="2" t="s">
        <v>570</v>
      </c>
      <c r="AA14" s="2" t="s">
        <v>570</v>
      </c>
      <c r="AB14" s="2">
        <f t="shared" si="3"/>
        <v>30</v>
      </c>
      <c r="AC14" s="2">
        <f t="shared" si="3"/>
        <v>30</v>
      </c>
      <c r="AE14" s="2" t="s">
        <v>570</v>
      </c>
      <c r="AF14" s="19" t="s">
        <v>703</v>
      </c>
      <c r="AG14" s="2" t="s">
        <v>570</v>
      </c>
      <c r="AH14" s="2" t="s">
        <v>570</v>
      </c>
      <c r="AI14" s="2" t="s">
        <v>570</v>
      </c>
      <c r="AJ14" s="2" t="s">
        <v>570</v>
      </c>
      <c r="AK14" s="19" t="s">
        <v>332</v>
      </c>
      <c r="AL14" s="49" t="s">
        <v>1027</v>
      </c>
      <c r="AM14" s="2" t="s">
        <v>570</v>
      </c>
      <c r="AN14" s="2" t="s">
        <v>570</v>
      </c>
      <c r="AO14" s="19" t="s">
        <v>713</v>
      </c>
      <c r="AP14" s="2" t="s">
        <v>570</v>
      </c>
      <c r="AQ14" s="2" t="s">
        <v>570</v>
      </c>
      <c r="AR14" s="2" t="s">
        <v>570</v>
      </c>
      <c r="AS14" s="7">
        <v>1.022134514</v>
      </c>
      <c r="AT14" s="7">
        <v>0.23169235700000002</v>
      </c>
      <c r="AU14" s="7">
        <f t="shared" si="1"/>
        <v>1.2690313033043998</v>
      </c>
      <c r="AV14" s="2" t="s">
        <v>570</v>
      </c>
      <c r="AW14" s="2" t="s">
        <v>570</v>
      </c>
      <c r="AX14" s="2" t="s">
        <v>570</v>
      </c>
      <c r="AY14" s="7">
        <v>4.6207797749999999</v>
      </c>
      <c r="AZ14" s="7">
        <v>0.43949010600000005</v>
      </c>
      <c r="BA14" s="7">
        <f t="shared" si="2"/>
        <v>2.407186448565366</v>
      </c>
      <c r="BB14" s="2" t="s">
        <v>570</v>
      </c>
      <c r="BC14" s="2" t="s">
        <v>785</v>
      </c>
      <c r="BD14" s="2" t="s">
        <v>570</v>
      </c>
      <c r="BE14" s="2" t="s">
        <v>570</v>
      </c>
      <c r="BF14" s="2" t="s">
        <v>570</v>
      </c>
    </row>
    <row r="15" spans="1:58" s="2" customFormat="1" ht="91.8">
      <c r="A15" s="2" t="s">
        <v>399</v>
      </c>
      <c r="B15" s="2" t="s">
        <v>508</v>
      </c>
      <c r="C15" s="2" t="s">
        <v>478</v>
      </c>
      <c r="D15" s="2" t="s">
        <v>479</v>
      </c>
      <c r="E15" s="2" t="s">
        <v>480</v>
      </c>
      <c r="F15" s="2" t="s">
        <v>481</v>
      </c>
      <c r="G15" s="2" t="s">
        <v>570</v>
      </c>
      <c r="H15" s="2" t="s">
        <v>570</v>
      </c>
      <c r="I15" s="2" t="s">
        <v>570</v>
      </c>
      <c r="J15" s="2">
        <v>0</v>
      </c>
      <c r="K15" s="2" t="s">
        <v>570</v>
      </c>
      <c r="L15" s="2" t="s">
        <v>570</v>
      </c>
      <c r="M15" s="2" t="s">
        <v>482</v>
      </c>
      <c r="N15" s="2" t="s">
        <v>483</v>
      </c>
      <c r="O15" s="2">
        <v>2012</v>
      </c>
      <c r="P15" s="2" t="s">
        <v>570</v>
      </c>
      <c r="Q15" s="18" t="s">
        <v>328</v>
      </c>
      <c r="R15" s="2" t="s">
        <v>55</v>
      </c>
      <c r="S15" s="2" t="s">
        <v>570</v>
      </c>
      <c r="T15" s="2" t="s">
        <v>570</v>
      </c>
      <c r="U15" s="2" t="s">
        <v>570</v>
      </c>
      <c r="V15" s="2" t="s">
        <v>623</v>
      </c>
      <c r="W15" s="19" t="s">
        <v>338</v>
      </c>
      <c r="X15" s="19" t="s">
        <v>14</v>
      </c>
      <c r="Y15" s="2">
        <v>14</v>
      </c>
      <c r="Z15" s="2" t="s">
        <v>570</v>
      </c>
      <c r="AA15" s="2" t="s">
        <v>570</v>
      </c>
      <c r="AB15" s="2">
        <f t="shared" si="3"/>
        <v>30</v>
      </c>
      <c r="AC15" s="2">
        <f t="shared" si="3"/>
        <v>30</v>
      </c>
      <c r="AE15" s="2" t="s">
        <v>570</v>
      </c>
      <c r="AF15" s="19" t="s">
        <v>703</v>
      </c>
      <c r="AG15" s="2" t="s">
        <v>570</v>
      </c>
      <c r="AH15" s="2" t="s">
        <v>570</v>
      </c>
      <c r="AI15" s="2" t="s">
        <v>570</v>
      </c>
      <c r="AJ15" s="2" t="s">
        <v>570</v>
      </c>
      <c r="AK15" s="19" t="s">
        <v>337</v>
      </c>
      <c r="AL15" s="49" t="s">
        <v>1027</v>
      </c>
      <c r="AM15" s="2" t="s">
        <v>570</v>
      </c>
      <c r="AN15" s="2" t="s">
        <v>570</v>
      </c>
      <c r="AO15" s="19" t="s">
        <v>713</v>
      </c>
      <c r="AP15" s="2" t="s">
        <v>570</v>
      </c>
      <c r="AQ15" s="2" t="s">
        <v>570</v>
      </c>
      <c r="AR15" s="2" t="s">
        <v>570</v>
      </c>
      <c r="AS15" s="7">
        <v>0.47709211200000001</v>
      </c>
      <c r="AT15" s="7">
        <v>0.16235532499999994</v>
      </c>
      <c r="AU15" s="7">
        <f t="shared" si="1"/>
        <v>0.88925673833582397</v>
      </c>
      <c r="AV15" s="2" t="s">
        <v>570</v>
      </c>
      <c r="AW15" s="2" t="s">
        <v>570</v>
      </c>
      <c r="AX15" s="2" t="s">
        <v>570</v>
      </c>
      <c r="AY15" s="7">
        <v>0.91183529799999996</v>
      </c>
      <c r="AZ15" s="7">
        <v>0.23163902100000011</v>
      </c>
      <c r="BA15" s="7">
        <f t="shared" si="2"/>
        <v>1.2687391700011295</v>
      </c>
      <c r="BB15" s="2" t="s">
        <v>570</v>
      </c>
      <c r="BC15" s="2" t="s">
        <v>457</v>
      </c>
      <c r="BD15" s="2" t="s">
        <v>570</v>
      </c>
      <c r="BE15" s="2" t="s">
        <v>570</v>
      </c>
      <c r="BF15" s="2" t="s">
        <v>570</v>
      </c>
    </row>
    <row r="16" spans="1:58" s="2" customFormat="1" ht="40.799999999999997">
      <c r="A16" s="2" t="s">
        <v>399</v>
      </c>
      <c r="B16" s="2" t="s">
        <v>508</v>
      </c>
      <c r="C16" s="2" t="s">
        <v>478</v>
      </c>
      <c r="D16" s="2" t="s">
        <v>479</v>
      </c>
      <c r="E16" s="2" t="s">
        <v>480</v>
      </c>
      <c r="F16" s="2" t="s">
        <v>481</v>
      </c>
      <c r="G16" s="2" t="s">
        <v>570</v>
      </c>
      <c r="H16" s="2" t="s">
        <v>570</v>
      </c>
      <c r="I16" s="2" t="s">
        <v>570</v>
      </c>
      <c r="J16" s="2">
        <v>0</v>
      </c>
      <c r="K16" s="2" t="s">
        <v>570</v>
      </c>
      <c r="L16" s="2" t="s">
        <v>570</v>
      </c>
      <c r="M16" s="2" t="s">
        <v>482</v>
      </c>
      <c r="N16" s="2" t="s">
        <v>483</v>
      </c>
      <c r="O16" s="2">
        <v>2012</v>
      </c>
      <c r="P16" s="2" t="s">
        <v>570</v>
      </c>
      <c r="Q16" s="18" t="s">
        <v>328</v>
      </c>
      <c r="R16" s="2" t="s">
        <v>55</v>
      </c>
      <c r="S16" s="2" t="s">
        <v>570</v>
      </c>
      <c r="T16" s="2" t="s">
        <v>570</v>
      </c>
      <c r="U16" s="2" t="s">
        <v>570</v>
      </c>
      <c r="V16" s="2" t="s">
        <v>623</v>
      </c>
      <c r="W16" s="19" t="s">
        <v>338</v>
      </c>
      <c r="X16" s="19" t="s">
        <v>14</v>
      </c>
      <c r="Y16" s="2">
        <v>15</v>
      </c>
      <c r="Z16" s="2" t="s">
        <v>570</v>
      </c>
      <c r="AA16" s="2" t="s">
        <v>570</v>
      </c>
      <c r="AB16" s="2">
        <f t="shared" si="3"/>
        <v>30</v>
      </c>
      <c r="AC16" s="2">
        <f t="shared" si="3"/>
        <v>30</v>
      </c>
      <c r="AE16" s="2" t="s">
        <v>570</v>
      </c>
      <c r="AF16" s="19" t="s">
        <v>509</v>
      </c>
      <c r="AG16" s="2" t="s">
        <v>570</v>
      </c>
      <c r="AH16" s="2" t="s">
        <v>570</v>
      </c>
      <c r="AI16" s="2" t="s">
        <v>570</v>
      </c>
      <c r="AJ16" s="2" t="s">
        <v>570</v>
      </c>
      <c r="AK16" s="19" t="s">
        <v>332</v>
      </c>
      <c r="AL16" s="49" t="s">
        <v>1027</v>
      </c>
      <c r="AM16" s="2" t="s">
        <v>570</v>
      </c>
      <c r="AN16" s="2" t="s">
        <v>570</v>
      </c>
      <c r="AO16" s="19" t="s">
        <v>713</v>
      </c>
      <c r="AP16" s="2" t="s">
        <v>570</v>
      </c>
      <c r="AQ16" s="2" t="s">
        <v>570</v>
      </c>
      <c r="AR16" s="2" t="s">
        <v>570</v>
      </c>
      <c r="AS16" s="7">
        <v>1.6411541949999999</v>
      </c>
      <c r="AT16" s="7">
        <v>0.20843778300000015</v>
      </c>
      <c r="AU16" s="7">
        <f t="shared" si="1"/>
        <v>1.1416607558546692</v>
      </c>
      <c r="AV16" s="2" t="s">
        <v>570</v>
      </c>
      <c r="AW16" s="2" t="s">
        <v>570</v>
      </c>
      <c r="AX16" s="2" t="s">
        <v>570</v>
      </c>
      <c r="AY16" s="7">
        <v>5.886180596</v>
      </c>
      <c r="AZ16" s="7">
        <v>0.62440663499999971</v>
      </c>
      <c r="BA16" s="7">
        <f t="shared" si="2"/>
        <v>3.4200159904539462</v>
      </c>
      <c r="BB16" s="2" t="s">
        <v>570</v>
      </c>
      <c r="BC16" s="2" t="s">
        <v>785</v>
      </c>
      <c r="BD16" s="2" t="s">
        <v>570</v>
      </c>
      <c r="BE16" s="2" t="s">
        <v>570</v>
      </c>
      <c r="BF16" s="2" t="s">
        <v>570</v>
      </c>
    </row>
    <row r="17" spans="1:58" s="2" customFormat="1" ht="91.8">
      <c r="A17" s="2" t="s">
        <v>399</v>
      </c>
      <c r="B17" s="2" t="s">
        <v>508</v>
      </c>
      <c r="C17" s="2" t="s">
        <v>478</v>
      </c>
      <c r="D17" s="2" t="s">
        <v>479</v>
      </c>
      <c r="E17" s="2" t="s">
        <v>480</v>
      </c>
      <c r="F17" s="2" t="s">
        <v>481</v>
      </c>
      <c r="G17" s="2" t="s">
        <v>570</v>
      </c>
      <c r="H17" s="2" t="s">
        <v>570</v>
      </c>
      <c r="I17" s="2" t="s">
        <v>570</v>
      </c>
      <c r="J17" s="2">
        <v>0</v>
      </c>
      <c r="K17" s="2" t="s">
        <v>570</v>
      </c>
      <c r="L17" s="2" t="s">
        <v>570</v>
      </c>
      <c r="M17" s="2" t="s">
        <v>482</v>
      </c>
      <c r="N17" s="2" t="s">
        <v>483</v>
      </c>
      <c r="O17" s="2">
        <v>2012</v>
      </c>
      <c r="P17" s="2" t="s">
        <v>570</v>
      </c>
      <c r="Q17" s="18" t="s">
        <v>328</v>
      </c>
      <c r="R17" s="2" t="s">
        <v>55</v>
      </c>
      <c r="S17" s="2" t="s">
        <v>570</v>
      </c>
      <c r="T17" s="2" t="s">
        <v>570</v>
      </c>
      <c r="U17" s="2" t="s">
        <v>570</v>
      </c>
      <c r="V17" s="2" t="s">
        <v>623</v>
      </c>
      <c r="W17" s="19" t="s">
        <v>338</v>
      </c>
      <c r="X17" s="19" t="s">
        <v>14</v>
      </c>
      <c r="Y17" s="2">
        <v>16</v>
      </c>
      <c r="Z17" s="2" t="s">
        <v>570</v>
      </c>
      <c r="AA17" s="2" t="s">
        <v>570</v>
      </c>
      <c r="AB17" s="2">
        <f t="shared" si="3"/>
        <v>30</v>
      </c>
      <c r="AC17" s="2">
        <f t="shared" si="3"/>
        <v>30</v>
      </c>
      <c r="AE17" s="2" t="s">
        <v>570</v>
      </c>
      <c r="AF17" s="19" t="s">
        <v>509</v>
      </c>
      <c r="AG17" s="2" t="s">
        <v>570</v>
      </c>
      <c r="AH17" s="2" t="s">
        <v>570</v>
      </c>
      <c r="AI17" s="2" t="s">
        <v>570</v>
      </c>
      <c r="AJ17" s="2" t="s">
        <v>570</v>
      </c>
      <c r="AK17" s="19" t="s">
        <v>337</v>
      </c>
      <c r="AL17" s="49" t="s">
        <v>1027</v>
      </c>
      <c r="AM17" s="2" t="s">
        <v>570</v>
      </c>
      <c r="AN17" s="2" t="s">
        <v>570</v>
      </c>
      <c r="AO17" s="19" t="s">
        <v>713</v>
      </c>
      <c r="AP17" s="2" t="s">
        <v>570</v>
      </c>
      <c r="AQ17" s="2" t="s">
        <v>570</v>
      </c>
      <c r="AR17" s="2" t="s">
        <v>570</v>
      </c>
      <c r="AS17" s="7">
        <v>0.49565310099999998</v>
      </c>
      <c r="AT17" s="7">
        <v>0.18528988299999999</v>
      </c>
      <c r="AU17" s="7">
        <f t="shared" si="1"/>
        <v>1.01487448596593</v>
      </c>
      <c r="AV17" s="2" t="s">
        <v>570</v>
      </c>
      <c r="AW17" s="2" t="s">
        <v>570</v>
      </c>
      <c r="AX17" s="2" t="s">
        <v>570</v>
      </c>
      <c r="AY17" s="7">
        <v>1.8308176439999999</v>
      </c>
      <c r="AZ17" s="7">
        <v>0.27798815900000018</v>
      </c>
      <c r="BA17" s="7">
        <f t="shared" si="2"/>
        <v>1.5226038540363287</v>
      </c>
      <c r="BB17" s="2" t="s">
        <v>570</v>
      </c>
      <c r="BC17" s="2" t="s">
        <v>785</v>
      </c>
      <c r="BD17" s="2" t="s">
        <v>570</v>
      </c>
      <c r="BE17" s="2" t="s">
        <v>570</v>
      </c>
      <c r="BF17" s="2" t="s">
        <v>570</v>
      </c>
    </row>
    <row r="18" spans="1:58" s="2" customFormat="1" ht="51">
      <c r="A18" s="2" t="s">
        <v>399</v>
      </c>
      <c r="B18" s="2" t="s">
        <v>508</v>
      </c>
      <c r="C18" s="2" t="s">
        <v>478</v>
      </c>
      <c r="D18" s="2" t="s">
        <v>479</v>
      </c>
      <c r="E18" s="2" t="s">
        <v>480</v>
      </c>
      <c r="F18" s="2" t="s">
        <v>481</v>
      </c>
      <c r="G18" s="2" t="s">
        <v>570</v>
      </c>
      <c r="H18" s="2" t="s">
        <v>570</v>
      </c>
      <c r="I18" s="2" t="s">
        <v>570</v>
      </c>
      <c r="J18" s="2">
        <v>0</v>
      </c>
      <c r="K18" s="2" t="s">
        <v>570</v>
      </c>
      <c r="L18" s="2" t="s">
        <v>570</v>
      </c>
      <c r="M18" s="2" t="s">
        <v>482</v>
      </c>
      <c r="N18" s="2" t="s">
        <v>483</v>
      </c>
      <c r="O18" s="2">
        <v>2011</v>
      </c>
      <c r="P18" s="2" t="s">
        <v>570</v>
      </c>
      <c r="Q18" s="18" t="s">
        <v>328</v>
      </c>
      <c r="R18" s="2" t="s">
        <v>55</v>
      </c>
      <c r="S18" s="2" t="s">
        <v>570</v>
      </c>
      <c r="T18" s="2" t="s">
        <v>570</v>
      </c>
      <c r="U18" s="2" t="s">
        <v>570</v>
      </c>
      <c r="V18" s="2" t="s">
        <v>329</v>
      </c>
      <c r="W18" s="19" t="s">
        <v>330</v>
      </c>
      <c r="X18" s="19" t="s">
        <v>14</v>
      </c>
      <c r="Y18" s="2">
        <v>17</v>
      </c>
      <c r="Z18" s="2" t="s">
        <v>331</v>
      </c>
      <c r="AA18" s="2" t="s">
        <v>570</v>
      </c>
      <c r="AB18" s="2">
        <f t="shared" si="3"/>
        <v>30</v>
      </c>
      <c r="AC18" s="2">
        <f t="shared" si="3"/>
        <v>30</v>
      </c>
      <c r="AE18" s="2" t="s">
        <v>570</v>
      </c>
      <c r="AF18" s="19" t="s">
        <v>714</v>
      </c>
      <c r="AG18" s="2" t="s">
        <v>570</v>
      </c>
      <c r="AH18" s="2" t="s">
        <v>570</v>
      </c>
      <c r="AI18" s="2" t="s">
        <v>570</v>
      </c>
      <c r="AJ18" s="2" t="s">
        <v>570</v>
      </c>
      <c r="AK18" s="19" t="s">
        <v>714</v>
      </c>
      <c r="AL18" s="49" t="s">
        <v>1027</v>
      </c>
      <c r="AM18" s="2" t="s">
        <v>570</v>
      </c>
      <c r="AN18" s="2" t="s">
        <v>570</v>
      </c>
      <c r="AO18" s="19" t="s">
        <v>194</v>
      </c>
      <c r="AP18" s="2" t="s">
        <v>570</v>
      </c>
      <c r="AQ18" s="2" t="s">
        <v>570</v>
      </c>
      <c r="AR18" s="2" t="s">
        <v>570</v>
      </c>
      <c r="AS18" s="7">
        <v>7.3413906310000003</v>
      </c>
      <c r="AT18" s="7">
        <v>0.64948263599999922</v>
      </c>
      <c r="AU18" s="7">
        <f t="shared" si="1"/>
        <v>3.5573629044511645</v>
      </c>
      <c r="AV18" s="2" t="s">
        <v>570</v>
      </c>
      <c r="AW18" s="2" t="s">
        <v>570</v>
      </c>
      <c r="AX18" s="2" t="s">
        <v>570</v>
      </c>
      <c r="AY18" s="7">
        <v>8.3558927710000006</v>
      </c>
      <c r="AZ18" s="7">
        <v>0.7395045059999994</v>
      </c>
      <c r="BA18" s="7">
        <f t="shared" si="2"/>
        <v>4.0504329931291414</v>
      </c>
      <c r="BC18" s="2" t="s">
        <v>785</v>
      </c>
      <c r="BD18" s="2" t="s">
        <v>570</v>
      </c>
      <c r="BE18" s="2" t="s">
        <v>570</v>
      </c>
      <c r="BF18" s="2" t="s">
        <v>570</v>
      </c>
    </row>
    <row r="19" spans="1:58" s="2" customFormat="1" ht="51">
      <c r="A19" s="2" t="s">
        <v>399</v>
      </c>
      <c r="B19" s="2" t="s">
        <v>508</v>
      </c>
      <c r="C19" s="2" t="s">
        <v>478</v>
      </c>
      <c r="D19" s="2" t="s">
        <v>479</v>
      </c>
      <c r="E19" s="2" t="s">
        <v>480</v>
      </c>
      <c r="F19" s="2" t="s">
        <v>481</v>
      </c>
      <c r="G19" s="2" t="s">
        <v>570</v>
      </c>
      <c r="H19" s="2" t="s">
        <v>570</v>
      </c>
      <c r="I19" s="2" t="s">
        <v>570</v>
      </c>
      <c r="J19" s="2">
        <v>0</v>
      </c>
      <c r="K19" s="2" t="s">
        <v>570</v>
      </c>
      <c r="L19" s="2" t="s">
        <v>570</v>
      </c>
      <c r="M19" s="2" t="s">
        <v>482</v>
      </c>
      <c r="N19" s="2" t="s">
        <v>483</v>
      </c>
      <c r="O19" s="2">
        <v>2011</v>
      </c>
      <c r="P19" s="2" t="s">
        <v>570</v>
      </c>
      <c r="Q19" s="18" t="s">
        <v>328</v>
      </c>
      <c r="R19" s="2" t="s">
        <v>55</v>
      </c>
      <c r="S19" s="2" t="s">
        <v>570</v>
      </c>
      <c r="T19" s="2" t="s">
        <v>570</v>
      </c>
      <c r="U19" s="2" t="s">
        <v>570</v>
      </c>
      <c r="V19" s="2" t="s">
        <v>329</v>
      </c>
      <c r="W19" s="19" t="s">
        <v>330</v>
      </c>
      <c r="X19" s="19" t="s">
        <v>14</v>
      </c>
      <c r="Y19" s="2">
        <v>18</v>
      </c>
      <c r="Z19" s="2" t="s">
        <v>331</v>
      </c>
      <c r="AA19" s="2" t="s">
        <v>570</v>
      </c>
      <c r="AB19" s="2">
        <f t="shared" si="3"/>
        <v>30</v>
      </c>
      <c r="AC19" s="2">
        <f t="shared" si="3"/>
        <v>30</v>
      </c>
      <c r="AE19" s="2" t="s">
        <v>570</v>
      </c>
      <c r="AF19" s="19" t="s">
        <v>714</v>
      </c>
      <c r="AG19" s="2" t="s">
        <v>570</v>
      </c>
      <c r="AH19" s="2" t="s">
        <v>570</v>
      </c>
      <c r="AI19" s="2" t="s">
        <v>570</v>
      </c>
      <c r="AJ19" s="2" t="s">
        <v>570</v>
      </c>
      <c r="AK19" s="19" t="s">
        <v>714</v>
      </c>
      <c r="AL19" s="49" t="s">
        <v>1027</v>
      </c>
      <c r="AM19" s="2" t="s">
        <v>570</v>
      </c>
      <c r="AN19" s="2" t="s">
        <v>570</v>
      </c>
      <c r="AO19" s="19" t="s">
        <v>194</v>
      </c>
      <c r="AP19" s="2" t="s">
        <v>570</v>
      </c>
      <c r="AQ19" s="2" t="s">
        <v>570</v>
      </c>
      <c r="AR19" s="2" t="s">
        <v>570</v>
      </c>
      <c r="AS19" s="7">
        <v>7.2380174259999999</v>
      </c>
      <c r="AT19" s="7">
        <v>0.6497317279999999</v>
      </c>
      <c r="AU19" s="7">
        <f t="shared" si="1"/>
        <v>3.558727237524109</v>
      </c>
      <c r="AV19" s="2" t="s">
        <v>570</v>
      </c>
      <c r="AW19" s="2" t="s">
        <v>570</v>
      </c>
      <c r="AX19" s="2" t="s">
        <v>570</v>
      </c>
      <c r="AY19" s="7">
        <v>7.7394397420000001</v>
      </c>
      <c r="AZ19" s="7">
        <v>0.78389271100000002</v>
      </c>
      <c r="BA19" s="7">
        <f t="shared" si="2"/>
        <v>4.2935572047857811</v>
      </c>
      <c r="BC19" s="2" t="s">
        <v>457</v>
      </c>
      <c r="BD19" s="2" t="s">
        <v>570</v>
      </c>
      <c r="BE19" s="2" t="s">
        <v>570</v>
      </c>
      <c r="BF19" s="2" t="s">
        <v>570</v>
      </c>
    </row>
    <row r="20" spans="1:58" s="2" customFormat="1" ht="51">
      <c r="A20" s="2" t="s">
        <v>399</v>
      </c>
      <c r="B20" s="2" t="s">
        <v>508</v>
      </c>
      <c r="C20" s="2" t="s">
        <v>478</v>
      </c>
      <c r="D20" s="2" t="s">
        <v>479</v>
      </c>
      <c r="E20" s="2" t="s">
        <v>480</v>
      </c>
      <c r="F20" s="2" t="s">
        <v>481</v>
      </c>
      <c r="G20" s="2" t="s">
        <v>570</v>
      </c>
      <c r="H20" s="2" t="s">
        <v>570</v>
      </c>
      <c r="I20" s="2" t="s">
        <v>570</v>
      </c>
      <c r="J20" s="2">
        <v>0</v>
      </c>
      <c r="K20" s="2" t="s">
        <v>570</v>
      </c>
      <c r="L20" s="2" t="s">
        <v>570</v>
      </c>
      <c r="M20" s="2" t="s">
        <v>482</v>
      </c>
      <c r="N20" s="2" t="s">
        <v>483</v>
      </c>
      <c r="O20" s="2">
        <v>2011</v>
      </c>
      <c r="P20" s="2" t="s">
        <v>570</v>
      </c>
      <c r="Q20" s="18" t="s">
        <v>328</v>
      </c>
      <c r="R20" s="2" t="s">
        <v>55</v>
      </c>
      <c r="S20" s="2" t="s">
        <v>570</v>
      </c>
      <c r="T20" s="2" t="s">
        <v>570</v>
      </c>
      <c r="U20" s="2" t="s">
        <v>570</v>
      </c>
      <c r="V20" s="2" t="s">
        <v>329</v>
      </c>
      <c r="W20" s="19" t="s">
        <v>330</v>
      </c>
      <c r="X20" s="19" t="s">
        <v>14</v>
      </c>
      <c r="Y20" s="2">
        <v>19</v>
      </c>
      <c r="Z20" s="2" t="s">
        <v>331</v>
      </c>
      <c r="AA20" s="2" t="s">
        <v>570</v>
      </c>
      <c r="AB20" s="2">
        <f t="shared" si="3"/>
        <v>30</v>
      </c>
      <c r="AC20" s="2">
        <f t="shared" si="3"/>
        <v>30</v>
      </c>
      <c r="AE20" s="2" t="s">
        <v>570</v>
      </c>
      <c r="AF20" s="19" t="s">
        <v>714</v>
      </c>
      <c r="AG20" s="2" t="s">
        <v>570</v>
      </c>
      <c r="AH20" s="2" t="s">
        <v>570</v>
      </c>
      <c r="AI20" s="2" t="s">
        <v>570</v>
      </c>
      <c r="AJ20" s="2" t="s">
        <v>570</v>
      </c>
      <c r="AK20" s="19" t="s">
        <v>714</v>
      </c>
      <c r="AL20" s="49" t="s">
        <v>1027</v>
      </c>
      <c r="AM20" s="2" t="s">
        <v>570</v>
      </c>
      <c r="AN20" s="2" t="s">
        <v>570</v>
      </c>
      <c r="AO20" s="19" t="s">
        <v>194</v>
      </c>
      <c r="AP20" s="2" t="s">
        <v>570</v>
      </c>
      <c r="AQ20" s="2" t="s">
        <v>570</v>
      </c>
      <c r="AR20" s="2" t="s">
        <v>570</v>
      </c>
      <c r="AS20" s="7">
        <v>6.0854186490000002</v>
      </c>
      <c r="AT20" s="7">
        <v>0.51606892900000023</v>
      </c>
      <c r="AU20" s="7">
        <f t="shared" si="1"/>
        <v>2.826625936408321</v>
      </c>
      <c r="AV20" s="2" t="s">
        <v>570</v>
      </c>
      <c r="AW20" s="2" t="s">
        <v>570</v>
      </c>
      <c r="AX20" s="2" t="s">
        <v>570</v>
      </c>
      <c r="AY20" s="7">
        <v>9.1085991560000004</v>
      </c>
      <c r="AZ20" s="7">
        <v>0.94012325399999952</v>
      </c>
      <c r="BA20" s="7">
        <f t="shared" si="2"/>
        <v>5.1492671305095863</v>
      </c>
      <c r="BC20" s="2" t="s">
        <v>785</v>
      </c>
      <c r="BD20" s="2" t="s">
        <v>570</v>
      </c>
      <c r="BE20" s="2" t="s">
        <v>570</v>
      </c>
      <c r="BF20" s="2" t="s">
        <v>570</v>
      </c>
    </row>
    <row r="21" spans="1:58" s="2" customFormat="1" ht="51">
      <c r="A21" s="2" t="s">
        <v>399</v>
      </c>
      <c r="B21" s="2" t="s">
        <v>508</v>
      </c>
      <c r="C21" s="2" t="s">
        <v>478</v>
      </c>
      <c r="D21" s="2" t="s">
        <v>479</v>
      </c>
      <c r="E21" s="2" t="s">
        <v>480</v>
      </c>
      <c r="F21" s="2" t="s">
        <v>481</v>
      </c>
      <c r="G21" s="2" t="s">
        <v>570</v>
      </c>
      <c r="H21" s="2" t="s">
        <v>570</v>
      </c>
      <c r="I21" s="2" t="s">
        <v>570</v>
      </c>
      <c r="J21" s="2">
        <v>0</v>
      </c>
      <c r="K21" s="2" t="s">
        <v>570</v>
      </c>
      <c r="L21" s="2" t="s">
        <v>570</v>
      </c>
      <c r="M21" s="2" t="s">
        <v>482</v>
      </c>
      <c r="N21" s="2" t="s">
        <v>483</v>
      </c>
      <c r="O21" s="2">
        <v>2011</v>
      </c>
      <c r="P21" s="2" t="s">
        <v>570</v>
      </c>
      <c r="Q21" s="18" t="s">
        <v>328</v>
      </c>
      <c r="R21" s="2" t="s">
        <v>55</v>
      </c>
      <c r="S21" s="2" t="s">
        <v>570</v>
      </c>
      <c r="T21" s="2" t="s">
        <v>570</v>
      </c>
      <c r="U21" s="2" t="s">
        <v>570</v>
      </c>
      <c r="V21" s="2" t="s">
        <v>329</v>
      </c>
      <c r="W21" s="19" t="s">
        <v>330</v>
      </c>
      <c r="X21" s="19" t="s">
        <v>14</v>
      </c>
      <c r="Y21" s="2">
        <v>20</v>
      </c>
      <c r="Z21" s="2" t="s">
        <v>331</v>
      </c>
      <c r="AA21" s="2" t="s">
        <v>570</v>
      </c>
      <c r="AB21" s="2">
        <f t="shared" si="3"/>
        <v>30</v>
      </c>
      <c r="AC21" s="2">
        <f t="shared" si="3"/>
        <v>30</v>
      </c>
      <c r="AE21" s="2" t="s">
        <v>570</v>
      </c>
      <c r="AF21" s="19" t="s">
        <v>714</v>
      </c>
      <c r="AG21" s="2" t="s">
        <v>570</v>
      </c>
      <c r="AH21" s="2" t="s">
        <v>570</v>
      </c>
      <c r="AI21" s="2" t="s">
        <v>570</v>
      </c>
      <c r="AJ21" s="2" t="s">
        <v>570</v>
      </c>
      <c r="AK21" s="19" t="s">
        <v>714</v>
      </c>
      <c r="AL21" s="49" t="s">
        <v>1027</v>
      </c>
      <c r="AM21" s="2" t="s">
        <v>570</v>
      </c>
      <c r="AN21" s="2" t="s">
        <v>570</v>
      </c>
      <c r="AO21" s="19" t="s">
        <v>194</v>
      </c>
      <c r="AP21" s="2" t="s">
        <v>570</v>
      </c>
      <c r="AQ21" s="2" t="s">
        <v>570</v>
      </c>
      <c r="AR21" s="2" t="s">
        <v>570</v>
      </c>
      <c r="AS21" s="7">
        <v>2.031644655</v>
      </c>
      <c r="AT21" s="7">
        <v>0.33677246500000013</v>
      </c>
      <c r="AU21" s="7">
        <f t="shared" si="1"/>
        <v>1.8445787582711912</v>
      </c>
      <c r="AV21" s="2" t="s">
        <v>570</v>
      </c>
      <c r="AW21" s="2" t="s">
        <v>570</v>
      </c>
      <c r="AX21" s="2" t="s">
        <v>570</v>
      </c>
      <c r="AY21" s="7">
        <v>3.2914028370000001</v>
      </c>
      <c r="AZ21" s="7">
        <v>0.5825266899999999</v>
      </c>
      <c r="BA21" s="7">
        <f t="shared" si="2"/>
        <v>3.1906300846181903</v>
      </c>
      <c r="BC21" s="2" t="s">
        <v>785</v>
      </c>
      <c r="BD21" s="2" t="s">
        <v>570</v>
      </c>
      <c r="BE21" s="2" t="s">
        <v>570</v>
      </c>
      <c r="BF21" s="2" t="s">
        <v>570</v>
      </c>
    </row>
    <row r="22" spans="1:58" s="2" customFormat="1" ht="51">
      <c r="A22" s="2" t="s">
        <v>399</v>
      </c>
      <c r="B22" s="2" t="s">
        <v>508</v>
      </c>
      <c r="C22" s="2" t="s">
        <v>478</v>
      </c>
      <c r="D22" s="2" t="s">
        <v>479</v>
      </c>
      <c r="E22" s="2" t="s">
        <v>480</v>
      </c>
      <c r="F22" s="2" t="s">
        <v>481</v>
      </c>
      <c r="G22" s="2" t="s">
        <v>570</v>
      </c>
      <c r="H22" s="2" t="s">
        <v>570</v>
      </c>
      <c r="I22" s="2" t="s">
        <v>570</v>
      </c>
      <c r="J22" s="2">
        <v>0</v>
      </c>
      <c r="K22" s="2" t="s">
        <v>570</v>
      </c>
      <c r="L22" s="2" t="s">
        <v>570</v>
      </c>
      <c r="M22" s="2" t="s">
        <v>482</v>
      </c>
      <c r="N22" s="2" t="s">
        <v>483</v>
      </c>
      <c r="O22" s="2">
        <v>2011</v>
      </c>
      <c r="P22" s="2" t="s">
        <v>570</v>
      </c>
      <c r="Q22" s="18" t="s">
        <v>328</v>
      </c>
      <c r="R22" s="2" t="s">
        <v>55</v>
      </c>
      <c r="S22" s="2" t="s">
        <v>570</v>
      </c>
      <c r="T22" s="2" t="s">
        <v>570</v>
      </c>
      <c r="U22" s="2" t="s">
        <v>570</v>
      </c>
      <c r="V22" s="2" t="s">
        <v>329</v>
      </c>
      <c r="W22" s="19" t="s">
        <v>330</v>
      </c>
      <c r="X22" s="19" t="s">
        <v>14</v>
      </c>
      <c r="Y22" s="2">
        <v>21</v>
      </c>
      <c r="Z22" s="2" t="s">
        <v>331</v>
      </c>
      <c r="AA22" s="2" t="s">
        <v>570</v>
      </c>
      <c r="AB22" s="2">
        <f t="shared" si="3"/>
        <v>30</v>
      </c>
      <c r="AC22" s="2">
        <f t="shared" si="3"/>
        <v>30</v>
      </c>
      <c r="AE22" s="2" t="s">
        <v>570</v>
      </c>
      <c r="AF22" s="19" t="s">
        <v>714</v>
      </c>
      <c r="AG22" s="2" t="s">
        <v>570</v>
      </c>
      <c r="AH22" s="2" t="s">
        <v>570</v>
      </c>
      <c r="AI22" s="2" t="s">
        <v>570</v>
      </c>
      <c r="AJ22" s="2" t="s">
        <v>570</v>
      </c>
      <c r="AK22" s="19" t="s">
        <v>714</v>
      </c>
      <c r="AL22" s="49" t="s">
        <v>1027</v>
      </c>
      <c r="AM22" s="2" t="s">
        <v>570</v>
      </c>
      <c r="AN22" s="2" t="s">
        <v>570</v>
      </c>
      <c r="AO22" s="19" t="s">
        <v>194</v>
      </c>
      <c r="AP22" s="2" t="s">
        <v>570</v>
      </c>
      <c r="AQ22" s="2" t="s">
        <v>570</v>
      </c>
      <c r="AR22" s="2" t="s">
        <v>570</v>
      </c>
      <c r="AS22" s="7">
        <v>1.83824958</v>
      </c>
      <c r="AT22" s="7">
        <v>0.33727064899999992</v>
      </c>
      <c r="AU22" s="7">
        <f t="shared" si="1"/>
        <v>1.8473074244170715</v>
      </c>
      <c r="AV22" s="2" t="s">
        <v>570</v>
      </c>
      <c r="AW22" s="2" t="s">
        <v>570</v>
      </c>
      <c r="AX22" s="2" t="s">
        <v>570</v>
      </c>
      <c r="AY22" s="7">
        <v>3.1654618910000001</v>
      </c>
      <c r="AZ22" s="7">
        <v>0.51606892899999979</v>
      </c>
      <c r="BA22" s="7">
        <f t="shared" si="2"/>
        <v>2.8266259364083188</v>
      </c>
      <c r="BC22" s="2" t="s">
        <v>785</v>
      </c>
      <c r="BD22" s="2" t="s">
        <v>570</v>
      </c>
      <c r="BE22" s="2" t="s">
        <v>570</v>
      </c>
      <c r="BF22" s="2" t="s">
        <v>570</v>
      </c>
    </row>
    <row r="23" spans="1:58" s="2" customFormat="1" ht="51">
      <c r="A23" s="2" t="s">
        <v>399</v>
      </c>
      <c r="B23" s="2" t="s">
        <v>508</v>
      </c>
      <c r="C23" s="2" t="s">
        <v>478</v>
      </c>
      <c r="D23" s="2" t="s">
        <v>479</v>
      </c>
      <c r="E23" s="2" t="s">
        <v>480</v>
      </c>
      <c r="F23" s="2" t="s">
        <v>481</v>
      </c>
      <c r="G23" s="2" t="s">
        <v>570</v>
      </c>
      <c r="H23" s="2" t="s">
        <v>570</v>
      </c>
      <c r="I23" s="2" t="s">
        <v>570</v>
      </c>
      <c r="J23" s="2">
        <v>0</v>
      </c>
      <c r="K23" s="2" t="s">
        <v>570</v>
      </c>
      <c r="L23" s="2" t="s">
        <v>570</v>
      </c>
      <c r="M23" s="2" t="s">
        <v>482</v>
      </c>
      <c r="N23" s="2" t="s">
        <v>483</v>
      </c>
      <c r="O23" s="2">
        <v>2011</v>
      </c>
      <c r="P23" s="2" t="s">
        <v>570</v>
      </c>
      <c r="Q23" s="18" t="s">
        <v>328</v>
      </c>
      <c r="R23" s="2" t="s">
        <v>55</v>
      </c>
      <c r="S23" s="2" t="s">
        <v>570</v>
      </c>
      <c r="T23" s="2" t="s">
        <v>570</v>
      </c>
      <c r="U23" s="2" t="s">
        <v>570</v>
      </c>
      <c r="V23" s="2" t="s">
        <v>329</v>
      </c>
      <c r="W23" s="19" t="s">
        <v>330</v>
      </c>
      <c r="X23" s="19" t="s">
        <v>14</v>
      </c>
      <c r="Y23" s="2">
        <v>22</v>
      </c>
      <c r="Z23" s="2" t="s">
        <v>331</v>
      </c>
      <c r="AA23" s="2" t="s">
        <v>570</v>
      </c>
      <c r="AB23" s="2">
        <f t="shared" si="3"/>
        <v>30</v>
      </c>
      <c r="AC23" s="2">
        <f t="shared" si="3"/>
        <v>30</v>
      </c>
      <c r="AE23" s="2" t="s">
        <v>570</v>
      </c>
      <c r="AF23" s="19" t="s">
        <v>714</v>
      </c>
      <c r="AG23" s="2" t="s">
        <v>570</v>
      </c>
      <c r="AH23" s="2" t="s">
        <v>570</v>
      </c>
      <c r="AI23" s="2" t="s">
        <v>570</v>
      </c>
      <c r="AJ23" s="2" t="s">
        <v>570</v>
      </c>
      <c r="AK23" s="19" t="s">
        <v>714</v>
      </c>
      <c r="AL23" s="49" t="s">
        <v>1027</v>
      </c>
      <c r="AM23" s="2" t="s">
        <v>570</v>
      </c>
      <c r="AN23" s="2" t="s">
        <v>570</v>
      </c>
      <c r="AO23" s="19" t="s">
        <v>194</v>
      </c>
      <c r="AP23" s="2" t="s">
        <v>570</v>
      </c>
      <c r="AQ23" s="2" t="s">
        <v>570</v>
      </c>
      <c r="AR23" s="2" t="s">
        <v>570</v>
      </c>
      <c r="AS23" s="7">
        <v>1.601462669</v>
      </c>
      <c r="AT23" s="7">
        <v>0.33727064800000006</v>
      </c>
      <c r="AU23" s="7">
        <f t="shared" si="1"/>
        <v>1.8473074189398468</v>
      </c>
      <c r="AV23" s="2" t="s">
        <v>570</v>
      </c>
      <c r="AW23" s="2" t="s">
        <v>570</v>
      </c>
      <c r="AX23" s="2" t="s">
        <v>570</v>
      </c>
      <c r="AY23" s="7">
        <v>4.4448485270000004</v>
      </c>
      <c r="AZ23" s="7">
        <v>0.78463998699999937</v>
      </c>
      <c r="BA23" s="7">
        <f t="shared" si="2"/>
        <v>4.2976502040045998</v>
      </c>
      <c r="BC23" s="2" t="s">
        <v>785</v>
      </c>
      <c r="BD23" s="2" t="s">
        <v>570</v>
      </c>
      <c r="BE23" s="2" t="s">
        <v>570</v>
      </c>
      <c r="BF23" s="2" t="s">
        <v>570</v>
      </c>
    </row>
    <row r="24" spans="1:58" s="2" customFormat="1" ht="51">
      <c r="A24" s="2" t="s">
        <v>399</v>
      </c>
      <c r="B24" s="2" t="s">
        <v>508</v>
      </c>
      <c r="C24" s="2" t="s">
        <v>478</v>
      </c>
      <c r="D24" s="2" t="s">
        <v>479</v>
      </c>
      <c r="E24" s="2" t="s">
        <v>480</v>
      </c>
      <c r="F24" s="2" t="s">
        <v>481</v>
      </c>
      <c r="G24" s="2" t="s">
        <v>570</v>
      </c>
      <c r="H24" s="2" t="s">
        <v>570</v>
      </c>
      <c r="I24" s="2" t="s">
        <v>570</v>
      </c>
      <c r="J24" s="2">
        <v>0</v>
      </c>
      <c r="K24" s="2" t="s">
        <v>570</v>
      </c>
      <c r="L24" s="2" t="s">
        <v>570</v>
      </c>
      <c r="M24" s="2" t="s">
        <v>482</v>
      </c>
      <c r="N24" s="2" t="s">
        <v>483</v>
      </c>
      <c r="O24" s="2">
        <v>2011</v>
      </c>
      <c r="P24" s="2" t="s">
        <v>570</v>
      </c>
      <c r="Q24" s="18" t="s">
        <v>328</v>
      </c>
      <c r="R24" s="2" t="s">
        <v>55</v>
      </c>
      <c r="S24" s="2" t="s">
        <v>570</v>
      </c>
      <c r="T24" s="2" t="s">
        <v>570</v>
      </c>
      <c r="U24" s="2" t="s">
        <v>570</v>
      </c>
      <c r="V24" s="2" t="s">
        <v>623</v>
      </c>
      <c r="W24" s="19" t="s">
        <v>338</v>
      </c>
      <c r="X24" s="19" t="s">
        <v>14</v>
      </c>
      <c r="Y24" s="2">
        <v>23</v>
      </c>
      <c r="Z24" s="2" t="s">
        <v>331</v>
      </c>
      <c r="AA24" s="2" t="s">
        <v>570</v>
      </c>
      <c r="AB24" s="2">
        <f t="shared" si="3"/>
        <v>30</v>
      </c>
      <c r="AC24" s="2">
        <f t="shared" si="3"/>
        <v>30</v>
      </c>
      <c r="AE24" s="2" t="s">
        <v>570</v>
      </c>
      <c r="AF24" s="19" t="s">
        <v>714</v>
      </c>
      <c r="AG24" s="2" t="s">
        <v>570</v>
      </c>
      <c r="AH24" s="2" t="s">
        <v>570</v>
      </c>
      <c r="AI24" s="2" t="s">
        <v>570</v>
      </c>
      <c r="AJ24" s="2" t="s">
        <v>570</v>
      </c>
      <c r="AK24" s="19" t="s">
        <v>714</v>
      </c>
      <c r="AL24" s="49" t="s">
        <v>1027</v>
      </c>
      <c r="AM24" s="2" t="s">
        <v>570</v>
      </c>
      <c r="AN24" s="2" t="s">
        <v>570</v>
      </c>
      <c r="AO24" s="19" t="s">
        <v>339</v>
      </c>
      <c r="AP24" s="2" t="s">
        <v>570</v>
      </c>
      <c r="AQ24" s="2" t="s">
        <v>570</v>
      </c>
      <c r="AR24" s="2" t="s">
        <v>570</v>
      </c>
      <c r="AS24" s="7">
        <v>2.8893184340000002</v>
      </c>
      <c r="AT24" s="7">
        <v>0.38215703799999989</v>
      </c>
      <c r="AU24" s="7">
        <f t="shared" si="1"/>
        <v>2.093160302219589</v>
      </c>
      <c r="AV24" s="2" t="s">
        <v>570</v>
      </c>
      <c r="AW24" s="2" t="s">
        <v>570</v>
      </c>
      <c r="AX24" s="2" t="s">
        <v>570</v>
      </c>
      <c r="AY24" s="7">
        <v>8.3558927710000006</v>
      </c>
      <c r="AZ24" s="7">
        <v>0.7395045059999994</v>
      </c>
      <c r="BA24" s="7">
        <f t="shared" si="2"/>
        <v>4.0504329931291414</v>
      </c>
      <c r="BC24" s="2" t="s">
        <v>785</v>
      </c>
      <c r="BD24" s="2" t="s">
        <v>570</v>
      </c>
      <c r="BE24" s="2" t="s">
        <v>570</v>
      </c>
      <c r="BF24" s="2" t="s">
        <v>570</v>
      </c>
    </row>
    <row r="25" spans="1:58" s="2" customFormat="1" ht="51">
      <c r="A25" s="2" t="s">
        <v>399</v>
      </c>
      <c r="B25" s="2" t="s">
        <v>508</v>
      </c>
      <c r="C25" s="2" t="s">
        <v>478</v>
      </c>
      <c r="D25" s="2" t="s">
        <v>479</v>
      </c>
      <c r="E25" s="2" t="s">
        <v>480</v>
      </c>
      <c r="F25" s="2" t="s">
        <v>481</v>
      </c>
      <c r="G25" s="2" t="s">
        <v>570</v>
      </c>
      <c r="H25" s="2" t="s">
        <v>570</v>
      </c>
      <c r="I25" s="2" t="s">
        <v>570</v>
      </c>
      <c r="J25" s="2">
        <v>0</v>
      </c>
      <c r="K25" s="2" t="s">
        <v>570</v>
      </c>
      <c r="L25" s="2" t="s">
        <v>570</v>
      </c>
      <c r="M25" s="2" t="s">
        <v>482</v>
      </c>
      <c r="N25" s="2" t="s">
        <v>483</v>
      </c>
      <c r="O25" s="2">
        <v>2011</v>
      </c>
      <c r="P25" s="2" t="s">
        <v>570</v>
      </c>
      <c r="Q25" s="18" t="s">
        <v>328</v>
      </c>
      <c r="R25" s="2" t="s">
        <v>55</v>
      </c>
      <c r="S25" s="2" t="s">
        <v>570</v>
      </c>
      <c r="T25" s="2" t="s">
        <v>570</v>
      </c>
      <c r="U25" s="2" t="s">
        <v>570</v>
      </c>
      <c r="V25" s="2" t="s">
        <v>623</v>
      </c>
      <c r="W25" s="19" t="s">
        <v>338</v>
      </c>
      <c r="X25" s="19" t="s">
        <v>14</v>
      </c>
      <c r="Y25" s="2">
        <v>24</v>
      </c>
      <c r="Z25" s="2" t="s">
        <v>331</v>
      </c>
      <c r="AA25" s="2" t="s">
        <v>570</v>
      </c>
      <c r="AB25" s="2">
        <f t="shared" si="3"/>
        <v>30</v>
      </c>
      <c r="AC25" s="2">
        <f t="shared" si="3"/>
        <v>30</v>
      </c>
      <c r="AE25" s="2" t="s">
        <v>570</v>
      </c>
      <c r="AF25" s="19" t="s">
        <v>714</v>
      </c>
      <c r="AG25" s="2" t="s">
        <v>570</v>
      </c>
      <c r="AH25" s="2" t="s">
        <v>570</v>
      </c>
      <c r="AI25" s="2" t="s">
        <v>570</v>
      </c>
      <c r="AJ25" s="2" t="s">
        <v>570</v>
      </c>
      <c r="AK25" s="19" t="s">
        <v>714</v>
      </c>
      <c r="AL25" s="49" t="s">
        <v>1027</v>
      </c>
      <c r="AM25" s="2" t="s">
        <v>570</v>
      </c>
      <c r="AN25" s="2" t="s">
        <v>570</v>
      </c>
      <c r="AO25" s="19" t="s">
        <v>339</v>
      </c>
      <c r="AP25" s="2" t="s">
        <v>570</v>
      </c>
      <c r="AQ25" s="2" t="s">
        <v>570</v>
      </c>
      <c r="AR25" s="2" t="s">
        <v>570</v>
      </c>
      <c r="AS25" s="7">
        <v>2.5855755770000002</v>
      </c>
      <c r="AT25" s="7">
        <v>0.3149519999999999</v>
      </c>
      <c r="AU25" s="7">
        <f t="shared" si="1"/>
        <v>1.7250631493136703</v>
      </c>
      <c r="AV25" s="2" t="s">
        <v>570</v>
      </c>
      <c r="AW25" s="2" t="s">
        <v>570</v>
      </c>
      <c r="AX25" s="2" t="s">
        <v>570</v>
      </c>
      <c r="AY25" s="7">
        <v>7.7394397420000001</v>
      </c>
      <c r="AZ25" s="7">
        <v>0.78389271100000002</v>
      </c>
      <c r="BA25" s="7">
        <f t="shared" si="2"/>
        <v>4.2935572047857811</v>
      </c>
      <c r="BC25" s="2" t="s">
        <v>785</v>
      </c>
      <c r="BD25" s="2" t="s">
        <v>570</v>
      </c>
      <c r="BE25" s="2" t="s">
        <v>570</v>
      </c>
      <c r="BF25" s="2" t="s">
        <v>570</v>
      </c>
    </row>
    <row r="26" spans="1:58" s="2" customFormat="1" ht="51">
      <c r="A26" s="2" t="s">
        <v>399</v>
      </c>
      <c r="B26" s="2" t="s">
        <v>508</v>
      </c>
      <c r="C26" s="2" t="s">
        <v>478</v>
      </c>
      <c r="D26" s="2" t="s">
        <v>479</v>
      </c>
      <c r="E26" s="2" t="s">
        <v>480</v>
      </c>
      <c r="F26" s="2" t="s">
        <v>481</v>
      </c>
      <c r="G26" s="2" t="s">
        <v>570</v>
      </c>
      <c r="H26" s="2" t="s">
        <v>570</v>
      </c>
      <c r="I26" s="2" t="s">
        <v>570</v>
      </c>
      <c r="J26" s="2">
        <v>0</v>
      </c>
      <c r="K26" s="2" t="s">
        <v>570</v>
      </c>
      <c r="L26" s="2" t="s">
        <v>570</v>
      </c>
      <c r="M26" s="2" t="s">
        <v>482</v>
      </c>
      <c r="N26" s="2" t="s">
        <v>483</v>
      </c>
      <c r="O26" s="2">
        <v>2011</v>
      </c>
      <c r="P26" s="2" t="s">
        <v>570</v>
      </c>
      <c r="Q26" s="18" t="s">
        <v>328</v>
      </c>
      <c r="R26" s="2" t="s">
        <v>55</v>
      </c>
      <c r="S26" s="2" t="s">
        <v>570</v>
      </c>
      <c r="T26" s="2" t="s">
        <v>570</v>
      </c>
      <c r="U26" s="2" t="s">
        <v>570</v>
      </c>
      <c r="V26" s="2" t="s">
        <v>623</v>
      </c>
      <c r="W26" s="19" t="s">
        <v>338</v>
      </c>
      <c r="X26" s="19" t="s">
        <v>14</v>
      </c>
      <c r="Y26" s="2">
        <v>25</v>
      </c>
      <c r="Z26" s="2" t="s">
        <v>331</v>
      </c>
      <c r="AA26" s="2" t="s">
        <v>570</v>
      </c>
      <c r="AB26" s="2">
        <f t="shared" si="3"/>
        <v>30</v>
      </c>
      <c r="AC26" s="2">
        <f t="shared" si="3"/>
        <v>30</v>
      </c>
      <c r="AE26" s="2" t="s">
        <v>570</v>
      </c>
      <c r="AF26" s="19" t="s">
        <v>714</v>
      </c>
      <c r="AG26" s="2" t="s">
        <v>570</v>
      </c>
      <c r="AH26" s="2" t="s">
        <v>570</v>
      </c>
      <c r="AI26" s="2" t="s">
        <v>570</v>
      </c>
      <c r="AJ26" s="2" t="s">
        <v>570</v>
      </c>
      <c r="AK26" s="19" t="s">
        <v>714</v>
      </c>
      <c r="AL26" s="49" t="s">
        <v>1027</v>
      </c>
      <c r="AM26" s="2" t="s">
        <v>570</v>
      </c>
      <c r="AN26" s="2" t="s">
        <v>570</v>
      </c>
      <c r="AO26" s="19" t="s">
        <v>339</v>
      </c>
      <c r="AP26" s="2" t="s">
        <v>570</v>
      </c>
      <c r="AQ26" s="2" t="s">
        <v>570</v>
      </c>
      <c r="AR26" s="2" t="s">
        <v>570</v>
      </c>
      <c r="AS26" s="7">
        <v>1.8339651969999999</v>
      </c>
      <c r="AT26" s="7">
        <v>0.15897055199999999</v>
      </c>
      <c r="AU26" s="7">
        <f t="shared" si="1"/>
        <v>0.87071757309447995</v>
      </c>
      <c r="AV26" s="2" t="s">
        <v>570</v>
      </c>
      <c r="AW26" s="2" t="s">
        <v>570</v>
      </c>
      <c r="AX26" s="2" t="s">
        <v>570</v>
      </c>
      <c r="AY26" s="7">
        <v>9.1085991560000004</v>
      </c>
      <c r="AZ26" s="7">
        <v>0.94012325399999952</v>
      </c>
      <c r="BA26" s="7">
        <f t="shared" si="2"/>
        <v>5.1492671305095863</v>
      </c>
      <c r="BC26" s="2" t="s">
        <v>785</v>
      </c>
      <c r="BD26" s="2" t="s">
        <v>570</v>
      </c>
      <c r="BE26" s="2" t="s">
        <v>570</v>
      </c>
      <c r="BF26" s="2" t="s">
        <v>570</v>
      </c>
    </row>
    <row r="27" spans="1:58" s="2" customFormat="1" ht="51">
      <c r="A27" s="2" t="s">
        <v>399</v>
      </c>
      <c r="B27" s="2" t="s">
        <v>508</v>
      </c>
      <c r="C27" s="2" t="s">
        <v>478</v>
      </c>
      <c r="D27" s="2" t="s">
        <v>479</v>
      </c>
      <c r="E27" s="2" t="s">
        <v>480</v>
      </c>
      <c r="F27" s="2" t="s">
        <v>481</v>
      </c>
      <c r="G27" s="2" t="s">
        <v>570</v>
      </c>
      <c r="H27" s="2" t="s">
        <v>570</v>
      </c>
      <c r="I27" s="2" t="s">
        <v>570</v>
      </c>
      <c r="J27" s="2">
        <v>0</v>
      </c>
      <c r="K27" s="2" t="s">
        <v>570</v>
      </c>
      <c r="L27" s="2" t="s">
        <v>570</v>
      </c>
      <c r="M27" s="2" t="s">
        <v>482</v>
      </c>
      <c r="N27" s="2" t="s">
        <v>483</v>
      </c>
      <c r="O27" s="2">
        <v>2011</v>
      </c>
      <c r="P27" s="2" t="s">
        <v>570</v>
      </c>
      <c r="Q27" s="18" t="s">
        <v>328</v>
      </c>
      <c r="R27" s="2" t="s">
        <v>55</v>
      </c>
      <c r="S27" s="2" t="s">
        <v>570</v>
      </c>
      <c r="T27" s="2" t="s">
        <v>570</v>
      </c>
      <c r="U27" s="2" t="s">
        <v>570</v>
      </c>
      <c r="V27" s="2" t="s">
        <v>623</v>
      </c>
      <c r="W27" s="19" t="s">
        <v>338</v>
      </c>
      <c r="X27" s="19" t="s">
        <v>14</v>
      </c>
      <c r="Y27" s="2">
        <v>26</v>
      </c>
      <c r="Z27" s="2" t="s">
        <v>331</v>
      </c>
      <c r="AA27" s="2" t="s">
        <v>570</v>
      </c>
      <c r="AB27" s="2">
        <f t="shared" si="3"/>
        <v>30</v>
      </c>
      <c r="AC27" s="2">
        <f t="shared" si="3"/>
        <v>30</v>
      </c>
      <c r="AE27" s="2" t="s">
        <v>570</v>
      </c>
      <c r="AF27" s="19" t="s">
        <v>714</v>
      </c>
      <c r="AG27" s="2" t="s">
        <v>570</v>
      </c>
      <c r="AH27" s="2" t="s">
        <v>570</v>
      </c>
      <c r="AI27" s="2" t="s">
        <v>570</v>
      </c>
      <c r="AJ27" s="2" t="s">
        <v>570</v>
      </c>
      <c r="AK27" s="19" t="s">
        <v>714</v>
      </c>
      <c r="AL27" s="49" t="s">
        <v>1027</v>
      </c>
      <c r="AM27" s="2" t="s">
        <v>570</v>
      </c>
      <c r="AN27" s="2" t="s">
        <v>570</v>
      </c>
      <c r="AO27" s="19" t="s">
        <v>339</v>
      </c>
      <c r="AP27" s="2" t="s">
        <v>570</v>
      </c>
      <c r="AQ27" s="2" t="s">
        <v>570</v>
      </c>
      <c r="AR27" s="2" t="s">
        <v>570</v>
      </c>
      <c r="AS27" s="7">
        <v>0.99432568300000002</v>
      </c>
      <c r="AT27" s="7">
        <v>0.22592649799999998</v>
      </c>
      <c r="AU27" s="7">
        <f t="shared" si="1"/>
        <v>1.2374503929274578</v>
      </c>
      <c r="AV27" s="2" t="s">
        <v>570</v>
      </c>
      <c r="AW27" s="2" t="s">
        <v>570</v>
      </c>
      <c r="AX27" s="2" t="s">
        <v>570</v>
      </c>
      <c r="AY27" s="7">
        <v>3.2914028370000001</v>
      </c>
      <c r="AZ27" s="7">
        <v>0.5825266899999999</v>
      </c>
      <c r="BA27" s="7">
        <f t="shared" si="2"/>
        <v>3.1906300846181903</v>
      </c>
      <c r="BC27" s="2" t="s">
        <v>785</v>
      </c>
      <c r="BD27" s="2" t="s">
        <v>570</v>
      </c>
      <c r="BE27" s="2" t="s">
        <v>570</v>
      </c>
      <c r="BF27" s="2" t="s">
        <v>570</v>
      </c>
    </row>
    <row r="28" spans="1:58" s="2" customFormat="1" ht="51">
      <c r="A28" s="2" t="s">
        <v>399</v>
      </c>
      <c r="B28" s="2" t="s">
        <v>508</v>
      </c>
      <c r="C28" s="2" t="s">
        <v>478</v>
      </c>
      <c r="D28" s="2" t="s">
        <v>479</v>
      </c>
      <c r="E28" s="2" t="s">
        <v>480</v>
      </c>
      <c r="F28" s="2" t="s">
        <v>481</v>
      </c>
      <c r="G28" s="2" t="s">
        <v>570</v>
      </c>
      <c r="H28" s="2" t="s">
        <v>570</v>
      </c>
      <c r="I28" s="2" t="s">
        <v>570</v>
      </c>
      <c r="J28" s="2">
        <v>0</v>
      </c>
      <c r="K28" s="2" t="s">
        <v>570</v>
      </c>
      <c r="L28" s="2" t="s">
        <v>570</v>
      </c>
      <c r="M28" s="2" t="s">
        <v>482</v>
      </c>
      <c r="N28" s="2" t="s">
        <v>483</v>
      </c>
      <c r="O28" s="2">
        <v>2011</v>
      </c>
      <c r="P28" s="2" t="s">
        <v>570</v>
      </c>
      <c r="Q28" s="18" t="s">
        <v>328</v>
      </c>
      <c r="R28" s="2" t="s">
        <v>55</v>
      </c>
      <c r="S28" s="2" t="s">
        <v>570</v>
      </c>
      <c r="T28" s="2" t="s">
        <v>570</v>
      </c>
      <c r="U28" s="2" t="s">
        <v>570</v>
      </c>
      <c r="V28" s="2" t="s">
        <v>623</v>
      </c>
      <c r="W28" s="19" t="s">
        <v>338</v>
      </c>
      <c r="X28" s="19" t="s">
        <v>14</v>
      </c>
      <c r="Y28" s="2">
        <v>27</v>
      </c>
      <c r="Z28" s="2" t="s">
        <v>331</v>
      </c>
      <c r="AA28" s="2" t="s">
        <v>570</v>
      </c>
      <c r="AB28" s="2">
        <f t="shared" si="3"/>
        <v>30</v>
      </c>
      <c r="AC28" s="2">
        <f t="shared" si="3"/>
        <v>30</v>
      </c>
      <c r="AE28" s="2" t="s">
        <v>570</v>
      </c>
      <c r="AF28" s="19" t="s">
        <v>714</v>
      </c>
      <c r="AG28" s="2" t="s">
        <v>570</v>
      </c>
      <c r="AH28" s="2" t="s">
        <v>570</v>
      </c>
      <c r="AI28" s="2" t="s">
        <v>570</v>
      </c>
      <c r="AJ28" s="2" t="s">
        <v>570</v>
      </c>
      <c r="AK28" s="19" t="s">
        <v>714</v>
      </c>
      <c r="AL28" s="49" t="s">
        <v>1027</v>
      </c>
      <c r="AM28" s="2" t="s">
        <v>570</v>
      </c>
      <c r="AN28" s="2" t="s">
        <v>570</v>
      </c>
      <c r="AO28" s="19" t="s">
        <v>339</v>
      </c>
      <c r="AP28" s="2" t="s">
        <v>570</v>
      </c>
      <c r="AQ28" s="2" t="s">
        <v>570</v>
      </c>
      <c r="AR28" s="2" t="s">
        <v>570</v>
      </c>
      <c r="AS28" s="7">
        <v>0.77935923600000001</v>
      </c>
      <c r="AT28" s="7">
        <v>0.24799605400000002</v>
      </c>
      <c r="AU28" s="7">
        <f t="shared" si="1"/>
        <v>1.358330329480693</v>
      </c>
      <c r="AV28" s="2" t="s">
        <v>570</v>
      </c>
      <c r="AW28" s="2" t="s">
        <v>570</v>
      </c>
      <c r="AX28" s="2" t="s">
        <v>570</v>
      </c>
      <c r="AY28" s="7">
        <v>3.1654618910000001</v>
      </c>
      <c r="AZ28" s="7">
        <v>0.51606892899999979</v>
      </c>
      <c r="BA28" s="7">
        <f t="shared" si="2"/>
        <v>2.8266259364083188</v>
      </c>
      <c r="BC28" s="2" t="s">
        <v>785</v>
      </c>
      <c r="BD28" s="2" t="s">
        <v>570</v>
      </c>
      <c r="BE28" s="2" t="s">
        <v>570</v>
      </c>
      <c r="BF28" s="2" t="s">
        <v>570</v>
      </c>
    </row>
    <row r="29" spans="1:58" s="2" customFormat="1" ht="51">
      <c r="A29" s="2" t="s">
        <v>399</v>
      </c>
      <c r="B29" s="2" t="s">
        <v>508</v>
      </c>
      <c r="C29" s="2" t="s">
        <v>478</v>
      </c>
      <c r="D29" s="2" t="s">
        <v>479</v>
      </c>
      <c r="E29" s="2" t="s">
        <v>480</v>
      </c>
      <c r="F29" s="2" t="s">
        <v>481</v>
      </c>
      <c r="G29" s="2" t="s">
        <v>570</v>
      </c>
      <c r="H29" s="2" t="s">
        <v>570</v>
      </c>
      <c r="I29" s="2" t="s">
        <v>570</v>
      </c>
      <c r="J29" s="2">
        <v>0</v>
      </c>
      <c r="K29" s="2" t="s">
        <v>570</v>
      </c>
      <c r="L29" s="2" t="s">
        <v>570</v>
      </c>
      <c r="M29" s="2" t="s">
        <v>482</v>
      </c>
      <c r="N29" s="2" t="s">
        <v>483</v>
      </c>
      <c r="O29" s="2">
        <v>2011</v>
      </c>
      <c r="P29" s="2" t="s">
        <v>570</v>
      </c>
      <c r="Q29" s="18" t="s">
        <v>328</v>
      </c>
      <c r="R29" s="2" t="s">
        <v>55</v>
      </c>
      <c r="S29" s="2" t="s">
        <v>570</v>
      </c>
      <c r="T29" s="2" t="s">
        <v>570</v>
      </c>
      <c r="U29" s="2" t="s">
        <v>570</v>
      </c>
      <c r="V29" s="2" t="s">
        <v>623</v>
      </c>
      <c r="W29" s="19" t="s">
        <v>338</v>
      </c>
      <c r="X29" s="19" t="s">
        <v>14</v>
      </c>
      <c r="Y29" s="2">
        <v>28</v>
      </c>
      <c r="Z29" s="2" t="s">
        <v>331</v>
      </c>
      <c r="AA29" s="2" t="s">
        <v>570</v>
      </c>
      <c r="AB29" s="2">
        <f t="shared" si="3"/>
        <v>30</v>
      </c>
      <c r="AC29" s="2">
        <f t="shared" si="3"/>
        <v>30</v>
      </c>
      <c r="AE29" s="2" t="s">
        <v>570</v>
      </c>
      <c r="AF29" s="19" t="s">
        <v>714</v>
      </c>
      <c r="AG29" s="2" t="s">
        <v>570</v>
      </c>
      <c r="AH29" s="2" t="s">
        <v>570</v>
      </c>
      <c r="AI29" s="2" t="s">
        <v>570</v>
      </c>
      <c r="AJ29" s="2" t="s">
        <v>570</v>
      </c>
      <c r="AK29" s="19" t="s">
        <v>714</v>
      </c>
      <c r="AL29" s="49" t="s">
        <v>1027</v>
      </c>
      <c r="AM29" s="2" t="s">
        <v>570</v>
      </c>
      <c r="AN29" s="2" t="s">
        <v>570</v>
      </c>
      <c r="AO29" s="19" t="s">
        <v>339</v>
      </c>
      <c r="AP29" s="2" t="s">
        <v>570</v>
      </c>
      <c r="AQ29" s="2" t="s">
        <v>570</v>
      </c>
      <c r="AR29" s="2" t="s">
        <v>570</v>
      </c>
      <c r="AS29" s="7">
        <v>0.34020993500000002</v>
      </c>
      <c r="AT29" s="7">
        <v>0.15971782800000001</v>
      </c>
      <c r="AU29" s="7">
        <f t="shared" si="1"/>
        <v>0.87481057231330239</v>
      </c>
      <c r="AV29" s="2" t="s">
        <v>570</v>
      </c>
      <c r="AW29" s="2" t="s">
        <v>570</v>
      </c>
      <c r="AX29" s="2" t="s">
        <v>570</v>
      </c>
      <c r="AY29" s="7">
        <v>4.4448485270000004</v>
      </c>
      <c r="AZ29" s="7">
        <v>0.78463998699999937</v>
      </c>
      <c r="BA29" s="7">
        <f t="shared" si="2"/>
        <v>4.2976502040045998</v>
      </c>
      <c r="BC29" s="2" t="s">
        <v>785</v>
      </c>
      <c r="BD29" s="2" t="s">
        <v>570</v>
      </c>
      <c r="BE29" s="2" t="s">
        <v>570</v>
      </c>
      <c r="BF29" s="2" t="s">
        <v>570</v>
      </c>
    </row>
    <row r="30" spans="1:58" s="2" customFormat="1" ht="51">
      <c r="A30" s="2" t="s">
        <v>399</v>
      </c>
      <c r="B30" s="2" t="s">
        <v>508</v>
      </c>
      <c r="C30" s="2" t="s">
        <v>478</v>
      </c>
      <c r="D30" s="2" t="s">
        <v>479</v>
      </c>
      <c r="E30" s="2" t="s">
        <v>480</v>
      </c>
      <c r="F30" s="2" t="s">
        <v>481</v>
      </c>
      <c r="G30" s="2" t="s">
        <v>570</v>
      </c>
      <c r="H30" s="2" t="s">
        <v>570</v>
      </c>
      <c r="I30" s="2" t="s">
        <v>570</v>
      </c>
      <c r="J30" s="2">
        <v>0</v>
      </c>
      <c r="K30" s="2" t="s">
        <v>570</v>
      </c>
      <c r="L30" s="2" t="s">
        <v>570</v>
      </c>
      <c r="M30" s="2" t="s">
        <v>482</v>
      </c>
      <c r="N30" s="2" t="s">
        <v>483</v>
      </c>
      <c r="O30" s="2">
        <v>2012</v>
      </c>
      <c r="P30" s="2" t="s">
        <v>570</v>
      </c>
      <c r="Q30" s="18" t="s">
        <v>328</v>
      </c>
      <c r="R30" s="2" t="s">
        <v>55</v>
      </c>
      <c r="S30" s="2" t="s">
        <v>570</v>
      </c>
      <c r="T30" s="2" t="s">
        <v>570</v>
      </c>
      <c r="U30" s="2" t="s">
        <v>570</v>
      </c>
      <c r="V30" s="2" t="s">
        <v>329</v>
      </c>
      <c r="W30" s="19" t="s">
        <v>330</v>
      </c>
      <c r="X30" s="19" t="s">
        <v>14</v>
      </c>
      <c r="Y30" s="2">
        <v>29</v>
      </c>
      <c r="Z30" s="2" t="s">
        <v>331</v>
      </c>
      <c r="AA30" s="2" t="s">
        <v>570</v>
      </c>
      <c r="AB30" s="2">
        <f t="shared" si="3"/>
        <v>30</v>
      </c>
      <c r="AC30" s="2">
        <f t="shared" si="3"/>
        <v>30</v>
      </c>
      <c r="AE30" s="2" t="s">
        <v>570</v>
      </c>
      <c r="AF30" s="19" t="s">
        <v>714</v>
      </c>
      <c r="AG30" s="2" t="s">
        <v>570</v>
      </c>
      <c r="AH30" s="2" t="s">
        <v>570</v>
      </c>
      <c r="AI30" s="2" t="s">
        <v>570</v>
      </c>
      <c r="AJ30" s="2" t="s">
        <v>570</v>
      </c>
      <c r="AK30" s="19" t="s">
        <v>714</v>
      </c>
      <c r="AL30" s="49" t="s">
        <v>1027</v>
      </c>
      <c r="AM30" s="2" t="s">
        <v>570</v>
      </c>
      <c r="AN30" s="2" t="s">
        <v>570</v>
      </c>
      <c r="AO30" s="19" t="s">
        <v>194</v>
      </c>
      <c r="AP30" s="2" t="s">
        <v>570</v>
      </c>
      <c r="AQ30" s="2" t="s">
        <v>570</v>
      </c>
      <c r="AR30" s="2" t="s">
        <v>570</v>
      </c>
      <c r="AS30" s="7">
        <v>3.6319612590799002</v>
      </c>
      <c r="AT30" s="7">
        <v>0.65375302692009996</v>
      </c>
      <c r="AU30" s="7">
        <f t="shared" si="1"/>
        <v>3.5807527988142085</v>
      </c>
      <c r="AV30" s="2" t="s">
        <v>570</v>
      </c>
      <c r="AW30" s="2" t="s">
        <v>570</v>
      </c>
      <c r="AX30" s="2" t="s">
        <v>570</v>
      </c>
      <c r="AY30" s="7">
        <v>3.84987893462469</v>
      </c>
      <c r="AZ30" s="7">
        <v>0.72639225137530961</v>
      </c>
      <c r="BA30" s="7">
        <f t="shared" si="2"/>
        <v>3.9786142167522009</v>
      </c>
      <c r="BC30" s="2" t="s">
        <v>457</v>
      </c>
      <c r="BD30" s="2" t="s">
        <v>570</v>
      </c>
      <c r="BE30" s="2" t="s">
        <v>570</v>
      </c>
      <c r="BF30" s="2" t="s">
        <v>570</v>
      </c>
    </row>
    <row r="31" spans="1:58" s="2" customFormat="1" ht="51">
      <c r="A31" s="2" t="s">
        <v>399</v>
      </c>
      <c r="B31" s="2" t="s">
        <v>508</v>
      </c>
      <c r="C31" s="2" t="s">
        <v>478</v>
      </c>
      <c r="D31" s="2" t="s">
        <v>479</v>
      </c>
      <c r="E31" s="2" t="s">
        <v>480</v>
      </c>
      <c r="F31" s="2" t="s">
        <v>481</v>
      </c>
      <c r="G31" s="2" t="s">
        <v>570</v>
      </c>
      <c r="H31" s="2" t="s">
        <v>570</v>
      </c>
      <c r="I31" s="2" t="s">
        <v>570</v>
      </c>
      <c r="J31" s="2">
        <v>0</v>
      </c>
      <c r="K31" s="2" t="s">
        <v>570</v>
      </c>
      <c r="L31" s="2" t="s">
        <v>570</v>
      </c>
      <c r="M31" s="2" t="s">
        <v>482</v>
      </c>
      <c r="N31" s="2" t="s">
        <v>483</v>
      </c>
      <c r="O31" s="2">
        <v>2012</v>
      </c>
      <c r="P31" s="2" t="s">
        <v>570</v>
      </c>
      <c r="Q31" s="18" t="s">
        <v>328</v>
      </c>
      <c r="R31" s="2" t="s">
        <v>55</v>
      </c>
      <c r="S31" s="2" t="s">
        <v>570</v>
      </c>
      <c r="T31" s="2" t="s">
        <v>570</v>
      </c>
      <c r="U31" s="2" t="s">
        <v>570</v>
      </c>
      <c r="V31" s="2" t="s">
        <v>329</v>
      </c>
      <c r="W31" s="19" t="s">
        <v>825</v>
      </c>
      <c r="X31" s="19" t="s">
        <v>14</v>
      </c>
      <c r="Y31" s="2">
        <v>30</v>
      </c>
      <c r="Z31" s="2" t="s">
        <v>331</v>
      </c>
      <c r="AA31" s="2" t="s">
        <v>570</v>
      </c>
      <c r="AB31" s="2">
        <f t="shared" si="3"/>
        <v>30</v>
      </c>
      <c r="AC31" s="2">
        <f t="shared" si="3"/>
        <v>30</v>
      </c>
      <c r="AE31" s="2" t="s">
        <v>570</v>
      </c>
      <c r="AF31" s="19" t="s">
        <v>714</v>
      </c>
      <c r="AG31" s="2" t="s">
        <v>570</v>
      </c>
      <c r="AH31" s="2" t="s">
        <v>570</v>
      </c>
      <c r="AI31" s="2" t="s">
        <v>570</v>
      </c>
      <c r="AJ31" s="2" t="s">
        <v>570</v>
      </c>
      <c r="AK31" s="19" t="s">
        <v>714</v>
      </c>
      <c r="AL31" s="49" t="s">
        <v>1027</v>
      </c>
      <c r="AM31" s="2" t="s">
        <v>570</v>
      </c>
      <c r="AN31" s="2" t="s">
        <v>570</v>
      </c>
      <c r="AO31" s="19" t="s">
        <v>194</v>
      </c>
      <c r="AP31" s="2" t="s">
        <v>570</v>
      </c>
      <c r="AQ31" s="2" t="s">
        <v>570</v>
      </c>
      <c r="AR31" s="2" t="s">
        <v>570</v>
      </c>
      <c r="AS31" s="7">
        <v>3.8740920096852198</v>
      </c>
      <c r="AT31" s="7">
        <v>0.60532687631478055</v>
      </c>
      <c r="AU31" s="7">
        <f t="shared" si="1"/>
        <v>3.3155118482174495</v>
      </c>
      <c r="AV31" s="2" t="s">
        <v>570</v>
      </c>
      <c r="AW31" s="2" t="s">
        <v>570</v>
      </c>
      <c r="AX31" s="2" t="s">
        <v>570</v>
      </c>
      <c r="AY31" s="7">
        <v>4.6246973365617396</v>
      </c>
      <c r="AZ31" s="7">
        <v>0.7748184014382602</v>
      </c>
      <c r="BA31" s="7">
        <f t="shared" si="2"/>
        <v>4.2438551643782834</v>
      </c>
      <c r="BC31" s="2" t="s">
        <v>457</v>
      </c>
      <c r="BD31" s="2" t="s">
        <v>570</v>
      </c>
      <c r="BE31" s="2" t="s">
        <v>570</v>
      </c>
      <c r="BF31" s="2" t="s">
        <v>570</v>
      </c>
    </row>
    <row r="32" spans="1:58" s="2" customFormat="1" ht="51">
      <c r="A32" s="2" t="s">
        <v>399</v>
      </c>
      <c r="B32" s="2" t="s">
        <v>508</v>
      </c>
      <c r="C32" s="2" t="s">
        <v>478</v>
      </c>
      <c r="D32" s="2" t="s">
        <v>479</v>
      </c>
      <c r="E32" s="2" t="s">
        <v>480</v>
      </c>
      <c r="F32" s="2" t="s">
        <v>481</v>
      </c>
      <c r="G32" s="2" t="s">
        <v>570</v>
      </c>
      <c r="H32" s="2" t="s">
        <v>570</v>
      </c>
      <c r="I32" s="2" t="s">
        <v>570</v>
      </c>
      <c r="J32" s="2">
        <v>0</v>
      </c>
      <c r="K32" s="2" t="s">
        <v>570</v>
      </c>
      <c r="L32" s="2" t="s">
        <v>570</v>
      </c>
      <c r="M32" s="2" t="s">
        <v>482</v>
      </c>
      <c r="N32" s="2" t="s">
        <v>483</v>
      </c>
      <c r="O32" s="2">
        <v>2012</v>
      </c>
      <c r="P32" s="2" t="s">
        <v>570</v>
      </c>
      <c r="Q32" s="18" t="s">
        <v>328</v>
      </c>
      <c r="R32" s="2" t="s">
        <v>55</v>
      </c>
      <c r="S32" s="2" t="s">
        <v>570</v>
      </c>
      <c r="T32" s="2" t="s">
        <v>570</v>
      </c>
      <c r="U32" s="2" t="s">
        <v>570</v>
      </c>
      <c r="V32" s="2" t="s">
        <v>329</v>
      </c>
      <c r="W32" s="19" t="s">
        <v>330</v>
      </c>
      <c r="X32" s="19" t="s">
        <v>14</v>
      </c>
      <c r="Y32" s="2">
        <v>31</v>
      </c>
      <c r="Z32" s="2" t="s">
        <v>331</v>
      </c>
      <c r="AA32" s="2" t="s">
        <v>570</v>
      </c>
      <c r="AB32" s="2">
        <f t="shared" si="3"/>
        <v>30</v>
      </c>
      <c r="AC32" s="2">
        <f t="shared" si="3"/>
        <v>30</v>
      </c>
      <c r="AE32" s="2" t="s">
        <v>570</v>
      </c>
      <c r="AF32" s="19" t="s">
        <v>714</v>
      </c>
      <c r="AG32" s="2" t="s">
        <v>570</v>
      </c>
      <c r="AH32" s="2" t="s">
        <v>570</v>
      </c>
      <c r="AI32" s="2" t="s">
        <v>570</v>
      </c>
      <c r="AJ32" s="2" t="s">
        <v>570</v>
      </c>
      <c r="AK32" s="19" t="s">
        <v>714</v>
      </c>
      <c r="AL32" s="49" t="s">
        <v>1027</v>
      </c>
      <c r="AM32" s="2" t="s">
        <v>570</v>
      </c>
      <c r="AN32" s="2" t="s">
        <v>570</v>
      </c>
      <c r="AO32" s="19" t="s">
        <v>194</v>
      </c>
      <c r="AP32" s="2" t="s">
        <v>570</v>
      </c>
      <c r="AQ32" s="2" t="s">
        <v>570</v>
      </c>
      <c r="AR32" s="2" t="s">
        <v>570</v>
      </c>
      <c r="AS32" s="7">
        <v>4.5278450363196097</v>
      </c>
      <c r="AT32" s="7">
        <v>0.65375302668039037</v>
      </c>
      <c r="AU32" s="7">
        <f t="shared" si="1"/>
        <v>3.580752797501265</v>
      </c>
      <c r="AV32" s="2" t="s">
        <v>570</v>
      </c>
      <c r="AW32" s="2" t="s">
        <v>570</v>
      </c>
      <c r="AX32" s="2" t="s">
        <v>570</v>
      </c>
      <c r="AY32" s="7">
        <v>4.4552058111380104</v>
      </c>
      <c r="AZ32" s="7">
        <v>0.75060532686198922</v>
      </c>
      <c r="BA32" s="7">
        <f t="shared" si="2"/>
        <v>4.1112346930584991</v>
      </c>
      <c r="BC32" s="2" t="s">
        <v>457</v>
      </c>
      <c r="BD32" s="2" t="s">
        <v>570</v>
      </c>
      <c r="BE32" s="2" t="s">
        <v>570</v>
      </c>
      <c r="BF32" s="2" t="s">
        <v>570</v>
      </c>
    </row>
    <row r="33" spans="1:58" s="2" customFormat="1" ht="51">
      <c r="A33" s="2" t="s">
        <v>399</v>
      </c>
      <c r="B33" s="2" t="s">
        <v>508</v>
      </c>
      <c r="C33" s="2" t="s">
        <v>478</v>
      </c>
      <c r="D33" s="2" t="s">
        <v>479</v>
      </c>
      <c r="E33" s="2" t="s">
        <v>480</v>
      </c>
      <c r="F33" s="2" t="s">
        <v>481</v>
      </c>
      <c r="G33" s="2" t="s">
        <v>570</v>
      </c>
      <c r="H33" s="2" t="s">
        <v>570</v>
      </c>
      <c r="I33" s="2" t="s">
        <v>570</v>
      </c>
      <c r="J33" s="2">
        <v>0</v>
      </c>
      <c r="K33" s="2" t="s">
        <v>570</v>
      </c>
      <c r="L33" s="2" t="s">
        <v>570</v>
      </c>
      <c r="M33" s="2" t="s">
        <v>482</v>
      </c>
      <c r="N33" s="2" t="s">
        <v>483</v>
      </c>
      <c r="O33" s="2">
        <v>2012</v>
      </c>
      <c r="P33" s="2" t="s">
        <v>570</v>
      </c>
      <c r="Q33" s="18" t="s">
        <v>328</v>
      </c>
      <c r="R33" s="2" t="s">
        <v>55</v>
      </c>
      <c r="S33" s="2" t="s">
        <v>570</v>
      </c>
      <c r="T33" s="2" t="s">
        <v>570</v>
      </c>
      <c r="U33" s="2" t="s">
        <v>570</v>
      </c>
      <c r="V33" s="2" t="s">
        <v>329</v>
      </c>
      <c r="W33" s="19" t="s">
        <v>330</v>
      </c>
      <c r="X33" s="19" t="s">
        <v>14</v>
      </c>
      <c r="Y33" s="2">
        <v>32</v>
      </c>
      <c r="Z33" s="2" t="s">
        <v>331</v>
      </c>
      <c r="AA33" s="2" t="s">
        <v>570</v>
      </c>
      <c r="AB33" s="2">
        <f t="shared" si="3"/>
        <v>30</v>
      </c>
      <c r="AC33" s="2">
        <f t="shared" si="3"/>
        <v>30</v>
      </c>
      <c r="AE33" s="2" t="s">
        <v>570</v>
      </c>
      <c r="AF33" s="19" t="s">
        <v>714</v>
      </c>
      <c r="AG33" s="2" t="s">
        <v>570</v>
      </c>
      <c r="AH33" s="2" t="s">
        <v>570</v>
      </c>
      <c r="AI33" s="2" t="s">
        <v>570</v>
      </c>
      <c r="AJ33" s="2" t="s">
        <v>570</v>
      </c>
      <c r="AK33" s="19" t="s">
        <v>714</v>
      </c>
      <c r="AL33" s="49" t="s">
        <v>1027</v>
      </c>
      <c r="AM33" s="2" t="s">
        <v>570</v>
      </c>
      <c r="AN33" s="2" t="s">
        <v>570</v>
      </c>
      <c r="AO33" s="19" t="s">
        <v>194</v>
      </c>
      <c r="AP33" s="2" t="s">
        <v>570</v>
      </c>
      <c r="AQ33" s="2" t="s">
        <v>570</v>
      </c>
      <c r="AR33" s="2" t="s">
        <v>570</v>
      </c>
      <c r="AS33" s="7">
        <v>1.2106537530266299</v>
      </c>
      <c r="AT33" s="7">
        <v>0.33898305097337</v>
      </c>
      <c r="AU33" s="7">
        <f t="shared" si="1"/>
        <v>1.8566866363003831</v>
      </c>
      <c r="AV33" s="2" t="s">
        <v>570</v>
      </c>
      <c r="AW33" s="2" t="s">
        <v>570</v>
      </c>
      <c r="AX33" s="2" t="s">
        <v>570</v>
      </c>
      <c r="AY33" s="7">
        <v>1.88861985472154</v>
      </c>
      <c r="AZ33" s="7">
        <v>0.4600484262784601</v>
      </c>
      <c r="BA33" s="7">
        <f t="shared" si="2"/>
        <v>2.5197890061746504</v>
      </c>
      <c r="BC33" s="2" t="s">
        <v>457</v>
      </c>
      <c r="BD33" s="2" t="s">
        <v>570</v>
      </c>
      <c r="BE33" s="2" t="s">
        <v>570</v>
      </c>
      <c r="BF33" s="2" t="s">
        <v>570</v>
      </c>
    </row>
    <row r="34" spans="1:58" s="2" customFormat="1" ht="51">
      <c r="A34" s="2" t="s">
        <v>399</v>
      </c>
      <c r="B34" s="2" t="s">
        <v>508</v>
      </c>
      <c r="C34" s="2" t="s">
        <v>478</v>
      </c>
      <c r="D34" s="2" t="s">
        <v>479</v>
      </c>
      <c r="E34" s="2" t="s">
        <v>480</v>
      </c>
      <c r="F34" s="2" t="s">
        <v>481</v>
      </c>
      <c r="G34" s="2" t="s">
        <v>570</v>
      </c>
      <c r="H34" s="2" t="s">
        <v>570</v>
      </c>
      <c r="I34" s="2" t="s">
        <v>570</v>
      </c>
      <c r="J34" s="2">
        <v>0</v>
      </c>
      <c r="K34" s="2" t="s">
        <v>570</v>
      </c>
      <c r="L34" s="2" t="s">
        <v>570</v>
      </c>
      <c r="M34" s="2" t="s">
        <v>482</v>
      </c>
      <c r="N34" s="2" t="s">
        <v>483</v>
      </c>
      <c r="O34" s="2">
        <v>2012</v>
      </c>
      <c r="P34" s="2" t="s">
        <v>570</v>
      </c>
      <c r="Q34" s="18" t="s">
        <v>328</v>
      </c>
      <c r="R34" s="2" t="s">
        <v>55</v>
      </c>
      <c r="S34" s="2" t="s">
        <v>570</v>
      </c>
      <c r="T34" s="2" t="s">
        <v>570</v>
      </c>
      <c r="U34" s="2" t="s">
        <v>570</v>
      </c>
      <c r="V34" s="2" t="s">
        <v>329</v>
      </c>
      <c r="W34" s="19" t="s">
        <v>330</v>
      </c>
      <c r="X34" s="19" t="s">
        <v>14</v>
      </c>
      <c r="Y34" s="2">
        <v>33</v>
      </c>
      <c r="Z34" s="2" t="s">
        <v>331</v>
      </c>
      <c r="AA34" s="2" t="s">
        <v>570</v>
      </c>
      <c r="AB34" s="2">
        <f t="shared" si="3"/>
        <v>30</v>
      </c>
      <c r="AC34" s="2">
        <f t="shared" si="3"/>
        <v>30</v>
      </c>
      <c r="AE34" s="2" t="s">
        <v>570</v>
      </c>
      <c r="AF34" s="19" t="s">
        <v>714</v>
      </c>
      <c r="AG34" s="2" t="s">
        <v>570</v>
      </c>
      <c r="AH34" s="2" t="s">
        <v>570</v>
      </c>
      <c r="AI34" s="2" t="s">
        <v>570</v>
      </c>
      <c r="AJ34" s="2" t="s">
        <v>570</v>
      </c>
      <c r="AK34" s="19" t="s">
        <v>714</v>
      </c>
      <c r="AL34" s="49" t="s">
        <v>1027</v>
      </c>
      <c r="AM34" s="2" t="s">
        <v>570</v>
      </c>
      <c r="AN34" s="2" t="s">
        <v>570</v>
      </c>
      <c r="AO34" s="19" t="s">
        <v>194</v>
      </c>
      <c r="AP34" s="2" t="s">
        <v>570</v>
      </c>
      <c r="AQ34" s="2" t="s">
        <v>570</v>
      </c>
      <c r="AR34" s="2" t="s">
        <v>570</v>
      </c>
      <c r="AS34" s="7">
        <v>0.96852300242130795</v>
      </c>
      <c r="AT34" s="7">
        <v>0.33898305057869205</v>
      </c>
      <c r="AU34" s="7">
        <f t="shared" ref="AU34:AU65" si="4">AT34*SQRT(AB34)</f>
        <v>1.856686634138643</v>
      </c>
      <c r="AV34" s="2" t="s">
        <v>570</v>
      </c>
      <c r="AW34" s="2" t="s">
        <v>570</v>
      </c>
      <c r="AX34" s="2" t="s">
        <v>570</v>
      </c>
      <c r="AY34" s="7">
        <v>1.88861985472154</v>
      </c>
      <c r="AZ34" s="7">
        <v>0.55690072627845977</v>
      </c>
      <c r="BA34" s="7">
        <f t="shared" ref="BA34:BA65" si="5">AZ34*SQRT(AC34)</f>
        <v>3.0502709007372246</v>
      </c>
      <c r="BC34" s="2" t="s">
        <v>785</v>
      </c>
      <c r="BD34" s="2" t="s">
        <v>570</v>
      </c>
      <c r="BE34" s="2" t="s">
        <v>570</v>
      </c>
      <c r="BF34" s="2" t="s">
        <v>570</v>
      </c>
    </row>
    <row r="35" spans="1:58" s="2" customFormat="1" ht="51">
      <c r="A35" s="2" t="s">
        <v>399</v>
      </c>
      <c r="B35" s="2" t="s">
        <v>508</v>
      </c>
      <c r="C35" s="2" t="s">
        <v>478</v>
      </c>
      <c r="D35" s="2" t="s">
        <v>479</v>
      </c>
      <c r="E35" s="2" t="s">
        <v>480</v>
      </c>
      <c r="F35" s="2" t="s">
        <v>481</v>
      </c>
      <c r="G35" s="2" t="s">
        <v>570</v>
      </c>
      <c r="H35" s="2" t="s">
        <v>570</v>
      </c>
      <c r="I35" s="2" t="s">
        <v>570</v>
      </c>
      <c r="J35" s="2">
        <v>0</v>
      </c>
      <c r="K35" s="2" t="s">
        <v>570</v>
      </c>
      <c r="L35" s="2" t="s">
        <v>570</v>
      </c>
      <c r="M35" s="2" t="s">
        <v>482</v>
      </c>
      <c r="N35" s="2" t="s">
        <v>483</v>
      </c>
      <c r="O35" s="2">
        <v>2012</v>
      </c>
      <c r="P35" s="2" t="s">
        <v>570</v>
      </c>
      <c r="Q35" s="18" t="s">
        <v>328</v>
      </c>
      <c r="R35" s="2" t="s">
        <v>55</v>
      </c>
      <c r="S35" s="2" t="s">
        <v>570</v>
      </c>
      <c r="T35" s="2" t="s">
        <v>570</v>
      </c>
      <c r="U35" s="2" t="s">
        <v>570</v>
      </c>
      <c r="V35" s="2" t="s">
        <v>329</v>
      </c>
      <c r="W35" s="19" t="s">
        <v>330</v>
      </c>
      <c r="X35" s="19" t="s">
        <v>14</v>
      </c>
      <c r="Y35" s="2">
        <v>34</v>
      </c>
      <c r="Z35" s="2" t="s">
        <v>331</v>
      </c>
      <c r="AA35" s="2" t="s">
        <v>570</v>
      </c>
      <c r="AB35" s="2">
        <f t="shared" si="3"/>
        <v>30</v>
      </c>
      <c r="AC35" s="2">
        <f t="shared" si="3"/>
        <v>30</v>
      </c>
      <c r="AE35" s="2" t="s">
        <v>570</v>
      </c>
      <c r="AF35" s="19" t="s">
        <v>714</v>
      </c>
      <c r="AG35" s="2" t="s">
        <v>570</v>
      </c>
      <c r="AH35" s="2" t="s">
        <v>570</v>
      </c>
      <c r="AI35" s="2" t="s">
        <v>570</v>
      </c>
      <c r="AJ35" s="2" t="s">
        <v>570</v>
      </c>
      <c r="AK35" s="19" t="s">
        <v>714</v>
      </c>
      <c r="AL35" s="49" t="s">
        <v>1027</v>
      </c>
      <c r="AM35" s="2" t="s">
        <v>570</v>
      </c>
      <c r="AN35" s="2" t="s">
        <v>570</v>
      </c>
      <c r="AO35" s="19" t="s">
        <v>194</v>
      </c>
      <c r="AP35" s="2" t="s">
        <v>570</v>
      </c>
      <c r="AQ35" s="2" t="s">
        <v>570</v>
      </c>
      <c r="AR35" s="2" t="s">
        <v>570</v>
      </c>
      <c r="AS35" s="7">
        <v>1.2106537530266299</v>
      </c>
      <c r="AT35" s="7">
        <v>0.55690072597337004</v>
      </c>
      <c r="AU35" s="7">
        <f t="shared" si="4"/>
        <v>3.0502708990661791</v>
      </c>
      <c r="AV35" s="2" t="s">
        <v>570</v>
      </c>
      <c r="AW35" s="2" t="s">
        <v>570</v>
      </c>
      <c r="AX35" s="2" t="s">
        <v>570</v>
      </c>
      <c r="AY35" s="7">
        <v>2.9539951573849801</v>
      </c>
      <c r="AZ35" s="7">
        <v>0.58111380161501991</v>
      </c>
      <c r="BA35" s="7">
        <f t="shared" si="5"/>
        <v>3.1828913762212845</v>
      </c>
      <c r="BC35" s="2" t="s">
        <v>785</v>
      </c>
      <c r="BD35" s="2" t="s">
        <v>570</v>
      </c>
      <c r="BE35" s="2" t="s">
        <v>570</v>
      </c>
      <c r="BF35" s="2" t="s">
        <v>570</v>
      </c>
    </row>
    <row r="36" spans="1:58" s="2" customFormat="1" ht="51">
      <c r="A36" s="2" t="s">
        <v>399</v>
      </c>
      <c r="B36" s="2" t="s">
        <v>508</v>
      </c>
      <c r="C36" s="2" t="s">
        <v>478</v>
      </c>
      <c r="D36" s="2" t="s">
        <v>479</v>
      </c>
      <c r="E36" s="2" t="s">
        <v>480</v>
      </c>
      <c r="F36" s="2" t="s">
        <v>481</v>
      </c>
      <c r="G36" s="2" t="s">
        <v>570</v>
      </c>
      <c r="H36" s="2" t="s">
        <v>570</v>
      </c>
      <c r="I36" s="2" t="s">
        <v>570</v>
      </c>
      <c r="J36" s="2">
        <v>0</v>
      </c>
      <c r="K36" s="2" t="s">
        <v>570</v>
      </c>
      <c r="L36" s="2" t="s">
        <v>570</v>
      </c>
      <c r="M36" s="2" t="s">
        <v>482</v>
      </c>
      <c r="N36" s="2" t="s">
        <v>483</v>
      </c>
      <c r="O36" s="2">
        <v>2012</v>
      </c>
      <c r="P36" s="2" t="s">
        <v>570</v>
      </c>
      <c r="Q36" s="18" t="s">
        <v>328</v>
      </c>
      <c r="R36" s="2" t="s">
        <v>55</v>
      </c>
      <c r="S36" s="2" t="s">
        <v>570</v>
      </c>
      <c r="T36" s="2" t="s">
        <v>570</v>
      </c>
      <c r="U36" s="2" t="s">
        <v>570</v>
      </c>
      <c r="V36" s="2" t="s">
        <v>623</v>
      </c>
      <c r="W36" s="19" t="s">
        <v>338</v>
      </c>
      <c r="X36" s="19" t="s">
        <v>14</v>
      </c>
      <c r="Y36" s="2">
        <v>35</v>
      </c>
      <c r="Z36" s="2" t="s">
        <v>331</v>
      </c>
      <c r="AA36" s="2" t="s">
        <v>570</v>
      </c>
      <c r="AB36" s="2">
        <f t="shared" si="3"/>
        <v>30</v>
      </c>
      <c r="AC36" s="2">
        <f t="shared" si="3"/>
        <v>30</v>
      </c>
      <c r="AE36" s="2" t="s">
        <v>570</v>
      </c>
      <c r="AF36" s="19" t="s">
        <v>714</v>
      </c>
      <c r="AG36" s="2" t="s">
        <v>570</v>
      </c>
      <c r="AH36" s="2" t="s">
        <v>570</v>
      </c>
      <c r="AI36" s="2" t="s">
        <v>570</v>
      </c>
      <c r="AJ36" s="2" t="s">
        <v>570</v>
      </c>
      <c r="AK36" s="19" t="s">
        <v>714</v>
      </c>
      <c r="AL36" s="49" t="s">
        <v>1027</v>
      </c>
      <c r="AM36" s="2" t="s">
        <v>570</v>
      </c>
      <c r="AN36" s="2" t="s">
        <v>570</v>
      </c>
      <c r="AO36" s="19" t="s">
        <v>339</v>
      </c>
      <c r="AP36" s="2" t="s">
        <v>570</v>
      </c>
      <c r="AQ36" s="2" t="s">
        <v>570</v>
      </c>
      <c r="AR36" s="2" t="s">
        <v>570</v>
      </c>
      <c r="AS36" s="7">
        <v>1.2590799031477</v>
      </c>
      <c r="AT36" s="7">
        <v>0.26634382585229988</v>
      </c>
      <c r="AU36" s="7">
        <f t="shared" si="4"/>
        <v>1.4588252147153227</v>
      </c>
      <c r="AV36" s="2" t="s">
        <v>570</v>
      </c>
      <c r="AW36" s="2" t="s">
        <v>570</v>
      </c>
      <c r="AX36" s="2" t="s">
        <v>570</v>
      </c>
      <c r="AY36" s="7">
        <v>3.84987893462469</v>
      </c>
      <c r="AZ36" s="7">
        <v>0.72639225137530961</v>
      </c>
      <c r="BA36" s="7">
        <f t="shared" si="5"/>
        <v>3.9786142167522009</v>
      </c>
      <c r="BC36" s="2" t="s">
        <v>785</v>
      </c>
      <c r="BD36" s="2" t="s">
        <v>570</v>
      </c>
      <c r="BE36" s="2" t="s">
        <v>570</v>
      </c>
      <c r="BF36" s="2" t="s">
        <v>570</v>
      </c>
    </row>
    <row r="37" spans="1:58" s="2" customFormat="1" ht="51">
      <c r="A37" s="2" t="s">
        <v>399</v>
      </c>
      <c r="B37" s="2" t="s">
        <v>508</v>
      </c>
      <c r="C37" s="2" t="s">
        <v>478</v>
      </c>
      <c r="D37" s="2" t="s">
        <v>479</v>
      </c>
      <c r="E37" s="2" t="s">
        <v>480</v>
      </c>
      <c r="F37" s="2" t="s">
        <v>481</v>
      </c>
      <c r="G37" s="2" t="s">
        <v>570</v>
      </c>
      <c r="H37" s="2" t="s">
        <v>570</v>
      </c>
      <c r="I37" s="2" t="s">
        <v>570</v>
      </c>
      <c r="J37" s="2">
        <v>0</v>
      </c>
      <c r="K37" s="2" t="s">
        <v>570</v>
      </c>
      <c r="L37" s="2" t="s">
        <v>570</v>
      </c>
      <c r="M37" s="2" t="s">
        <v>482</v>
      </c>
      <c r="N37" s="2" t="s">
        <v>483</v>
      </c>
      <c r="O37" s="2">
        <v>2012</v>
      </c>
      <c r="P37" s="2" t="s">
        <v>570</v>
      </c>
      <c r="Q37" s="18" t="s">
        <v>328</v>
      </c>
      <c r="R37" s="2" t="s">
        <v>55</v>
      </c>
      <c r="S37" s="2" t="s">
        <v>570</v>
      </c>
      <c r="T37" s="2" t="s">
        <v>570</v>
      </c>
      <c r="U37" s="2" t="s">
        <v>570</v>
      </c>
      <c r="V37" s="2" t="s">
        <v>623</v>
      </c>
      <c r="W37" s="19" t="s">
        <v>338</v>
      </c>
      <c r="X37" s="19" t="s">
        <v>14</v>
      </c>
      <c r="Y37" s="2">
        <v>36</v>
      </c>
      <c r="Z37" s="2" t="s">
        <v>331</v>
      </c>
      <c r="AA37" s="2" t="s">
        <v>570</v>
      </c>
      <c r="AB37" s="2">
        <f t="shared" si="3"/>
        <v>30</v>
      </c>
      <c r="AC37" s="2">
        <f t="shared" si="3"/>
        <v>30</v>
      </c>
      <c r="AE37" s="2" t="s">
        <v>570</v>
      </c>
      <c r="AF37" s="19" t="s">
        <v>714</v>
      </c>
      <c r="AG37" s="2" t="s">
        <v>570</v>
      </c>
      <c r="AH37" s="2" t="s">
        <v>570</v>
      </c>
      <c r="AI37" s="2" t="s">
        <v>570</v>
      </c>
      <c r="AJ37" s="2" t="s">
        <v>570</v>
      </c>
      <c r="AK37" s="19" t="s">
        <v>714</v>
      </c>
      <c r="AL37" s="49" t="s">
        <v>1027</v>
      </c>
      <c r="AM37" s="2" t="s">
        <v>570</v>
      </c>
      <c r="AN37" s="2" t="s">
        <v>570</v>
      </c>
      <c r="AO37" s="19" t="s">
        <v>339</v>
      </c>
      <c r="AP37" s="2" t="s">
        <v>570</v>
      </c>
      <c r="AQ37" s="2" t="s">
        <v>570</v>
      </c>
      <c r="AR37" s="2" t="s">
        <v>570</v>
      </c>
      <c r="AS37" s="7">
        <v>1.0653753026634301</v>
      </c>
      <c r="AT37" s="7">
        <v>0.29055690033657</v>
      </c>
      <c r="AU37" s="7">
        <f t="shared" si="4"/>
        <v>1.5914456855311978</v>
      </c>
      <c r="AV37" s="2" t="s">
        <v>570</v>
      </c>
      <c r="AW37" s="2" t="s">
        <v>570</v>
      </c>
      <c r="AX37" s="2" t="s">
        <v>570</v>
      </c>
      <c r="AY37" s="7">
        <v>4.6246973365617396</v>
      </c>
      <c r="AZ37" s="7">
        <v>0.7748184014382602</v>
      </c>
      <c r="BA37" s="7">
        <f t="shared" si="5"/>
        <v>4.2438551643782834</v>
      </c>
      <c r="BC37" s="2" t="s">
        <v>785</v>
      </c>
      <c r="BD37" s="2" t="s">
        <v>570</v>
      </c>
      <c r="BE37" s="2" t="s">
        <v>570</v>
      </c>
      <c r="BF37" s="2" t="s">
        <v>570</v>
      </c>
    </row>
    <row r="38" spans="1:58" s="2" customFormat="1" ht="51">
      <c r="A38" s="2" t="s">
        <v>399</v>
      </c>
      <c r="B38" s="2" t="s">
        <v>508</v>
      </c>
      <c r="C38" s="2" t="s">
        <v>478</v>
      </c>
      <c r="D38" s="2" t="s">
        <v>479</v>
      </c>
      <c r="E38" s="2" t="s">
        <v>480</v>
      </c>
      <c r="F38" s="2" t="s">
        <v>481</v>
      </c>
      <c r="G38" s="2" t="s">
        <v>570</v>
      </c>
      <c r="H38" s="2" t="s">
        <v>570</v>
      </c>
      <c r="I38" s="2" t="s">
        <v>570</v>
      </c>
      <c r="J38" s="2">
        <v>0</v>
      </c>
      <c r="K38" s="2" t="s">
        <v>570</v>
      </c>
      <c r="L38" s="2" t="s">
        <v>570</v>
      </c>
      <c r="M38" s="2" t="s">
        <v>482</v>
      </c>
      <c r="N38" s="2" t="s">
        <v>483</v>
      </c>
      <c r="O38" s="2">
        <v>2012</v>
      </c>
      <c r="P38" s="2" t="s">
        <v>570</v>
      </c>
      <c r="Q38" s="18" t="s">
        <v>328</v>
      </c>
      <c r="R38" s="2" t="s">
        <v>55</v>
      </c>
      <c r="S38" s="2" t="s">
        <v>570</v>
      </c>
      <c r="T38" s="2" t="s">
        <v>570</v>
      </c>
      <c r="U38" s="2" t="s">
        <v>570</v>
      </c>
      <c r="V38" s="2" t="s">
        <v>623</v>
      </c>
      <c r="W38" s="19" t="s">
        <v>338</v>
      </c>
      <c r="X38" s="19" t="s">
        <v>14</v>
      </c>
      <c r="Y38" s="2">
        <v>37</v>
      </c>
      <c r="Z38" s="2" t="s">
        <v>331</v>
      </c>
      <c r="AA38" s="2" t="s">
        <v>570</v>
      </c>
      <c r="AB38" s="2">
        <f t="shared" si="3"/>
        <v>30</v>
      </c>
      <c r="AC38" s="2">
        <f t="shared" si="3"/>
        <v>30</v>
      </c>
      <c r="AE38" s="2" t="s">
        <v>570</v>
      </c>
      <c r="AF38" s="19" t="s">
        <v>714</v>
      </c>
      <c r="AG38" s="2" t="s">
        <v>570</v>
      </c>
      <c r="AH38" s="2" t="s">
        <v>570</v>
      </c>
      <c r="AI38" s="2" t="s">
        <v>570</v>
      </c>
      <c r="AJ38" s="2" t="s">
        <v>570</v>
      </c>
      <c r="AK38" s="19" t="s">
        <v>714</v>
      </c>
      <c r="AL38" s="49" t="s">
        <v>1027</v>
      </c>
      <c r="AM38" s="2" t="s">
        <v>570</v>
      </c>
      <c r="AN38" s="2" t="s">
        <v>570</v>
      </c>
      <c r="AO38" s="19" t="s">
        <v>339</v>
      </c>
      <c r="AP38" s="2" t="s">
        <v>570</v>
      </c>
      <c r="AQ38" s="2" t="s">
        <v>570</v>
      </c>
      <c r="AR38" s="2" t="s">
        <v>570</v>
      </c>
      <c r="AS38" s="7">
        <v>1.3075060532687599</v>
      </c>
      <c r="AT38" s="7">
        <v>0.26634382573124005</v>
      </c>
      <c r="AU38" s="7">
        <f t="shared" si="4"/>
        <v>1.4588252140522506</v>
      </c>
      <c r="AV38" s="2" t="s">
        <v>570</v>
      </c>
      <c r="AW38" s="2" t="s">
        <v>570</v>
      </c>
      <c r="AX38" s="2" t="s">
        <v>570</v>
      </c>
      <c r="AY38" s="7">
        <v>4.4552058111380104</v>
      </c>
      <c r="AZ38" s="7">
        <v>0.75060532686198922</v>
      </c>
      <c r="BA38" s="7">
        <f t="shared" si="5"/>
        <v>4.1112346930584991</v>
      </c>
      <c r="BC38" s="2" t="s">
        <v>785</v>
      </c>
      <c r="BD38" s="2" t="s">
        <v>570</v>
      </c>
      <c r="BE38" s="2" t="s">
        <v>570</v>
      </c>
      <c r="BF38" s="2" t="s">
        <v>570</v>
      </c>
    </row>
    <row r="39" spans="1:58" s="2" customFormat="1" ht="51">
      <c r="A39" s="2" t="s">
        <v>399</v>
      </c>
      <c r="B39" s="2" t="s">
        <v>508</v>
      </c>
      <c r="C39" s="2" t="s">
        <v>478</v>
      </c>
      <c r="D39" s="2" t="s">
        <v>479</v>
      </c>
      <c r="E39" s="2" t="s">
        <v>480</v>
      </c>
      <c r="F39" s="2" t="s">
        <v>481</v>
      </c>
      <c r="G39" s="2" t="s">
        <v>570</v>
      </c>
      <c r="H39" s="2" t="s">
        <v>570</v>
      </c>
      <c r="I39" s="2" t="s">
        <v>570</v>
      </c>
      <c r="J39" s="2">
        <v>0</v>
      </c>
      <c r="K39" s="2" t="s">
        <v>570</v>
      </c>
      <c r="L39" s="2" t="s">
        <v>570</v>
      </c>
      <c r="M39" s="2" t="s">
        <v>482</v>
      </c>
      <c r="N39" s="2" t="s">
        <v>483</v>
      </c>
      <c r="O39" s="2">
        <v>2012</v>
      </c>
      <c r="P39" s="2" t="s">
        <v>570</v>
      </c>
      <c r="Q39" s="18" t="s">
        <v>328</v>
      </c>
      <c r="R39" s="2" t="s">
        <v>55</v>
      </c>
      <c r="S39" s="2" t="s">
        <v>570</v>
      </c>
      <c r="T39" s="2" t="s">
        <v>570</v>
      </c>
      <c r="U39" s="2" t="s">
        <v>570</v>
      </c>
      <c r="V39" s="2" t="s">
        <v>623</v>
      </c>
      <c r="W39" s="19" t="s">
        <v>338</v>
      </c>
      <c r="X39" s="19" t="s">
        <v>14</v>
      </c>
      <c r="Y39" s="2">
        <v>38</v>
      </c>
      <c r="Z39" s="2" t="s">
        <v>331</v>
      </c>
      <c r="AA39" s="2" t="s">
        <v>570</v>
      </c>
      <c r="AB39" s="2">
        <f t="shared" si="3"/>
        <v>30</v>
      </c>
      <c r="AC39" s="2">
        <f t="shared" si="3"/>
        <v>30</v>
      </c>
      <c r="AE39" s="2" t="s">
        <v>570</v>
      </c>
      <c r="AF39" s="19" t="s">
        <v>714</v>
      </c>
      <c r="AG39" s="2" t="s">
        <v>570</v>
      </c>
      <c r="AH39" s="2" t="s">
        <v>570</v>
      </c>
      <c r="AI39" s="2" t="s">
        <v>570</v>
      </c>
      <c r="AJ39" s="2" t="s">
        <v>570</v>
      </c>
      <c r="AK39" s="19" t="s">
        <v>714</v>
      </c>
      <c r="AL39" s="49" t="s">
        <v>1027</v>
      </c>
      <c r="AM39" s="2" t="s">
        <v>570</v>
      </c>
      <c r="AN39" s="2" t="s">
        <v>570</v>
      </c>
      <c r="AO39" s="19" t="s">
        <v>339</v>
      </c>
      <c r="AP39" s="2" t="s">
        <v>570</v>
      </c>
      <c r="AQ39" s="2" t="s">
        <v>570</v>
      </c>
      <c r="AR39" s="2" t="s">
        <v>570</v>
      </c>
      <c r="AS39" s="7">
        <v>0.55690072639225296</v>
      </c>
      <c r="AT39" s="7">
        <v>0.19370460060774708</v>
      </c>
      <c r="AU39" s="7">
        <f t="shared" si="4"/>
        <v>1.0609637924539199</v>
      </c>
      <c r="AV39" s="2" t="s">
        <v>570</v>
      </c>
      <c r="AW39" s="2" t="s">
        <v>570</v>
      </c>
      <c r="AX39" s="2" t="s">
        <v>570</v>
      </c>
      <c r="AY39" s="7">
        <v>1.88861985472154</v>
      </c>
      <c r="AZ39" s="7">
        <v>0.4600484262784601</v>
      </c>
      <c r="BA39" s="7">
        <f t="shared" si="5"/>
        <v>2.5197890061746504</v>
      </c>
      <c r="BC39" s="2" t="s">
        <v>785</v>
      </c>
      <c r="BD39" s="2" t="s">
        <v>570</v>
      </c>
      <c r="BE39" s="2" t="s">
        <v>570</v>
      </c>
      <c r="BF39" s="2" t="s">
        <v>570</v>
      </c>
    </row>
    <row r="40" spans="1:58" s="2" customFormat="1" ht="51">
      <c r="A40" s="2" t="s">
        <v>399</v>
      </c>
      <c r="B40" s="2" t="s">
        <v>508</v>
      </c>
      <c r="C40" s="2" t="s">
        <v>478</v>
      </c>
      <c r="D40" s="2" t="s">
        <v>479</v>
      </c>
      <c r="E40" s="2" t="s">
        <v>480</v>
      </c>
      <c r="F40" s="2" t="s">
        <v>481</v>
      </c>
      <c r="G40" s="2" t="s">
        <v>570</v>
      </c>
      <c r="H40" s="2" t="s">
        <v>570</v>
      </c>
      <c r="I40" s="2" t="s">
        <v>570</v>
      </c>
      <c r="J40" s="2">
        <v>0</v>
      </c>
      <c r="K40" s="2" t="s">
        <v>570</v>
      </c>
      <c r="L40" s="2" t="s">
        <v>570</v>
      </c>
      <c r="M40" s="2" t="s">
        <v>482</v>
      </c>
      <c r="N40" s="2" t="s">
        <v>483</v>
      </c>
      <c r="O40" s="2">
        <v>2012</v>
      </c>
      <c r="P40" s="2" t="s">
        <v>570</v>
      </c>
      <c r="Q40" s="18" t="s">
        <v>328</v>
      </c>
      <c r="R40" s="2" t="s">
        <v>55</v>
      </c>
      <c r="S40" s="2" t="s">
        <v>570</v>
      </c>
      <c r="T40" s="2" t="s">
        <v>570</v>
      </c>
      <c r="U40" s="2" t="s">
        <v>570</v>
      </c>
      <c r="V40" s="2" t="s">
        <v>623</v>
      </c>
      <c r="W40" s="19" t="s">
        <v>338</v>
      </c>
      <c r="X40" s="19" t="s">
        <v>14</v>
      </c>
      <c r="Y40" s="2">
        <v>39</v>
      </c>
      <c r="Z40" s="2" t="s">
        <v>331</v>
      </c>
      <c r="AA40" s="2" t="s">
        <v>570</v>
      </c>
      <c r="AB40" s="2">
        <f t="shared" si="3"/>
        <v>30</v>
      </c>
      <c r="AC40" s="2">
        <f t="shared" si="3"/>
        <v>30</v>
      </c>
      <c r="AE40" s="2" t="s">
        <v>570</v>
      </c>
      <c r="AF40" s="19" t="s">
        <v>714</v>
      </c>
      <c r="AG40" s="2" t="s">
        <v>570</v>
      </c>
      <c r="AH40" s="2" t="s">
        <v>570</v>
      </c>
      <c r="AI40" s="2" t="s">
        <v>570</v>
      </c>
      <c r="AJ40" s="2" t="s">
        <v>570</v>
      </c>
      <c r="AK40" s="19" t="s">
        <v>714</v>
      </c>
      <c r="AL40" s="49" t="s">
        <v>1027</v>
      </c>
      <c r="AM40" s="2" t="s">
        <v>570</v>
      </c>
      <c r="AN40" s="2" t="s">
        <v>570</v>
      </c>
      <c r="AO40" s="19" t="s">
        <v>339</v>
      </c>
      <c r="AP40" s="2" t="s">
        <v>570</v>
      </c>
      <c r="AQ40" s="2" t="s">
        <v>570</v>
      </c>
      <c r="AR40" s="2" t="s">
        <v>570</v>
      </c>
      <c r="AS40" s="7">
        <v>0.65375302663438195</v>
      </c>
      <c r="AT40" s="7">
        <v>0.1937046003656181</v>
      </c>
      <c r="AU40" s="7">
        <f t="shared" si="4"/>
        <v>1.0609637911277248</v>
      </c>
      <c r="AV40" s="2" t="s">
        <v>570</v>
      </c>
      <c r="AW40" s="2" t="s">
        <v>570</v>
      </c>
      <c r="AX40" s="2" t="s">
        <v>570</v>
      </c>
      <c r="AY40" s="7">
        <v>1.88861985472154</v>
      </c>
      <c r="AZ40" s="7">
        <v>0.55690072627845977</v>
      </c>
      <c r="BA40" s="7">
        <f t="shared" si="5"/>
        <v>3.0502709007372246</v>
      </c>
      <c r="BC40" s="2" t="s">
        <v>785</v>
      </c>
      <c r="BD40" s="2" t="s">
        <v>570</v>
      </c>
      <c r="BE40" s="2" t="s">
        <v>570</v>
      </c>
      <c r="BF40" s="2" t="s">
        <v>570</v>
      </c>
    </row>
    <row r="41" spans="1:58" s="2" customFormat="1" ht="51">
      <c r="A41" s="6" t="s">
        <v>399</v>
      </c>
      <c r="B41" s="6" t="s">
        <v>508</v>
      </c>
      <c r="C41" s="6" t="s">
        <v>478</v>
      </c>
      <c r="D41" s="6" t="s">
        <v>479</v>
      </c>
      <c r="E41" s="6" t="s">
        <v>480</v>
      </c>
      <c r="F41" s="6" t="s">
        <v>481</v>
      </c>
      <c r="G41" s="6" t="s">
        <v>570</v>
      </c>
      <c r="H41" s="6" t="s">
        <v>570</v>
      </c>
      <c r="I41" s="6" t="s">
        <v>570</v>
      </c>
      <c r="J41" s="6">
        <v>0</v>
      </c>
      <c r="K41" s="6" t="s">
        <v>570</v>
      </c>
      <c r="L41" s="6" t="s">
        <v>570</v>
      </c>
      <c r="M41" s="6" t="s">
        <v>482</v>
      </c>
      <c r="N41" s="6" t="s">
        <v>483</v>
      </c>
      <c r="O41" s="6">
        <v>2012</v>
      </c>
      <c r="P41" s="6" t="s">
        <v>570</v>
      </c>
      <c r="Q41" s="21" t="s">
        <v>328</v>
      </c>
      <c r="R41" s="6" t="s">
        <v>55</v>
      </c>
      <c r="S41" s="6" t="s">
        <v>570</v>
      </c>
      <c r="T41" s="6" t="s">
        <v>570</v>
      </c>
      <c r="U41" s="6" t="s">
        <v>570</v>
      </c>
      <c r="V41" s="6" t="s">
        <v>623</v>
      </c>
      <c r="W41" s="15" t="s">
        <v>338</v>
      </c>
      <c r="X41" s="15" t="s">
        <v>14</v>
      </c>
      <c r="Y41" s="6">
        <v>40</v>
      </c>
      <c r="Z41" s="6" t="s">
        <v>331</v>
      </c>
      <c r="AA41" s="6" t="s">
        <v>570</v>
      </c>
      <c r="AB41" s="6">
        <f t="shared" si="3"/>
        <v>30</v>
      </c>
      <c r="AC41" s="6">
        <f t="shared" si="3"/>
        <v>30</v>
      </c>
      <c r="AD41" s="6"/>
      <c r="AE41" s="6" t="s">
        <v>570</v>
      </c>
      <c r="AF41" s="15" t="s">
        <v>714</v>
      </c>
      <c r="AG41" s="6" t="s">
        <v>570</v>
      </c>
      <c r="AH41" s="6" t="s">
        <v>570</v>
      </c>
      <c r="AI41" s="6" t="s">
        <v>570</v>
      </c>
      <c r="AJ41" s="6" t="s">
        <v>570</v>
      </c>
      <c r="AK41" s="15" t="s">
        <v>714</v>
      </c>
      <c r="AL41" s="50" t="s">
        <v>1028</v>
      </c>
      <c r="AM41" s="6" t="s">
        <v>570</v>
      </c>
      <c r="AN41" s="6" t="s">
        <v>570</v>
      </c>
      <c r="AO41" s="15" t="s">
        <v>339</v>
      </c>
      <c r="AP41" s="6" t="s">
        <v>570</v>
      </c>
      <c r="AQ41" s="6" t="s">
        <v>570</v>
      </c>
      <c r="AR41" s="6" t="s">
        <v>570</v>
      </c>
      <c r="AS41" s="8">
        <v>0.46004842615012098</v>
      </c>
      <c r="AT41" s="8">
        <v>0.19370460084987906</v>
      </c>
      <c r="AU41" s="8">
        <f t="shared" si="4"/>
        <v>1.0609637937801313</v>
      </c>
      <c r="AV41" s="6" t="s">
        <v>570</v>
      </c>
      <c r="AW41" s="6" t="s">
        <v>570</v>
      </c>
      <c r="AX41" s="6" t="s">
        <v>570</v>
      </c>
      <c r="AY41" s="8">
        <v>2.9539951573849801</v>
      </c>
      <c r="AZ41" s="8">
        <v>0.58111380161501991</v>
      </c>
      <c r="BA41" s="8">
        <f t="shared" si="5"/>
        <v>3.1828913762212845</v>
      </c>
      <c r="BB41" s="6"/>
      <c r="BC41" s="6" t="s">
        <v>785</v>
      </c>
      <c r="BD41" s="6" t="s">
        <v>570</v>
      </c>
      <c r="BE41" s="6" t="s">
        <v>570</v>
      </c>
      <c r="BF41" s="6" t="s">
        <v>570</v>
      </c>
    </row>
    <row r="42" spans="1:58" s="2" customFormat="1" ht="33">
      <c r="A42" s="2" t="s">
        <v>32</v>
      </c>
      <c r="B42" s="2" t="s">
        <v>508</v>
      </c>
      <c r="C42" s="2" t="s">
        <v>33</v>
      </c>
      <c r="D42" s="2" t="s">
        <v>34</v>
      </c>
      <c r="E42" s="2" t="s">
        <v>35</v>
      </c>
      <c r="F42" s="2" t="s">
        <v>570</v>
      </c>
      <c r="G42" s="2" t="s">
        <v>570</v>
      </c>
      <c r="H42" s="2" t="s">
        <v>570</v>
      </c>
      <c r="I42" s="2" t="s">
        <v>570</v>
      </c>
      <c r="J42" s="2">
        <v>0</v>
      </c>
      <c r="K42" s="2" t="s">
        <v>570</v>
      </c>
      <c r="L42" s="2" t="s">
        <v>570</v>
      </c>
      <c r="M42" s="2" t="s">
        <v>570</v>
      </c>
      <c r="N42" s="2" t="s">
        <v>570</v>
      </c>
      <c r="O42" s="2">
        <v>2012</v>
      </c>
      <c r="Q42" s="18"/>
      <c r="R42" s="2" t="s">
        <v>55</v>
      </c>
      <c r="S42" s="2" t="s">
        <v>284</v>
      </c>
      <c r="T42" s="2" t="s">
        <v>36</v>
      </c>
      <c r="U42" s="2" t="s">
        <v>37</v>
      </c>
      <c r="V42" s="2" t="s">
        <v>738</v>
      </c>
      <c r="W42" s="19" t="s">
        <v>38</v>
      </c>
      <c r="X42" s="19" t="s">
        <v>131</v>
      </c>
      <c r="Y42" s="2" t="s">
        <v>570</v>
      </c>
      <c r="Z42" s="2" t="s">
        <v>39</v>
      </c>
      <c r="AA42" s="2" t="s">
        <v>570</v>
      </c>
      <c r="AB42" s="2">
        <v>4</v>
      </c>
      <c r="AC42" s="2">
        <v>4</v>
      </c>
      <c r="AD42" s="2" t="s">
        <v>570</v>
      </c>
      <c r="AE42" s="2" t="s">
        <v>570</v>
      </c>
      <c r="AF42" s="2" t="s">
        <v>570</v>
      </c>
      <c r="AG42" s="2" t="s">
        <v>570</v>
      </c>
      <c r="AH42" s="2" t="s">
        <v>570</v>
      </c>
      <c r="AI42" s="2" t="s">
        <v>570</v>
      </c>
      <c r="AJ42" s="19" t="s">
        <v>759</v>
      </c>
      <c r="AK42" s="2" t="s">
        <v>570</v>
      </c>
      <c r="AL42" s="2" t="s">
        <v>17</v>
      </c>
      <c r="AM42" s="2" t="s">
        <v>570</v>
      </c>
      <c r="AN42" s="2" t="s">
        <v>570</v>
      </c>
      <c r="AO42" s="2" t="s">
        <v>570</v>
      </c>
      <c r="AP42" s="2" t="s">
        <v>570</v>
      </c>
      <c r="AQ42" s="2" t="s">
        <v>570</v>
      </c>
      <c r="AR42" s="2" t="s">
        <v>570</v>
      </c>
      <c r="AS42" s="7">
        <v>0.22587823461666001</v>
      </c>
      <c r="AT42" s="7">
        <v>5.6048253290736982E-2</v>
      </c>
      <c r="AU42" s="7">
        <f t="shared" si="4"/>
        <v>0.11209650658147396</v>
      </c>
      <c r="AV42" s="2" t="s">
        <v>570</v>
      </c>
      <c r="AW42" s="2" t="s">
        <v>570</v>
      </c>
      <c r="AX42" s="2" t="s">
        <v>570</v>
      </c>
      <c r="AY42" s="7">
        <v>0.44957023599606999</v>
      </c>
      <c r="AZ42" s="7">
        <v>8.4137446401499061E-2</v>
      </c>
      <c r="BA42" s="7">
        <f t="shared" si="5"/>
        <v>0.16827489280299812</v>
      </c>
      <c r="BB42" s="2" t="s">
        <v>570</v>
      </c>
      <c r="BC42" s="2" t="s">
        <v>457</v>
      </c>
      <c r="BD42" s="2" t="s">
        <v>570</v>
      </c>
      <c r="BE42" s="2" t="s">
        <v>570</v>
      </c>
      <c r="BF42" s="2" t="s">
        <v>570</v>
      </c>
    </row>
    <row r="43" spans="1:58" s="2" customFormat="1">
      <c r="A43" s="2" t="s">
        <v>32</v>
      </c>
      <c r="B43" s="2" t="s">
        <v>508</v>
      </c>
      <c r="C43" s="2" t="s">
        <v>33</v>
      </c>
      <c r="D43" s="2" t="s">
        <v>34</v>
      </c>
      <c r="E43" s="2" t="s">
        <v>35</v>
      </c>
      <c r="F43" s="2" t="s">
        <v>570</v>
      </c>
      <c r="G43" s="2" t="s">
        <v>570</v>
      </c>
      <c r="H43" s="2" t="s">
        <v>570</v>
      </c>
      <c r="I43" s="2" t="s">
        <v>570</v>
      </c>
      <c r="J43" s="2">
        <v>0</v>
      </c>
      <c r="K43" s="2" t="s">
        <v>570</v>
      </c>
      <c r="L43" s="2" t="s">
        <v>570</v>
      </c>
      <c r="M43" s="2" t="s">
        <v>570</v>
      </c>
      <c r="N43" s="2" t="s">
        <v>570</v>
      </c>
      <c r="O43" s="2">
        <v>2012</v>
      </c>
      <c r="Q43" s="18"/>
      <c r="R43" s="2" t="s">
        <v>55</v>
      </c>
      <c r="S43" s="2" t="s">
        <v>284</v>
      </c>
      <c r="T43" s="2" t="s">
        <v>36</v>
      </c>
      <c r="U43" s="2" t="s">
        <v>37</v>
      </c>
      <c r="V43" s="2" t="s">
        <v>738</v>
      </c>
      <c r="W43" s="19" t="s">
        <v>38</v>
      </c>
      <c r="X43" s="19" t="s">
        <v>131</v>
      </c>
      <c r="Y43" s="2" t="s">
        <v>570</v>
      </c>
      <c r="Z43" s="2" t="s">
        <v>39</v>
      </c>
      <c r="AA43" s="2" t="s">
        <v>570</v>
      </c>
      <c r="AB43" s="2">
        <v>4</v>
      </c>
      <c r="AC43" s="2">
        <v>4</v>
      </c>
      <c r="AD43" s="2" t="s">
        <v>570</v>
      </c>
      <c r="AE43" s="2" t="s">
        <v>570</v>
      </c>
      <c r="AF43" s="2" t="s">
        <v>570</v>
      </c>
      <c r="AG43" s="2" t="s">
        <v>570</v>
      </c>
      <c r="AH43" s="2" t="s">
        <v>570</v>
      </c>
      <c r="AI43" s="2" t="s">
        <v>570</v>
      </c>
      <c r="AJ43" s="19" t="s">
        <v>40</v>
      </c>
      <c r="AK43" s="2" t="s">
        <v>570</v>
      </c>
      <c r="AM43" s="2" t="s">
        <v>570</v>
      </c>
      <c r="AN43" s="2" t="s">
        <v>570</v>
      </c>
      <c r="AO43" s="2" t="s">
        <v>570</v>
      </c>
      <c r="AP43" s="2" t="s">
        <v>570</v>
      </c>
      <c r="AQ43" s="2" t="s">
        <v>570</v>
      </c>
      <c r="AR43" s="2" t="s">
        <v>570</v>
      </c>
      <c r="AS43" s="7">
        <v>0.56390502898711004</v>
      </c>
      <c r="AT43" s="7">
        <v>0.12236399482070892</v>
      </c>
      <c r="AU43" s="7">
        <f t="shared" si="4"/>
        <v>0.24472798964141784</v>
      </c>
      <c r="AV43" s="2" t="s">
        <v>570</v>
      </c>
      <c r="AW43" s="2" t="s">
        <v>570</v>
      </c>
      <c r="AX43" s="2" t="s">
        <v>570</v>
      </c>
      <c r="AY43" s="7">
        <v>0.97561308877017805</v>
      </c>
      <c r="AZ43" s="7">
        <v>1.7756638406131953E-2</v>
      </c>
      <c r="BA43" s="7">
        <f t="shared" si="5"/>
        <v>3.5513276812263905E-2</v>
      </c>
      <c r="BB43" s="2" t="s">
        <v>570</v>
      </c>
      <c r="BC43" s="2" t="s">
        <v>785</v>
      </c>
      <c r="BD43" s="2" t="s">
        <v>570</v>
      </c>
      <c r="BE43" s="2" t="s">
        <v>570</v>
      </c>
      <c r="BF43" s="2" t="s">
        <v>570</v>
      </c>
    </row>
    <row r="44" spans="1:58" s="2" customFormat="1" ht="33">
      <c r="A44" s="2" t="s">
        <v>32</v>
      </c>
      <c r="B44" s="2" t="s">
        <v>508</v>
      </c>
      <c r="C44" s="2" t="s">
        <v>33</v>
      </c>
      <c r="D44" s="2" t="s">
        <v>34</v>
      </c>
      <c r="E44" s="2" t="s">
        <v>35</v>
      </c>
      <c r="F44" s="2" t="s">
        <v>570</v>
      </c>
      <c r="G44" s="2" t="s">
        <v>570</v>
      </c>
      <c r="H44" s="2" t="s">
        <v>570</v>
      </c>
      <c r="I44" s="2" t="s">
        <v>570</v>
      </c>
      <c r="J44" s="2">
        <v>0</v>
      </c>
      <c r="K44" s="2" t="s">
        <v>570</v>
      </c>
      <c r="L44" s="2" t="s">
        <v>570</v>
      </c>
      <c r="M44" s="2" t="s">
        <v>570</v>
      </c>
      <c r="N44" s="2" t="s">
        <v>570</v>
      </c>
      <c r="O44" s="2">
        <v>2012</v>
      </c>
      <c r="Q44" s="18"/>
      <c r="R44" s="2" t="s">
        <v>55</v>
      </c>
      <c r="S44" s="2" t="s">
        <v>284</v>
      </c>
      <c r="T44" s="2" t="s">
        <v>715</v>
      </c>
      <c r="U44" s="2" t="s">
        <v>716</v>
      </c>
      <c r="V44" s="2" t="s">
        <v>717</v>
      </c>
      <c r="W44" s="19" t="s">
        <v>535</v>
      </c>
      <c r="X44" s="19" t="s">
        <v>13</v>
      </c>
      <c r="Y44" s="2" t="s">
        <v>570</v>
      </c>
      <c r="Z44" s="2" t="s">
        <v>39</v>
      </c>
      <c r="AA44" s="2" t="s">
        <v>570</v>
      </c>
      <c r="AB44" s="2">
        <v>4</v>
      </c>
      <c r="AC44" s="2">
        <v>4</v>
      </c>
      <c r="AD44" s="2" t="s">
        <v>570</v>
      </c>
      <c r="AE44" s="2" t="s">
        <v>570</v>
      </c>
      <c r="AF44" s="2" t="s">
        <v>570</v>
      </c>
      <c r="AG44" s="2" t="s">
        <v>570</v>
      </c>
      <c r="AH44" s="2" t="s">
        <v>570</v>
      </c>
      <c r="AI44" s="2" t="s">
        <v>570</v>
      </c>
      <c r="AJ44" s="19" t="s">
        <v>759</v>
      </c>
      <c r="AK44" s="2" t="s">
        <v>570</v>
      </c>
      <c r="AL44" s="2" t="s">
        <v>17</v>
      </c>
      <c r="AM44" s="2" t="s">
        <v>570</v>
      </c>
      <c r="AN44" s="2" t="s">
        <v>570</v>
      </c>
      <c r="AO44" s="2" t="s">
        <v>570</v>
      </c>
      <c r="AP44" s="2" t="s">
        <v>570</v>
      </c>
      <c r="AQ44" s="2" t="s">
        <v>570</v>
      </c>
      <c r="AR44" s="2" t="s">
        <v>570</v>
      </c>
      <c r="AS44" s="7">
        <v>0.101692378764908</v>
      </c>
      <c r="AT44" s="7">
        <v>3.3092804299591994E-2</v>
      </c>
      <c r="AU44" s="7">
        <f t="shared" si="4"/>
        <v>6.6185608599183987E-2</v>
      </c>
      <c r="AV44" s="2" t="s">
        <v>570</v>
      </c>
      <c r="AW44" s="2" t="s">
        <v>570</v>
      </c>
      <c r="AX44" s="2" t="s">
        <v>570</v>
      </c>
      <c r="AY44" s="7">
        <v>0.44957023599606999</v>
      </c>
      <c r="AZ44" s="7">
        <v>8.4137446401499061E-2</v>
      </c>
      <c r="BA44" s="7">
        <f t="shared" si="5"/>
        <v>0.16827489280299812</v>
      </c>
      <c r="BB44" s="2" t="s">
        <v>570</v>
      </c>
      <c r="BC44" s="2" t="s">
        <v>785</v>
      </c>
      <c r="BD44" s="2" t="s">
        <v>570</v>
      </c>
      <c r="BE44" s="2" t="s">
        <v>570</v>
      </c>
      <c r="BF44" s="2" t="s">
        <v>570</v>
      </c>
    </row>
    <row r="45" spans="1:58" s="2" customFormat="1">
      <c r="A45" s="2" t="s">
        <v>32</v>
      </c>
      <c r="B45" s="2" t="s">
        <v>508</v>
      </c>
      <c r="C45" s="2" t="s">
        <v>33</v>
      </c>
      <c r="D45" s="2" t="s">
        <v>34</v>
      </c>
      <c r="E45" s="2" t="s">
        <v>35</v>
      </c>
      <c r="F45" s="2" t="s">
        <v>570</v>
      </c>
      <c r="G45" s="2" t="s">
        <v>570</v>
      </c>
      <c r="H45" s="2" t="s">
        <v>570</v>
      </c>
      <c r="I45" s="2" t="s">
        <v>570</v>
      </c>
      <c r="J45" s="2">
        <v>0</v>
      </c>
      <c r="K45" s="2" t="s">
        <v>570</v>
      </c>
      <c r="L45" s="2" t="s">
        <v>570</v>
      </c>
      <c r="M45" s="2" t="s">
        <v>570</v>
      </c>
      <c r="N45" s="2" t="s">
        <v>570</v>
      </c>
      <c r="O45" s="2">
        <v>2012</v>
      </c>
      <c r="Q45" s="18"/>
      <c r="R45" s="2" t="s">
        <v>55</v>
      </c>
      <c r="S45" s="2" t="s">
        <v>284</v>
      </c>
      <c r="T45" s="2" t="s">
        <v>715</v>
      </c>
      <c r="U45" s="2" t="s">
        <v>716</v>
      </c>
      <c r="V45" s="2" t="s">
        <v>717</v>
      </c>
      <c r="W45" s="19" t="s">
        <v>535</v>
      </c>
      <c r="X45" s="19" t="s">
        <v>13</v>
      </c>
      <c r="Y45" s="2" t="s">
        <v>570</v>
      </c>
      <c r="Z45" s="2" t="s">
        <v>39</v>
      </c>
      <c r="AA45" s="2" t="s">
        <v>570</v>
      </c>
      <c r="AB45" s="2">
        <v>4</v>
      </c>
      <c r="AC45" s="2">
        <v>4</v>
      </c>
      <c r="AD45" s="2" t="s">
        <v>570</v>
      </c>
      <c r="AE45" s="2" t="s">
        <v>570</v>
      </c>
      <c r="AF45" s="2" t="s">
        <v>570</v>
      </c>
      <c r="AG45" s="2" t="s">
        <v>570</v>
      </c>
      <c r="AH45" s="2" t="s">
        <v>570</v>
      </c>
      <c r="AI45" s="2" t="s">
        <v>570</v>
      </c>
      <c r="AJ45" s="19" t="s">
        <v>40</v>
      </c>
      <c r="AK45" s="2" t="s">
        <v>570</v>
      </c>
      <c r="AL45" s="2" t="s">
        <v>17</v>
      </c>
      <c r="AM45" s="2" t="s">
        <v>570</v>
      </c>
      <c r="AN45" s="2" t="s">
        <v>570</v>
      </c>
      <c r="AO45" s="2" t="s">
        <v>570</v>
      </c>
      <c r="AP45" s="2" t="s">
        <v>570</v>
      </c>
      <c r="AQ45" s="2" t="s">
        <v>570</v>
      </c>
      <c r="AR45" s="2" t="s">
        <v>570</v>
      </c>
      <c r="AS45" s="7">
        <v>0.56390502898711004</v>
      </c>
      <c r="AT45" s="7">
        <v>0.12236399482070892</v>
      </c>
      <c r="AU45" s="7">
        <f t="shared" si="4"/>
        <v>0.24472798964141784</v>
      </c>
      <c r="AV45" s="2" t="s">
        <v>570</v>
      </c>
      <c r="AW45" s="2" t="s">
        <v>570</v>
      </c>
      <c r="AX45" s="2" t="s">
        <v>570</v>
      </c>
      <c r="AY45" s="7">
        <v>0.97561308877017805</v>
      </c>
      <c r="AZ45" s="7">
        <v>1.7756638406131953E-2</v>
      </c>
      <c r="BA45" s="7">
        <f t="shared" si="5"/>
        <v>3.5513276812263905E-2</v>
      </c>
      <c r="BB45" s="2" t="s">
        <v>570</v>
      </c>
      <c r="BC45" s="2" t="s">
        <v>785</v>
      </c>
      <c r="BD45" s="2" t="s">
        <v>570</v>
      </c>
      <c r="BE45" s="2" t="s">
        <v>570</v>
      </c>
      <c r="BF45" s="2" t="s">
        <v>570</v>
      </c>
    </row>
    <row r="46" spans="1:58" s="2" customFormat="1" ht="33">
      <c r="A46" s="2" t="s">
        <v>32</v>
      </c>
      <c r="B46" s="2" t="s">
        <v>508</v>
      </c>
      <c r="C46" s="2" t="s">
        <v>33</v>
      </c>
      <c r="D46" s="2" t="s">
        <v>34</v>
      </c>
      <c r="E46" s="2" t="s">
        <v>35</v>
      </c>
      <c r="F46" s="2" t="s">
        <v>570</v>
      </c>
      <c r="G46" s="2" t="s">
        <v>570</v>
      </c>
      <c r="H46" s="2" t="s">
        <v>570</v>
      </c>
      <c r="I46" s="2" t="s">
        <v>570</v>
      </c>
      <c r="J46" s="2">
        <v>0</v>
      </c>
      <c r="K46" s="2" t="s">
        <v>570</v>
      </c>
      <c r="L46" s="2" t="s">
        <v>570</v>
      </c>
      <c r="M46" s="2" t="s">
        <v>570</v>
      </c>
      <c r="N46" s="2" t="s">
        <v>570</v>
      </c>
      <c r="O46" s="2">
        <v>2012</v>
      </c>
      <c r="Q46" s="18"/>
      <c r="R46" s="2" t="s">
        <v>55</v>
      </c>
      <c r="S46" s="2" t="s">
        <v>288</v>
      </c>
      <c r="T46" s="2" t="s">
        <v>533</v>
      </c>
      <c r="U46" s="2" t="s">
        <v>351</v>
      </c>
      <c r="V46" s="2" t="s">
        <v>352</v>
      </c>
      <c r="W46" s="19" t="s">
        <v>353</v>
      </c>
      <c r="X46" s="19" t="s">
        <v>13</v>
      </c>
      <c r="Y46" s="2" t="s">
        <v>570</v>
      </c>
      <c r="Z46" s="2" t="s">
        <v>354</v>
      </c>
      <c r="AA46" s="2" t="s">
        <v>570</v>
      </c>
      <c r="AB46" s="2">
        <v>4</v>
      </c>
      <c r="AC46" s="2">
        <v>4</v>
      </c>
      <c r="AD46" s="2" t="s">
        <v>570</v>
      </c>
      <c r="AE46" s="2" t="s">
        <v>570</v>
      </c>
      <c r="AF46" s="2" t="s">
        <v>570</v>
      </c>
      <c r="AG46" s="2" t="s">
        <v>570</v>
      </c>
      <c r="AH46" s="2" t="s">
        <v>570</v>
      </c>
      <c r="AI46" s="2" t="s">
        <v>570</v>
      </c>
      <c r="AJ46" s="19" t="s">
        <v>759</v>
      </c>
      <c r="AK46" s="2" t="s">
        <v>570</v>
      </c>
      <c r="AL46" s="2" t="s">
        <v>17</v>
      </c>
      <c r="AM46" s="2" t="s">
        <v>570</v>
      </c>
      <c r="AN46" s="2" t="s">
        <v>570</v>
      </c>
      <c r="AO46" s="2" t="s">
        <v>570</v>
      </c>
      <c r="AP46" s="2" t="s">
        <v>570</v>
      </c>
      <c r="AQ46" s="2" t="s">
        <v>570</v>
      </c>
      <c r="AR46" s="2" t="s">
        <v>570</v>
      </c>
      <c r="AS46" s="7">
        <v>0.13391979907475399</v>
      </c>
      <c r="AT46" s="7">
        <v>4.8396436960355005E-2</v>
      </c>
      <c r="AU46" s="7">
        <f t="shared" si="4"/>
        <v>9.679287392071001E-2</v>
      </c>
      <c r="AV46" s="2" t="s">
        <v>570</v>
      </c>
      <c r="AW46" s="2" t="s">
        <v>570</v>
      </c>
      <c r="AX46" s="2" t="s">
        <v>570</v>
      </c>
      <c r="AY46" s="7">
        <v>0.334688884695716</v>
      </c>
      <c r="AZ46" s="7">
        <v>4.3262692840736972E-2</v>
      </c>
      <c r="BA46" s="7">
        <f t="shared" si="5"/>
        <v>8.6525385681473943E-2</v>
      </c>
      <c r="BB46" s="2" t="s">
        <v>570</v>
      </c>
      <c r="BC46" s="2" t="s">
        <v>785</v>
      </c>
      <c r="BD46" s="2" t="s">
        <v>570</v>
      </c>
      <c r="BE46" s="2" t="s">
        <v>570</v>
      </c>
      <c r="BF46" s="2" t="s">
        <v>570</v>
      </c>
    </row>
    <row r="47" spans="1:58" s="2" customFormat="1">
      <c r="A47" s="2" t="s">
        <v>32</v>
      </c>
      <c r="B47" s="2" t="s">
        <v>508</v>
      </c>
      <c r="C47" s="2" t="s">
        <v>33</v>
      </c>
      <c r="D47" s="2" t="s">
        <v>34</v>
      </c>
      <c r="E47" s="2" t="s">
        <v>35</v>
      </c>
      <c r="F47" s="2" t="s">
        <v>570</v>
      </c>
      <c r="G47" s="2" t="s">
        <v>570</v>
      </c>
      <c r="H47" s="2" t="s">
        <v>570</v>
      </c>
      <c r="I47" s="2" t="s">
        <v>570</v>
      </c>
      <c r="J47" s="2">
        <v>0</v>
      </c>
      <c r="K47" s="2" t="s">
        <v>570</v>
      </c>
      <c r="L47" s="2" t="s">
        <v>570</v>
      </c>
      <c r="M47" s="2" t="s">
        <v>570</v>
      </c>
      <c r="N47" s="2" t="s">
        <v>570</v>
      </c>
      <c r="O47" s="2">
        <v>2012</v>
      </c>
      <c r="Q47" s="18"/>
      <c r="R47" s="2" t="s">
        <v>55</v>
      </c>
      <c r="S47" s="2" t="s">
        <v>288</v>
      </c>
      <c r="T47" s="2" t="s">
        <v>533</v>
      </c>
      <c r="U47" s="2" t="s">
        <v>351</v>
      </c>
      <c r="V47" s="2" t="s">
        <v>352</v>
      </c>
      <c r="W47" s="19" t="s">
        <v>353</v>
      </c>
      <c r="X47" s="19" t="s">
        <v>13</v>
      </c>
      <c r="Y47" s="2" t="s">
        <v>570</v>
      </c>
      <c r="Z47" s="2" t="s">
        <v>354</v>
      </c>
      <c r="AA47" s="2" t="s">
        <v>570</v>
      </c>
      <c r="AB47" s="2">
        <v>4</v>
      </c>
      <c r="AC47" s="2">
        <v>4</v>
      </c>
      <c r="AD47" s="2" t="s">
        <v>570</v>
      </c>
      <c r="AE47" s="2" t="s">
        <v>570</v>
      </c>
      <c r="AF47" s="2" t="s">
        <v>570</v>
      </c>
      <c r="AG47" s="2" t="s">
        <v>570</v>
      </c>
      <c r="AH47" s="2" t="s">
        <v>570</v>
      </c>
      <c r="AI47" s="2" t="s">
        <v>570</v>
      </c>
      <c r="AJ47" s="19" t="s">
        <v>40</v>
      </c>
      <c r="AK47" s="2" t="s">
        <v>570</v>
      </c>
      <c r="AL47" s="2" t="s">
        <v>17</v>
      </c>
      <c r="AM47" s="2" t="s">
        <v>570</v>
      </c>
      <c r="AN47" s="2" t="s">
        <v>570</v>
      </c>
      <c r="AO47" s="2" t="s">
        <v>570</v>
      </c>
      <c r="AP47" s="2" t="s">
        <v>570</v>
      </c>
      <c r="AQ47" s="2" t="s">
        <v>570</v>
      </c>
      <c r="AR47" s="2" t="s">
        <v>570</v>
      </c>
      <c r="AS47" s="7">
        <v>0.50695885847393096</v>
      </c>
      <c r="AT47" s="7">
        <v>5.5983186825342091E-2</v>
      </c>
      <c r="AU47" s="7">
        <f t="shared" si="4"/>
        <v>0.11196637365068418</v>
      </c>
      <c r="AV47" s="2" t="s">
        <v>570</v>
      </c>
      <c r="AW47" s="2" t="s">
        <v>570</v>
      </c>
      <c r="AX47" s="2" t="s">
        <v>570</v>
      </c>
      <c r="AY47" s="7">
        <v>0.94235111166056096</v>
      </c>
      <c r="AZ47" s="7">
        <v>2.5375921503816068E-2</v>
      </c>
      <c r="BA47" s="7">
        <f t="shared" si="5"/>
        <v>5.0751843007632136E-2</v>
      </c>
      <c r="BB47" s="2" t="s">
        <v>570</v>
      </c>
      <c r="BC47" s="2" t="s">
        <v>785</v>
      </c>
      <c r="BD47" s="2" t="s">
        <v>570</v>
      </c>
      <c r="BE47" s="2" t="s">
        <v>570</v>
      </c>
      <c r="BF47" s="2" t="s">
        <v>570</v>
      </c>
    </row>
    <row r="48" spans="1:58" s="2" customFormat="1" ht="33">
      <c r="A48" s="2" t="s">
        <v>32</v>
      </c>
      <c r="B48" s="2" t="s">
        <v>508</v>
      </c>
      <c r="C48" s="2" t="s">
        <v>33</v>
      </c>
      <c r="D48" s="2" t="s">
        <v>34</v>
      </c>
      <c r="E48" s="2" t="s">
        <v>35</v>
      </c>
      <c r="F48" s="2" t="s">
        <v>570</v>
      </c>
      <c r="G48" s="2" t="s">
        <v>570</v>
      </c>
      <c r="H48" s="2" t="s">
        <v>570</v>
      </c>
      <c r="I48" s="2" t="s">
        <v>570</v>
      </c>
      <c r="J48" s="2">
        <v>0</v>
      </c>
      <c r="K48" s="2" t="s">
        <v>570</v>
      </c>
      <c r="L48" s="2" t="s">
        <v>570</v>
      </c>
      <c r="M48" s="2" t="s">
        <v>570</v>
      </c>
      <c r="N48" s="2" t="s">
        <v>570</v>
      </c>
      <c r="O48" s="2">
        <v>2012</v>
      </c>
      <c r="Q48" s="18"/>
      <c r="R48" s="2" t="s">
        <v>55</v>
      </c>
      <c r="S48" s="2" t="s">
        <v>288</v>
      </c>
      <c r="T48" s="2" t="s">
        <v>355</v>
      </c>
      <c r="U48" s="2" t="s">
        <v>356</v>
      </c>
      <c r="V48" s="2" t="s">
        <v>357</v>
      </c>
      <c r="W48" s="19" t="s">
        <v>358</v>
      </c>
      <c r="X48" s="19" t="s">
        <v>13</v>
      </c>
      <c r="Y48" s="2" t="s">
        <v>570</v>
      </c>
      <c r="Z48" s="2" t="s">
        <v>359</v>
      </c>
      <c r="AA48" s="2" t="s">
        <v>570</v>
      </c>
      <c r="AB48" s="2">
        <v>4</v>
      </c>
      <c r="AC48" s="2">
        <v>4</v>
      </c>
      <c r="AD48" s="2" t="s">
        <v>570</v>
      </c>
      <c r="AE48" s="2" t="s">
        <v>570</v>
      </c>
      <c r="AF48" s="2" t="s">
        <v>570</v>
      </c>
      <c r="AG48" s="2" t="s">
        <v>570</v>
      </c>
      <c r="AH48" s="2" t="s">
        <v>570</v>
      </c>
      <c r="AI48" s="2" t="s">
        <v>570</v>
      </c>
      <c r="AJ48" s="19" t="s">
        <v>759</v>
      </c>
      <c r="AK48" s="2" t="s">
        <v>570</v>
      </c>
      <c r="AL48" s="2" t="s">
        <v>17</v>
      </c>
      <c r="AM48" s="2" t="s">
        <v>570</v>
      </c>
      <c r="AN48" s="2" t="s">
        <v>570</v>
      </c>
      <c r="AO48" s="2" t="s">
        <v>570</v>
      </c>
      <c r="AP48" s="2" t="s">
        <v>570</v>
      </c>
      <c r="AQ48" s="2" t="s">
        <v>570</v>
      </c>
      <c r="AR48" s="2" t="s">
        <v>570</v>
      </c>
      <c r="AS48" s="7">
        <v>0</v>
      </c>
      <c r="AT48" s="7">
        <v>0</v>
      </c>
      <c r="AU48" s="7">
        <f t="shared" si="4"/>
        <v>0</v>
      </c>
      <c r="AV48" s="2" t="s">
        <v>570</v>
      </c>
      <c r="AW48" s="2" t="s">
        <v>570</v>
      </c>
      <c r="AX48" s="2" t="s">
        <v>570</v>
      </c>
      <c r="AY48" s="7">
        <v>0.17048715262640701</v>
      </c>
      <c r="AZ48" s="7">
        <v>4.5845831516894975E-2</v>
      </c>
      <c r="BA48" s="7">
        <f t="shared" si="5"/>
        <v>9.169166303378995E-2</v>
      </c>
      <c r="BB48" s="2" t="s">
        <v>570</v>
      </c>
      <c r="BC48" s="2" t="s">
        <v>785</v>
      </c>
      <c r="BD48" s="2" t="s">
        <v>570</v>
      </c>
      <c r="BE48" s="2" t="s">
        <v>570</v>
      </c>
      <c r="BF48" s="2" t="s">
        <v>570</v>
      </c>
    </row>
    <row r="49" spans="1:58" s="2" customFormat="1">
      <c r="A49" s="2" t="s">
        <v>32</v>
      </c>
      <c r="B49" s="2" t="s">
        <v>508</v>
      </c>
      <c r="C49" s="2" t="s">
        <v>33</v>
      </c>
      <c r="D49" s="2" t="s">
        <v>34</v>
      </c>
      <c r="E49" s="2" t="s">
        <v>35</v>
      </c>
      <c r="F49" s="2" t="s">
        <v>570</v>
      </c>
      <c r="G49" s="2" t="s">
        <v>570</v>
      </c>
      <c r="H49" s="2" t="s">
        <v>570</v>
      </c>
      <c r="I49" s="2" t="s">
        <v>570</v>
      </c>
      <c r="J49" s="2">
        <v>0</v>
      </c>
      <c r="K49" s="2" t="s">
        <v>570</v>
      </c>
      <c r="L49" s="2" t="s">
        <v>570</v>
      </c>
      <c r="M49" s="2" t="s">
        <v>570</v>
      </c>
      <c r="N49" s="2" t="s">
        <v>570</v>
      </c>
      <c r="O49" s="2">
        <v>2012</v>
      </c>
      <c r="Q49" s="18"/>
      <c r="R49" s="2" t="s">
        <v>55</v>
      </c>
      <c r="S49" s="2" t="s">
        <v>288</v>
      </c>
      <c r="T49" s="2" t="s">
        <v>355</v>
      </c>
      <c r="U49" s="2" t="s">
        <v>356</v>
      </c>
      <c r="V49" s="2" t="s">
        <v>357</v>
      </c>
      <c r="W49" s="19" t="s">
        <v>358</v>
      </c>
      <c r="X49" s="19" t="s">
        <v>13</v>
      </c>
      <c r="Y49" s="2" t="s">
        <v>570</v>
      </c>
      <c r="Z49" s="2" t="s">
        <v>359</v>
      </c>
      <c r="AA49" s="2" t="s">
        <v>570</v>
      </c>
      <c r="AB49" s="2">
        <v>4</v>
      </c>
      <c r="AC49" s="2">
        <v>4</v>
      </c>
      <c r="AD49" s="2" t="s">
        <v>570</v>
      </c>
      <c r="AE49" s="2" t="s">
        <v>570</v>
      </c>
      <c r="AF49" s="2" t="s">
        <v>570</v>
      </c>
      <c r="AG49" s="2" t="s">
        <v>570</v>
      </c>
      <c r="AH49" s="2" t="s">
        <v>570</v>
      </c>
      <c r="AI49" s="2" t="s">
        <v>570</v>
      </c>
      <c r="AJ49" s="19" t="s">
        <v>40</v>
      </c>
      <c r="AK49" s="2" t="s">
        <v>570</v>
      </c>
      <c r="AL49" s="2" t="s">
        <v>17</v>
      </c>
      <c r="AM49" s="2" t="s">
        <v>570</v>
      </c>
      <c r="AN49" s="2" t="s">
        <v>570</v>
      </c>
      <c r="AO49" s="2" t="s">
        <v>570</v>
      </c>
      <c r="AP49" s="2" t="s">
        <v>570</v>
      </c>
      <c r="AQ49" s="2" t="s">
        <v>570</v>
      </c>
      <c r="AR49" s="2" t="s">
        <v>570</v>
      </c>
      <c r="AS49" s="7">
        <v>3.1518195837047402E-2</v>
      </c>
      <c r="AT49" s="7">
        <v>1.53036326607629E-2</v>
      </c>
      <c r="AU49" s="7">
        <f t="shared" si="4"/>
        <v>3.0607265321525801E-2</v>
      </c>
      <c r="AV49" s="2" t="s">
        <v>570</v>
      </c>
      <c r="AW49" s="2" t="s">
        <v>570</v>
      </c>
      <c r="AX49" s="2" t="s">
        <v>570</v>
      </c>
      <c r="AY49" s="7">
        <v>0.81124218389084402</v>
      </c>
      <c r="AZ49" s="7">
        <v>7.9003702281881028E-2</v>
      </c>
      <c r="BA49" s="7">
        <f t="shared" si="5"/>
        <v>0.15800740456376206</v>
      </c>
      <c r="BB49" s="2" t="s">
        <v>570</v>
      </c>
      <c r="BC49" s="2" t="s">
        <v>785</v>
      </c>
      <c r="BD49" s="2" t="s">
        <v>570</v>
      </c>
      <c r="BE49" s="2" t="s">
        <v>570</v>
      </c>
      <c r="BF49" s="2" t="s">
        <v>570</v>
      </c>
    </row>
    <row r="50" spans="1:58" s="2" customFormat="1" ht="21.6">
      <c r="A50" s="2" t="s">
        <v>32</v>
      </c>
      <c r="B50" s="2" t="s">
        <v>508</v>
      </c>
      <c r="C50" s="2" t="s">
        <v>154</v>
      </c>
      <c r="D50" s="2" t="s">
        <v>155</v>
      </c>
      <c r="E50" s="2" t="s">
        <v>156</v>
      </c>
      <c r="F50" s="2" t="s">
        <v>570</v>
      </c>
      <c r="G50" s="2" t="s">
        <v>570</v>
      </c>
      <c r="H50" s="2" t="s">
        <v>570</v>
      </c>
      <c r="I50" s="2" t="s">
        <v>570</v>
      </c>
      <c r="J50" s="2">
        <v>0</v>
      </c>
      <c r="K50" s="2" t="s">
        <v>570</v>
      </c>
      <c r="L50" s="2" t="s">
        <v>570</v>
      </c>
      <c r="M50" s="2" t="s">
        <v>570</v>
      </c>
      <c r="N50" s="2" t="s">
        <v>570</v>
      </c>
      <c r="O50" s="2">
        <v>2012</v>
      </c>
      <c r="Q50" s="18"/>
      <c r="R50" s="2" t="s">
        <v>55</v>
      </c>
      <c r="S50" s="2" t="s">
        <v>284</v>
      </c>
      <c r="T50" s="2" t="s">
        <v>36</v>
      </c>
      <c r="U50" s="2" t="s">
        <v>37</v>
      </c>
      <c r="V50" s="2" t="s">
        <v>738</v>
      </c>
      <c r="W50" s="19" t="s">
        <v>38</v>
      </c>
      <c r="X50" s="19" t="s">
        <v>131</v>
      </c>
      <c r="Y50" s="2" t="s">
        <v>570</v>
      </c>
      <c r="Z50" s="2" t="s">
        <v>39</v>
      </c>
      <c r="AA50" s="2" t="s">
        <v>570</v>
      </c>
      <c r="AB50" s="2">
        <v>4</v>
      </c>
      <c r="AC50" s="2">
        <v>4</v>
      </c>
      <c r="AD50" s="2" t="s">
        <v>570</v>
      </c>
      <c r="AE50" s="2" t="s">
        <v>570</v>
      </c>
      <c r="AF50" s="2" t="s">
        <v>570</v>
      </c>
      <c r="AG50" s="2" t="s">
        <v>570</v>
      </c>
      <c r="AH50" s="2" t="s">
        <v>570</v>
      </c>
      <c r="AI50" s="2" t="s">
        <v>570</v>
      </c>
      <c r="AJ50" s="19" t="s">
        <v>707</v>
      </c>
      <c r="AK50" s="2" t="s">
        <v>570</v>
      </c>
      <c r="AL50" s="2" t="s">
        <v>17</v>
      </c>
      <c r="AM50" s="2" t="s">
        <v>570</v>
      </c>
      <c r="AN50" s="2" t="s">
        <v>570</v>
      </c>
      <c r="AO50" s="2" t="s">
        <v>570</v>
      </c>
      <c r="AP50" s="2" t="s">
        <v>570</v>
      </c>
      <c r="AQ50" s="2" t="s">
        <v>570</v>
      </c>
      <c r="AR50" s="2" t="s">
        <v>570</v>
      </c>
      <c r="AS50" s="7">
        <v>5.0958936577850701E-2</v>
      </c>
      <c r="AT50" s="7">
        <v>0.10028552485446202</v>
      </c>
      <c r="AU50" s="7">
        <f t="shared" si="4"/>
        <v>0.20057104970892403</v>
      </c>
      <c r="AV50" s="2" t="s">
        <v>570</v>
      </c>
      <c r="AW50" s="2" t="s">
        <v>570</v>
      </c>
      <c r="AX50" s="2" t="s">
        <v>570</v>
      </c>
      <c r="AY50" s="7">
        <v>4.9902229947263503E-2</v>
      </c>
      <c r="AZ50" s="7">
        <v>0.35831339332950995</v>
      </c>
      <c r="BA50" s="7">
        <f t="shared" si="5"/>
        <v>0.71662678665901991</v>
      </c>
      <c r="BB50" s="2" t="s">
        <v>570</v>
      </c>
      <c r="BC50" s="2" t="s">
        <v>457</v>
      </c>
      <c r="BD50" s="2" t="s">
        <v>570</v>
      </c>
      <c r="BE50" s="2" t="s">
        <v>570</v>
      </c>
      <c r="BF50" s="2" t="s">
        <v>570</v>
      </c>
    </row>
    <row r="51" spans="1:58" s="2" customFormat="1">
      <c r="A51" s="2" t="s">
        <v>32</v>
      </c>
      <c r="B51" s="2" t="s">
        <v>508</v>
      </c>
      <c r="C51" s="2" t="s">
        <v>154</v>
      </c>
      <c r="D51" s="2" t="s">
        <v>155</v>
      </c>
      <c r="E51" s="2" t="s">
        <v>156</v>
      </c>
      <c r="F51" s="2" t="s">
        <v>570</v>
      </c>
      <c r="G51" s="2" t="s">
        <v>570</v>
      </c>
      <c r="H51" s="2" t="s">
        <v>570</v>
      </c>
      <c r="I51" s="2" t="s">
        <v>570</v>
      </c>
      <c r="J51" s="2">
        <v>0</v>
      </c>
      <c r="K51" s="2" t="s">
        <v>570</v>
      </c>
      <c r="L51" s="2" t="s">
        <v>570</v>
      </c>
      <c r="M51" s="2" t="s">
        <v>570</v>
      </c>
      <c r="N51" s="2" t="s">
        <v>570</v>
      </c>
      <c r="O51" s="2">
        <v>2012</v>
      </c>
      <c r="Q51" s="18"/>
      <c r="R51" s="2" t="s">
        <v>55</v>
      </c>
      <c r="S51" s="2" t="s">
        <v>284</v>
      </c>
      <c r="T51" s="2" t="s">
        <v>36</v>
      </c>
      <c r="U51" s="2" t="s">
        <v>37</v>
      </c>
      <c r="V51" s="2" t="s">
        <v>738</v>
      </c>
      <c r="W51" s="19" t="s">
        <v>38</v>
      </c>
      <c r="X51" s="19" t="s">
        <v>131</v>
      </c>
      <c r="Y51" s="2" t="s">
        <v>570</v>
      </c>
      <c r="Z51" s="2" t="s">
        <v>39</v>
      </c>
      <c r="AA51" s="2" t="s">
        <v>570</v>
      </c>
      <c r="AB51" s="2">
        <v>4</v>
      </c>
      <c r="AC51" s="2">
        <v>4</v>
      </c>
      <c r="AD51" s="2" t="s">
        <v>570</v>
      </c>
      <c r="AE51" s="2" t="s">
        <v>570</v>
      </c>
      <c r="AF51" s="2" t="s">
        <v>570</v>
      </c>
      <c r="AG51" s="2" t="s">
        <v>570</v>
      </c>
      <c r="AH51" s="2" t="s">
        <v>570</v>
      </c>
      <c r="AI51" s="2" t="s">
        <v>570</v>
      </c>
      <c r="AJ51" s="19" t="s">
        <v>40</v>
      </c>
      <c r="AK51" s="2" t="s">
        <v>570</v>
      </c>
      <c r="AL51" s="2" t="s">
        <v>17</v>
      </c>
      <c r="AM51" s="2" t="s">
        <v>570</v>
      </c>
      <c r="AN51" s="2" t="s">
        <v>570</v>
      </c>
      <c r="AO51" s="2" t="s">
        <v>570</v>
      </c>
      <c r="AP51" s="2" t="s">
        <v>570</v>
      </c>
      <c r="AQ51" s="2" t="s">
        <v>570</v>
      </c>
      <c r="AR51" s="2" t="s">
        <v>570</v>
      </c>
      <c r="AS51" s="7">
        <v>0.50022714254676104</v>
      </c>
      <c r="AT51" s="7">
        <v>0.14522550379001009</v>
      </c>
      <c r="AU51" s="7">
        <f t="shared" si="4"/>
        <v>0.29045100758002018</v>
      </c>
      <c r="AV51" s="2" t="s">
        <v>570</v>
      </c>
      <c r="AW51" s="2" t="s">
        <v>570</v>
      </c>
      <c r="AX51" s="2" t="s">
        <v>570</v>
      </c>
      <c r="AY51" s="7">
        <v>0.78803650081968801</v>
      </c>
      <c r="AZ51" s="7">
        <v>0.69491082404009008</v>
      </c>
      <c r="BA51" s="7">
        <f t="shared" si="5"/>
        <v>1.3898216480801802</v>
      </c>
      <c r="BB51" s="2" t="s">
        <v>570</v>
      </c>
      <c r="BC51" s="2" t="s">
        <v>457</v>
      </c>
      <c r="BD51" s="2" t="s">
        <v>570</v>
      </c>
      <c r="BE51" s="2" t="s">
        <v>570</v>
      </c>
      <c r="BF51" s="2" t="s">
        <v>570</v>
      </c>
    </row>
    <row r="52" spans="1:58" s="2" customFormat="1" ht="21.6">
      <c r="A52" s="2" t="s">
        <v>32</v>
      </c>
      <c r="B52" s="2" t="s">
        <v>508</v>
      </c>
      <c r="C52" s="2" t="s">
        <v>154</v>
      </c>
      <c r="D52" s="2" t="s">
        <v>155</v>
      </c>
      <c r="E52" s="2" t="s">
        <v>156</v>
      </c>
      <c r="F52" s="2" t="s">
        <v>570</v>
      </c>
      <c r="G52" s="2" t="s">
        <v>570</v>
      </c>
      <c r="H52" s="2" t="s">
        <v>570</v>
      </c>
      <c r="I52" s="2" t="s">
        <v>570</v>
      </c>
      <c r="J52" s="2">
        <v>0</v>
      </c>
      <c r="K52" s="2" t="s">
        <v>570</v>
      </c>
      <c r="L52" s="2" t="s">
        <v>570</v>
      </c>
      <c r="M52" s="2" t="s">
        <v>570</v>
      </c>
      <c r="N52" s="2" t="s">
        <v>570</v>
      </c>
      <c r="O52" s="2">
        <v>2012</v>
      </c>
      <c r="Q52" s="18"/>
      <c r="R52" s="2" t="s">
        <v>55</v>
      </c>
      <c r="S52" s="2" t="s">
        <v>284</v>
      </c>
      <c r="T52" s="2" t="s">
        <v>715</v>
      </c>
      <c r="U52" s="2" t="s">
        <v>716</v>
      </c>
      <c r="V52" s="2" t="s">
        <v>717</v>
      </c>
      <c r="W52" s="19" t="s">
        <v>535</v>
      </c>
      <c r="X52" s="19" t="s">
        <v>13</v>
      </c>
      <c r="Y52" s="2" t="s">
        <v>570</v>
      </c>
      <c r="Z52" s="2" t="s">
        <v>39</v>
      </c>
      <c r="AA52" s="2" t="s">
        <v>570</v>
      </c>
      <c r="AB52" s="2">
        <v>4</v>
      </c>
      <c r="AC52" s="2">
        <v>4</v>
      </c>
      <c r="AD52" s="2" t="s">
        <v>570</v>
      </c>
      <c r="AE52" s="2" t="s">
        <v>570</v>
      </c>
      <c r="AF52" s="2" t="s">
        <v>570</v>
      </c>
      <c r="AG52" s="2" t="s">
        <v>570</v>
      </c>
      <c r="AH52" s="2" t="s">
        <v>570</v>
      </c>
      <c r="AI52" s="2" t="s">
        <v>570</v>
      </c>
      <c r="AJ52" s="19" t="s">
        <v>707</v>
      </c>
      <c r="AK52" s="2" t="s">
        <v>570</v>
      </c>
      <c r="AL52" s="2" t="s">
        <v>17</v>
      </c>
      <c r="AM52" s="2" t="s">
        <v>570</v>
      </c>
      <c r="AN52" s="2" t="s">
        <v>570</v>
      </c>
      <c r="AO52" s="2" t="s">
        <v>570</v>
      </c>
      <c r="AP52" s="2" t="s">
        <v>570</v>
      </c>
      <c r="AQ52" s="2" t="s">
        <v>570</v>
      </c>
      <c r="AR52" s="2" t="s">
        <v>570</v>
      </c>
      <c r="AS52" s="7">
        <v>8.98496908886212E-2</v>
      </c>
      <c r="AT52" s="7">
        <v>6.7158626682222E-2</v>
      </c>
      <c r="AU52" s="7">
        <f t="shared" si="4"/>
        <v>0.134317253364444</v>
      </c>
      <c r="AV52" s="2" t="s">
        <v>570</v>
      </c>
      <c r="AW52" s="2" t="s">
        <v>570</v>
      </c>
      <c r="AX52" s="2" t="s">
        <v>570</v>
      </c>
      <c r="AY52" s="7">
        <v>4.9902229947263503E-2</v>
      </c>
      <c r="AZ52" s="7">
        <v>0.35831339332950995</v>
      </c>
      <c r="BA52" s="7">
        <f t="shared" si="5"/>
        <v>0.71662678665901991</v>
      </c>
      <c r="BB52" s="2" t="s">
        <v>570</v>
      </c>
      <c r="BC52" s="2" t="s">
        <v>457</v>
      </c>
      <c r="BD52" s="2" t="s">
        <v>570</v>
      </c>
      <c r="BE52" s="2" t="s">
        <v>570</v>
      </c>
      <c r="BF52" s="2" t="s">
        <v>570</v>
      </c>
    </row>
    <row r="53" spans="1:58" s="2" customFormat="1">
      <c r="A53" s="2" t="s">
        <v>32</v>
      </c>
      <c r="B53" s="2" t="s">
        <v>508</v>
      </c>
      <c r="C53" s="2" t="s">
        <v>154</v>
      </c>
      <c r="D53" s="2" t="s">
        <v>155</v>
      </c>
      <c r="E53" s="2" t="s">
        <v>156</v>
      </c>
      <c r="F53" s="2" t="s">
        <v>570</v>
      </c>
      <c r="G53" s="2" t="s">
        <v>570</v>
      </c>
      <c r="H53" s="2" t="s">
        <v>570</v>
      </c>
      <c r="I53" s="2" t="s">
        <v>570</v>
      </c>
      <c r="J53" s="2">
        <v>0</v>
      </c>
      <c r="K53" s="2" t="s">
        <v>570</v>
      </c>
      <c r="L53" s="2" t="s">
        <v>570</v>
      </c>
      <c r="M53" s="2" t="s">
        <v>570</v>
      </c>
      <c r="N53" s="2" t="s">
        <v>570</v>
      </c>
      <c r="O53" s="2">
        <v>2012</v>
      </c>
      <c r="Q53" s="18"/>
      <c r="R53" s="2" t="s">
        <v>55</v>
      </c>
      <c r="S53" s="2" t="s">
        <v>284</v>
      </c>
      <c r="T53" s="2" t="s">
        <v>715</v>
      </c>
      <c r="U53" s="2" t="s">
        <v>716</v>
      </c>
      <c r="V53" s="2" t="s">
        <v>717</v>
      </c>
      <c r="W53" s="19" t="s">
        <v>535</v>
      </c>
      <c r="X53" s="19" t="s">
        <v>13</v>
      </c>
      <c r="Y53" s="2" t="s">
        <v>570</v>
      </c>
      <c r="Z53" s="2" t="s">
        <v>39</v>
      </c>
      <c r="AA53" s="2" t="s">
        <v>570</v>
      </c>
      <c r="AB53" s="2">
        <v>4</v>
      </c>
      <c r="AC53" s="2">
        <v>4</v>
      </c>
      <c r="AD53" s="2" t="s">
        <v>570</v>
      </c>
      <c r="AE53" s="2" t="s">
        <v>570</v>
      </c>
      <c r="AF53" s="2" t="s">
        <v>570</v>
      </c>
      <c r="AG53" s="2" t="s">
        <v>570</v>
      </c>
      <c r="AH53" s="2" t="s">
        <v>570</v>
      </c>
      <c r="AI53" s="2" t="s">
        <v>570</v>
      </c>
      <c r="AJ53" s="19" t="s">
        <v>40</v>
      </c>
      <c r="AK53" s="2" t="s">
        <v>570</v>
      </c>
      <c r="AL53" s="2" t="s">
        <v>17</v>
      </c>
      <c r="AM53" s="2" t="s">
        <v>570</v>
      </c>
      <c r="AN53" s="2" t="s">
        <v>570</v>
      </c>
      <c r="AO53" s="2" t="s">
        <v>570</v>
      </c>
      <c r="AP53" s="2" t="s">
        <v>570</v>
      </c>
      <c r="AQ53" s="2" t="s">
        <v>570</v>
      </c>
      <c r="AR53" s="2" t="s">
        <v>570</v>
      </c>
      <c r="AS53" s="7">
        <v>0.36575875486381298</v>
      </c>
      <c r="AT53" s="7">
        <v>0.41436269654922997</v>
      </c>
      <c r="AU53" s="7">
        <f t="shared" si="4"/>
        <v>0.82872539309845994</v>
      </c>
      <c r="AV53" s="2" t="s">
        <v>570</v>
      </c>
      <c r="AW53" s="2" t="s">
        <v>570</v>
      </c>
      <c r="AX53" s="2" t="s">
        <v>570</v>
      </c>
      <c r="AY53" s="7">
        <v>0.78803650081968801</v>
      </c>
      <c r="AZ53" s="7">
        <v>0.69491082404009008</v>
      </c>
      <c r="BA53" s="7">
        <f t="shared" si="5"/>
        <v>1.3898216480801802</v>
      </c>
      <c r="BB53" s="2" t="s">
        <v>570</v>
      </c>
      <c r="BC53" s="2" t="s">
        <v>457</v>
      </c>
      <c r="BD53" s="2" t="s">
        <v>570</v>
      </c>
      <c r="BE53" s="2" t="s">
        <v>570</v>
      </c>
      <c r="BF53" s="2" t="s">
        <v>570</v>
      </c>
    </row>
    <row r="54" spans="1:58" s="2" customFormat="1" ht="21.6">
      <c r="A54" s="2" t="s">
        <v>32</v>
      </c>
      <c r="B54" s="2" t="s">
        <v>508</v>
      </c>
      <c r="C54" s="2" t="s">
        <v>154</v>
      </c>
      <c r="D54" s="2" t="s">
        <v>155</v>
      </c>
      <c r="E54" s="2" t="s">
        <v>156</v>
      </c>
      <c r="F54" s="2" t="s">
        <v>570</v>
      </c>
      <c r="G54" s="2" t="s">
        <v>570</v>
      </c>
      <c r="H54" s="2" t="s">
        <v>570</v>
      </c>
      <c r="I54" s="2" t="s">
        <v>570</v>
      </c>
      <c r="J54" s="2">
        <v>0</v>
      </c>
      <c r="K54" s="2" t="s">
        <v>570</v>
      </c>
      <c r="L54" s="2" t="s">
        <v>570</v>
      </c>
      <c r="M54" s="2" t="s">
        <v>570</v>
      </c>
      <c r="N54" s="2" t="s">
        <v>570</v>
      </c>
      <c r="O54" s="2">
        <v>2012</v>
      </c>
      <c r="Q54" s="18"/>
      <c r="R54" s="2" t="s">
        <v>55</v>
      </c>
      <c r="S54" s="2" t="s">
        <v>288</v>
      </c>
      <c r="T54" s="2" t="s">
        <v>533</v>
      </c>
      <c r="U54" s="2" t="s">
        <v>351</v>
      </c>
      <c r="V54" s="2" t="s">
        <v>352</v>
      </c>
      <c r="W54" s="19" t="s">
        <v>353</v>
      </c>
      <c r="X54" s="19" t="s">
        <v>13</v>
      </c>
      <c r="Y54" s="2" t="s">
        <v>570</v>
      </c>
      <c r="Z54" s="2" t="s">
        <v>354</v>
      </c>
      <c r="AA54" s="2" t="s">
        <v>570</v>
      </c>
      <c r="AB54" s="2">
        <v>4</v>
      </c>
      <c r="AC54" s="2">
        <v>4</v>
      </c>
      <c r="AD54" s="2" t="s">
        <v>570</v>
      </c>
      <c r="AE54" s="2" t="s">
        <v>570</v>
      </c>
      <c r="AF54" s="2" t="s">
        <v>570</v>
      </c>
      <c r="AG54" s="2" t="s">
        <v>570</v>
      </c>
      <c r="AH54" s="2" t="s">
        <v>570</v>
      </c>
      <c r="AI54" s="2" t="s">
        <v>570</v>
      </c>
      <c r="AJ54" s="19" t="s">
        <v>707</v>
      </c>
      <c r="AK54" s="2" t="s">
        <v>570</v>
      </c>
      <c r="AL54" s="2" t="s">
        <v>17</v>
      </c>
      <c r="AM54" s="2" t="s">
        <v>570</v>
      </c>
      <c r="AN54" s="2" t="s">
        <v>570</v>
      </c>
      <c r="AO54" s="2" t="s">
        <v>570</v>
      </c>
      <c r="AP54" s="2" t="s">
        <v>570</v>
      </c>
      <c r="AQ54" s="2" t="s">
        <v>570</v>
      </c>
      <c r="AR54" s="2" t="s">
        <v>570</v>
      </c>
      <c r="AS54" s="7">
        <v>6.0972960161172401E-2</v>
      </c>
      <c r="AT54" s="7">
        <v>5.5647155638429008E-2</v>
      </c>
      <c r="AU54" s="7">
        <f t="shared" si="4"/>
        <v>0.11129431127685802</v>
      </c>
      <c r="AV54" s="2" t="s">
        <v>570</v>
      </c>
      <c r="AW54" s="2" t="s">
        <v>570</v>
      </c>
      <c r="AX54" s="2" t="s">
        <v>570</v>
      </c>
      <c r="AY54" s="7">
        <v>5.09885638665587E-2</v>
      </c>
      <c r="AZ54" s="7">
        <v>7.8066876997265E-2</v>
      </c>
      <c r="BA54" s="7">
        <f t="shared" si="5"/>
        <v>0.15613375399453</v>
      </c>
      <c r="BB54" s="2" t="s">
        <v>570</v>
      </c>
      <c r="BC54" s="2" t="s">
        <v>457</v>
      </c>
      <c r="BD54" s="2" t="s">
        <v>570</v>
      </c>
      <c r="BE54" s="2" t="s">
        <v>570</v>
      </c>
      <c r="BF54" s="2" t="s">
        <v>570</v>
      </c>
    </row>
    <row r="55" spans="1:58" s="2" customFormat="1">
      <c r="A55" s="2" t="s">
        <v>32</v>
      </c>
      <c r="B55" s="2" t="s">
        <v>508</v>
      </c>
      <c r="C55" s="2" t="s">
        <v>154</v>
      </c>
      <c r="D55" s="2" t="s">
        <v>155</v>
      </c>
      <c r="E55" s="2" t="s">
        <v>156</v>
      </c>
      <c r="F55" s="2" t="s">
        <v>570</v>
      </c>
      <c r="G55" s="2" t="s">
        <v>570</v>
      </c>
      <c r="H55" s="2" t="s">
        <v>570</v>
      </c>
      <c r="I55" s="2" t="s">
        <v>570</v>
      </c>
      <c r="J55" s="2">
        <v>0</v>
      </c>
      <c r="K55" s="2" t="s">
        <v>570</v>
      </c>
      <c r="L55" s="2" t="s">
        <v>570</v>
      </c>
      <c r="M55" s="2" t="s">
        <v>570</v>
      </c>
      <c r="N55" s="2" t="s">
        <v>570</v>
      </c>
      <c r="O55" s="2">
        <v>2012</v>
      </c>
      <c r="Q55" s="18"/>
      <c r="R55" s="2" t="s">
        <v>55</v>
      </c>
      <c r="S55" s="2" t="s">
        <v>288</v>
      </c>
      <c r="T55" s="2" t="s">
        <v>533</v>
      </c>
      <c r="U55" s="2" t="s">
        <v>351</v>
      </c>
      <c r="V55" s="2" t="s">
        <v>352</v>
      </c>
      <c r="W55" s="19" t="s">
        <v>353</v>
      </c>
      <c r="X55" s="19" t="s">
        <v>13</v>
      </c>
      <c r="Y55" s="2" t="s">
        <v>570</v>
      </c>
      <c r="Z55" s="2" t="s">
        <v>354</v>
      </c>
      <c r="AA55" s="2" t="s">
        <v>570</v>
      </c>
      <c r="AB55" s="2">
        <v>4</v>
      </c>
      <c r="AC55" s="2">
        <v>4</v>
      </c>
      <c r="AD55" s="2" t="s">
        <v>570</v>
      </c>
      <c r="AE55" s="2" t="s">
        <v>570</v>
      </c>
      <c r="AF55" s="2" t="s">
        <v>570</v>
      </c>
      <c r="AG55" s="2" t="s">
        <v>570</v>
      </c>
      <c r="AH55" s="2" t="s">
        <v>570</v>
      </c>
      <c r="AI55" s="2" t="s">
        <v>570</v>
      </c>
      <c r="AJ55" s="19" t="s">
        <v>40</v>
      </c>
      <c r="AK55" s="2" t="s">
        <v>570</v>
      </c>
      <c r="AL55" s="2" t="s">
        <v>17</v>
      </c>
      <c r="AM55" s="2" t="s">
        <v>570</v>
      </c>
      <c r="AN55" s="2" t="s">
        <v>570</v>
      </c>
      <c r="AO55" s="2" t="s">
        <v>570</v>
      </c>
      <c r="AP55" s="2" t="s">
        <v>570</v>
      </c>
      <c r="AQ55" s="2" t="s">
        <v>570</v>
      </c>
      <c r="AR55" s="2" t="s">
        <v>570</v>
      </c>
      <c r="AS55" s="7">
        <v>0.287977246242272</v>
      </c>
      <c r="AT55" s="7">
        <v>0.13421671756393094</v>
      </c>
      <c r="AU55" s="7">
        <f t="shared" si="4"/>
        <v>0.26843343512786189</v>
      </c>
      <c r="AV55" s="2" t="s">
        <v>570</v>
      </c>
      <c r="AW55" s="2" t="s">
        <v>570</v>
      </c>
      <c r="AX55" s="2" t="s">
        <v>570</v>
      </c>
      <c r="AY55" s="7">
        <v>0.61792648482095203</v>
      </c>
      <c r="AZ55" s="7">
        <v>0.43688295546777001</v>
      </c>
      <c r="BA55" s="7">
        <f t="shared" si="5"/>
        <v>0.87376591093554001</v>
      </c>
      <c r="BB55" s="2" t="s">
        <v>570</v>
      </c>
      <c r="BC55" s="2" t="s">
        <v>457</v>
      </c>
      <c r="BD55" s="2" t="s">
        <v>570</v>
      </c>
      <c r="BE55" s="2" t="s">
        <v>570</v>
      </c>
      <c r="BF55" s="2" t="s">
        <v>570</v>
      </c>
    </row>
    <row r="56" spans="1:58" s="2" customFormat="1" ht="21.6">
      <c r="A56" s="2" t="s">
        <v>32</v>
      </c>
      <c r="B56" s="2" t="s">
        <v>508</v>
      </c>
      <c r="C56" s="2" t="s">
        <v>154</v>
      </c>
      <c r="D56" s="2" t="s">
        <v>155</v>
      </c>
      <c r="E56" s="2" t="s">
        <v>156</v>
      </c>
      <c r="F56" s="2" t="s">
        <v>570</v>
      </c>
      <c r="G56" s="2" t="s">
        <v>570</v>
      </c>
      <c r="H56" s="2" t="s">
        <v>570</v>
      </c>
      <c r="I56" s="2" t="s">
        <v>570</v>
      </c>
      <c r="J56" s="2">
        <v>0</v>
      </c>
      <c r="K56" s="2" t="s">
        <v>570</v>
      </c>
      <c r="L56" s="2" t="s">
        <v>570</v>
      </c>
      <c r="M56" s="2" t="s">
        <v>570</v>
      </c>
      <c r="N56" s="2" t="s">
        <v>570</v>
      </c>
      <c r="O56" s="2">
        <v>2012</v>
      </c>
      <c r="Q56" s="18"/>
      <c r="R56" s="2" t="s">
        <v>55</v>
      </c>
      <c r="S56" s="2" t="s">
        <v>288</v>
      </c>
      <c r="T56" s="2" t="s">
        <v>355</v>
      </c>
      <c r="U56" s="2" t="s">
        <v>356</v>
      </c>
      <c r="V56" s="2" t="s">
        <v>357</v>
      </c>
      <c r="W56" s="19" t="s">
        <v>358</v>
      </c>
      <c r="X56" s="19" t="s">
        <v>13</v>
      </c>
      <c r="Y56" s="2" t="s">
        <v>570</v>
      </c>
      <c r="Z56" s="2" t="s">
        <v>359</v>
      </c>
      <c r="AA56" s="2" t="s">
        <v>570</v>
      </c>
      <c r="AB56" s="2">
        <v>4</v>
      </c>
      <c r="AC56" s="2">
        <v>4</v>
      </c>
      <c r="AD56" s="2" t="s">
        <v>570</v>
      </c>
      <c r="AE56" s="2" t="s">
        <v>570</v>
      </c>
      <c r="AF56" s="2" t="s">
        <v>570</v>
      </c>
      <c r="AG56" s="2" t="s">
        <v>570</v>
      </c>
      <c r="AH56" s="2" t="s">
        <v>570</v>
      </c>
      <c r="AI56" s="2" t="s">
        <v>570</v>
      </c>
      <c r="AJ56" s="19" t="s">
        <v>707</v>
      </c>
      <c r="AK56" s="2" t="s">
        <v>570</v>
      </c>
      <c r="AL56" s="2" t="s">
        <v>17</v>
      </c>
      <c r="AM56" s="2" t="s">
        <v>570</v>
      </c>
      <c r="AN56" s="2" t="s">
        <v>570</v>
      </c>
      <c r="AO56" s="2" t="s">
        <v>570</v>
      </c>
      <c r="AP56" s="2" t="s">
        <v>570</v>
      </c>
      <c r="AQ56" s="2" t="s">
        <v>570</v>
      </c>
      <c r="AR56" s="2" t="s">
        <v>570</v>
      </c>
      <c r="AS56" s="7">
        <v>9.8757629026842101E-3</v>
      </c>
      <c r="AT56" s="7">
        <v>0</v>
      </c>
      <c r="AU56" s="7">
        <f t="shared" si="4"/>
        <v>0</v>
      </c>
      <c r="AV56" s="2" t="s">
        <v>570</v>
      </c>
      <c r="AW56" s="2" t="s">
        <v>570</v>
      </c>
      <c r="AX56" s="2" t="s">
        <v>570</v>
      </c>
      <c r="AY56" s="7">
        <v>8.2107092772916696E-2</v>
      </c>
      <c r="AZ56" s="7">
        <v>7.8469024629782974E-2</v>
      </c>
      <c r="BA56" s="7">
        <f t="shared" si="5"/>
        <v>0.15693804925956595</v>
      </c>
      <c r="BB56" s="2" t="s">
        <v>570</v>
      </c>
      <c r="BC56" s="2" t="s">
        <v>457</v>
      </c>
      <c r="BD56" s="2" t="s">
        <v>570</v>
      </c>
      <c r="BE56" s="2" t="s">
        <v>570</v>
      </c>
      <c r="BF56" s="2" t="s">
        <v>570</v>
      </c>
    </row>
    <row r="57" spans="1:58" s="2" customFormat="1">
      <c r="A57" s="2" t="s">
        <v>32</v>
      </c>
      <c r="B57" s="2" t="s">
        <v>508</v>
      </c>
      <c r="C57" s="2" t="s">
        <v>154</v>
      </c>
      <c r="D57" s="2" t="s">
        <v>155</v>
      </c>
      <c r="E57" s="2" t="s">
        <v>156</v>
      </c>
      <c r="F57" s="2" t="s">
        <v>570</v>
      </c>
      <c r="G57" s="2" t="s">
        <v>570</v>
      </c>
      <c r="H57" s="2" t="s">
        <v>570</v>
      </c>
      <c r="I57" s="2" t="s">
        <v>570</v>
      </c>
      <c r="J57" s="2">
        <v>0</v>
      </c>
      <c r="K57" s="2" t="s">
        <v>570</v>
      </c>
      <c r="L57" s="2" t="s">
        <v>570</v>
      </c>
      <c r="M57" s="2" t="s">
        <v>570</v>
      </c>
      <c r="N57" s="2" t="s">
        <v>570</v>
      </c>
      <c r="O57" s="2">
        <v>2012</v>
      </c>
      <c r="Q57" s="18"/>
      <c r="R57" s="2" t="s">
        <v>55</v>
      </c>
      <c r="S57" s="2" t="s">
        <v>288</v>
      </c>
      <c r="T57" s="2" t="s">
        <v>355</v>
      </c>
      <c r="U57" s="2" t="s">
        <v>356</v>
      </c>
      <c r="V57" s="2" t="s">
        <v>357</v>
      </c>
      <c r="W57" s="19" t="s">
        <v>358</v>
      </c>
      <c r="X57" s="19" t="s">
        <v>13</v>
      </c>
      <c r="Y57" s="2" t="s">
        <v>570</v>
      </c>
      <c r="Z57" s="2" t="s">
        <v>359</v>
      </c>
      <c r="AA57" s="2" t="s">
        <v>570</v>
      </c>
      <c r="AB57" s="2">
        <v>4</v>
      </c>
      <c r="AC57" s="2">
        <v>4</v>
      </c>
      <c r="AD57" s="2" t="s">
        <v>570</v>
      </c>
      <c r="AE57" s="2" t="s">
        <v>570</v>
      </c>
      <c r="AF57" s="2" t="s">
        <v>570</v>
      </c>
      <c r="AG57" s="2" t="s">
        <v>570</v>
      </c>
      <c r="AH57" s="2" t="s">
        <v>570</v>
      </c>
      <c r="AI57" s="2" t="s">
        <v>570</v>
      </c>
      <c r="AJ57" s="19" t="s">
        <v>40</v>
      </c>
      <c r="AK57" s="2" t="s">
        <v>570</v>
      </c>
      <c r="AL57" s="2" t="s">
        <v>17</v>
      </c>
      <c r="AM57" s="2" t="s">
        <v>570</v>
      </c>
      <c r="AN57" s="2" t="s">
        <v>570</v>
      </c>
      <c r="AO57" s="2" t="s">
        <v>570</v>
      </c>
      <c r="AP57" s="2" t="s">
        <v>570</v>
      </c>
      <c r="AQ57" s="2" t="s">
        <v>570</v>
      </c>
      <c r="AR57" s="2" t="s">
        <v>570</v>
      </c>
      <c r="AS57" s="7">
        <v>1.2413833968674201E-2</v>
      </c>
      <c r="AT57" s="7">
        <v>3.3227434148774194E-2</v>
      </c>
      <c r="AU57" s="7">
        <f t="shared" si="4"/>
        <v>6.6454868297548389E-2</v>
      </c>
      <c r="AV57" s="2" t="s">
        <v>570</v>
      </c>
      <c r="AW57" s="2" t="s">
        <v>570</v>
      </c>
      <c r="AX57" s="2" t="s">
        <v>570</v>
      </c>
      <c r="AY57" s="7">
        <v>0.58908925714511395</v>
      </c>
      <c r="AZ57" s="7">
        <v>0.20147588078818002</v>
      </c>
      <c r="BA57" s="7">
        <f t="shared" si="5"/>
        <v>0.40295176157636003</v>
      </c>
      <c r="BB57" s="2" t="s">
        <v>570</v>
      </c>
      <c r="BC57" s="2" t="s">
        <v>785</v>
      </c>
      <c r="BD57" s="2" t="s">
        <v>570</v>
      </c>
      <c r="BE57" s="2" t="s">
        <v>570</v>
      </c>
      <c r="BF57" s="2" t="s">
        <v>570</v>
      </c>
    </row>
    <row r="58" spans="1:58" s="2" customFormat="1" ht="21.6">
      <c r="A58" s="2" t="s">
        <v>32</v>
      </c>
      <c r="B58" s="2" t="s">
        <v>508</v>
      </c>
      <c r="C58" s="2" t="s">
        <v>33</v>
      </c>
      <c r="D58" s="2" t="s">
        <v>34</v>
      </c>
      <c r="E58" s="2" t="s">
        <v>35</v>
      </c>
      <c r="F58" s="2" t="s">
        <v>570</v>
      </c>
      <c r="G58" s="2" t="s">
        <v>570</v>
      </c>
      <c r="H58" s="2" t="s">
        <v>570</v>
      </c>
      <c r="I58" s="2" t="s">
        <v>570</v>
      </c>
      <c r="J58" s="2">
        <v>0</v>
      </c>
      <c r="K58" s="2" t="s">
        <v>570</v>
      </c>
      <c r="L58" s="2" t="s">
        <v>570</v>
      </c>
      <c r="M58" s="2" t="s">
        <v>570</v>
      </c>
      <c r="N58" s="2" t="s">
        <v>570</v>
      </c>
      <c r="O58" s="2">
        <v>2013</v>
      </c>
      <c r="Q58" s="18"/>
      <c r="R58" s="2" t="s">
        <v>55</v>
      </c>
      <c r="S58" s="2" t="s">
        <v>284</v>
      </c>
      <c r="T58" s="2" t="s">
        <v>36</v>
      </c>
      <c r="U58" s="2" t="s">
        <v>157</v>
      </c>
      <c r="V58" s="2" t="s">
        <v>738</v>
      </c>
      <c r="W58" s="19" t="s">
        <v>38</v>
      </c>
      <c r="X58" s="19" t="s">
        <v>131</v>
      </c>
      <c r="Y58" s="2" t="s">
        <v>570</v>
      </c>
      <c r="Z58" s="2" t="s">
        <v>158</v>
      </c>
      <c r="AA58" s="2" t="s">
        <v>570</v>
      </c>
      <c r="AB58" s="2">
        <v>4</v>
      </c>
      <c r="AC58" s="2">
        <v>4</v>
      </c>
      <c r="AD58" s="2" t="s">
        <v>570</v>
      </c>
      <c r="AE58" s="2" t="s">
        <v>570</v>
      </c>
      <c r="AF58" s="2" t="s">
        <v>570</v>
      </c>
      <c r="AG58" s="2" t="s">
        <v>570</v>
      </c>
      <c r="AH58" s="2" t="s">
        <v>570</v>
      </c>
      <c r="AI58" s="2" t="s">
        <v>570</v>
      </c>
      <c r="AJ58" s="19" t="s">
        <v>638</v>
      </c>
      <c r="AK58" s="2" t="s">
        <v>570</v>
      </c>
      <c r="AL58" s="2" t="s">
        <v>17</v>
      </c>
      <c r="AM58" s="2" t="s">
        <v>570</v>
      </c>
      <c r="AN58" s="2" t="s">
        <v>570</v>
      </c>
      <c r="AO58" s="2" t="s">
        <v>570</v>
      </c>
      <c r="AP58" s="2" t="s">
        <v>570</v>
      </c>
      <c r="AQ58" s="2" t="s">
        <v>570</v>
      </c>
      <c r="AR58" s="2" t="s">
        <v>570</v>
      </c>
      <c r="AS58" s="7">
        <v>0.13</v>
      </c>
      <c r="AT58" s="7">
        <v>0.06</v>
      </c>
      <c r="AU58" s="7">
        <f t="shared" si="4"/>
        <v>0.12</v>
      </c>
      <c r="AV58" s="2" t="s">
        <v>570</v>
      </c>
      <c r="AW58" s="2" t="s">
        <v>570</v>
      </c>
      <c r="AX58" s="2" t="s">
        <v>570</v>
      </c>
      <c r="AY58" s="7">
        <v>0.06</v>
      </c>
      <c r="AZ58" s="7">
        <v>0.03</v>
      </c>
      <c r="BA58" s="7">
        <f t="shared" si="5"/>
        <v>0.06</v>
      </c>
      <c r="BB58" s="2" t="s">
        <v>570</v>
      </c>
      <c r="BC58" s="2" t="s">
        <v>457</v>
      </c>
      <c r="BD58" s="2" t="s">
        <v>570</v>
      </c>
      <c r="BE58" s="2" t="s">
        <v>570</v>
      </c>
      <c r="BF58" s="2" t="s">
        <v>570</v>
      </c>
    </row>
    <row r="59" spans="1:58" s="2" customFormat="1">
      <c r="A59" s="2" t="s">
        <v>32</v>
      </c>
      <c r="B59" s="2" t="s">
        <v>508</v>
      </c>
      <c r="C59" s="2" t="s">
        <v>33</v>
      </c>
      <c r="D59" s="2" t="s">
        <v>34</v>
      </c>
      <c r="E59" s="2" t="s">
        <v>35</v>
      </c>
      <c r="F59" s="2" t="s">
        <v>570</v>
      </c>
      <c r="G59" s="2" t="s">
        <v>570</v>
      </c>
      <c r="H59" s="2" t="s">
        <v>570</v>
      </c>
      <c r="I59" s="2" t="s">
        <v>570</v>
      </c>
      <c r="J59" s="2">
        <v>0</v>
      </c>
      <c r="K59" s="2" t="s">
        <v>570</v>
      </c>
      <c r="L59" s="2" t="s">
        <v>570</v>
      </c>
      <c r="M59" s="2" t="s">
        <v>570</v>
      </c>
      <c r="N59" s="2" t="s">
        <v>570</v>
      </c>
      <c r="O59" s="2">
        <v>2013</v>
      </c>
      <c r="Q59" s="18"/>
      <c r="R59" s="2" t="s">
        <v>55</v>
      </c>
      <c r="S59" s="2" t="s">
        <v>284</v>
      </c>
      <c r="T59" s="2" t="s">
        <v>36</v>
      </c>
      <c r="U59" s="2" t="s">
        <v>157</v>
      </c>
      <c r="V59" s="2" t="s">
        <v>738</v>
      </c>
      <c r="W59" s="19" t="s">
        <v>38</v>
      </c>
      <c r="X59" s="19" t="s">
        <v>131</v>
      </c>
      <c r="Y59" s="2" t="s">
        <v>570</v>
      </c>
      <c r="Z59" s="2" t="s">
        <v>158</v>
      </c>
      <c r="AA59" s="2" t="s">
        <v>570</v>
      </c>
      <c r="AB59" s="2">
        <v>4</v>
      </c>
      <c r="AC59" s="2">
        <v>4</v>
      </c>
      <c r="AD59" s="2" t="s">
        <v>570</v>
      </c>
      <c r="AE59" s="2" t="s">
        <v>570</v>
      </c>
      <c r="AF59" s="2" t="s">
        <v>570</v>
      </c>
      <c r="AG59" s="2" t="s">
        <v>570</v>
      </c>
      <c r="AH59" s="2" t="s">
        <v>570</v>
      </c>
      <c r="AI59" s="2" t="s">
        <v>570</v>
      </c>
      <c r="AJ59" s="19" t="s">
        <v>40</v>
      </c>
      <c r="AK59" s="2" t="s">
        <v>570</v>
      </c>
      <c r="AL59" s="2" t="s">
        <v>17</v>
      </c>
      <c r="AM59" s="2" t="s">
        <v>570</v>
      </c>
      <c r="AN59" s="2" t="s">
        <v>570</v>
      </c>
      <c r="AO59" s="2" t="s">
        <v>570</v>
      </c>
      <c r="AP59" s="2" t="s">
        <v>570</v>
      </c>
      <c r="AQ59" s="2" t="s">
        <v>570</v>
      </c>
      <c r="AR59" s="2" t="s">
        <v>570</v>
      </c>
      <c r="AS59" s="7">
        <v>0.73</v>
      </c>
      <c r="AT59" s="7">
        <v>9.9999999999999978E-2</v>
      </c>
      <c r="AU59" s="7">
        <f t="shared" si="4"/>
        <v>0.19999999999999996</v>
      </c>
      <c r="AV59" s="2" t="s">
        <v>570</v>
      </c>
      <c r="AW59" s="2" t="s">
        <v>570</v>
      </c>
      <c r="AX59" s="2" t="s">
        <v>570</v>
      </c>
      <c r="AY59" s="7">
        <v>0.75</v>
      </c>
      <c r="AZ59" s="7">
        <v>4.0000000000000036E-2</v>
      </c>
      <c r="BA59" s="7">
        <f t="shared" si="5"/>
        <v>8.0000000000000071E-2</v>
      </c>
      <c r="BB59" s="2" t="s">
        <v>570</v>
      </c>
      <c r="BC59" s="2" t="s">
        <v>457</v>
      </c>
      <c r="BD59" s="2" t="s">
        <v>570</v>
      </c>
      <c r="BE59" s="2" t="s">
        <v>570</v>
      </c>
      <c r="BF59" s="2" t="s">
        <v>570</v>
      </c>
    </row>
    <row r="60" spans="1:58" s="2" customFormat="1" ht="21.6">
      <c r="A60" s="2" t="s">
        <v>32</v>
      </c>
      <c r="B60" s="2" t="s">
        <v>508</v>
      </c>
      <c r="C60" s="2" t="s">
        <v>33</v>
      </c>
      <c r="D60" s="2" t="s">
        <v>34</v>
      </c>
      <c r="E60" s="2" t="s">
        <v>35</v>
      </c>
      <c r="F60" s="2" t="s">
        <v>570</v>
      </c>
      <c r="G60" s="2" t="s">
        <v>570</v>
      </c>
      <c r="H60" s="2" t="s">
        <v>570</v>
      </c>
      <c r="I60" s="2" t="s">
        <v>570</v>
      </c>
      <c r="J60" s="2">
        <v>0</v>
      </c>
      <c r="K60" s="2" t="s">
        <v>570</v>
      </c>
      <c r="L60" s="2" t="s">
        <v>570</v>
      </c>
      <c r="M60" s="2" t="s">
        <v>570</v>
      </c>
      <c r="N60" s="2" t="s">
        <v>570</v>
      </c>
      <c r="O60" s="2">
        <v>2013</v>
      </c>
      <c r="Q60" s="18"/>
      <c r="R60" s="2" t="s">
        <v>55</v>
      </c>
      <c r="S60" s="2" t="s">
        <v>284</v>
      </c>
      <c r="T60" s="2" t="s">
        <v>715</v>
      </c>
      <c r="U60" s="2" t="s">
        <v>360</v>
      </c>
      <c r="V60" s="2" t="s">
        <v>717</v>
      </c>
      <c r="W60" s="19" t="s">
        <v>535</v>
      </c>
      <c r="X60" s="19" t="s">
        <v>13</v>
      </c>
      <c r="Y60" s="2" t="s">
        <v>570</v>
      </c>
      <c r="Z60" s="2" t="s">
        <v>158</v>
      </c>
      <c r="AA60" s="2" t="s">
        <v>570</v>
      </c>
      <c r="AB60" s="2">
        <v>4</v>
      </c>
      <c r="AC60" s="2">
        <v>4</v>
      </c>
      <c r="AD60" s="2" t="s">
        <v>570</v>
      </c>
      <c r="AE60" s="2" t="s">
        <v>570</v>
      </c>
      <c r="AF60" s="2" t="s">
        <v>570</v>
      </c>
      <c r="AG60" s="2" t="s">
        <v>570</v>
      </c>
      <c r="AH60" s="2" t="s">
        <v>570</v>
      </c>
      <c r="AI60" s="2" t="s">
        <v>570</v>
      </c>
      <c r="AJ60" s="19" t="s">
        <v>638</v>
      </c>
      <c r="AK60" s="2" t="s">
        <v>570</v>
      </c>
      <c r="AL60" s="2" t="s">
        <v>17</v>
      </c>
      <c r="AM60" s="2" t="s">
        <v>570</v>
      </c>
      <c r="AN60" s="2" t="s">
        <v>570</v>
      </c>
      <c r="AO60" s="2" t="s">
        <v>570</v>
      </c>
      <c r="AP60" s="2" t="s">
        <v>570</v>
      </c>
      <c r="AQ60" s="2" t="s">
        <v>570</v>
      </c>
      <c r="AR60" s="2" t="s">
        <v>570</v>
      </c>
      <c r="AS60" s="7">
        <v>0.11</v>
      </c>
      <c r="AT60" s="7">
        <v>3.9999999999999994E-2</v>
      </c>
      <c r="AU60" s="7">
        <f t="shared" si="4"/>
        <v>7.9999999999999988E-2</v>
      </c>
      <c r="AV60" s="2" t="s">
        <v>570</v>
      </c>
      <c r="AW60" s="2" t="s">
        <v>570</v>
      </c>
      <c r="AX60" s="2" t="s">
        <v>570</v>
      </c>
      <c r="AY60" s="7">
        <v>0.06</v>
      </c>
      <c r="AZ60" s="7">
        <v>0.03</v>
      </c>
      <c r="BA60" s="7">
        <f t="shared" si="5"/>
        <v>0.06</v>
      </c>
      <c r="BB60" s="2" t="s">
        <v>570</v>
      </c>
      <c r="BC60" s="2" t="s">
        <v>457</v>
      </c>
      <c r="BD60" s="2" t="s">
        <v>570</v>
      </c>
      <c r="BE60" s="2" t="s">
        <v>570</v>
      </c>
      <c r="BF60" s="2" t="s">
        <v>570</v>
      </c>
    </row>
    <row r="61" spans="1:58" s="2" customFormat="1">
      <c r="A61" s="2" t="s">
        <v>32</v>
      </c>
      <c r="B61" s="2" t="s">
        <v>508</v>
      </c>
      <c r="C61" s="2" t="s">
        <v>33</v>
      </c>
      <c r="D61" s="2" t="s">
        <v>34</v>
      </c>
      <c r="E61" s="2" t="s">
        <v>35</v>
      </c>
      <c r="F61" s="2" t="s">
        <v>570</v>
      </c>
      <c r="G61" s="2" t="s">
        <v>570</v>
      </c>
      <c r="H61" s="2" t="s">
        <v>570</v>
      </c>
      <c r="I61" s="2" t="s">
        <v>570</v>
      </c>
      <c r="J61" s="2">
        <v>0</v>
      </c>
      <c r="K61" s="2" t="s">
        <v>570</v>
      </c>
      <c r="L61" s="2" t="s">
        <v>570</v>
      </c>
      <c r="M61" s="2" t="s">
        <v>570</v>
      </c>
      <c r="N61" s="2" t="s">
        <v>570</v>
      </c>
      <c r="O61" s="2">
        <v>2013</v>
      </c>
      <c r="Q61" s="18"/>
      <c r="R61" s="2" t="s">
        <v>55</v>
      </c>
      <c r="S61" s="2" t="s">
        <v>284</v>
      </c>
      <c r="T61" s="2" t="s">
        <v>715</v>
      </c>
      <c r="U61" s="2" t="s">
        <v>360</v>
      </c>
      <c r="V61" s="2" t="s">
        <v>717</v>
      </c>
      <c r="W61" s="19" t="s">
        <v>535</v>
      </c>
      <c r="X61" s="19" t="s">
        <v>13</v>
      </c>
      <c r="Y61" s="2" t="s">
        <v>570</v>
      </c>
      <c r="Z61" s="2" t="s">
        <v>158</v>
      </c>
      <c r="AA61" s="2" t="s">
        <v>570</v>
      </c>
      <c r="AB61" s="2">
        <v>4</v>
      </c>
      <c r="AC61" s="2">
        <v>4</v>
      </c>
      <c r="AD61" s="2" t="s">
        <v>570</v>
      </c>
      <c r="AE61" s="2" t="s">
        <v>570</v>
      </c>
      <c r="AF61" s="2" t="s">
        <v>570</v>
      </c>
      <c r="AG61" s="2" t="s">
        <v>570</v>
      </c>
      <c r="AH61" s="2" t="s">
        <v>570</v>
      </c>
      <c r="AI61" s="2" t="s">
        <v>570</v>
      </c>
      <c r="AJ61" s="19" t="s">
        <v>40</v>
      </c>
      <c r="AK61" s="2" t="s">
        <v>570</v>
      </c>
      <c r="AL61" s="2" t="s">
        <v>17</v>
      </c>
      <c r="AM61" s="2" t="s">
        <v>570</v>
      </c>
      <c r="AN61" s="2" t="s">
        <v>570</v>
      </c>
      <c r="AO61" s="2" t="s">
        <v>570</v>
      </c>
      <c r="AP61" s="2" t="s">
        <v>570</v>
      </c>
      <c r="AQ61" s="2" t="s">
        <v>570</v>
      </c>
      <c r="AR61" s="2" t="s">
        <v>570</v>
      </c>
      <c r="AS61" s="7">
        <v>0.59</v>
      </c>
      <c r="AT61" s="7">
        <v>4.0000000000000036E-2</v>
      </c>
      <c r="AU61" s="7">
        <f t="shared" si="4"/>
        <v>8.0000000000000071E-2</v>
      </c>
      <c r="AV61" s="2" t="s">
        <v>570</v>
      </c>
      <c r="AW61" s="2" t="s">
        <v>570</v>
      </c>
      <c r="AX61" s="2" t="s">
        <v>570</v>
      </c>
      <c r="AY61" s="7">
        <v>0.75</v>
      </c>
      <c r="AZ61" s="7">
        <v>4.0000000000000036E-2</v>
      </c>
      <c r="BA61" s="7">
        <f t="shared" si="5"/>
        <v>8.0000000000000071E-2</v>
      </c>
      <c r="BB61" s="2" t="s">
        <v>570</v>
      </c>
      <c r="BC61" s="2" t="s">
        <v>457</v>
      </c>
      <c r="BD61" s="2" t="s">
        <v>570</v>
      </c>
      <c r="BE61" s="2" t="s">
        <v>570</v>
      </c>
      <c r="BF61" s="2" t="s">
        <v>570</v>
      </c>
    </row>
    <row r="62" spans="1:58" s="2" customFormat="1" ht="21.6">
      <c r="A62" s="2" t="s">
        <v>32</v>
      </c>
      <c r="B62" s="2" t="s">
        <v>508</v>
      </c>
      <c r="C62" s="2" t="s">
        <v>33</v>
      </c>
      <c r="D62" s="2" t="s">
        <v>34</v>
      </c>
      <c r="E62" s="2" t="s">
        <v>35</v>
      </c>
      <c r="F62" s="2" t="s">
        <v>570</v>
      </c>
      <c r="G62" s="2" t="s">
        <v>570</v>
      </c>
      <c r="H62" s="2" t="s">
        <v>570</v>
      </c>
      <c r="I62" s="2" t="s">
        <v>570</v>
      </c>
      <c r="J62" s="2">
        <v>0</v>
      </c>
      <c r="K62" s="2" t="s">
        <v>570</v>
      </c>
      <c r="L62" s="2" t="s">
        <v>570</v>
      </c>
      <c r="M62" s="2" t="s">
        <v>570</v>
      </c>
      <c r="N62" s="2" t="s">
        <v>570</v>
      </c>
      <c r="O62" s="2">
        <v>2013</v>
      </c>
      <c r="Q62" s="18"/>
      <c r="R62" s="2" t="s">
        <v>55</v>
      </c>
      <c r="S62" s="2" t="s">
        <v>288</v>
      </c>
      <c r="T62" s="2" t="s">
        <v>533</v>
      </c>
      <c r="U62" s="2" t="s">
        <v>351</v>
      </c>
      <c r="V62" s="2" t="s">
        <v>352</v>
      </c>
      <c r="W62" s="19" t="s">
        <v>353</v>
      </c>
      <c r="X62" s="19" t="s">
        <v>13</v>
      </c>
      <c r="Y62" s="2" t="s">
        <v>570</v>
      </c>
      <c r="Z62" s="2" t="s">
        <v>366</v>
      </c>
      <c r="AA62" s="2" t="s">
        <v>570</v>
      </c>
      <c r="AB62" s="2">
        <v>4</v>
      </c>
      <c r="AC62" s="2">
        <v>4</v>
      </c>
      <c r="AD62" s="2" t="s">
        <v>570</v>
      </c>
      <c r="AE62" s="2" t="s">
        <v>570</v>
      </c>
      <c r="AF62" s="2" t="s">
        <v>570</v>
      </c>
      <c r="AG62" s="2" t="s">
        <v>570</v>
      </c>
      <c r="AH62" s="2" t="s">
        <v>570</v>
      </c>
      <c r="AI62" s="2" t="s">
        <v>570</v>
      </c>
      <c r="AJ62" s="19" t="s">
        <v>638</v>
      </c>
      <c r="AK62" s="2" t="s">
        <v>570</v>
      </c>
      <c r="AL62" s="2" t="s">
        <v>17</v>
      </c>
      <c r="AM62" s="2" t="s">
        <v>570</v>
      </c>
      <c r="AN62" s="2" t="s">
        <v>570</v>
      </c>
      <c r="AO62" s="2" t="s">
        <v>570</v>
      </c>
      <c r="AP62" s="2" t="s">
        <v>570</v>
      </c>
      <c r="AQ62" s="2" t="s">
        <v>570</v>
      </c>
      <c r="AR62" s="2" t="s">
        <v>570</v>
      </c>
      <c r="AS62" s="7">
        <v>0.05</v>
      </c>
      <c r="AT62" s="7">
        <v>2.0000000000000004E-2</v>
      </c>
      <c r="AU62" s="7">
        <f t="shared" si="4"/>
        <v>4.0000000000000008E-2</v>
      </c>
      <c r="AV62" s="2" t="s">
        <v>570</v>
      </c>
      <c r="AW62" s="2" t="s">
        <v>570</v>
      </c>
      <c r="AX62" s="2" t="s">
        <v>570</v>
      </c>
      <c r="AY62" s="7">
        <v>7.0000000000000007E-2</v>
      </c>
      <c r="AZ62" s="7">
        <v>1.999999999999999E-2</v>
      </c>
      <c r="BA62" s="7">
        <f t="shared" si="5"/>
        <v>3.999999999999998E-2</v>
      </c>
      <c r="BB62" s="2" t="s">
        <v>570</v>
      </c>
      <c r="BC62" s="2" t="s">
        <v>457</v>
      </c>
      <c r="BD62" s="2" t="s">
        <v>570</v>
      </c>
      <c r="BE62" s="2" t="s">
        <v>570</v>
      </c>
      <c r="BF62" s="2" t="s">
        <v>570</v>
      </c>
    </row>
    <row r="63" spans="1:58" s="2" customFormat="1">
      <c r="A63" s="2" t="s">
        <v>32</v>
      </c>
      <c r="B63" s="2" t="s">
        <v>508</v>
      </c>
      <c r="C63" s="2" t="s">
        <v>33</v>
      </c>
      <c r="D63" s="2" t="s">
        <v>34</v>
      </c>
      <c r="E63" s="2" t="s">
        <v>35</v>
      </c>
      <c r="F63" s="2" t="s">
        <v>570</v>
      </c>
      <c r="G63" s="2" t="s">
        <v>570</v>
      </c>
      <c r="H63" s="2" t="s">
        <v>570</v>
      </c>
      <c r="I63" s="2" t="s">
        <v>570</v>
      </c>
      <c r="J63" s="2">
        <v>0</v>
      </c>
      <c r="K63" s="2" t="s">
        <v>570</v>
      </c>
      <c r="L63" s="2" t="s">
        <v>570</v>
      </c>
      <c r="M63" s="2" t="s">
        <v>570</v>
      </c>
      <c r="N63" s="2" t="s">
        <v>570</v>
      </c>
      <c r="O63" s="2">
        <v>2013</v>
      </c>
      <c r="Q63" s="18"/>
      <c r="R63" s="2" t="s">
        <v>55</v>
      </c>
      <c r="S63" s="2" t="s">
        <v>288</v>
      </c>
      <c r="T63" s="2" t="s">
        <v>533</v>
      </c>
      <c r="U63" s="2" t="s">
        <v>351</v>
      </c>
      <c r="V63" s="2" t="s">
        <v>352</v>
      </c>
      <c r="W63" s="19" t="s">
        <v>353</v>
      </c>
      <c r="X63" s="19" t="s">
        <v>13</v>
      </c>
      <c r="Y63" s="2" t="s">
        <v>570</v>
      </c>
      <c r="Z63" s="2" t="s">
        <v>366</v>
      </c>
      <c r="AA63" s="2" t="s">
        <v>570</v>
      </c>
      <c r="AB63" s="2">
        <v>4</v>
      </c>
      <c r="AC63" s="2">
        <v>4</v>
      </c>
      <c r="AD63" s="2" t="s">
        <v>570</v>
      </c>
      <c r="AE63" s="2" t="s">
        <v>570</v>
      </c>
      <c r="AF63" s="2" t="s">
        <v>570</v>
      </c>
      <c r="AG63" s="2" t="s">
        <v>570</v>
      </c>
      <c r="AH63" s="2" t="s">
        <v>570</v>
      </c>
      <c r="AI63" s="2" t="s">
        <v>570</v>
      </c>
      <c r="AJ63" s="19" t="s">
        <v>40</v>
      </c>
      <c r="AK63" s="2" t="s">
        <v>570</v>
      </c>
      <c r="AL63" s="2" t="s">
        <v>17</v>
      </c>
      <c r="AM63" s="2" t="s">
        <v>570</v>
      </c>
      <c r="AN63" s="2" t="s">
        <v>570</v>
      </c>
      <c r="AO63" s="2" t="s">
        <v>570</v>
      </c>
      <c r="AP63" s="2" t="s">
        <v>570</v>
      </c>
      <c r="AQ63" s="2" t="s">
        <v>570</v>
      </c>
      <c r="AR63" s="2" t="s">
        <v>570</v>
      </c>
      <c r="AS63" s="7">
        <v>0.49</v>
      </c>
      <c r="AT63" s="7">
        <v>7.0000000000000062E-2</v>
      </c>
      <c r="AU63" s="7">
        <f t="shared" si="4"/>
        <v>0.14000000000000012</v>
      </c>
      <c r="AV63" s="2" t="s">
        <v>570</v>
      </c>
      <c r="AW63" s="2" t="s">
        <v>570</v>
      </c>
      <c r="AX63" s="2" t="s">
        <v>570</v>
      </c>
      <c r="AY63" s="7">
        <v>0.63</v>
      </c>
      <c r="AZ63" s="7">
        <v>8.9999999999999969E-2</v>
      </c>
      <c r="BA63" s="7">
        <f t="shared" si="5"/>
        <v>0.17999999999999994</v>
      </c>
      <c r="BB63" s="2" t="s">
        <v>570</v>
      </c>
      <c r="BC63" s="2" t="s">
        <v>457</v>
      </c>
      <c r="BD63" s="2" t="s">
        <v>570</v>
      </c>
      <c r="BE63" s="2" t="s">
        <v>570</v>
      </c>
      <c r="BF63" s="2" t="s">
        <v>570</v>
      </c>
    </row>
    <row r="64" spans="1:58" s="2" customFormat="1" ht="21.6">
      <c r="A64" s="2" t="s">
        <v>32</v>
      </c>
      <c r="B64" s="2" t="s">
        <v>508</v>
      </c>
      <c r="C64" s="2" t="s">
        <v>33</v>
      </c>
      <c r="D64" s="2" t="s">
        <v>34</v>
      </c>
      <c r="E64" s="2" t="s">
        <v>35</v>
      </c>
      <c r="F64" s="2" t="s">
        <v>570</v>
      </c>
      <c r="G64" s="2" t="s">
        <v>570</v>
      </c>
      <c r="H64" s="2" t="s">
        <v>570</v>
      </c>
      <c r="I64" s="2" t="s">
        <v>570</v>
      </c>
      <c r="J64" s="2">
        <v>0</v>
      </c>
      <c r="K64" s="2" t="s">
        <v>570</v>
      </c>
      <c r="L64" s="2" t="s">
        <v>570</v>
      </c>
      <c r="M64" s="2" t="s">
        <v>570</v>
      </c>
      <c r="N64" s="2" t="s">
        <v>570</v>
      </c>
      <c r="O64" s="2">
        <v>2013</v>
      </c>
      <c r="Q64" s="18"/>
      <c r="R64" s="2" t="s">
        <v>55</v>
      </c>
      <c r="S64" s="2" t="s">
        <v>288</v>
      </c>
      <c r="T64" s="2" t="s">
        <v>355</v>
      </c>
      <c r="U64" s="2" t="s">
        <v>356</v>
      </c>
      <c r="V64" s="2" t="s">
        <v>357</v>
      </c>
      <c r="W64" s="19" t="s">
        <v>358</v>
      </c>
      <c r="X64" s="19" t="s">
        <v>13</v>
      </c>
      <c r="Y64" s="2" t="s">
        <v>570</v>
      </c>
      <c r="Z64" s="2" t="s">
        <v>698</v>
      </c>
      <c r="AA64" s="2" t="s">
        <v>570</v>
      </c>
      <c r="AB64" s="2">
        <v>4</v>
      </c>
      <c r="AC64" s="2">
        <v>4</v>
      </c>
      <c r="AD64" s="2" t="s">
        <v>570</v>
      </c>
      <c r="AE64" s="2" t="s">
        <v>570</v>
      </c>
      <c r="AF64" s="2" t="s">
        <v>570</v>
      </c>
      <c r="AG64" s="2" t="s">
        <v>570</v>
      </c>
      <c r="AH64" s="2" t="s">
        <v>570</v>
      </c>
      <c r="AI64" s="2" t="s">
        <v>570</v>
      </c>
      <c r="AJ64" s="19" t="s">
        <v>638</v>
      </c>
      <c r="AK64" s="2" t="s">
        <v>570</v>
      </c>
      <c r="AL64" s="2" t="s">
        <v>17</v>
      </c>
      <c r="AM64" s="2" t="s">
        <v>570</v>
      </c>
      <c r="AN64" s="2" t="s">
        <v>570</v>
      </c>
      <c r="AO64" s="2" t="s">
        <v>570</v>
      </c>
      <c r="AP64" s="2" t="s">
        <v>570</v>
      </c>
      <c r="AQ64" s="2" t="s">
        <v>570</v>
      </c>
      <c r="AR64" s="2" t="s">
        <v>570</v>
      </c>
      <c r="AS64" s="7">
        <v>0</v>
      </c>
      <c r="AT64" s="7">
        <v>0.01</v>
      </c>
      <c r="AU64" s="7">
        <f t="shared" si="4"/>
        <v>0.02</v>
      </c>
      <c r="AV64" s="2" t="s">
        <v>570</v>
      </c>
      <c r="AW64" s="2" t="s">
        <v>570</v>
      </c>
      <c r="AX64" s="2" t="s">
        <v>570</v>
      </c>
      <c r="AY64" s="7">
        <v>0.04</v>
      </c>
      <c r="AZ64" s="7">
        <v>0.04</v>
      </c>
      <c r="BA64" s="7">
        <f t="shared" si="5"/>
        <v>0.08</v>
      </c>
      <c r="BB64" s="2" t="s">
        <v>570</v>
      </c>
      <c r="BC64" s="2" t="s">
        <v>785</v>
      </c>
      <c r="BD64" s="2" t="s">
        <v>570</v>
      </c>
      <c r="BE64" s="2" t="s">
        <v>570</v>
      </c>
      <c r="BF64" s="2" t="s">
        <v>570</v>
      </c>
    </row>
    <row r="65" spans="1:58" s="2" customFormat="1">
      <c r="A65" s="2" t="s">
        <v>32</v>
      </c>
      <c r="B65" s="2" t="s">
        <v>508</v>
      </c>
      <c r="C65" s="2" t="s">
        <v>33</v>
      </c>
      <c r="D65" s="2" t="s">
        <v>34</v>
      </c>
      <c r="E65" s="2" t="s">
        <v>35</v>
      </c>
      <c r="F65" s="2" t="s">
        <v>570</v>
      </c>
      <c r="G65" s="2" t="s">
        <v>570</v>
      </c>
      <c r="H65" s="2" t="s">
        <v>570</v>
      </c>
      <c r="I65" s="2" t="s">
        <v>570</v>
      </c>
      <c r="J65" s="2">
        <v>0</v>
      </c>
      <c r="K65" s="2" t="s">
        <v>570</v>
      </c>
      <c r="L65" s="2" t="s">
        <v>570</v>
      </c>
      <c r="M65" s="2" t="s">
        <v>570</v>
      </c>
      <c r="N65" s="2" t="s">
        <v>570</v>
      </c>
      <c r="O65" s="2">
        <v>2013</v>
      </c>
      <c r="Q65" s="18"/>
      <c r="R65" s="2" t="s">
        <v>55</v>
      </c>
      <c r="S65" s="2" t="s">
        <v>288</v>
      </c>
      <c r="T65" s="2" t="s">
        <v>355</v>
      </c>
      <c r="U65" s="2" t="s">
        <v>356</v>
      </c>
      <c r="V65" s="2" t="s">
        <v>357</v>
      </c>
      <c r="W65" s="19" t="s">
        <v>358</v>
      </c>
      <c r="X65" s="19" t="s">
        <v>13</v>
      </c>
      <c r="Y65" s="2" t="s">
        <v>570</v>
      </c>
      <c r="Z65" s="2" t="s">
        <v>698</v>
      </c>
      <c r="AA65" s="2" t="s">
        <v>570</v>
      </c>
      <c r="AB65" s="2">
        <v>4</v>
      </c>
      <c r="AC65" s="2">
        <v>4</v>
      </c>
      <c r="AD65" s="2" t="s">
        <v>570</v>
      </c>
      <c r="AE65" s="2" t="s">
        <v>570</v>
      </c>
      <c r="AF65" s="2" t="s">
        <v>570</v>
      </c>
      <c r="AG65" s="2" t="s">
        <v>570</v>
      </c>
      <c r="AH65" s="2" t="s">
        <v>570</v>
      </c>
      <c r="AI65" s="2" t="s">
        <v>570</v>
      </c>
      <c r="AJ65" s="19" t="s">
        <v>40</v>
      </c>
      <c r="AK65" s="2" t="s">
        <v>570</v>
      </c>
      <c r="AL65" s="2" t="s">
        <v>17</v>
      </c>
      <c r="AM65" s="2" t="s">
        <v>570</v>
      </c>
      <c r="AN65" s="2" t="s">
        <v>570</v>
      </c>
      <c r="AO65" s="2" t="s">
        <v>570</v>
      </c>
      <c r="AP65" s="2" t="s">
        <v>570</v>
      </c>
      <c r="AQ65" s="2" t="s">
        <v>570</v>
      </c>
      <c r="AR65" s="2" t="s">
        <v>570</v>
      </c>
      <c r="AS65" s="7">
        <v>0.04</v>
      </c>
      <c r="AT65" s="7">
        <v>3.0000000000000006E-2</v>
      </c>
      <c r="AU65" s="7">
        <f t="shared" si="4"/>
        <v>6.0000000000000012E-2</v>
      </c>
      <c r="AV65" s="2" t="s">
        <v>570</v>
      </c>
      <c r="AW65" s="2" t="s">
        <v>570</v>
      </c>
      <c r="AX65" s="2" t="s">
        <v>570</v>
      </c>
      <c r="AY65" s="7">
        <v>0.81</v>
      </c>
      <c r="AZ65" s="7">
        <v>7.999999999999996E-2</v>
      </c>
      <c r="BA65" s="7">
        <f t="shared" si="5"/>
        <v>0.15999999999999992</v>
      </c>
      <c r="BB65" s="2" t="s">
        <v>570</v>
      </c>
      <c r="BC65" s="2" t="s">
        <v>785</v>
      </c>
      <c r="BD65" s="2" t="s">
        <v>570</v>
      </c>
      <c r="BE65" s="2" t="s">
        <v>570</v>
      </c>
      <c r="BF65" s="2" t="s">
        <v>570</v>
      </c>
    </row>
    <row r="66" spans="1:58" s="2" customFormat="1" ht="21.6">
      <c r="A66" s="2" t="s">
        <v>32</v>
      </c>
      <c r="B66" s="2" t="s">
        <v>508</v>
      </c>
      <c r="C66" s="2" t="s">
        <v>33</v>
      </c>
      <c r="D66" s="2" t="s">
        <v>34</v>
      </c>
      <c r="E66" s="2" t="s">
        <v>35</v>
      </c>
      <c r="F66" s="2" t="s">
        <v>570</v>
      </c>
      <c r="G66" s="2" t="s">
        <v>570</v>
      </c>
      <c r="H66" s="2" t="s">
        <v>570</v>
      </c>
      <c r="I66" s="2" t="s">
        <v>570</v>
      </c>
      <c r="J66" s="2">
        <v>0</v>
      </c>
      <c r="K66" s="2" t="s">
        <v>570</v>
      </c>
      <c r="L66" s="2" t="s">
        <v>570</v>
      </c>
      <c r="M66" s="2" t="s">
        <v>570</v>
      </c>
      <c r="N66" s="2" t="s">
        <v>570</v>
      </c>
      <c r="O66" s="2">
        <v>2013</v>
      </c>
      <c r="Q66" s="18"/>
      <c r="R66" s="2" t="s">
        <v>55</v>
      </c>
      <c r="S66" s="2" t="s">
        <v>699</v>
      </c>
      <c r="T66" s="2" t="s">
        <v>517</v>
      </c>
      <c r="U66" s="2" t="s">
        <v>700</v>
      </c>
      <c r="V66" s="2" t="s">
        <v>701</v>
      </c>
      <c r="W66" s="19"/>
      <c r="X66" s="19" t="s">
        <v>14</v>
      </c>
      <c r="Y66" s="2" t="s">
        <v>570</v>
      </c>
      <c r="Z66" s="2" t="s">
        <v>702</v>
      </c>
      <c r="AA66" s="2" t="s">
        <v>570</v>
      </c>
      <c r="AB66" s="2">
        <v>4</v>
      </c>
      <c r="AC66" s="2">
        <v>4</v>
      </c>
      <c r="AD66" s="2" t="s">
        <v>570</v>
      </c>
      <c r="AE66" s="2" t="s">
        <v>570</v>
      </c>
      <c r="AF66" s="2" t="s">
        <v>570</v>
      </c>
      <c r="AG66" s="2" t="s">
        <v>570</v>
      </c>
      <c r="AH66" s="2" t="s">
        <v>570</v>
      </c>
      <c r="AI66" s="2" t="s">
        <v>570</v>
      </c>
      <c r="AJ66" s="24" t="s">
        <v>638</v>
      </c>
      <c r="AK66" s="2" t="s">
        <v>570</v>
      </c>
      <c r="AL66" s="2" t="s">
        <v>17</v>
      </c>
      <c r="AM66" s="2" t="s">
        <v>570</v>
      </c>
      <c r="AN66" s="2" t="s">
        <v>570</v>
      </c>
      <c r="AO66" s="2" t="s">
        <v>570</v>
      </c>
      <c r="AP66" s="2" t="s">
        <v>570</v>
      </c>
      <c r="AQ66" s="2" t="s">
        <v>570</v>
      </c>
      <c r="AR66" s="2" t="s">
        <v>570</v>
      </c>
      <c r="AS66" s="7">
        <v>0</v>
      </c>
      <c r="AT66" s="7">
        <v>0</v>
      </c>
      <c r="AU66" s="7">
        <f t="shared" ref="AU66:AU97" si="6">AT66*SQRT(AB66)</f>
        <v>0</v>
      </c>
      <c r="AV66" s="2" t="s">
        <v>570</v>
      </c>
      <c r="AW66" s="2" t="s">
        <v>570</v>
      </c>
      <c r="AX66" s="2" t="s">
        <v>570</v>
      </c>
      <c r="AY66" s="7">
        <v>0.17</v>
      </c>
      <c r="AZ66" s="7">
        <v>0.09</v>
      </c>
      <c r="BA66" s="7">
        <f t="shared" ref="BA66:BA97" si="7">AZ66*SQRT(AC66)</f>
        <v>0.18</v>
      </c>
      <c r="BB66" s="2" t="s">
        <v>570</v>
      </c>
      <c r="BC66" s="2" t="s">
        <v>457</v>
      </c>
      <c r="BD66" s="2" t="s">
        <v>570</v>
      </c>
      <c r="BE66" s="2" t="s">
        <v>570</v>
      </c>
      <c r="BF66" s="2" t="s">
        <v>570</v>
      </c>
    </row>
    <row r="67" spans="1:58" s="2" customFormat="1">
      <c r="A67" s="2" t="s">
        <v>32</v>
      </c>
      <c r="B67" s="2" t="s">
        <v>508</v>
      </c>
      <c r="C67" s="2" t="s">
        <v>33</v>
      </c>
      <c r="D67" s="2" t="s">
        <v>34</v>
      </c>
      <c r="E67" s="2" t="s">
        <v>35</v>
      </c>
      <c r="F67" s="2" t="s">
        <v>570</v>
      </c>
      <c r="G67" s="2" t="s">
        <v>570</v>
      </c>
      <c r="H67" s="2" t="s">
        <v>570</v>
      </c>
      <c r="I67" s="2" t="s">
        <v>570</v>
      </c>
      <c r="J67" s="2">
        <v>0</v>
      </c>
      <c r="K67" s="2" t="s">
        <v>570</v>
      </c>
      <c r="L67" s="2" t="s">
        <v>570</v>
      </c>
      <c r="M67" s="2" t="s">
        <v>570</v>
      </c>
      <c r="N67" s="2" t="s">
        <v>570</v>
      </c>
      <c r="O67" s="2">
        <v>2013</v>
      </c>
      <c r="Q67" s="18"/>
      <c r="R67" s="2" t="s">
        <v>55</v>
      </c>
      <c r="S67" s="2" t="s">
        <v>699</v>
      </c>
      <c r="T67" s="2" t="s">
        <v>517</v>
      </c>
      <c r="U67" s="2" t="s">
        <v>700</v>
      </c>
      <c r="V67" s="2" t="s">
        <v>701</v>
      </c>
      <c r="W67" s="19" t="s">
        <v>705</v>
      </c>
      <c r="X67" s="19" t="s">
        <v>14</v>
      </c>
      <c r="Y67" s="2" t="s">
        <v>570</v>
      </c>
      <c r="Z67" s="2" t="s">
        <v>702</v>
      </c>
      <c r="AA67" s="2" t="s">
        <v>570</v>
      </c>
      <c r="AB67" s="2">
        <v>4</v>
      </c>
      <c r="AC67" s="2">
        <v>4</v>
      </c>
      <c r="AD67" s="2" t="s">
        <v>570</v>
      </c>
      <c r="AE67" s="2" t="s">
        <v>570</v>
      </c>
      <c r="AF67" s="2" t="s">
        <v>570</v>
      </c>
      <c r="AG67" s="2" t="s">
        <v>570</v>
      </c>
      <c r="AH67" s="2" t="s">
        <v>570</v>
      </c>
      <c r="AI67" s="2" t="s">
        <v>570</v>
      </c>
      <c r="AJ67" s="19" t="s">
        <v>40</v>
      </c>
      <c r="AK67" s="2" t="s">
        <v>570</v>
      </c>
      <c r="AL67" s="2" t="s">
        <v>17</v>
      </c>
      <c r="AM67" s="2" t="s">
        <v>570</v>
      </c>
      <c r="AN67" s="2" t="s">
        <v>570</v>
      </c>
      <c r="AO67" s="2" t="s">
        <v>570</v>
      </c>
      <c r="AP67" s="2" t="s">
        <v>570</v>
      </c>
      <c r="AQ67" s="2" t="s">
        <v>570</v>
      </c>
      <c r="AR67" s="2" t="s">
        <v>570</v>
      </c>
      <c r="AS67" s="7">
        <v>0</v>
      </c>
      <c r="AT67" s="7">
        <v>0</v>
      </c>
      <c r="AU67" s="7">
        <f t="shared" si="6"/>
        <v>0</v>
      </c>
      <c r="AV67" s="2" t="s">
        <v>570</v>
      </c>
      <c r="AW67" s="2" t="s">
        <v>570</v>
      </c>
      <c r="AX67" s="2" t="s">
        <v>570</v>
      </c>
      <c r="AY67" s="7">
        <v>0.9</v>
      </c>
      <c r="AZ67" s="7">
        <v>3.0000000000000027E-2</v>
      </c>
      <c r="BA67" s="7">
        <f t="shared" si="7"/>
        <v>6.0000000000000053E-2</v>
      </c>
      <c r="BB67" s="2" t="s">
        <v>570</v>
      </c>
      <c r="BC67" s="2" t="s">
        <v>785</v>
      </c>
      <c r="BD67" s="2" t="s">
        <v>570</v>
      </c>
      <c r="BE67" s="2" t="s">
        <v>570</v>
      </c>
      <c r="BF67" s="2" t="s">
        <v>570</v>
      </c>
    </row>
    <row r="68" spans="1:58" s="2" customFormat="1" ht="21.6">
      <c r="A68" s="2" t="s">
        <v>32</v>
      </c>
      <c r="B68" s="2" t="s">
        <v>508</v>
      </c>
      <c r="C68" s="2" t="s">
        <v>154</v>
      </c>
      <c r="D68" s="2" t="s">
        <v>155</v>
      </c>
      <c r="E68" s="2" t="s">
        <v>156</v>
      </c>
      <c r="F68" s="2" t="s">
        <v>570</v>
      </c>
      <c r="G68" s="2" t="s">
        <v>570</v>
      </c>
      <c r="H68" s="2" t="s">
        <v>570</v>
      </c>
      <c r="I68" s="2" t="s">
        <v>570</v>
      </c>
      <c r="J68" s="2">
        <v>0</v>
      </c>
      <c r="K68" s="2" t="s">
        <v>570</v>
      </c>
      <c r="L68" s="2" t="s">
        <v>570</v>
      </c>
      <c r="M68" s="2" t="s">
        <v>570</v>
      </c>
      <c r="N68" s="2" t="s">
        <v>570</v>
      </c>
      <c r="O68" s="2">
        <v>2013</v>
      </c>
      <c r="Q68" s="18"/>
      <c r="R68" s="2" t="s">
        <v>55</v>
      </c>
      <c r="S68" s="2" t="s">
        <v>284</v>
      </c>
      <c r="T68" s="2" t="s">
        <v>36</v>
      </c>
      <c r="U68" s="2" t="s">
        <v>157</v>
      </c>
      <c r="V68" s="2" t="s">
        <v>738</v>
      </c>
      <c r="W68" s="19" t="s">
        <v>38</v>
      </c>
      <c r="X68" s="19" t="s">
        <v>131</v>
      </c>
      <c r="Y68" s="2" t="s">
        <v>570</v>
      </c>
      <c r="Z68" s="2" t="s">
        <v>158</v>
      </c>
      <c r="AA68" s="2" t="s">
        <v>570</v>
      </c>
      <c r="AB68" s="2">
        <v>4</v>
      </c>
      <c r="AC68" s="2">
        <v>4</v>
      </c>
      <c r="AD68" s="2" t="s">
        <v>570</v>
      </c>
      <c r="AE68" s="2" t="s">
        <v>570</v>
      </c>
      <c r="AF68" s="2" t="s">
        <v>570</v>
      </c>
      <c r="AG68" s="2" t="s">
        <v>570</v>
      </c>
      <c r="AH68" s="2" t="s">
        <v>570</v>
      </c>
      <c r="AI68" s="2" t="s">
        <v>570</v>
      </c>
      <c r="AJ68" s="24" t="s">
        <v>638</v>
      </c>
      <c r="AK68" s="2" t="s">
        <v>570</v>
      </c>
      <c r="AL68" s="2" t="s">
        <v>17</v>
      </c>
      <c r="AM68" s="2" t="s">
        <v>570</v>
      </c>
      <c r="AN68" s="2" t="s">
        <v>570</v>
      </c>
      <c r="AO68" s="2" t="s">
        <v>570</v>
      </c>
      <c r="AP68" s="2" t="s">
        <v>570</v>
      </c>
      <c r="AQ68" s="2" t="s">
        <v>570</v>
      </c>
      <c r="AR68" s="2" t="s">
        <v>570</v>
      </c>
      <c r="AS68" s="7">
        <v>0</v>
      </c>
      <c r="AT68" s="7">
        <v>0</v>
      </c>
      <c r="AU68" s="7">
        <f t="shared" si="6"/>
        <v>0</v>
      </c>
      <c r="AV68" s="2" t="s">
        <v>570</v>
      </c>
      <c r="AW68" s="2" t="s">
        <v>570</v>
      </c>
      <c r="AX68" s="2" t="s">
        <v>570</v>
      </c>
      <c r="AY68" s="7">
        <v>0.03</v>
      </c>
      <c r="AZ68" s="7">
        <v>2.0000000000000004E-2</v>
      </c>
      <c r="BA68" s="7">
        <f t="shared" si="7"/>
        <v>4.0000000000000008E-2</v>
      </c>
      <c r="BB68" s="2" t="s">
        <v>570</v>
      </c>
      <c r="BC68" s="2" t="s">
        <v>457</v>
      </c>
      <c r="BD68" s="2" t="s">
        <v>570</v>
      </c>
      <c r="BE68" s="2" t="s">
        <v>570</v>
      </c>
      <c r="BF68" s="2" t="s">
        <v>570</v>
      </c>
    </row>
    <row r="69" spans="1:58" s="2" customFormat="1">
      <c r="A69" s="2" t="s">
        <v>32</v>
      </c>
      <c r="B69" s="2" t="s">
        <v>508</v>
      </c>
      <c r="C69" s="2" t="s">
        <v>154</v>
      </c>
      <c r="D69" s="2" t="s">
        <v>155</v>
      </c>
      <c r="E69" s="2" t="s">
        <v>156</v>
      </c>
      <c r="F69" s="2" t="s">
        <v>570</v>
      </c>
      <c r="G69" s="2" t="s">
        <v>570</v>
      </c>
      <c r="H69" s="2" t="s">
        <v>570</v>
      </c>
      <c r="I69" s="2" t="s">
        <v>570</v>
      </c>
      <c r="J69" s="2">
        <v>0</v>
      </c>
      <c r="K69" s="2" t="s">
        <v>570</v>
      </c>
      <c r="L69" s="2" t="s">
        <v>570</v>
      </c>
      <c r="M69" s="2" t="s">
        <v>570</v>
      </c>
      <c r="N69" s="2" t="s">
        <v>570</v>
      </c>
      <c r="O69" s="2">
        <v>2013</v>
      </c>
      <c r="Q69" s="18"/>
      <c r="R69" s="2" t="s">
        <v>55</v>
      </c>
      <c r="S69" s="2" t="s">
        <v>284</v>
      </c>
      <c r="T69" s="2" t="s">
        <v>36</v>
      </c>
      <c r="U69" s="2" t="s">
        <v>157</v>
      </c>
      <c r="V69" s="2" t="s">
        <v>738</v>
      </c>
      <c r="W69" s="19" t="s">
        <v>38</v>
      </c>
      <c r="X69" s="19" t="s">
        <v>131</v>
      </c>
      <c r="Y69" s="2" t="s">
        <v>570</v>
      </c>
      <c r="Z69" s="2" t="s">
        <v>158</v>
      </c>
      <c r="AA69" s="2" t="s">
        <v>570</v>
      </c>
      <c r="AB69" s="2">
        <v>4</v>
      </c>
      <c r="AC69" s="2">
        <v>4</v>
      </c>
      <c r="AD69" s="2" t="s">
        <v>570</v>
      </c>
      <c r="AE69" s="2" t="s">
        <v>570</v>
      </c>
      <c r="AF69" s="2" t="s">
        <v>570</v>
      </c>
      <c r="AG69" s="2" t="s">
        <v>570</v>
      </c>
      <c r="AH69" s="2" t="s">
        <v>570</v>
      </c>
      <c r="AI69" s="2" t="s">
        <v>570</v>
      </c>
      <c r="AJ69" s="19" t="s">
        <v>40</v>
      </c>
      <c r="AK69" s="2" t="s">
        <v>570</v>
      </c>
      <c r="AL69" s="2" t="s">
        <v>17</v>
      </c>
      <c r="AM69" s="2" t="s">
        <v>570</v>
      </c>
      <c r="AN69" s="2" t="s">
        <v>570</v>
      </c>
      <c r="AO69" s="2" t="s">
        <v>570</v>
      </c>
      <c r="AP69" s="2" t="s">
        <v>570</v>
      </c>
      <c r="AQ69" s="2" t="s">
        <v>570</v>
      </c>
      <c r="AR69" s="2" t="s">
        <v>570</v>
      </c>
      <c r="AS69" s="7">
        <v>0.1</v>
      </c>
      <c r="AT69" s="7">
        <v>1.999999999999999E-2</v>
      </c>
      <c r="AU69" s="7">
        <f t="shared" si="6"/>
        <v>3.999999999999998E-2</v>
      </c>
      <c r="AV69" s="2" t="s">
        <v>570</v>
      </c>
      <c r="AW69" s="2" t="s">
        <v>570</v>
      </c>
      <c r="AX69" s="2" t="s">
        <v>570</v>
      </c>
      <c r="AY69" s="7">
        <v>0.17</v>
      </c>
      <c r="AZ69" s="7">
        <v>3.999999999999998E-2</v>
      </c>
      <c r="BA69" s="7">
        <f t="shared" si="7"/>
        <v>7.999999999999996E-2</v>
      </c>
      <c r="BB69" s="2" t="s">
        <v>570</v>
      </c>
      <c r="BC69" s="2" t="s">
        <v>457</v>
      </c>
      <c r="BD69" s="2" t="s">
        <v>570</v>
      </c>
      <c r="BE69" s="2" t="s">
        <v>570</v>
      </c>
      <c r="BF69" s="2" t="s">
        <v>570</v>
      </c>
    </row>
    <row r="70" spans="1:58" s="2" customFormat="1" ht="21.6">
      <c r="A70" s="2" t="s">
        <v>32</v>
      </c>
      <c r="B70" s="2" t="s">
        <v>508</v>
      </c>
      <c r="C70" s="2" t="s">
        <v>154</v>
      </c>
      <c r="D70" s="2" t="s">
        <v>155</v>
      </c>
      <c r="E70" s="2" t="s">
        <v>156</v>
      </c>
      <c r="F70" s="2" t="s">
        <v>570</v>
      </c>
      <c r="G70" s="2" t="s">
        <v>570</v>
      </c>
      <c r="H70" s="2" t="s">
        <v>570</v>
      </c>
      <c r="I70" s="2" t="s">
        <v>570</v>
      </c>
      <c r="J70" s="2">
        <v>0</v>
      </c>
      <c r="K70" s="2" t="s">
        <v>570</v>
      </c>
      <c r="L70" s="2" t="s">
        <v>570</v>
      </c>
      <c r="M70" s="2" t="s">
        <v>570</v>
      </c>
      <c r="N70" s="2" t="s">
        <v>570</v>
      </c>
      <c r="O70" s="2">
        <v>2013</v>
      </c>
      <c r="Q70" s="18"/>
      <c r="R70" s="2" t="s">
        <v>55</v>
      </c>
      <c r="S70" s="2" t="s">
        <v>284</v>
      </c>
      <c r="T70" s="2" t="s">
        <v>715</v>
      </c>
      <c r="U70" s="2" t="s">
        <v>360</v>
      </c>
      <c r="V70" s="2" t="s">
        <v>717</v>
      </c>
      <c r="W70" s="19" t="s">
        <v>535</v>
      </c>
      <c r="X70" s="19" t="s">
        <v>13</v>
      </c>
      <c r="Y70" s="2" t="s">
        <v>570</v>
      </c>
      <c r="Z70" s="2" t="s">
        <v>158</v>
      </c>
      <c r="AA70" s="2" t="s">
        <v>570</v>
      </c>
      <c r="AB70" s="2">
        <v>4</v>
      </c>
      <c r="AC70" s="2">
        <v>4</v>
      </c>
      <c r="AD70" s="2" t="s">
        <v>570</v>
      </c>
      <c r="AE70" s="2" t="s">
        <v>570</v>
      </c>
      <c r="AF70" s="2" t="s">
        <v>570</v>
      </c>
      <c r="AG70" s="2" t="s">
        <v>570</v>
      </c>
      <c r="AH70" s="2" t="s">
        <v>570</v>
      </c>
      <c r="AI70" s="2" t="s">
        <v>570</v>
      </c>
      <c r="AJ70" s="24" t="s">
        <v>638</v>
      </c>
      <c r="AK70" s="2" t="s">
        <v>570</v>
      </c>
      <c r="AL70" s="2" t="s">
        <v>17</v>
      </c>
      <c r="AM70" s="2" t="s">
        <v>570</v>
      </c>
      <c r="AN70" s="2" t="s">
        <v>570</v>
      </c>
      <c r="AO70" s="2" t="s">
        <v>570</v>
      </c>
      <c r="AP70" s="2" t="s">
        <v>570</v>
      </c>
      <c r="AQ70" s="2" t="s">
        <v>570</v>
      </c>
      <c r="AR70" s="2" t="s">
        <v>570</v>
      </c>
      <c r="AS70" s="7">
        <v>0.05</v>
      </c>
      <c r="AT70" s="7">
        <v>3.9999999999999994E-2</v>
      </c>
      <c r="AU70" s="7">
        <f t="shared" si="6"/>
        <v>7.9999999999999988E-2</v>
      </c>
      <c r="AV70" s="2" t="s">
        <v>570</v>
      </c>
      <c r="AW70" s="2" t="s">
        <v>570</v>
      </c>
      <c r="AX70" s="2" t="s">
        <v>570</v>
      </c>
      <c r="AY70" s="7">
        <v>0.03</v>
      </c>
      <c r="AZ70" s="7">
        <v>2.0000000000000004E-2</v>
      </c>
      <c r="BA70" s="7">
        <f t="shared" si="7"/>
        <v>4.0000000000000008E-2</v>
      </c>
      <c r="BB70" s="2" t="s">
        <v>570</v>
      </c>
      <c r="BC70" s="2" t="s">
        <v>457</v>
      </c>
      <c r="BD70" s="2" t="s">
        <v>570</v>
      </c>
      <c r="BE70" s="2" t="s">
        <v>570</v>
      </c>
      <c r="BF70" s="2" t="s">
        <v>570</v>
      </c>
    </row>
    <row r="71" spans="1:58" s="2" customFormat="1">
      <c r="A71" s="2" t="s">
        <v>32</v>
      </c>
      <c r="B71" s="2" t="s">
        <v>508</v>
      </c>
      <c r="C71" s="2" t="s">
        <v>154</v>
      </c>
      <c r="D71" s="2" t="s">
        <v>155</v>
      </c>
      <c r="E71" s="2" t="s">
        <v>156</v>
      </c>
      <c r="F71" s="2" t="s">
        <v>570</v>
      </c>
      <c r="G71" s="2" t="s">
        <v>570</v>
      </c>
      <c r="H71" s="2" t="s">
        <v>570</v>
      </c>
      <c r="I71" s="2" t="s">
        <v>570</v>
      </c>
      <c r="J71" s="2">
        <v>0</v>
      </c>
      <c r="K71" s="2" t="s">
        <v>570</v>
      </c>
      <c r="L71" s="2" t="s">
        <v>570</v>
      </c>
      <c r="M71" s="2" t="s">
        <v>570</v>
      </c>
      <c r="N71" s="2" t="s">
        <v>570</v>
      </c>
      <c r="O71" s="2">
        <v>2013</v>
      </c>
      <c r="Q71" s="18"/>
      <c r="R71" s="2" t="s">
        <v>55</v>
      </c>
      <c r="S71" s="2" t="s">
        <v>284</v>
      </c>
      <c r="T71" s="2" t="s">
        <v>715</v>
      </c>
      <c r="U71" s="2" t="s">
        <v>360</v>
      </c>
      <c r="V71" s="2" t="s">
        <v>717</v>
      </c>
      <c r="W71" s="19" t="s">
        <v>535</v>
      </c>
      <c r="X71" s="19" t="s">
        <v>13</v>
      </c>
      <c r="Y71" s="2" t="s">
        <v>570</v>
      </c>
      <c r="Z71" s="2" t="s">
        <v>158</v>
      </c>
      <c r="AA71" s="2" t="s">
        <v>570</v>
      </c>
      <c r="AB71" s="2">
        <v>4</v>
      </c>
      <c r="AC71" s="2">
        <v>4</v>
      </c>
      <c r="AD71" s="2" t="s">
        <v>570</v>
      </c>
      <c r="AE71" s="2" t="s">
        <v>570</v>
      </c>
      <c r="AF71" s="2" t="s">
        <v>570</v>
      </c>
      <c r="AG71" s="2" t="s">
        <v>570</v>
      </c>
      <c r="AH71" s="2" t="s">
        <v>570</v>
      </c>
      <c r="AI71" s="2" t="s">
        <v>570</v>
      </c>
      <c r="AJ71" s="19" t="s">
        <v>40</v>
      </c>
      <c r="AK71" s="2" t="s">
        <v>570</v>
      </c>
      <c r="AL71" s="2" t="s">
        <v>17</v>
      </c>
      <c r="AM71" s="2" t="s">
        <v>570</v>
      </c>
      <c r="AN71" s="2" t="s">
        <v>570</v>
      </c>
      <c r="AO71" s="2" t="s">
        <v>570</v>
      </c>
      <c r="AP71" s="2" t="s">
        <v>570</v>
      </c>
      <c r="AQ71" s="2" t="s">
        <v>570</v>
      </c>
      <c r="AR71" s="2" t="s">
        <v>570</v>
      </c>
      <c r="AS71" s="7">
        <v>0.05</v>
      </c>
      <c r="AT71" s="7">
        <v>3.9999999999999994E-2</v>
      </c>
      <c r="AU71" s="7">
        <f t="shared" si="6"/>
        <v>7.9999999999999988E-2</v>
      </c>
      <c r="AV71" s="2" t="s">
        <v>570</v>
      </c>
      <c r="AW71" s="2" t="s">
        <v>570</v>
      </c>
      <c r="AX71" s="2" t="s">
        <v>570</v>
      </c>
      <c r="AY71" s="7">
        <v>0.17</v>
      </c>
      <c r="AZ71" s="7">
        <v>3.999999999999998E-2</v>
      </c>
      <c r="BA71" s="7">
        <f t="shared" si="7"/>
        <v>7.999999999999996E-2</v>
      </c>
      <c r="BB71" s="2" t="s">
        <v>570</v>
      </c>
      <c r="BC71" s="2" t="s">
        <v>785</v>
      </c>
      <c r="BD71" s="2" t="s">
        <v>570</v>
      </c>
      <c r="BE71" s="2" t="s">
        <v>570</v>
      </c>
      <c r="BF71" s="2" t="s">
        <v>570</v>
      </c>
    </row>
    <row r="72" spans="1:58" s="2" customFormat="1" ht="21.6">
      <c r="A72" s="2" t="s">
        <v>32</v>
      </c>
      <c r="B72" s="2" t="s">
        <v>508</v>
      </c>
      <c r="C72" s="2" t="s">
        <v>154</v>
      </c>
      <c r="D72" s="2" t="s">
        <v>155</v>
      </c>
      <c r="E72" s="2" t="s">
        <v>156</v>
      </c>
      <c r="F72" s="2" t="s">
        <v>570</v>
      </c>
      <c r="G72" s="2" t="s">
        <v>570</v>
      </c>
      <c r="H72" s="2" t="s">
        <v>570</v>
      </c>
      <c r="I72" s="2" t="s">
        <v>570</v>
      </c>
      <c r="J72" s="2">
        <v>0</v>
      </c>
      <c r="K72" s="2" t="s">
        <v>570</v>
      </c>
      <c r="L72" s="2" t="s">
        <v>570</v>
      </c>
      <c r="M72" s="2" t="s">
        <v>570</v>
      </c>
      <c r="N72" s="2" t="s">
        <v>570</v>
      </c>
      <c r="O72" s="2">
        <v>2013</v>
      </c>
      <c r="Q72" s="18"/>
      <c r="R72" s="2" t="s">
        <v>55</v>
      </c>
      <c r="S72" s="2" t="s">
        <v>288</v>
      </c>
      <c r="T72" s="2" t="s">
        <v>533</v>
      </c>
      <c r="U72" s="2" t="s">
        <v>351</v>
      </c>
      <c r="V72" s="2" t="s">
        <v>352</v>
      </c>
      <c r="W72" s="19" t="s">
        <v>353</v>
      </c>
      <c r="X72" s="19" t="s">
        <v>13</v>
      </c>
      <c r="Y72" s="2" t="s">
        <v>570</v>
      </c>
      <c r="Z72" s="2" t="s">
        <v>366</v>
      </c>
      <c r="AA72" s="2" t="s">
        <v>570</v>
      </c>
      <c r="AB72" s="2">
        <v>4</v>
      </c>
      <c r="AC72" s="2">
        <v>4</v>
      </c>
      <c r="AD72" s="2" t="s">
        <v>570</v>
      </c>
      <c r="AE72" s="2" t="s">
        <v>570</v>
      </c>
      <c r="AF72" s="2" t="s">
        <v>570</v>
      </c>
      <c r="AG72" s="2" t="s">
        <v>570</v>
      </c>
      <c r="AH72" s="2" t="s">
        <v>570</v>
      </c>
      <c r="AI72" s="2" t="s">
        <v>570</v>
      </c>
      <c r="AJ72" s="24" t="s">
        <v>638</v>
      </c>
      <c r="AK72" s="2" t="s">
        <v>570</v>
      </c>
      <c r="AL72" s="2" t="s">
        <v>17</v>
      </c>
      <c r="AM72" s="2" t="s">
        <v>570</v>
      </c>
      <c r="AN72" s="2" t="s">
        <v>570</v>
      </c>
      <c r="AO72" s="2" t="s">
        <v>570</v>
      </c>
      <c r="AP72" s="2" t="s">
        <v>570</v>
      </c>
      <c r="AQ72" s="2" t="s">
        <v>570</v>
      </c>
      <c r="AR72" s="2" t="s">
        <v>570</v>
      </c>
      <c r="AS72" s="7">
        <v>0</v>
      </c>
      <c r="AT72" s="7">
        <v>0</v>
      </c>
      <c r="AU72" s="7">
        <f t="shared" si="6"/>
        <v>0</v>
      </c>
      <c r="AV72" s="2" t="s">
        <v>570</v>
      </c>
      <c r="AW72" s="2" t="s">
        <v>570</v>
      </c>
      <c r="AX72" s="2" t="s">
        <v>570</v>
      </c>
      <c r="AY72" s="7">
        <v>0</v>
      </c>
      <c r="AZ72" s="7">
        <v>0</v>
      </c>
      <c r="BA72" s="7">
        <f t="shared" si="7"/>
        <v>0</v>
      </c>
      <c r="BB72" s="2" t="s">
        <v>570</v>
      </c>
      <c r="BC72" s="2" t="s">
        <v>457</v>
      </c>
      <c r="BD72" s="2" t="s">
        <v>570</v>
      </c>
      <c r="BE72" s="2" t="s">
        <v>570</v>
      </c>
      <c r="BF72" s="2" t="s">
        <v>570</v>
      </c>
    </row>
    <row r="73" spans="1:58" s="2" customFormat="1">
      <c r="A73" s="2" t="s">
        <v>32</v>
      </c>
      <c r="B73" s="2" t="s">
        <v>508</v>
      </c>
      <c r="C73" s="2" t="s">
        <v>154</v>
      </c>
      <c r="D73" s="2" t="s">
        <v>155</v>
      </c>
      <c r="E73" s="2" t="s">
        <v>156</v>
      </c>
      <c r="F73" s="2" t="s">
        <v>570</v>
      </c>
      <c r="G73" s="2" t="s">
        <v>570</v>
      </c>
      <c r="H73" s="2" t="s">
        <v>570</v>
      </c>
      <c r="I73" s="2" t="s">
        <v>570</v>
      </c>
      <c r="J73" s="2">
        <v>0</v>
      </c>
      <c r="K73" s="2" t="s">
        <v>570</v>
      </c>
      <c r="L73" s="2" t="s">
        <v>570</v>
      </c>
      <c r="M73" s="2" t="s">
        <v>570</v>
      </c>
      <c r="N73" s="2" t="s">
        <v>570</v>
      </c>
      <c r="O73" s="2">
        <v>2013</v>
      </c>
      <c r="Q73" s="18"/>
      <c r="R73" s="2" t="s">
        <v>55</v>
      </c>
      <c r="S73" s="2" t="s">
        <v>288</v>
      </c>
      <c r="T73" s="2" t="s">
        <v>533</v>
      </c>
      <c r="U73" s="2" t="s">
        <v>351</v>
      </c>
      <c r="V73" s="2" t="s">
        <v>352</v>
      </c>
      <c r="W73" s="19" t="s">
        <v>353</v>
      </c>
      <c r="X73" s="19" t="s">
        <v>13</v>
      </c>
      <c r="Y73" s="2" t="s">
        <v>570</v>
      </c>
      <c r="Z73" s="2" t="s">
        <v>366</v>
      </c>
      <c r="AA73" s="2" t="s">
        <v>570</v>
      </c>
      <c r="AB73" s="2">
        <v>4</v>
      </c>
      <c r="AC73" s="2">
        <v>4</v>
      </c>
      <c r="AD73" s="2" t="s">
        <v>570</v>
      </c>
      <c r="AE73" s="2" t="s">
        <v>570</v>
      </c>
      <c r="AF73" s="2" t="s">
        <v>570</v>
      </c>
      <c r="AG73" s="2" t="s">
        <v>570</v>
      </c>
      <c r="AH73" s="2" t="s">
        <v>570</v>
      </c>
      <c r="AI73" s="2" t="s">
        <v>570</v>
      </c>
      <c r="AJ73" s="19" t="s">
        <v>40</v>
      </c>
      <c r="AK73" s="2" t="s">
        <v>570</v>
      </c>
      <c r="AL73" s="2" t="s">
        <v>17</v>
      </c>
      <c r="AM73" s="2" t="s">
        <v>570</v>
      </c>
      <c r="AN73" s="2" t="s">
        <v>570</v>
      </c>
      <c r="AO73" s="2" t="s">
        <v>570</v>
      </c>
      <c r="AP73" s="2" t="s">
        <v>570</v>
      </c>
      <c r="AQ73" s="2" t="s">
        <v>570</v>
      </c>
      <c r="AR73" s="2" t="s">
        <v>570</v>
      </c>
      <c r="AS73" s="7">
        <v>0.03</v>
      </c>
      <c r="AT73" s="7">
        <v>1.0000000000000002E-2</v>
      </c>
      <c r="AU73" s="7">
        <f t="shared" si="6"/>
        <v>2.0000000000000004E-2</v>
      </c>
      <c r="AV73" s="2" t="s">
        <v>570</v>
      </c>
      <c r="AW73" s="2" t="s">
        <v>570</v>
      </c>
      <c r="AX73" s="2" t="s">
        <v>570</v>
      </c>
      <c r="AY73" s="7">
        <v>0.1</v>
      </c>
      <c r="AZ73" s="7">
        <v>1.999999999999999E-2</v>
      </c>
      <c r="BA73" s="7">
        <f t="shared" si="7"/>
        <v>3.999999999999998E-2</v>
      </c>
      <c r="BB73" s="2" t="s">
        <v>570</v>
      </c>
      <c r="BC73" s="2" t="s">
        <v>457</v>
      </c>
      <c r="BD73" s="2" t="s">
        <v>570</v>
      </c>
      <c r="BE73" s="2" t="s">
        <v>570</v>
      </c>
      <c r="BF73" s="2" t="s">
        <v>570</v>
      </c>
    </row>
    <row r="74" spans="1:58" s="2" customFormat="1" ht="21.6">
      <c r="A74" s="2" t="s">
        <v>32</v>
      </c>
      <c r="B74" s="2" t="s">
        <v>508</v>
      </c>
      <c r="C74" s="2" t="s">
        <v>154</v>
      </c>
      <c r="D74" s="2" t="s">
        <v>155</v>
      </c>
      <c r="E74" s="2" t="s">
        <v>156</v>
      </c>
      <c r="F74" s="2" t="s">
        <v>570</v>
      </c>
      <c r="G74" s="2" t="s">
        <v>570</v>
      </c>
      <c r="H74" s="2" t="s">
        <v>570</v>
      </c>
      <c r="I74" s="2" t="s">
        <v>570</v>
      </c>
      <c r="J74" s="2">
        <v>0</v>
      </c>
      <c r="K74" s="2" t="s">
        <v>570</v>
      </c>
      <c r="L74" s="2" t="s">
        <v>570</v>
      </c>
      <c r="M74" s="2" t="s">
        <v>570</v>
      </c>
      <c r="N74" s="2" t="s">
        <v>570</v>
      </c>
      <c r="O74" s="2">
        <v>2013</v>
      </c>
      <c r="Q74" s="18"/>
      <c r="R74" s="2" t="s">
        <v>55</v>
      </c>
      <c r="S74" s="2" t="s">
        <v>288</v>
      </c>
      <c r="T74" s="2" t="s">
        <v>355</v>
      </c>
      <c r="U74" s="2" t="s">
        <v>356</v>
      </c>
      <c r="V74" s="2" t="s">
        <v>357</v>
      </c>
      <c r="W74" s="19" t="s">
        <v>358</v>
      </c>
      <c r="X74" s="19" t="s">
        <v>13</v>
      </c>
      <c r="Y74" s="2" t="s">
        <v>570</v>
      </c>
      <c r="Z74" s="2" t="s">
        <v>698</v>
      </c>
      <c r="AA74" s="2" t="s">
        <v>570</v>
      </c>
      <c r="AB74" s="2">
        <v>4</v>
      </c>
      <c r="AC74" s="2">
        <v>4</v>
      </c>
      <c r="AD74" s="2" t="s">
        <v>570</v>
      </c>
      <c r="AE74" s="2" t="s">
        <v>570</v>
      </c>
      <c r="AF74" s="2" t="s">
        <v>570</v>
      </c>
      <c r="AG74" s="2" t="s">
        <v>570</v>
      </c>
      <c r="AH74" s="2" t="s">
        <v>570</v>
      </c>
      <c r="AI74" s="2" t="s">
        <v>570</v>
      </c>
      <c r="AJ74" s="24" t="s">
        <v>638</v>
      </c>
      <c r="AK74" s="2" t="s">
        <v>570</v>
      </c>
      <c r="AL74" s="2" t="s">
        <v>17</v>
      </c>
      <c r="AM74" s="2" t="s">
        <v>570</v>
      </c>
      <c r="AN74" s="2" t="s">
        <v>570</v>
      </c>
      <c r="AO74" s="2" t="s">
        <v>570</v>
      </c>
      <c r="AP74" s="2" t="s">
        <v>570</v>
      </c>
      <c r="AQ74" s="2" t="s">
        <v>570</v>
      </c>
      <c r="AR74" s="2" t="s">
        <v>570</v>
      </c>
      <c r="AS74" s="7">
        <v>0</v>
      </c>
      <c r="AT74" s="7">
        <v>0</v>
      </c>
      <c r="AU74" s="7">
        <f t="shared" si="6"/>
        <v>0</v>
      </c>
      <c r="AV74" s="2" t="s">
        <v>570</v>
      </c>
      <c r="AW74" s="2" t="s">
        <v>570</v>
      </c>
      <c r="AX74" s="2" t="s">
        <v>570</v>
      </c>
      <c r="AY74" s="7">
        <v>0</v>
      </c>
      <c r="AZ74" s="7">
        <v>0</v>
      </c>
      <c r="BA74" s="7">
        <f t="shared" si="7"/>
        <v>0</v>
      </c>
      <c r="BB74" s="2" t="s">
        <v>570</v>
      </c>
      <c r="BC74" s="2" t="s">
        <v>457</v>
      </c>
      <c r="BD74" s="2" t="s">
        <v>570</v>
      </c>
      <c r="BE74" s="2" t="s">
        <v>570</v>
      </c>
      <c r="BF74" s="2" t="s">
        <v>570</v>
      </c>
    </row>
    <row r="75" spans="1:58" s="2" customFormat="1">
      <c r="A75" s="2" t="s">
        <v>32</v>
      </c>
      <c r="B75" s="2" t="s">
        <v>508</v>
      </c>
      <c r="C75" s="2" t="s">
        <v>154</v>
      </c>
      <c r="D75" s="2" t="s">
        <v>155</v>
      </c>
      <c r="E75" s="2" t="s">
        <v>156</v>
      </c>
      <c r="F75" s="2" t="s">
        <v>570</v>
      </c>
      <c r="G75" s="2" t="s">
        <v>570</v>
      </c>
      <c r="H75" s="2" t="s">
        <v>570</v>
      </c>
      <c r="I75" s="2" t="s">
        <v>570</v>
      </c>
      <c r="J75" s="2">
        <v>0</v>
      </c>
      <c r="K75" s="2" t="s">
        <v>570</v>
      </c>
      <c r="L75" s="2" t="s">
        <v>570</v>
      </c>
      <c r="M75" s="2" t="s">
        <v>570</v>
      </c>
      <c r="N75" s="2" t="s">
        <v>570</v>
      </c>
      <c r="O75" s="2">
        <v>2013</v>
      </c>
      <c r="Q75" s="18"/>
      <c r="R75" s="2" t="s">
        <v>55</v>
      </c>
      <c r="S75" s="2" t="s">
        <v>288</v>
      </c>
      <c r="T75" s="2" t="s">
        <v>355</v>
      </c>
      <c r="U75" s="2" t="s">
        <v>356</v>
      </c>
      <c r="V75" s="2" t="s">
        <v>357</v>
      </c>
      <c r="W75" s="19" t="s">
        <v>358</v>
      </c>
      <c r="X75" s="19" t="s">
        <v>13</v>
      </c>
      <c r="Y75" s="2" t="s">
        <v>570</v>
      </c>
      <c r="Z75" s="2" t="s">
        <v>698</v>
      </c>
      <c r="AA75" s="2" t="s">
        <v>570</v>
      </c>
      <c r="AB75" s="2">
        <v>4</v>
      </c>
      <c r="AC75" s="2">
        <v>4</v>
      </c>
      <c r="AD75" s="2" t="s">
        <v>570</v>
      </c>
      <c r="AE75" s="2" t="s">
        <v>570</v>
      </c>
      <c r="AF75" s="2" t="s">
        <v>570</v>
      </c>
      <c r="AG75" s="2" t="s">
        <v>570</v>
      </c>
      <c r="AH75" s="2" t="s">
        <v>570</v>
      </c>
      <c r="AI75" s="2" t="s">
        <v>570</v>
      </c>
      <c r="AJ75" s="19" t="s">
        <v>40</v>
      </c>
      <c r="AK75" s="2" t="s">
        <v>570</v>
      </c>
      <c r="AL75" s="2" t="s">
        <v>17</v>
      </c>
      <c r="AM75" s="2" t="s">
        <v>570</v>
      </c>
      <c r="AN75" s="2" t="s">
        <v>570</v>
      </c>
      <c r="AO75" s="2" t="s">
        <v>570</v>
      </c>
      <c r="AP75" s="2" t="s">
        <v>570</v>
      </c>
      <c r="AQ75" s="2" t="s">
        <v>570</v>
      </c>
      <c r="AR75" s="2" t="s">
        <v>570</v>
      </c>
      <c r="AS75" s="7">
        <v>0.01</v>
      </c>
      <c r="AT75" s="7">
        <v>1.9999999999999997E-2</v>
      </c>
      <c r="AU75" s="7">
        <f t="shared" si="6"/>
        <v>3.9999999999999994E-2</v>
      </c>
      <c r="AV75" s="2" t="s">
        <v>570</v>
      </c>
      <c r="AW75" s="2" t="s">
        <v>570</v>
      </c>
      <c r="AX75" s="2" t="s">
        <v>570</v>
      </c>
      <c r="AY75" s="7">
        <v>7.0000000000000007E-2</v>
      </c>
      <c r="AZ75" s="7">
        <v>0.03</v>
      </c>
      <c r="BA75" s="7">
        <f t="shared" si="7"/>
        <v>0.06</v>
      </c>
      <c r="BB75" s="2" t="s">
        <v>570</v>
      </c>
      <c r="BC75" s="2" t="s">
        <v>785</v>
      </c>
      <c r="BD75" s="2" t="s">
        <v>570</v>
      </c>
      <c r="BE75" s="2" t="s">
        <v>570</v>
      </c>
      <c r="BF75" s="2" t="s">
        <v>570</v>
      </c>
    </row>
    <row r="76" spans="1:58" s="2" customFormat="1" ht="21.6">
      <c r="A76" s="2" t="s">
        <v>32</v>
      </c>
      <c r="B76" s="2" t="s">
        <v>508</v>
      </c>
      <c r="C76" s="2" t="s">
        <v>154</v>
      </c>
      <c r="D76" s="2" t="s">
        <v>155</v>
      </c>
      <c r="E76" s="2" t="s">
        <v>156</v>
      </c>
      <c r="F76" s="2" t="s">
        <v>570</v>
      </c>
      <c r="G76" s="2" t="s">
        <v>570</v>
      </c>
      <c r="H76" s="2" t="s">
        <v>570</v>
      </c>
      <c r="I76" s="2" t="s">
        <v>570</v>
      </c>
      <c r="J76" s="2">
        <v>0</v>
      </c>
      <c r="K76" s="2" t="s">
        <v>570</v>
      </c>
      <c r="L76" s="2" t="s">
        <v>570</v>
      </c>
      <c r="M76" s="2" t="s">
        <v>570</v>
      </c>
      <c r="N76" s="2" t="s">
        <v>570</v>
      </c>
      <c r="O76" s="2">
        <v>2013</v>
      </c>
      <c r="Q76" s="18"/>
      <c r="R76" s="2" t="s">
        <v>55</v>
      </c>
      <c r="S76" s="2" t="s">
        <v>706</v>
      </c>
      <c r="T76" s="2" t="s">
        <v>699</v>
      </c>
      <c r="U76" s="2" t="s">
        <v>700</v>
      </c>
      <c r="V76" s="2" t="s">
        <v>701</v>
      </c>
      <c r="W76" s="19" t="s">
        <v>705</v>
      </c>
      <c r="X76" s="19" t="s">
        <v>14</v>
      </c>
      <c r="Y76" s="2" t="s">
        <v>570</v>
      </c>
      <c r="Z76" s="2" t="s">
        <v>702</v>
      </c>
      <c r="AA76" s="2" t="s">
        <v>570</v>
      </c>
      <c r="AB76" s="2">
        <v>4</v>
      </c>
      <c r="AC76" s="2">
        <v>4</v>
      </c>
      <c r="AD76" s="2" t="s">
        <v>570</v>
      </c>
      <c r="AE76" s="2" t="s">
        <v>570</v>
      </c>
      <c r="AF76" s="2" t="s">
        <v>570</v>
      </c>
      <c r="AG76" s="2" t="s">
        <v>570</v>
      </c>
      <c r="AH76" s="2" t="s">
        <v>570</v>
      </c>
      <c r="AI76" s="2" t="s">
        <v>570</v>
      </c>
      <c r="AJ76" s="24" t="s">
        <v>638</v>
      </c>
      <c r="AK76" s="2" t="s">
        <v>570</v>
      </c>
      <c r="AL76" s="2" t="s">
        <v>17</v>
      </c>
      <c r="AM76" s="2" t="s">
        <v>570</v>
      </c>
      <c r="AN76" s="2" t="s">
        <v>570</v>
      </c>
      <c r="AO76" s="2" t="s">
        <v>570</v>
      </c>
      <c r="AP76" s="2" t="s">
        <v>570</v>
      </c>
      <c r="AQ76" s="2" t="s">
        <v>570</v>
      </c>
      <c r="AR76" s="2" t="s">
        <v>570</v>
      </c>
      <c r="AS76" s="7">
        <v>0</v>
      </c>
      <c r="AT76" s="7">
        <v>0</v>
      </c>
      <c r="AU76" s="7">
        <f t="shared" si="6"/>
        <v>0</v>
      </c>
      <c r="AV76" s="2" t="s">
        <v>570</v>
      </c>
      <c r="AW76" s="2" t="s">
        <v>570</v>
      </c>
      <c r="AX76" s="2" t="s">
        <v>570</v>
      </c>
      <c r="AY76" s="7">
        <v>0</v>
      </c>
      <c r="AZ76" s="7">
        <v>0</v>
      </c>
      <c r="BA76" s="7">
        <f t="shared" si="7"/>
        <v>0</v>
      </c>
      <c r="BB76" s="2" t="s">
        <v>570</v>
      </c>
      <c r="BC76" s="2" t="s">
        <v>457</v>
      </c>
      <c r="BD76" s="2" t="s">
        <v>570</v>
      </c>
      <c r="BE76" s="2" t="s">
        <v>570</v>
      </c>
      <c r="BF76" s="2" t="s">
        <v>570</v>
      </c>
    </row>
    <row r="77" spans="1:58" s="2" customFormat="1">
      <c r="A77" s="6" t="s">
        <v>32</v>
      </c>
      <c r="B77" s="6" t="s">
        <v>508</v>
      </c>
      <c r="C77" s="2" t="s">
        <v>154</v>
      </c>
      <c r="D77" s="6" t="s">
        <v>155</v>
      </c>
      <c r="E77" s="6" t="s">
        <v>156</v>
      </c>
      <c r="F77" s="6" t="s">
        <v>570</v>
      </c>
      <c r="G77" s="6" t="s">
        <v>570</v>
      </c>
      <c r="H77" s="6" t="s">
        <v>570</v>
      </c>
      <c r="I77" s="6" t="s">
        <v>570</v>
      </c>
      <c r="J77" s="6">
        <v>0</v>
      </c>
      <c r="K77" s="6" t="s">
        <v>570</v>
      </c>
      <c r="L77" s="6" t="s">
        <v>570</v>
      </c>
      <c r="M77" s="6" t="s">
        <v>570</v>
      </c>
      <c r="N77" s="6" t="s">
        <v>570</v>
      </c>
      <c r="O77" s="2">
        <v>2013</v>
      </c>
      <c r="P77" s="6"/>
      <c r="Q77" s="21"/>
      <c r="R77" s="6" t="s">
        <v>55</v>
      </c>
      <c r="S77" s="6" t="s">
        <v>706</v>
      </c>
      <c r="T77" s="6" t="s">
        <v>699</v>
      </c>
      <c r="U77" s="6" t="s">
        <v>700</v>
      </c>
      <c r="V77" s="2" t="s">
        <v>701</v>
      </c>
      <c r="W77" s="19" t="s">
        <v>705</v>
      </c>
      <c r="X77" s="19" t="s">
        <v>14</v>
      </c>
      <c r="Y77" s="6" t="s">
        <v>570</v>
      </c>
      <c r="Z77" s="6" t="s">
        <v>702</v>
      </c>
      <c r="AA77" s="6" t="s">
        <v>570</v>
      </c>
      <c r="AB77" s="6">
        <v>4</v>
      </c>
      <c r="AC77" s="6">
        <v>4</v>
      </c>
      <c r="AD77" s="2" t="s">
        <v>570</v>
      </c>
      <c r="AE77" s="2" t="s">
        <v>570</v>
      </c>
      <c r="AF77" s="2" t="s">
        <v>570</v>
      </c>
      <c r="AG77" s="2" t="s">
        <v>570</v>
      </c>
      <c r="AH77" s="2" t="s">
        <v>570</v>
      </c>
      <c r="AI77" s="2" t="s">
        <v>570</v>
      </c>
      <c r="AJ77" s="19" t="s">
        <v>40</v>
      </c>
      <c r="AK77" s="2" t="s">
        <v>570</v>
      </c>
      <c r="AL77" s="2" t="s">
        <v>17</v>
      </c>
      <c r="AM77" s="2" t="s">
        <v>570</v>
      </c>
      <c r="AN77" s="2" t="s">
        <v>570</v>
      </c>
      <c r="AO77" s="2" t="s">
        <v>570</v>
      </c>
      <c r="AP77" s="2" t="s">
        <v>570</v>
      </c>
      <c r="AQ77" s="2" t="s">
        <v>570</v>
      </c>
      <c r="AR77" s="2" t="s">
        <v>570</v>
      </c>
      <c r="AS77" s="8">
        <v>0</v>
      </c>
      <c r="AT77" s="8">
        <v>0</v>
      </c>
      <c r="AU77" s="7">
        <f t="shared" si="6"/>
        <v>0</v>
      </c>
      <c r="AV77" s="2" t="s">
        <v>570</v>
      </c>
      <c r="AW77" s="2" t="s">
        <v>570</v>
      </c>
      <c r="AX77" s="2" t="s">
        <v>570</v>
      </c>
      <c r="AY77" s="8">
        <v>0.16</v>
      </c>
      <c r="AZ77" s="8">
        <v>0.03</v>
      </c>
      <c r="BA77" s="7">
        <f t="shared" si="7"/>
        <v>0.06</v>
      </c>
      <c r="BB77" s="6" t="s">
        <v>570</v>
      </c>
      <c r="BC77" s="6" t="s">
        <v>785</v>
      </c>
      <c r="BD77" s="2" t="s">
        <v>570</v>
      </c>
      <c r="BE77" s="2" t="s">
        <v>570</v>
      </c>
      <c r="BF77" s="2" t="s">
        <v>570</v>
      </c>
    </row>
    <row r="78" spans="1:58" ht="20.399999999999999">
      <c r="A78" s="4" t="s">
        <v>427</v>
      </c>
      <c r="B78" s="4" t="s">
        <v>508</v>
      </c>
      <c r="C78" s="4" t="s">
        <v>428</v>
      </c>
      <c r="D78" s="4" t="s">
        <v>159</v>
      </c>
      <c r="E78" s="4" t="s">
        <v>160</v>
      </c>
      <c r="F78" s="4" t="s">
        <v>570</v>
      </c>
      <c r="G78" s="4" t="s">
        <v>570</v>
      </c>
      <c r="H78" s="4" t="s">
        <v>570</v>
      </c>
      <c r="I78" s="4" t="s">
        <v>570</v>
      </c>
      <c r="J78" s="4" t="s">
        <v>570</v>
      </c>
      <c r="K78" s="4" t="s">
        <v>570</v>
      </c>
      <c r="L78" s="4" t="s">
        <v>570</v>
      </c>
      <c r="M78" s="4" t="s">
        <v>570</v>
      </c>
      <c r="N78" s="4" t="s">
        <v>570</v>
      </c>
      <c r="O78" s="4">
        <v>2006</v>
      </c>
      <c r="P78" s="4" t="s">
        <v>570</v>
      </c>
      <c r="Q78" s="4" t="s">
        <v>430</v>
      </c>
      <c r="R78" s="4" t="s">
        <v>431</v>
      </c>
      <c r="S78" s="4" t="s">
        <v>570</v>
      </c>
      <c r="T78" s="4" t="s">
        <v>570</v>
      </c>
      <c r="U78" s="4" t="s">
        <v>608</v>
      </c>
      <c r="V78" s="14" t="s">
        <v>736</v>
      </c>
      <c r="W78" s="4" t="s">
        <v>609</v>
      </c>
      <c r="X78" s="4" t="s">
        <v>131</v>
      </c>
      <c r="Y78" s="4" t="s">
        <v>570</v>
      </c>
      <c r="Z78" s="4" t="s">
        <v>610</v>
      </c>
      <c r="AA78" s="4" t="s">
        <v>570</v>
      </c>
      <c r="AB78" s="4">
        <v>4</v>
      </c>
      <c r="AC78" s="4">
        <v>4</v>
      </c>
      <c r="AD78" s="4" t="s">
        <v>570</v>
      </c>
      <c r="AE78" s="4" t="s">
        <v>570</v>
      </c>
      <c r="AF78" s="4" t="s">
        <v>570</v>
      </c>
      <c r="AG78" s="4" t="s">
        <v>570</v>
      </c>
      <c r="AH78" s="4" t="s">
        <v>570</v>
      </c>
      <c r="AI78" s="4" t="s">
        <v>570</v>
      </c>
      <c r="AJ78" s="4" t="s">
        <v>570</v>
      </c>
      <c r="AK78" s="4" t="s">
        <v>570</v>
      </c>
      <c r="AL78" s="48" t="s">
        <v>1027</v>
      </c>
      <c r="AM78" s="4" t="s">
        <v>570</v>
      </c>
      <c r="AN78" s="4" t="s">
        <v>570</v>
      </c>
      <c r="AO78" s="4" t="s">
        <v>570</v>
      </c>
      <c r="AP78" s="4" t="s">
        <v>570</v>
      </c>
      <c r="AQ78" s="4" t="s">
        <v>570</v>
      </c>
      <c r="AR78" s="4" t="s">
        <v>570</v>
      </c>
      <c r="AS78" s="4">
        <v>97.8</v>
      </c>
      <c r="AT78" s="4">
        <v>1.7</v>
      </c>
      <c r="AU78" s="4">
        <f t="shared" si="6"/>
        <v>3.4</v>
      </c>
      <c r="AV78" s="4" t="s">
        <v>570</v>
      </c>
      <c r="AW78" s="4" t="s">
        <v>570</v>
      </c>
      <c r="AX78" s="4" t="s">
        <v>570</v>
      </c>
      <c r="AY78" s="4">
        <v>100</v>
      </c>
      <c r="AZ78" s="4">
        <v>0</v>
      </c>
      <c r="BA78" s="4">
        <f t="shared" si="7"/>
        <v>0</v>
      </c>
      <c r="BB78" s="4" t="s">
        <v>570</v>
      </c>
      <c r="BC78" s="4" t="s">
        <v>457</v>
      </c>
      <c r="BD78" s="4" t="s">
        <v>570</v>
      </c>
      <c r="BE78" s="4" t="s">
        <v>570</v>
      </c>
      <c r="BF78" s="4" t="s">
        <v>570</v>
      </c>
    </row>
    <row r="79" spans="1:58" ht="20.399999999999999">
      <c r="A79" s="2" t="s">
        <v>427</v>
      </c>
      <c r="B79" s="2" t="s">
        <v>508</v>
      </c>
      <c r="C79" s="2" t="s">
        <v>428</v>
      </c>
      <c r="D79" s="2" t="s">
        <v>159</v>
      </c>
      <c r="E79" s="2" t="s">
        <v>429</v>
      </c>
      <c r="F79" s="2" t="s">
        <v>570</v>
      </c>
      <c r="G79" s="2" t="s">
        <v>570</v>
      </c>
      <c r="H79" s="2" t="s">
        <v>570</v>
      </c>
      <c r="I79" s="2" t="s">
        <v>570</v>
      </c>
      <c r="J79" s="2" t="s">
        <v>570</v>
      </c>
      <c r="K79" s="2" t="s">
        <v>570</v>
      </c>
      <c r="L79" s="2" t="s">
        <v>570</v>
      </c>
      <c r="M79" s="2" t="s">
        <v>570</v>
      </c>
      <c r="N79" s="2" t="s">
        <v>570</v>
      </c>
      <c r="O79" s="2">
        <v>2006</v>
      </c>
      <c r="P79" s="2" t="s">
        <v>570</v>
      </c>
      <c r="Q79" s="2" t="s">
        <v>430</v>
      </c>
      <c r="R79" s="2" t="s">
        <v>431</v>
      </c>
      <c r="S79" s="2" t="s">
        <v>570</v>
      </c>
      <c r="T79" s="2" t="s">
        <v>570</v>
      </c>
      <c r="U79" s="2" t="s">
        <v>437</v>
      </c>
      <c r="V79" s="19" t="s">
        <v>736</v>
      </c>
      <c r="W79" s="2" t="s">
        <v>609</v>
      </c>
      <c r="X79" s="2" t="s">
        <v>131</v>
      </c>
      <c r="Y79" s="2" t="s">
        <v>570</v>
      </c>
      <c r="Z79" s="2" t="s">
        <v>438</v>
      </c>
      <c r="AA79" s="2" t="s">
        <v>570</v>
      </c>
      <c r="AB79" s="2">
        <v>4</v>
      </c>
      <c r="AC79" s="2">
        <v>4</v>
      </c>
      <c r="AD79" s="2" t="s">
        <v>570</v>
      </c>
      <c r="AE79" s="2" t="s">
        <v>570</v>
      </c>
      <c r="AF79" s="2" t="s">
        <v>570</v>
      </c>
      <c r="AG79" s="2" t="s">
        <v>570</v>
      </c>
      <c r="AH79" s="2" t="s">
        <v>570</v>
      </c>
      <c r="AI79" s="2" t="s">
        <v>570</v>
      </c>
      <c r="AJ79" s="2" t="s">
        <v>570</v>
      </c>
      <c r="AK79" s="2" t="s">
        <v>570</v>
      </c>
      <c r="AL79" s="49" t="s">
        <v>1027</v>
      </c>
      <c r="AM79" s="2" t="s">
        <v>570</v>
      </c>
      <c r="AN79" s="2" t="s">
        <v>570</v>
      </c>
      <c r="AO79" s="2" t="s">
        <v>570</v>
      </c>
      <c r="AP79" s="2" t="s">
        <v>570</v>
      </c>
      <c r="AQ79" s="2" t="s">
        <v>570</v>
      </c>
      <c r="AR79" s="2" t="s">
        <v>570</v>
      </c>
      <c r="AS79" s="2">
        <v>98.3</v>
      </c>
      <c r="AT79" s="2">
        <v>1.8</v>
      </c>
      <c r="AU79" s="2">
        <f t="shared" si="6"/>
        <v>3.6</v>
      </c>
      <c r="AV79" s="2" t="s">
        <v>570</v>
      </c>
      <c r="AW79" s="2" t="s">
        <v>570</v>
      </c>
      <c r="AX79" s="2" t="s">
        <v>570</v>
      </c>
      <c r="AY79" s="2">
        <v>100</v>
      </c>
      <c r="AZ79" s="2">
        <v>0</v>
      </c>
      <c r="BA79" s="2">
        <f t="shared" si="7"/>
        <v>0</v>
      </c>
      <c r="BB79" s="2" t="s">
        <v>570</v>
      </c>
      <c r="BC79" s="2" t="s">
        <v>457</v>
      </c>
      <c r="BD79" s="2" t="s">
        <v>570</v>
      </c>
      <c r="BE79" s="2" t="s">
        <v>570</v>
      </c>
      <c r="BF79" s="2" t="s">
        <v>570</v>
      </c>
    </row>
    <row r="80" spans="1:58" ht="20.399999999999999">
      <c r="A80" s="2" t="s">
        <v>427</v>
      </c>
      <c r="B80" s="2" t="s">
        <v>508</v>
      </c>
      <c r="C80" s="2" t="s">
        <v>428</v>
      </c>
      <c r="D80" s="2" t="s">
        <v>159</v>
      </c>
      <c r="E80" s="2" t="s">
        <v>429</v>
      </c>
      <c r="F80" s="2" t="s">
        <v>570</v>
      </c>
      <c r="G80" s="2" t="s">
        <v>570</v>
      </c>
      <c r="H80" s="2" t="s">
        <v>570</v>
      </c>
      <c r="I80" s="2" t="s">
        <v>570</v>
      </c>
      <c r="J80" s="2" t="s">
        <v>570</v>
      </c>
      <c r="K80" s="2" t="s">
        <v>570</v>
      </c>
      <c r="L80" s="2" t="s">
        <v>570</v>
      </c>
      <c r="M80" s="2" t="s">
        <v>570</v>
      </c>
      <c r="N80" s="2" t="s">
        <v>570</v>
      </c>
      <c r="O80" s="2">
        <v>2006</v>
      </c>
      <c r="P80" s="2" t="s">
        <v>570</v>
      </c>
      <c r="Q80" s="2" t="s">
        <v>430</v>
      </c>
      <c r="R80" s="2" t="s">
        <v>431</v>
      </c>
      <c r="S80" s="2" t="s">
        <v>570</v>
      </c>
      <c r="T80" s="2" t="s">
        <v>570</v>
      </c>
      <c r="U80" s="2" t="s">
        <v>234</v>
      </c>
      <c r="V80" s="19" t="s">
        <v>736</v>
      </c>
      <c r="W80" s="2" t="s">
        <v>609</v>
      </c>
      <c r="X80" s="2" t="s">
        <v>131</v>
      </c>
      <c r="Y80" s="2" t="s">
        <v>570</v>
      </c>
      <c r="Z80" s="2" t="s">
        <v>235</v>
      </c>
      <c r="AA80" s="2" t="s">
        <v>570</v>
      </c>
      <c r="AB80" s="2">
        <v>4</v>
      </c>
      <c r="AC80" s="2">
        <v>4</v>
      </c>
      <c r="AD80" s="2" t="s">
        <v>570</v>
      </c>
      <c r="AE80" s="2" t="s">
        <v>570</v>
      </c>
      <c r="AF80" s="2" t="s">
        <v>570</v>
      </c>
      <c r="AG80" s="2" t="s">
        <v>570</v>
      </c>
      <c r="AH80" s="2" t="s">
        <v>570</v>
      </c>
      <c r="AI80" s="2" t="s">
        <v>570</v>
      </c>
      <c r="AJ80" s="2" t="s">
        <v>570</v>
      </c>
      <c r="AK80" s="2" t="s">
        <v>570</v>
      </c>
      <c r="AL80" s="49" t="s">
        <v>1027</v>
      </c>
      <c r="AM80" s="2" t="s">
        <v>570</v>
      </c>
      <c r="AN80" s="2" t="s">
        <v>570</v>
      </c>
      <c r="AO80" s="2" t="s">
        <v>570</v>
      </c>
      <c r="AP80" s="2" t="s">
        <v>570</v>
      </c>
      <c r="AQ80" s="2" t="s">
        <v>570</v>
      </c>
      <c r="AR80" s="2" t="s">
        <v>570</v>
      </c>
      <c r="AS80" s="2">
        <v>60</v>
      </c>
      <c r="AT80" s="2">
        <v>17.399999999999999</v>
      </c>
      <c r="AU80" s="2">
        <f t="shared" si="6"/>
        <v>34.799999999999997</v>
      </c>
      <c r="AV80" s="2" t="s">
        <v>570</v>
      </c>
      <c r="AW80" s="2" t="s">
        <v>570</v>
      </c>
      <c r="AX80" s="2" t="s">
        <v>570</v>
      </c>
      <c r="AY80" s="2">
        <v>55</v>
      </c>
      <c r="AZ80" s="2">
        <v>8.1</v>
      </c>
      <c r="BA80" s="2">
        <f t="shared" si="7"/>
        <v>16.2</v>
      </c>
      <c r="BB80" s="2" t="s">
        <v>570</v>
      </c>
      <c r="BC80" s="2" t="s">
        <v>457</v>
      </c>
      <c r="BD80" s="2" t="s">
        <v>570</v>
      </c>
      <c r="BE80" s="2" t="s">
        <v>570</v>
      </c>
      <c r="BF80" s="2" t="s">
        <v>570</v>
      </c>
    </row>
    <row r="81" spans="1:58" ht="20.399999999999999">
      <c r="A81" s="2" t="s">
        <v>427</v>
      </c>
      <c r="B81" s="2" t="s">
        <v>508</v>
      </c>
      <c r="C81" s="2" t="s">
        <v>428</v>
      </c>
      <c r="D81" s="2" t="s">
        <v>159</v>
      </c>
      <c r="E81" s="2" t="s">
        <v>429</v>
      </c>
      <c r="F81" s="2" t="s">
        <v>570</v>
      </c>
      <c r="G81" s="2" t="s">
        <v>570</v>
      </c>
      <c r="H81" s="2" t="s">
        <v>570</v>
      </c>
      <c r="I81" s="2" t="s">
        <v>570</v>
      </c>
      <c r="J81" s="2" t="s">
        <v>570</v>
      </c>
      <c r="K81" s="2" t="s">
        <v>570</v>
      </c>
      <c r="L81" s="2" t="s">
        <v>570</v>
      </c>
      <c r="M81" s="2" t="s">
        <v>570</v>
      </c>
      <c r="N81" s="2" t="s">
        <v>570</v>
      </c>
      <c r="O81" s="2">
        <v>2006</v>
      </c>
      <c r="P81" s="2" t="s">
        <v>570</v>
      </c>
      <c r="Q81" s="2" t="s">
        <v>430</v>
      </c>
      <c r="R81" s="2" t="s">
        <v>19</v>
      </c>
      <c r="S81" s="2" t="s">
        <v>570</v>
      </c>
      <c r="T81" s="2" t="s">
        <v>570</v>
      </c>
      <c r="U81" s="2" t="s">
        <v>608</v>
      </c>
      <c r="V81" s="19" t="s">
        <v>736</v>
      </c>
      <c r="W81" s="2" t="s">
        <v>609</v>
      </c>
      <c r="X81" s="2" t="s">
        <v>131</v>
      </c>
      <c r="Y81" s="2" t="s">
        <v>570</v>
      </c>
      <c r="Z81" s="2" t="s">
        <v>610</v>
      </c>
      <c r="AA81" s="2" t="s">
        <v>570</v>
      </c>
      <c r="AB81" s="2">
        <v>4</v>
      </c>
      <c r="AC81" s="2">
        <v>4</v>
      </c>
      <c r="AD81" s="2" t="s">
        <v>570</v>
      </c>
      <c r="AE81" s="2" t="s">
        <v>570</v>
      </c>
      <c r="AF81" s="2" t="s">
        <v>570</v>
      </c>
      <c r="AG81" s="2" t="s">
        <v>570</v>
      </c>
      <c r="AH81" s="2" t="s">
        <v>570</v>
      </c>
      <c r="AI81" s="2" t="s">
        <v>570</v>
      </c>
      <c r="AJ81" s="2" t="s">
        <v>570</v>
      </c>
      <c r="AK81" s="2" t="s">
        <v>570</v>
      </c>
      <c r="AL81" s="49" t="s">
        <v>1027</v>
      </c>
      <c r="AM81" s="2" t="s">
        <v>570</v>
      </c>
      <c r="AN81" s="2" t="s">
        <v>570</v>
      </c>
      <c r="AO81" s="2" t="s">
        <v>570</v>
      </c>
      <c r="AP81" s="2" t="s">
        <v>570</v>
      </c>
      <c r="AQ81" s="2" t="s">
        <v>570</v>
      </c>
      <c r="AR81" s="2" t="s">
        <v>570</v>
      </c>
      <c r="AS81" s="2">
        <v>70</v>
      </c>
      <c r="AT81" s="2">
        <v>14.1</v>
      </c>
      <c r="AU81" s="2">
        <f t="shared" si="6"/>
        <v>28.2</v>
      </c>
      <c r="AV81" s="2" t="s">
        <v>570</v>
      </c>
      <c r="AW81" s="2" t="s">
        <v>570</v>
      </c>
      <c r="AX81" s="2" t="s">
        <v>570</v>
      </c>
      <c r="AY81" s="2">
        <v>95</v>
      </c>
      <c r="AZ81" s="2">
        <v>3.1</v>
      </c>
      <c r="BA81" s="2">
        <f t="shared" si="7"/>
        <v>6.2</v>
      </c>
      <c r="BB81" s="2" t="s">
        <v>570</v>
      </c>
      <c r="BC81" s="2" t="s">
        <v>457</v>
      </c>
      <c r="BD81" s="2" t="s">
        <v>570</v>
      </c>
      <c r="BE81" s="2" t="s">
        <v>570</v>
      </c>
      <c r="BF81" s="2" t="s">
        <v>570</v>
      </c>
    </row>
    <row r="82" spans="1:58" ht="20.399999999999999">
      <c r="A82" s="2" t="s">
        <v>427</v>
      </c>
      <c r="B82" s="2" t="s">
        <v>508</v>
      </c>
      <c r="C82" s="2" t="s">
        <v>428</v>
      </c>
      <c r="D82" s="2" t="s">
        <v>159</v>
      </c>
      <c r="E82" s="2" t="s">
        <v>429</v>
      </c>
      <c r="F82" s="2" t="s">
        <v>570</v>
      </c>
      <c r="G82" s="2" t="s">
        <v>570</v>
      </c>
      <c r="H82" s="2" t="s">
        <v>570</v>
      </c>
      <c r="I82" s="2" t="s">
        <v>570</v>
      </c>
      <c r="J82" s="2" t="s">
        <v>570</v>
      </c>
      <c r="K82" s="2" t="s">
        <v>570</v>
      </c>
      <c r="L82" s="2" t="s">
        <v>570</v>
      </c>
      <c r="M82" s="2" t="s">
        <v>570</v>
      </c>
      <c r="N82" s="2" t="s">
        <v>570</v>
      </c>
      <c r="O82" s="2">
        <v>2006</v>
      </c>
      <c r="P82" s="2" t="s">
        <v>570</v>
      </c>
      <c r="Q82" s="2" t="s">
        <v>430</v>
      </c>
      <c r="R82" s="2" t="s">
        <v>19</v>
      </c>
      <c r="S82" s="2" t="s">
        <v>570</v>
      </c>
      <c r="T82" s="2" t="s">
        <v>570</v>
      </c>
      <c r="U82" s="2" t="s">
        <v>437</v>
      </c>
      <c r="V82" s="19" t="s">
        <v>736</v>
      </c>
      <c r="W82" s="2" t="s">
        <v>609</v>
      </c>
      <c r="X82" s="2" t="s">
        <v>131</v>
      </c>
      <c r="Y82" s="2" t="s">
        <v>570</v>
      </c>
      <c r="Z82" s="2" t="s">
        <v>438</v>
      </c>
      <c r="AA82" s="2" t="s">
        <v>570</v>
      </c>
      <c r="AB82" s="2">
        <v>4</v>
      </c>
      <c r="AC82" s="2">
        <v>4</v>
      </c>
      <c r="AD82" s="2" t="s">
        <v>570</v>
      </c>
      <c r="AE82" s="2" t="s">
        <v>570</v>
      </c>
      <c r="AF82" s="2" t="s">
        <v>570</v>
      </c>
      <c r="AG82" s="2" t="s">
        <v>570</v>
      </c>
      <c r="AH82" s="2" t="s">
        <v>570</v>
      </c>
      <c r="AI82" s="2" t="s">
        <v>570</v>
      </c>
      <c r="AJ82" s="2" t="s">
        <v>570</v>
      </c>
      <c r="AK82" s="2" t="s">
        <v>570</v>
      </c>
      <c r="AL82" s="49" t="s">
        <v>1027</v>
      </c>
      <c r="AM82" s="2" t="s">
        <v>570</v>
      </c>
      <c r="AN82" s="2" t="s">
        <v>570</v>
      </c>
      <c r="AO82" s="2" t="s">
        <v>570</v>
      </c>
      <c r="AP82" s="2" t="s">
        <v>570</v>
      </c>
      <c r="AQ82" s="2" t="s">
        <v>570</v>
      </c>
      <c r="AR82" s="2" t="s">
        <v>570</v>
      </c>
      <c r="AS82" s="2">
        <v>56.5</v>
      </c>
      <c r="AT82" s="2">
        <v>6.9</v>
      </c>
      <c r="AU82" s="2">
        <f t="shared" si="6"/>
        <v>13.8</v>
      </c>
      <c r="AV82" s="2" t="s">
        <v>570</v>
      </c>
      <c r="AW82" s="2" t="s">
        <v>570</v>
      </c>
      <c r="AX82" s="2" t="s">
        <v>570</v>
      </c>
      <c r="AY82" s="2">
        <v>76.8</v>
      </c>
      <c r="AZ82" s="2">
        <v>7.9</v>
      </c>
      <c r="BA82" s="2">
        <f t="shared" si="7"/>
        <v>15.8</v>
      </c>
      <c r="BB82" s="2" t="s">
        <v>570</v>
      </c>
      <c r="BC82" s="2" t="s">
        <v>457</v>
      </c>
      <c r="BD82" s="2" t="s">
        <v>570</v>
      </c>
      <c r="BE82" s="2" t="s">
        <v>570</v>
      </c>
      <c r="BF82" s="2" t="s">
        <v>570</v>
      </c>
    </row>
    <row r="83" spans="1:58" ht="20.399999999999999">
      <c r="A83" s="2" t="s">
        <v>427</v>
      </c>
      <c r="B83" s="2" t="s">
        <v>508</v>
      </c>
      <c r="C83" s="2" t="s">
        <v>428</v>
      </c>
      <c r="D83" s="2" t="s">
        <v>159</v>
      </c>
      <c r="E83" s="2" t="s">
        <v>429</v>
      </c>
      <c r="F83" s="2" t="s">
        <v>570</v>
      </c>
      <c r="G83" s="2" t="s">
        <v>570</v>
      </c>
      <c r="H83" s="2" t="s">
        <v>570</v>
      </c>
      <c r="I83" s="2" t="s">
        <v>570</v>
      </c>
      <c r="J83" s="2" t="s">
        <v>570</v>
      </c>
      <c r="K83" s="2" t="s">
        <v>570</v>
      </c>
      <c r="L83" s="2" t="s">
        <v>570</v>
      </c>
      <c r="M83" s="2" t="s">
        <v>570</v>
      </c>
      <c r="N83" s="2" t="s">
        <v>570</v>
      </c>
      <c r="O83" s="2">
        <v>2006</v>
      </c>
      <c r="P83" s="2" t="s">
        <v>570</v>
      </c>
      <c r="Q83" s="2" t="s">
        <v>430</v>
      </c>
      <c r="R83" s="2" t="s">
        <v>19</v>
      </c>
      <c r="S83" s="2" t="s">
        <v>570</v>
      </c>
      <c r="T83" s="2" t="s">
        <v>570</v>
      </c>
      <c r="U83" s="2" t="s">
        <v>234</v>
      </c>
      <c r="V83" s="19" t="s">
        <v>736</v>
      </c>
      <c r="W83" s="2" t="s">
        <v>609</v>
      </c>
      <c r="X83" s="2" t="s">
        <v>131</v>
      </c>
      <c r="Y83" s="2" t="s">
        <v>570</v>
      </c>
      <c r="Z83" s="2" t="s">
        <v>235</v>
      </c>
      <c r="AA83" s="2" t="s">
        <v>570</v>
      </c>
      <c r="AB83" s="2">
        <v>4</v>
      </c>
      <c r="AC83" s="2">
        <v>4</v>
      </c>
      <c r="AD83" s="2" t="s">
        <v>570</v>
      </c>
      <c r="AE83" s="2" t="s">
        <v>570</v>
      </c>
      <c r="AF83" s="2" t="s">
        <v>570</v>
      </c>
      <c r="AG83" s="2" t="s">
        <v>570</v>
      </c>
      <c r="AH83" s="2" t="s">
        <v>570</v>
      </c>
      <c r="AI83" s="2" t="s">
        <v>570</v>
      </c>
      <c r="AJ83" s="2" t="s">
        <v>570</v>
      </c>
      <c r="AK83" s="2" t="s">
        <v>570</v>
      </c>
      <c r="AL83" s="49" t="s">
        <v>1027</v>
      </c>
      <c r="AM83" s="2" t="s">
        <v>570</v>
      </c>
      <c r="AN83" s="2" t="s">
        <v>570</v>
      </c>
      <c r="AO83" s="2" t="s">
        <v>570</v>
      </c>
      <c r="AP83" s="2" t="s">
        <v>570</v>
      </c>
      <c r="AQ83" s="2" t="s">
        <v>570</v>
      </c>
      <c r="AR83" s="2" t="s">
        <v>570</v>
      </c>
      <c r="AS83" s="2">
        <v>35.299999999999997</v>
      </c>
      <c r="AT83" s="2">
        <v>10.7</v>
      </c>
      <c r="AU83" s="2">
        <f t="shared" si="6"/>
        <v>21.4</v>
      </c>
      <c r="AV83" s="2" t="s">
        <v>570</v>
      </c>
      <c r="AW83" s="2" t="s">
        <v>570</v>
      </c>
      <c r="AX83" s="2" t="s">
        <v>570</v>
      </c>
      <c r="AY83" s="2">
        <v>53.5</v>
      </c>
      <c r="AZ83" s="2">
        <v>4.7</v>
      </c>
      <c r="BA83" s="2">
        <f t="shared" si="7"/>
        <v>9.4</v>
      </c>
      <c r="BB83" s="2" t="s">
        <v>570</v>
      </c>
      <c r="BC83" s="2" t="s">
        <v>457</v>
      </c>
      <c r="BD83" s="2" t="s">
        <v>570</v>
      </c>
      <c r="BE83" s="2" t="s">
        <v>570</v>
      </c>
      <c r="BF83" s="2" t="s">
        <v>570</v>
      </c>
    </row>
    <row r="84" spans="1:58" ht="20.399999999999999">
      <c r="A84" s="2" t="s">
        <v>427</v>
      </c>
      <c r="B84" s="2" t="s">
        <v>508</v>
      </c>
      <c r="C84" s="2" t="s">
        <v>428</v>
      </c>
      <c r="D84" s="2" t="s">
        <v>159</v>
      </c>
      <c r="E84" s="2" t="s">
        <v>429</v>
      </c>
      <c r="F84" s="2" t="s">
        <v>570</v>
      </c>
      <c r="G84" s="2" t="s">
        <v>570</v>
      </c>
      <c r="H84" s="2" t="s">
        <v>570</v>
      </c>
      <c r="I84" s="2" t="s">
        <v>570</v>
      </c>
      <c r="J84" s="2" t="s">
        <v>570</v>
      </c>
      <c r="K84" s="2" t="s">
        <v>570</v>
      </c>
      <c r="L84" s="2" t="s">
        <v>570</v>
      </c>
      <c r="M84" s="2" t="s">
        <v>570</v>
      </c>
      <c r="N84" s="2" t="s">
        <v>570</v>
      </c>
      <c r="O84" s="2">
        <v>2007</v>
      </c>
      <c r="P84" s="2" t="s">
        <v>570</v>
      </c>
      <c r="Q84" s="2" t="s">
        <v>430</v>
      </c>
      <c r="R84" s="2" t="s">
        <v>431</v>
      </c>
      <c r="S84" s="2" t="s">
        <v>570</v>
      </c>
      <c r="T84" s="2" t="s">
        <v>570</v>
      </c>
      <c r="U84" s="2" t="s">
        <v>608</v>
      </c>
      <c r="V84" s="19" t="s">
        <v>736</v>
      </c>
      <c r="W84" s="2" t="s">
        <v>609</v>
      </c>
      <c r="X84" s="2" t="s">
        <v>131</v>
      </c>
      <c r="Y84" s="2" t="s">
        <v>570</v>
      </c>
      <c r="Z84" s="2" t="s">
        <v>610</v>
      </c>
      <c r="AA84" s="2" t="s">
        <v>570</v>
      </c>
      <c r="AB84" s="2">
        <v>4</v>
      </c>
      <c r="AC84" s="2">
        <v>4</v>
      </c>
      <c r="AD84" s="2" t="s">
        <v>570</v>
      </c>
      <c r="AE84" s="2" t="s">
        <v>570</v>
      </c>
      <c r="AF84" s="2" t="s">
        <v>570</v>
      </c>
      <c r="AG84" s="2" t="s">
        <v>570</v>
      </c>
      <c r="AH84" s="2" t="s">
        <v>570</v>
      </c>
      <c r="AI84" s="2" t="s">
        <v>570</v>
      </c>
      <c r="AJ84" s="2" t="s">
        <v>570</v>
      </c>
      <c r="AK84" s="2" t="s">
        <v>570</v>
      </c>
      <c r="AL84" s="49" t="s">
        <v>1027</v>
      </c>
      <c r="AM84" s="2" t="s">
        <v>570</v>
      </c>
      <c r="AN84" s="2" t="s">
        <v>570</v>
      </c>
      <c r="AO84" s="2" t="s">
        <v>570</v>
      </c>
      <c r="AP84" s="2" t="s">
        <v>570</v>
      </c>
      <c r="AQ84" s="2" t="s">
        <v>570</v>
      </c>
      <c r="AR84" s="2" t="s">
        <v>570</v>
      </c>
      <c r="AS84" s="2">
        <v>97.5</v>
      </c>
      <c r="AT84" s="2">
        <v>2.5</v>
      </c>
      <c r="AU84" s="2">
        <f t="shared" si="6"/>
        <v>5</v>
      </c>
      <c r="AV84" s="2" t="s">
        <v>570</v>
      </c>
      <c r="AW84" s="2" t="s">
        <v>570</v>
      </c>
      <c r="AX84" s="2" t="s">
        <v>570</v>
      </c>
      <c r="AY84" s="2">
        <v>100</v>
      </c>
      <c r="AZ84" s="2">
        <v>0</v>
      </c>
      <c r="BA84" s="2">
        <f t="shared" si="7"/>
        <v>0</v>
      </c>
      <c r="BB84" s="2" t="s">
        <v>570</v>
      </c>
      <c r="BC84" s="2" t="s">
        <v>457</v>
      </c>
      <c r="BD84" s="2" t="s">
        <v>570</v>
      </c>
      <c r="BE84" s="2" t="s">
        <v>570</v>
      </c>
      <c r="BF84" s="2" t="s">
        <v>570</v>
      </c>
    </row>
    <row r="85" spans="1:58" ht="20.399999999999999">
      <c r="A85" s="2" t="s">
        <v>427</v>
      </c>
      <c r="B85" s="2" t="s">
        <v>508</v>
      </c>
      <c r="C85" s="2" t="s">
        <v>428</v>
      </c>
      <c r="D85" s="2" t="s">
        <v>159</v>
      </c>
      <c r="E85" s="2" t="s">
        <v>429</v>
      </c>
      <c r="F85" s="2" t="s">
        <v>570</v>
      </c>
      <c r="G85" s="2" t="s">
        <v>570</v>
      </c>
      <c r="H85" s="2" t="s">
        <v>570</v>
      </c>
      <c r="I85" s="2" t="s">
        <v>570</v>
      </c>
      <c r="J85" s="2" t="s">
        <v>570</v>
      </c>
      <c r="K85" s="2" t="s">
        <v>570</v>
      </c>
      <c r="L85" s="2" t="s">
        <v>570</v>
      </c>
      <c r="M85" s="2" t="s">
        <v>570</v>
      </c>
      <c r="N85" s="2" t="s">
        <v>570</v>
      </c>
      <c r="O85" s="2">
        <v>2007</v>
      </c>
      <c r="P85" s="2" t="s">
        <v>570</v>
      </c>
      <c r="Q85" s="2" t="s">
        <v>430</v>
      </c>
      <c r="R85" s="2" t="s">
        <v>431</v>
      </c>
      <c r="S85" s="2" t="s">
        <v>570</v>
      </c>
      <c r="T85" s="2" t="s">
        <v>570</v>
      </c>
      <c r="U85" s="2" t="s">
        <v>437</v>
      </c>
      <c r="V85" s="19" t="s">
        <v>736</v>
      </c>
      <c r="W85" s="2" t="s">
        <v>609</v>
      </c>
      <c r="X85" s="2" t="s">
        <v>131</v>
      </c>
      <c r="Y85" s="2" t="s">
        <v>570</v>
      </c>
      <c r="Z85" s="2" t="s">
        <v>438</v>
      </c>
      <c r="AA85" s="2" t="s">
        <v>570</v>
      </c>
      <c r="AB85" s="2">
        <v>4</v>
      </c>
      <c r="AC85" s="2">
        <v>4</v>
      </c>
      <c r="AD85" s="2" t="s">
        <v>570</v>
      </c>
      <c r="AE85" s="2" t="s">
        <v>570</v>
      </c>
      <c r="AF85" s="2" t="s">
        <v>570</v>
      </c>
      <c r="AG85" s="2" t="s">
        <v>570</v>
      </c>
      <c r="AH85" s="2" t="s">
        <v>570</v>
      </c>
      <c r="AI85" s="2" t="s">
        <v>570</v>
      </c>
      <c r="AJ85" s="2" t="s">
        <v>570</v>
      </c>
      <c r="AK85" s="2" t="s">
        <v>570</v>
      </c>
      <c r="AL85" s="49" t="s">
        <v>1027</v>
      </c>
      <c r="AM85" s="2" t="s">
        <v>570</v>
      </c>
      <c r="AN85" s="2" t="s">
        <v>570</v>
      </c>
      <c r="AO85" s="2" t="s">
        <v>570</v>
      </c>
      <c r="AP85" s="2" t="s">
        <v>570</v>
      </c>
      <c r="AQ85" s="2" t="s">
        <v>570</v>
      </c>
      <c r="AR85" s="2" t="s">
        <v>570</v>
      </c>
      <c r="AS85" s="2">
        <v>98.8</v>
      </c>
      <c r="AT85" s="2">
        <v>1.3</v>
      </c>
      <c r="AU85" s="2">
        <f t="shared" si="6"/>
        <v>2.6</v>
      </c>
      <c r="AV85" s="2" t="s">
        <v>570</v>
      </c>
      <c r="AW85" s="2" t="s">
        <v>570</v>
      </c>
      <c r="AX85" s="2" t="s">
        <v>570</v>
      </c>
      <c r="AY85" s="2">
        <v>100</v>
      </c>
      <c r="AZ85" s="2">
        <v>0</v>
      </c>
      <c r="BA85" s="2">
        <f t="shared" si="7"/>
        <v>0</v>
      </c>
      <c r="BB85" s="2" t="s">
        <v>570</v>
      </c>
      <c r="BC85" s="2" t="s">
        <v>457</v>
      </c>
      <c r="BD85" s="2" t="s">
        <v>570</v>
      </c>
      <c r="BE85" s="2" t="s">
        <v>570</v>
      </c>
      <c r="BF85" s="2" t="s">
        <v>570</v>
      </c>
    </row>
    <row r="86" spans="1:58" ht="20.399999999999999">
      <c r="A86" s="2" t="s">
        <v>427</v>
      </c>
      <c r="B86" s="2" t="s">
        <v>508</v>
      </c>
      <c r="C86" s="2" t="s">
        <v>428</v>
      </c>
      <c r="D86" s="2" t="s">
        <v>159</v>
      </c>
      <c r="E86" s="2" t="s">
        <v>429</v>
      </c>
      <c r="F86" s="2" t="s">
        <v>570</v>
      </c>
      <c r="G86" s="2" t="s">
        <v>570</v>
      </c>
      <c r="H86" s="2" t="s">
        <v>570</v>
      </c>
      <c r="I86" s="2" t="s">
        <v>570</v>
      </c>
      <c r="J86" s="2" t="s">
        <v>570</v>
      </c>
      <c r="K86" s="2" t="s">
        <v>570</v>
      </c>
      <c r="L86" s="2" t="s">
        <v>570</v>
      </c>
      <c r="M86" s="2" t="s">
        <v>570</v>
      </c>
      <c r="N86" s="2" t="s">
        <v>570</v>
      </c>
      <c r="O86" s="2">
        <v>2007</v>
      </c>
      <c r="P86" s="2" t="s">
        <v>570</v>
      </c>
      <c r="Q86" s="2" t="s">
        <v>430</v>
      </c>
      <c r="R86" s="2" t="s">
        <v>431</v>
      </c>
      <c r="S86" s="2" t="s">
        <v>570</v>
      </c>
      <c r="T86" s="2" t="s">
        <v>570</v>
      </c>
      <c r="U86" s="2" t="s">
        <v>439</v>
      </c>
      <c r="V86" s="19" t="s">
        <v>736</v>
      </c>
      <c r="W86" s="2" t="s">
        <v>609</v>
      </c>
      <c r="X86" s="2" t="s">
        <v>131</v>
      </c>
      <c r="Y86" s="2" t="s">
        <v>570</v>
      </c>
      <c r="Z86" s="2" t="s">
        <v>233</v>
      </c>
      <c r="AA86" s="2" t="s">
        <v>570</v>
      </c>
      <c r="AB86" s="2">
        <v>4</v>
      </c>
      <c r="AC86" s="2">
        <v>4</v>
      </c>
      <c r="AD86" s="2" t="s">
        <v>570</v>
      </c>
      <c r="AE86" s="2" t="s">
        <v>570</v>
      </c>
      <c r="AF86" s="2" t="s">
        <v>570</v>
      </c>
      <c r="AG86" s="2" t="s">
        <v>570</v>
      </c>
      <c r="AH86" s="2" t="s">
        <v>570</v>
      </c>
      <c r="AI86" s="2" t="s">
        <v>570</v>
      </c>
      <c r="AJ86" s="2" t="s">
        <v>570</v>
      </c>
      <c r="AK86" s="2" t="s">
        <v>570</v>
      </c>
      <c r="AL86" s="49" t="s">
        <v>1027</v>
      </c>
      <c r="AM86" s="2" t="s">
        <v>570</v>
      </c>
      <c r="AN86" s="2" t="s">
        <v>570</v>
      </c>
      <c r="AO86" s="2" t="s">
        <v>570</v>
      </c>
      <c r="AP86" s="2" t="s">
        <v>570</v>
      </c>
      <c r="AQ86" s="2" t="s">
        <v>570</v>
      </c>
      <c r="AR86" s="2" t="s">
        <v>570</v>
      </c>
      <c r="AS86" s="2">
        <v>81.3</v>
      </c>
      <c r="AT86" s="2">
        <v>6.3</v>
      </c>
      <c r="AU86" s="2">
        <f t="shared" si="6"/>
        <v>12.6</v>
      </c>
      <c r="AV86" s="2" t="s">
        <v>570</v>
      </c>
      <c r="AW86" s="2" t="s">
        <v>570</v>
      </c>
      <c r="AX86" s="2" t="s">
        <v>570</v>
      </c>
      <c r="AY86" s="2">
        <v>100</v>
      </c>
      <c r="AZ86" s="2">
        <v>0</v>
      </c>
      <c r="BA86" s="2">
        <f t="shared" si="7"/>
        <v>0</v>
      </c>
      <c r="BB86" s="2" t="s">
        <v>570</v>
      </c>
      <c r="BC86" s="2" t="s">
        <v>457</v>
      </c>
      <c r="BD86" s="2" t="s">
        <v>570</v>
      </c>
      <c r="BE86" s="2" t="s">
        <v>570</v>
      </c>
      <c r="BF86" s="2" t="s">
        <v>570</v>
      </c>
    </row>
    <row r="87" spans="1:58" ht="20.399999999999999">
      <c r="A87" s="2" t="s">
        <v>427</v>
      </c>
      <c r="B87" s="2" t="s">
        <v>508</v>
      </c>
      <c r="C87" s="2" t="s">
        <v>428</v>
      </c>
      <c r="D87" s="2" t="s">
        <v>159</v>
      </c>
      <c r="E87" s="2" t="s">
        <v>429</v>
      </c>
      <c r="F87" s="2" t="s">
        <v>570</v>
      </c>
      <c r="G87" s="2" t="s">
        <v>570</v>
      </c>
      <c r="H87" s="2" t="s">
        <v>570</v>
      </c>
      <c r="I87" s="2" t="s">
        <v>570</v>
      </c>
      <c r="J87" s="2" t="s">
        <v>570</v>
      </c>
      <c r="K87" s="2" t="s">
        <v>570</v>
      </c>
      <c r="L87" s="2" t="s">
        <v>570</v>
      </c>
      <c r="M87" s="2" t="s">
        <v>570</v>
      </c>
      <c r="N87" s="2" t="s">
        <v>570</v>
      </c>
      <c r="O87" s="2">
        <v>2007</v>
      </c>
      <c r="P87" s="2" t="s">
        <v>570</v>
      </c>
      <c r="Q87" s="2" t="s">
        <v>430</v>
      </c>
      <c r="R87" s="2" t="s">
        <v>431</v>
      </c>
      <c r="S87" s="2" t="s">
        <v>570</v>
      </c>
      <c r="T87" s="2" t="s">
        <v>570</v>
      </c>
      <c r="U87" s="2" t="s">
        <v>234</v>
      </c>
      <c r="V87" s="19" t="s">
        <v>736</v>
      </c>
      <c r="W87" s="2" t="s">
        <v>609</v>
      </c>
      <c r="X87" s="2" t="s">
        <v>131</v>
      </c>
      <c r="Y87" s="2" t="s">
        <v>570</v>
      </c>
      <c r="Z87" s="2" t="s">
        <v>235</v>
      </c>
      <c r="AA87" s="2" t="s">
        <v>570</v>
      </c>
      <c r="AB87" s="2">
        <v>4</v>
      </c>
      <c r="AC87" s="2">
        <v>4</v>
      </c>
      <c r="AD87" s="2" t="s">
        <v>570</v>
      </c>
      <c r="AE87" s="2" t="s">
        <v>570</v>
      </c>
      <c r="AF87" s="2" t="s">
        <v>570</v>
      </c>
      <c r="AG87" s="2" t="s">
        <v>570</v>
      </c>
      <c r="AH87" s="2" t="s">
        <v>570</v>
      </c>
      <c r="AI87" s="2" t="s">
        <v>570</v>
      </c>
      <c r="AJ87" s="2" t="s">
        <v>570</v>
      </c>
      <c r="AK87" s="2" t="s">
        <v>570</v>
      </c>
      <c r="AL87" s="49" t="s">
        <v>1027</v>
      </c>
      <c r="AM87" s="2" t="s">
        <v>570</v>
      </c>
      <c r="AN87" s="2" t="s">
        <v>570</v>
      </c>
      <c r="AO87" s="2" t="s">
        <v>570</v>
      </c>
      <c r="AP87" s="2" t="s">
        <v>570</v>
      </c>
      <c r="AQ87" s="2" t="s">
        <v>570</v>
      </c>
      <c r="AR87" s="2" t="s">
        <v>570</v>
      </c>
      <c r="AS87" s="2">
        <v>100</v>
      </c>
      <c r="AT87" s="2">
        <v>0</v>
      </c>
      <c r="AU87" s="2">
        <f t="shared" si="6"/>
        <v>0</v>
      </c>
      <c r="AV87" s="2" t="s">
        <v>570</v>
      </c>
      <c r="AW87" s="2" t="s">
        <v>570</v>
      </c>
      <c r="AX87" s="2" t="s">
        <v>570</v>
      </c>
      <c r="AY87" s="2">
        <v>100</v>
      </c>
      <c r="AZ87" s="2">
        <v>0</v>
      </c>
      <c r="BA87" s="2">
        <f t="shared" si="7"/>
        <v>0</v>
      </c>
      <c r="BB87" s="2" t="s">
        <v>570</v>
      </c>
      <c r="BC87" s="2" t="s">
        <v>457</v>
      </c>
      <c r="BD87" s="2" t="s">
        <v>570</v>
      </c>
      <c r="BE87" s="2" t="s">
        <v>570</v>
      </c>
      <c r="BF87" s="2" t="s">
        <v>570</v>
      </c>
    </row>
    <row r="88" spans="1:58" ht="20.399999999999999">
      <c r="A88" s="2" t="s">
        <v>427</v>
      </c>
      <c r="B88" s="2" t="s">
        <v>508</v>
      </c>
      <c r="C88" s="2" t="s">
        <v>428</v>
      </c>
      <c r="D88" s="2" t="s">
        <v>159</v>
      </c>
      <c r="E88" s="2" t="s">
        <v>429</v>
      </c>
      <c r="F88" s="2" t="s">
        <v>570</v>
      </c>
      <c r="G88" s="2" t="s">
        <v>570</v>
      </c>
      <c r="H88" s="2" t="s">
        <v>570</v>
      </c>
      <c r="I88" s="2" t="s">
        <v>570</v>
      </c>
      <c r="J88" s="2" t="s">
        <v>570</v>
      </c>
      <c r="K88" s="2" t="s">
        <v>570</v>
      </c>
      <c r="L88" s="2" t="s">
        <v>570</v>
      </c>
      <c r="M88" s="2" t="s">
        <v>570</v>
      </c>
      <c r="N88" s="2" t="s">
        <v>570</v>
      </c>
      <c r="O88" s="2">
        <v>2007</v>
      </c>
      <c r="P88" s="2" t="s">
        <v>570</v>
      </c>
      <c r="Q88" s="2" t="s">
        <v>430</v>
      </c>
      <c r="R88" s="2" t="s">
        <v>19</v>
      </c>
      <c r="S88" s="2" t="s">
        <v>570</v>
      </c>
      <c r="T88" s="2" t="s">
        <v>570</v>
      </c>
      <c r="U88" s="2" t="s">
        <v>608</v>
      </c>
      <c r="V88" s="19" t="s">
        <v>736</v>
      </c>
      <c r="W88" s="2" t="s">
        <v>609</v>
      </c>
      <c r="X88" s="2" t="s">
        <v>131</v>
      </c>
      <c r="Y88" s="2" t="s">
        <v>570</v>
      </c>
      <c r="Z88" s="2" t="s">
        <v>610</v>
      </c>
      <c r="AA88" s="2" t="s">
        <v>570</v>
      </c>
      <c r="AB88" s="2">
        <v>4</v>
      </c>
      <c r="AC88" s="2">
        <v>4</v>
      </c>
      <c r="AD88" s="2" t="s">
        <v>570</v>
      </c>
      <c r="AE88" s="2" t="s">
        <v>570</v>
      </c>
      <c r="AF88" s="2" t="s">
        <v>570</v>
      </c>
      <c r="AG88" s="2" t="s">
        <v>570</v>
      </c>
      <c r="AH88" s="2" t="s">
        <v>570</v>
      </c>
      <c r="AI88" s="2" t="s">
        <v>570</v>
      </c>
      <c r="AJ88" s="2" t="s">
        <v>570</v>
      </c>
      <c r="AK88" s="2" t="s">
        <v>570</v>
      </c>
      <c r="AL88" s="49" t="s">
        <v>1027</v>
      </c>
      <c r="AM88" s="2" t="s">
        <v>570</v>
      </c>
      <c r="AN88" s="2" t="s">
        <v>570</v>
      </c>
      <c r="AO88" s="2" t="s">
        <v>570</v>
      </c>
      <c r="AP88" s="2" t="s">
        <v>570</v>
      </c>
      <c r="AQ88" s="2" t="s">
        <v>570</v>
      </c>
      <c r="AR88" s="2" t="s">
        <v>570</v>
      </c>
      <c r="AS88" s="2">
        <v>81.7</v>
      </c>
      <c r="AT88" s="2">
        <v>5</v>
      </c>
      <c r="AU88" s="2">
        <f t="shared" si="6"/>
        <v>10</v>
      </c>
      <c r="AV88" s="2" t="s">
        <v>570</v>
      </c>
      <c r="AW88" s="2" t="s">
        <v>570</v>
      </c>
      <c r="AX88" s="2" t="s">
        <v>570</v>
      </c>
      <c r="AY88" s="2">
        <v>100</v>
      </c>
      <c r="AZ88" s="2">
        <v>0</v>
      </c>
      <c r="BA88" s="2">
        <f t="shared" si="7"/>
        <v>0</v>
      </c>
      <c r="BB88" s="2" t="s">
        <v>570</v>
      </c>
      <c r="BC88" s="2" t="s">
        <v>785</v>
      </c>
      <c r="BD88" s="2" t="s">
        <v>570</v>
      </c>
      <c r="BE88" s="2" t="s">
        <v>570</v>
      </c>
      <c r="BF88" s="2" t="s">
        <v>570</v>
      </c>
    </row>
    <row r="89" spans="1:58" ht="20.399999999999999">
      <c r="A89" s="2" t="s">
        <v>427</v>
      </c>
      <c r="B89" s="2" t="s">
        <v>508</v>
      </c>
      <c r="C89" s="2" t="s">
        <v>428</v>
      </c>
      <c r="D89" s="2" t="s">
        <v>159</v>
      </c>
      <c r="E89" s="2" t="s">
        <v>429</v>
      </c>
      <c r="F89" s="2" t="s">
        <v>570</v>
      </c>
      <c r="G89" s="2" t="s">
        <v>570</v>
      </c>
      <c r="H89" s="2" t="s">
        <v>570</v>
      </c>
      <c r="I89" s="2" t="s">
        <v>570</v>
      </c>
      <c r="J89" s="2" t="s">
        <v>570</v>
      </c>
      <c r="K89" s="2" t="s">
        <v>570</v>
      </c>
      <c r="L89" s="2" t="s">
        <v>570</v>
      </c>
      <c r="M89" s="2" t="s">
        <v>570</v>
      </c>
      <c r="N89" s="2" t="s">
        <v>570</v>
      </c>
      <c r="O89" s="2">
        <v>2007</v>
      </c>
      <c r="P89" s="2" t="s">
        <v>570</v>
      </c>
      <c r="Q89" s="2" t="s">
        <v>430</v>
      </c>
      <c r="R89" s="2" t="s">
        <v>19</v>
      </c>
      <c r="S89" s="2" t="s">
        <v>570</v>
      </c>
      <c r="T89" s="2" t="s">
        <v>570</v>
      </c>
      <c r="U89" s="2" t="s">
        <v>437</v>
      </c>
      <c r="V89" s="19" t="s">
        <v>736</v>
      </c>
      <c r="W89" s="2" t="s">
        <v>609</v>
      </c>
      <c r="X89" s="2" t="s">
        <v>131</v>
      </c>
      <c r="Y89" s="2" t="s">
        <v>570</v>
      </c>
      <c r="Z89" s="2" t="s">
        <v>438</v>
      </c>
      <c r="AA89" s="2" t="s">
        <v>570</v>
      </c>
      <c r="AB89" s="2">
        <v>4</v>
      </c>
      <c r="AC89" s="2">
        <v>4</v>
      </c>
      <c r="AD89" s="2" t="s">
        <v>570</v>
      </c>
      <c r="AE89" s="2" t="s">
        <v>570</v>
      </c>
      <c r="AF89" s="2" t="s">
        <v>570</v>
      </c>
      <c r="AG89" s="2" t="s">
        <v>570</v>
      </c>
      <c r="AH89" s="2" t="s">
        <v>570</v>
      </c>
      <c r="AI89" s="2" t="s">
        <v>570</v>
      </c>
      <c r="AJ89" s="2" t="s">
        <v>570</v>
      </c>
      <c r="AK89" s="2" t="s">
        <v>570</v>
      </c>
      <c r="AL89" s="49" t="s">
        <v>1027</v>
      </c>
      <c r="AM89" s="2" t="s">
        <v>570</v>
      </c>
      <c r="AN89" s="2" t="s">
        <v>570</v>
      </c>
      <c r="AO89" s="2" t="s">
        <v>570</v>
      </c>
      <c r="AP89" s="2" t="s">
        <v>570</v>
      </c>
      <c r="AQ89" s="2" t="s">
        <v>570</v>
      </c>
      <c r="AR89" s="2" t="s">
        <v>570</v>
      </c>
      <c r="AS89" s="2">
        <v>68.3</v>
      </c>
      <c r="AT89" s="2">
        <v>6.9</v>
      </c>
      <c r="AU89" s="2">
        <f t="shared" si="6"/>
        <v>13.8</v>
      </c>
      <c r="AV89" s="2" t="s">
        <v>570</v>
      </c>
      <c r="AW89" s="2" t="s">
        <v>570</v>
      </c>
      <c r="AX89" s="2" t="s">
        <v>570</v>
      </c>
      <c r="AY89" s="2">
        <v>100</v>
      </c>
      <c r="AZ89" s="2">
        <v>0</v>
      </c>
      <c r="BA89" s="2">
        <f t="shared" si="7"/>
        <v>0</v>
      </c>
      <c r="BB89" s="2" t="s">
        <v>570</v>
      </c>
      <c r="BC89" s="2" t="s">
        <v>785</v>
      </c>
      <c r="BD89" s="2" t="s">
        <v>570</v>
      </c>
      <c r="BE89" s="2" t="s">
        <v>570</v>
      </c>
      <c r="BF89" s="2" t="s">
        <v>570</v>
      </c>
    </row>
    <row r="90" spans="1:58" ht="20.399999999999999">
      <c r="A90" s="2" t="s">
        <v>427</v>
      </c>
      <c r="B90" s="2" t="s">
        <v>508</v>
      </c>
      <c r="C90" s="2" t="s">
        <v>428</v>
      </c>
      <c r="D90" s="2" t="s">
        <v>159</v>
      </c>
      <c r="E90" s="2" t="s">
        <v>429</v>
      </c>
      <c r="F90" s="2" t="s">
        <v>570</v>
      </c>
      <c r="G90" s="2" t="s">
        <v>570</v>
      </c>
      <c r="H90" s="2" t="s">
        <v>570</v>
      </c>
      <c r="I90" s="2" t="s">
        <v>570</v>
      </c>
      <c r="J90" s="2" t="s">
        <v>570</v>
      </c>
      <c r="K90" s="2" t="s">
        <v>570</v>
      </c>
      <c r="L90" s="2" t="s">
        <v>570</v>
      </c>
      <c r="M90" s="2" t="s">
        <v>570</v>
      </c>
      <c r="N90" s="2" t="s">
        <v>570</v>
      </c>
      <c r="O90" s="2">
        <v>2007</v>
      </c>
      <c r="P90" s="2" t="s">
        <v>570</v>
      </c>
      <c r="Q90" s="2" t="s">
        <v>430</v>
      </c>
      <c r="R90" s="2" t="s">
        <v>19</v>
      </c>
      <c r="S90" s="2" t="s">
        <v>570</v>
      </c>
      <c r="T90" s="2" t="s">
        <v>570</v>
      </c>
      <c r="U90" s="2" t="s">
        <v>439</v>
      </c>
      <c r="V90" s="19" t="s">
        <v>736</v>
      </c>
      <c r="W90" s="2" t="s">
        <v>609</v>
      </c>
      <c r="X90" s="2" t="s">
        <v>131</v>
      </c>
      <c r="Y90" s="2" t="s">
        <v>570</v>
      </c>
      <c r="Z90" s="2" t="s">
        <v>233</v>
      </c>
      <c r="AA90" s="2" t="s">
        <v>570</v>
      </c>
      <c r="AB90" s="2">
        <v>4</v>
      </c>
      <c r="AC90" s="2">
        <v>4</v>
      </c>
      <c r="AD90" s="2" t="s">
        <v>570</v>
      </c>
      <c r="AE90" s="2" t="s">
        <v>570</v>
      </c>
      <c r="AF90" s="2" t="s">
        <v>570</v>
      </c>
      <c r="AG90" s="2" t="s">
        <v>570</v>
      </c>
      <c r="AH90" s="2" t="s">
        <v>570</v>
      </c>
      <c r="AI90" s="2" t="s">
        <v>570</v>
      </c>
      <c r="AJ90" s="2" t="s">
        <v>570</v>
      </c>
      <c r="AK90" s="2" t="s">
        <v>570</v>
      </c>
      <c r="AL90" s="49" t="s">
        <v>1027</v>
      </c>
      <c r="AM90" s="2" t="s">
        <v>570</v>
      </c>
      <c r="AN90" s="2" t="s">
        <v>570</v>
      </c>
      <c r="AO90" s="2" t="s">
        <v>570</v>
      </c>
      <c r="AP90" s="2" t="s">
        <v>570</v>
      </c>
      <c r="AQ90" s="2" t="s">
        <v>570</v>
      </c>
      <c r="AR90" s="2" t="s">
        <v>570</v>
      </c>
      <c r="AS90" s="2">
        <v>63.3</v>
      </c>
      <c r="AT90" s="2">
        <v>4.3</v>
      </c>
      <c r="AU90" s="2">
        <f t="shared" si="6"/>
        <v>8.6</v>
      </c>
      <c r="AV90" s="2" t="s">
        <v>570</v>
      </c>
      <c r="AW90" s="2" t="s">
        <v>570</v>
      </c>
      <c r="AX90" s="2" t="s">
        <v>570</v>
      </c>
      <c r="AY90" s="2">
        <v>100</v>
      </c>
      <c r="AZ90" s="2">
        <v>0</v>
      </c>
      <c r="BA90" s="2">
        <f t="shared" si="7"/>
        <v>0</v>
      </c>
      <c r="BB90" s="2" t="s">
        <v>570</v>
      </c>
      <c r="BC90" s="2" t="s">
        <v>785</v>
      </c>
      <c r="BD90" s="2" t="s">
        <v>570</v>
      </c>
      <c r="BE90" s="2" t="s">
        <v>570</v>
      </c>
      <c r="BF90" s="2" t="s">
        <v>570</v>
      </c>
    </row>
    <row r="91" spans="1:58" ht="20.399999999999999">
      <c r="A91" s="6" t="s">
        <v>427</v>
      </c>
      <c r="B91" s="6" t="s">
        <v>508</v>
      </c>
      <c r="C91" s="6" t="s">
        <v>428</v>
      </c>
      <c r="D91" s="6" t="s">
        <v>159</v>
      </c>
      <c r="E91" s="6" t="s">
        <v>429</v>
      </c>
      <c r="F91" s="6" t="s">
        <v>570</v>
      </c>
      <c r="G91" s="6" t="s">
        <v>570</v>
      </c>
      <c r="H91" s="6" t="s">
        <v>570</v>
      </c>
      <c r="I91" s="6" t="s">
        <v>570</v>
      </c>
      <c r="J91" s="6" t="s">
        <v>570</v>
      </c>
      <c r="K91" s="6" t="s">
        <v>570</v>
      </c>
      <c r="L91" s="6" t="s">
        <v>570</v>
      </c>
      <c r="M91" s="6" t="s">
        <v>570</v>
      </c>
      <c r="N91" s="6" t="s">
        <v>570</v>
      </c>
      <c r="O91" s="6">
        <v>2007</v>
      </c>
      <c r="P91" s="6" t="s">
        <v>570</v>
      </c>
      <c r="Q91" s="6" t="s">
        <v>430</v>
      </c>
      <c r="R91" s="6" t="s">
        <v>19</v>
      </c>
      <c r="S91" s="6" t="s">
        <v>570</v>
      </c>
      <c r="T91" s="6" t="s">
        <v>570</v>
      </c>
      <c r="U91" s="6" t="s">
        <v>234</v>
      </c>
      <c r="V91" s="15" t="s">
        <v>736</v>
      </c>
      <c r="W91" s="6" t="s">
        <v>609</v>
      </c>
      <c r="X91" s="6" t="s">
        <v>131</v>
      </c>
      <c r="Y91" s="6" t="s">
        <v>570</v>
      </c>
      <c r="Z91" s="6" t="s">
        <v>235</v>
      </c>
      <c r="AA91" s="6" t="s">
        <v>570</v>
      </c>
      <c r="AB91" s="6">
        <v>4</v>
      </c>
      <c r="AC91" s="6">
        <v>4</v>
      </c>
      <c r="AD91" s="6" t="s">
        <v>570</v>
      </c>
      <c r="AE91" s="6" t="s">
        <v>570</v>
      </c>
      <c r="AF91" s="6" t="s">
        <v>570</v>
      </c>
      <c r="AG91" s="6" t="s">
        <v>570</v>
      </c>
      <c r="AH91" s="6" t="s">
        <v>570</v>
      </c>
      <c r="AI91" s="6" t="s">
        <v>570</v>
      </c>
      <c r="AJ91" s="6" t="s">
        <v>570</v>
      </c>
      <c r="AK91" s="6" t="s">
        <v>570</v>
      </c>
      <c r="AL91" s="49" t="s">
        <v>1027</v>
      </c>
      <c r="AM91" s="6" t="s">
        <v>570</v>
      </c>
      <c r="AN91" s="6" t="s">
        <v>570</v>
      </c>
      <c r="AO91" s="6" t="s">
        <v>570</v>
      </c>
      <c r="AP91" s="6" t="s">
        <v>570</v>
      </c>
      <c r="AQ91" s="6" t="s">
        <v>570</v>
      </c>
      <c r="AR91" s="6" t="s">
        <v>570</v>
      </c>
      <c r="AS91" s="6">
        <v>91.7</v>
      </c>
      <c r="AT91" s="6">
        <v>6.3</v>
      </c>
      <c r="AU91" s="6">
        <f t="shared" si="6"/>
        <v>12.6</v>
      </c>
      <c r="AV91" s="6" t="s">
        <v>570</v>
      </c>
      <c r="AW91" s="6" t="s">
        <v>570</v>
      </c>
      <c r="AX91" s="6" t="s">
        <v>570</v>
      </c>
      <c r="AY91" s="6">
        <v>100</v>
      </c>
      <c r="AZ91" s="6">
        <v>0</v>
      </c>
      <c r="BA91" s="6">
        <f t="shared" si="7"/>
        <v>0</v>
      </c>
      <c r="BB91" s="6" t="s">
        <v>570</v>
      </c>
      <c r="BC91" s="6" t="s">
        <v>20</v>
      </c>
      <c r="BD91" s="6" t="s">
        <v>570</v>
      </c>
      <c r="BE91" s="6" t="s">
        <v>570</v>
      </c>
      <c r="BF91" s="6" t="s">
        <v>570</v>
      </c>
    </row>
    <row r="92" spans="1:58" ht="20.399999999999999">
      <c r="A92" s="1" t="s">
        <v>643</v>
      </c>
      <c r="B92" s="1" t="s">
        <v>508</v>
      </c>
      <c r="C92" s="1" t="s">
        <v>428</v>
      </c>
      <c r="D92" s="1" t="s">
        <v>159</v>
      </c>
      <c r="E92" s="1" t="s">
        <v>160</v>
      </c>
      <c r="F92" s="4" t="s">
        <v>570</v>
      </c>
      <c r="G92" s="4" t="s">
        <v>570</v>
      </c>
      <c r="H92" s="4" t="s">
        <v>570</v>
      </c>
      <c r="I92" s="4" t="s">
        <v>570</v>
      </c>
      <c r="J92" s="4" t="s">
        <v>570</v>
      </c>
      <c r="K92" s="4" t="s">
        <v>570</v>
      </c>
      <c r="L92" s="4" t="s">
        <v>570</v>
      </c>
      <c r="M92" s="4" t="s">
        <v>570</v>
      </c>
      <c r="N92" s="4" t="s">
        <v>570</v>
      </c>
      <c r="O92" s="1">
        <v>2006</v>
      </c>
      <c r="P92" s="4" t="s">
        <v>570</v>
      </c>
      <c r="Q92" s="1" t="s">
        <v>430</v>
      </c>
      <c r="R92" s="1" t="s">
        <v>431</v>
      </c>
      <c r="S92" s="4" t="s">
        <v>570</v>
      </c>
      <c r="T92" s="4" t="s">
        <v>570</v>
      </c>
      <c r="U92" s="1" t="s">
        <v>608</v>
      </c>
      <c r="V92" s="1" t="s">
        <v>736</v>
      </c>
      <c r="W92" s="1" t="s">
        <v>609</v>
      </c>
      <c r="X92" s="1" t="s">
        <v>131</v>
      </c>
      <c r="Y92" s="4" t="s">
        <v>570</v>
      </c>
      <c r="Z92" s="1" t="s">
        <v>610</v>
      </c>
      <c r="AA92" s="4" t="s">
        <v>570</v>
      </c>
      <c r="AB92" s="1">
        <v>4</v>
      </c>
      <c r="AC92" s="1">
        <v>4</v>
      </c>
      <c r="AD92" s="4" t="s">
        <v>570</v>
      </c>
      <c r="AE92" s="4" t="s">
        <v>570</v>
      </c>
      <c r="AF92" s="4" t="s">
        <v>570</v>
      </c>
      <c r="AG92" s="4" t="s">
        <v>570</v>
      </c>
      <c r="AH92" s="4" t="s">
        <v>570</v>
      </c>
      <c r="AI92" s="4" t="s">
        <v>570</v>
      </c>
      <c r="AJ92" s="4" t="s">
        <v>570</v>
      </c>
      <c r="AK92" s="4" t="s">
        <v>570</v>
      </c>
      <c r="AL92" s="48" t="s">
        <v>1027</v>
      </c>
      <c r="AM92" s="4" t="s">
        <v>570</v>
      </c>
      <c r="AN92" s="4" t="s">
        <v>570</v>
      </c>
      <c r="AO92" s="4" t="s">
        <v>570</v>
      </c>
      <c r="AP92" s="4" t="s">
        <v>570</v>
      </c>
      <c r="AQ92" s="4" t="s">
        <v>570</v>
      </c>
      <c r="AR92" s="4" t="s">
        <v>570</v>
      </c>
      <c r="AS92" s="1">
        <v>98.3</v>
      </c>
      <c r="AT92" s="1">
        <v>1.8</v>
      </c>
      <c r="AU92" s="4">
        <f t="shared" si="6"/>
        <v>3.6</v>
      </c>
      <c r="AV92" s="4" t="s">
        <v>570</v>
      </c>
      <c r="AW92" s="4" t="s">
        <v>570</v>
      </c>
      <c r="AX92" s="4" t="s">
        <v>570</v>
      </c>
      <c r="AY92" s="1">
        <v>100</v>
      </c>
      <c r="AZ92" s="1">
        <v>0</v>
      </c>
      <c r="BA92" s="4">
        <f t="shared" si="7"/>
        <v>0</v>
      </c>
      <c r="BB92" s="4" t="s">
        <v>570</v>
      </c>
      <c r="BC92" s="4" t="s">
        <v>457</v>
      </c>
      <c r="BD92" s="4" t="s">
        <v>570</v>
      </c>
      <c r="BE92" s="4" t="s">
        <v>570</v>
      </c>
      <c r="BF92" s="4" t="s">
        <v>570</v>
      </c>
    </row>
    <row r="93" spans="1:58" ht="20.399999999999999">
      <c r="A93" s="1" t="s">
        <v>643</v>
      </c>
      <c r="B93" s="1" t="s">
        <v>508</v>
      </c>
      <c r="C93" s="1" t="s">
        <v>428</v>
      </c>
      <c r="D93" s="2" t="s">
        <v>159</v>
      </c>
      <c r="E93" s="1" t="s">
        <v>160</v>
      </c>
      <c r="F93" s="2" t="s">
        <v>570</v>
      </c>
      <c r="G93" s="2" t="s">
        <v>570</v>
      </c>
      <c r="H93" s="2" t="s">
        <v>570</v>
      </c>
      <c r="I93" s="2" t="s">
        <v>570</v>
      </c>
      <c r="J93" s="2" t="s">
        <v>570</v>
      </c>
      <c r="K93" s="2" t="s">
        <v>570</v>
      </c>
      <c r="L93" s="2" t="s">
        <v>570</v>
      </c>
      <c r="M93" s="2" t="s">
        <v>570</v>
      </c>
      <c r="N93" s="2" t="s">
        <v>570</v>
      </c>
      <c r="O93" s="1">
        <v>2006</v>
      </c>
      <c r="P93" s="2" t="s">
        <v>570</v>
      </c>
      <c r="Q93" s="1" t="s">
        <v>430</v>
      </c>
      <c r="R93" s="1" t="s">
        <v>431</v>
      </c>
      <c r="S93" s="2" t="s">
        <v>570</v>
      </c>
      <c r="T93" s="2" t="s">
        <v>570</v>
      </c>
      <c r="U93" s="1" t="s">
        <v>437</v>
      </c>
      <c r="V93" s="1" t="s">
        <v>736</v>
      </c>
      <c r="W93" s="1" t="s">
        <v>609</v>
      </c>
      <c r="X93" s="1" t="s">
        <v>131</v>
      </c>
      <c r="Y93" s="2" t="s">
        <v>570</v>
      </c>
      <c r="Z93" s="1" t="s">
        <v>438</v>
      </c>
      <c r="AA93" s="2" t="s">
        <v>570</v>
      </c>
      <c r="AB93" s="1">
        <v>4</v>
      </c>
      <c r="AC93" s="1">
        <v>4</v>
      </c>
      <c r="AD93" s="2" t="s">
        <v>570</v>
      </c>
      <c r="AE93" s="2" t="s">
        <v>570</v>
      </c>
      <c r="AF93" s="2" t="s">
        <v>570</v>
      </c>
      <c r="AG93" s="2" t="s">
        <v>570</v>
      </c>
      <c r="AH93" s="2" t="s">
        <v>570</v>
      </c>
      <c r="AI93" s="2" t="s">
        <v>570</v>
      </c>
      <c r="AJ93" s="2" t="s">
        <v>570</v>
      </c>
      <c r="AK93" s="2" t="s">
        <v>570</v>
      </c>
      <c r="AL93" s="49" t="s">
        <v>1027</v>
      </c>
      <c r="AM93" s="2" t="s">
        <v>570</v>
      </c>
      <c r="AN93" s="2" t="s">
        <v>570</v>
      </c>
      <c r="AO93" s="2" t="s">
        <v>570</v>
      </c>
      <c r="AP93" s="2" t="s">
        <v>570</v>
      </c>
      <c r="AQ93" s="2" t="s">
        <v>570</v>
      </c>
      <c r="AR93" s="2" t="s">
        <v>570</v>
      </c>
      <c r="AS93" s="1">
        <v>100</v>
      </c>
      <c r="AT93" s="1">
        <v>0</v>
      </c>
      <c r="AU93" s="2">
        <f t="shared" si="6"/>
        <v>0</v>
      </c>
      <c r="AV93" s="2" t="s">
        <v>570</v>
      </c>
      <c r="AW93" s="2" t="s">
        <v>570</v>
      </c>
      <c r="AX93" s="2" t="s">
        <v>570</v>
      </c>
      <c r="AY93" s="1">
        <v>100</v>
      </c>
      <c r="AZ93" s="1">
        <v>0</v>
      </c>
      <c r="BA93" s="2">
        <f t="shared" si="7"/>
        <v>0</v>
      </c>
      <c r="BB93" s="2" t="s">
        <v>570</v>
      </c>
      <c r="BC93" s="1" t="s">
        <v>457</v>
      </c>
      <c r="BD93" s="2" t="s">
        <v>570</v>
      </c>
      <c r="BE93" s="2" t="s">
        <v>570</v>
      </c>
      <c r="BF93" s="2" t="s">
        <v>570</v>
      </c>
    </row>
    <row r="94" spans="1:58" ht="20.399999999999999">
      <c r="A94" s="1" t="s">
        <v>643</v>
      </c>
      <c r="B94" s="1" t="s">
        <v>508</v>
      </c>
      <c r="C94" s="1" t="s">
        <v>428</v>
      </c>
      <c r="D94" s="2" t="s">
        <v>159</v>
      </c>
      <c r="E94" s="1" t="s">
        <v>160</v>
      </c>
      <c r="F94" s="2" t="s">
        <v>570</v>
      </c>
      <c r="G94" s="2" t="s">
        <v>570</v>
      </c>
      <c r="H94" s="2" t="s">
        <v>570</v>
      </c>
      <c r="I94" s="2" t="s">
        <v>570</v>
      </c>
      <c r="J94" s="2" t="s">
        <v>570</v>
      </c>
      <c r="K94" s="2" t="s">
        <v>570</v>
      </c>
      <c r="L94" s="2" t="s">
        <v>570</v>
      </c>
      <c r="M94" s="2" t="s">
        <v>570</v>
      </c>
      <c r="N94" s="2" t="s">
        <v>570</v>
      </c>
      <c r="O94" s="1">
        <v>2006</v>
      </c>
      <c r="P94" s="2" t="s">
        <v>570</v>
      </c>
      <c r="Q94" s="1" t="s">
        <v>430</v>
      </c>
      <c r="R94" s="1" t="s">
        <v>431</v>
      </c>
      <c r="S94" s="2" t="s">
        <v>570</v>
      </c>
      <c r="T94" s="2" t="s">
        <v>570</v>
      </c>
      <c r="U94" s="1" t="s">
        <v>737</v>
      </c>
      <c r="V94" s="1" t="s">
        <v>738</v>
      </c>
      <c r="W94" s="1" t="s">
        <v>23</v>
      </c>
      <c r="X94" s="1" t="s">
        <v>131</v>
      </c>
      <c r="Y94" s="2" t="s">
        <v>570</v>
      </c>
      <c r="Z94" s="1" t="s">
        <v>734</v>
      </c>
      <c r="AA94" s="2" t="s">
        <v>570</v>
      </c>
      <c r="AB94" s="1">
        <v>4</v>
      </c>
      <c r="AC94" s="1">
        <v>4</v>
      </c>
      <c r="AD94" s="2" t="s">
        <v>570</v>
      </c>
      <c r="AE94" s="2" t="s">
        <v>570</v>
      </c>
      <c r="AF94" s="2" t="s">
        <v>570</v>
      </c>
      <c r="AG94" s="2" t="s">
        <v>570</v>
      </c>
      <c r="AH94" s="2" t="s">
        <v>570</v>
      </c>
      <c r="AI94" s="2" t="s">
        <v>570</v>
      </c>
      <c r="AJ94" s="2" t="s">
        <v>570</v>
      </c>
      <c r="AK94" s="2" t="s">
        <v>570</v>
      </c>
      <c r="AL94" s="49" t="s">
        <v>1027</v>
      </c>
      <c r="AM94" s="2" t="s">
        <v>570</v>
      </c>
      <c r="AN94" s="2" t="s">
        <v>570</v>
      </c>
      <c r="AO94" s="2" t="s">
        <v>570</v>
      </c>
      <c r="AP94" s="2" t="s">
        <v>570</v>
      </c>
      <c r="AQ94" s="2" t="s">
        <v>570</v>
      </c>
      <c r="AR94" s="2" t="s">
        <v>570</v>
      </c>
      <c r="AS94" s="1">
        <v>100</v>
      </c>
      <c r="AT94" s="1">
        <v>0</v>
      </c>
      <c r="AU94" s="2">
        <f t="shared" si="6"/>
        <v>0</v>
      </c>
      <c r="AV94" s="2" t="s">
        <v>570</v>
      </c>
      <c r="AW94" s="2" t="s">
        <v>570</v>
      </c>
      <c r="AX94" s="2" t="s">
        <v>570</v>
      </c>
      <c r="AY94" s="1">
        <v>100</v>
      </c>
      <c r="AZ94" s="1">
        <v>0</v>
      </c>
      <c r="BA94" s="2">
        <f t="shared" si="7"/>
        <v>0</v>
      </c>
      <c r="BB94" s="2" t="s">
        <v>570</v>
      </c>
      <c r="BC94" s="1" t="s">
        <v>457</v>
      </c>
      <c r="BD94" s="2" t="s">
        <v>570</v>
      </c>
      <c r="BE94" s="2" t="s">
        <v>570</v>
      </c>
      <c r="BF94" s="2" t="s">
        <v>570</v>
      </c>
    </row>
    <row r="95" spans="1:58" ht="20.399999999999999">
      <c r="A95" s="1" t="s">
        <v>643</v>
      </c>
      <c r="B95" s="1" t="s">
        <v>508</v>
      </c>
      <c r="C95" s="1" t="s">
        <v>428</v>
      </c>
      <c r="D95" s="2" t="s">
        <v>159</v>
      </c>
      <c r="E95" s="1" t="s">
        <v>160</v>
      </c>
      <c r="F95" s="2" t="s">
        <v>570</v>
      </c>
      <c r="G95" s="2" t="s">
        <v>570</v>
      </c>
      <c r="H95" s="2" t="s">
        <v>570</v>
      </c>
      <c r="I95" s="2" t="s">
        <v>570</v>
      </c>
      <c r="J95" s="2" t="s">
        <v>570</v>
      </c>
      <c r="K95" s="2" t="s">
        <v>570</v>
      </c>
      <c r="L95" s="2" t="s">
        <v>570</v>
      </c>
      <c r="M95" s="2" t="s">
        <v>570</v>
      </c>
      <c r="N95" s="2" t="s">
        <v>570</v>
      </c>
      <c r="O95" s="1">
        <v>2006</v>
      </c>
      <c r="P95" s="2" t="s">
        <v>570</v>
      </c>
      <c r="Q95" s="1" t="s">
        <v>430</v>
      </c>
      <c r="R95" s="1" t="s">
        <v>431</v>
      </c>
      <c r="S95" s="2" t="s">
        <v>570</v>
      </c>
      <c r="T95" s="2" t="s">
        <v>570</v>
      </c>
      <c r="U95" s="1" t="s">
        <v>439</v>
      </c>
      <c r="V95" s="1" t="s">
        <v>736</v>
      </c>
      <c r="W95" s="1" t="s">
        <v>609</v>
      </c>
      <c r="X95" s="1" t="s">
        <v>131</v>
      </c>
      <c r="Y95" s="2" t="s">
        <v>570</v>
      </c>
      <c r="Z95" s="1" t="s">
        <v>233</v>
      </c>
      <c r="AA95" s="2" t="s">
        <v>570</v>
      </c>
      <c r="AB95" s="1">
        <v>4</v>
      </c>
      <c r="AC95" s="1">
        <v>4</v>
      </c>
      <c r="AD95" s="2" t="s">
        <v>570</v>
      </c>
      <c r="AE95" s="2" t="s">
        <v>570</v>
      </c>
      <c r="AF95" s="2" t="s">
        <v>570</v>
      </c>
      <c r="AG95" s="2" t="s">
        <v>570</v>
      </c>
      <c r="AH95" s="2" t="s">
        <v>570</v>
      </c>
      <c r="AI95" s="2" t="s">
        <v>570</v>
      </c>
      <c r="AJ95" s="2" t="s">
        <v>570</v>
      </c>
      <c r="AK95" s="2" t="s">
        <v>570</v>
      </c>
      <c r="AL95" s="49" t="s">
        <v>1027</v>
      </c>
      <c r="AM95" s="2" t="s">
        <v>570</v>
      </c>
      <c r="AN95" s="2" t="s">
        <v>570</v>
      </c>
      <c r="AO95" s="2" t="s">
        <v>570</v>
      </c>
      <c r="AP95" s="2" t="s">
        <v>570</v>
      </c>
      <c r="AQ95" s="2" t="s">
        <v>570</v>
      </c>
      <c r="AR95" s="2" t="s">
        <v>570</v>
      </c>
      <c r="AS95" s="1">
        <v>96.8</v>
      </c>
      <c r="AT95" s="1">
        <v>3.3</v>
      </c>
      <c r="AU95" s="2">
        <f t="shared" si="6"/>
        <v>6.6</v>
      </c>
      <c r="AV95" s="2" t="s">
        <v>570</v>
      </c>
      <c r="AW95" s="2" t="s">
        <v>570</v>
      </c>
      <c r="AX95" s="2" t="s">
        <v>570</v>
      </c>
      <c r="AY95" s="1">
        <v>100</v>
      </c>
      <c r="AZ95" s="1">
        <v>0</v>
      </c>
      <c r="BA95" s="2">
        <f t="shared" si="7"/>
        <v>0</v>
      </c>
      <c r="BB95" s="2" t="s">
        <v>570</v>
      </c>
      <c r="BC95" s="1" t="s">
        <v>457</v>
      </c>
      <c r="BD95" s="2" t="s">
        <v>570</v>
      </c>
      <c r="BE95" s="2" t="s">
        <v>570</v>
      </c>
      <c r="BF95" s="2" t="s">
        <v>570</v>
      </c>
    </row>
    <row r="96" spans="1:58" ht="20.399999999999999">
      <c r="A96" s="1" t="s">
        <v>643</v>
      </c>
      <c r="B96" s="1" t="s">
        <v>508</v>
      </c>
      <c r="C96" s="1" t="s">
        <v>428</v>
      </c>
      <c r="D96" s="2" t="s">
        <v>159</v>
      </c>
      <c r="E96" s="1" t="s">
        <v>160</v>
      </c>
      <c r="F96" s="2" t="s">
        <v>570</v>
      </c>
      <c r="G96" s="2" t="s">
        <v>570</v>
      </c>
      <c r="H96" s="2" t="s">
        <v>570</v>
      </c>
      <c r="I96" s="2" t="s">
        <v>570</v>
      </c>
      <c r="J96" s="2" t="s">
        <v>570</v>
      </c>
      <c r="K96" s="2" t="s">
        <v>570</v>
      </c>
      <c r="L96" s="2" t="s">
        <v>570</v>
      </c>
      <c r="M96" s="2" t="s">
        <v>570</v>
      </c>
      <c r="N96" s="2" t="s">
        <v>570</v>
      </c>
      <c r="O96" s="1">
        <v>2006</v>
      </c>
      <c r="P96" s="2" t="s">
        <v>570</v>
      </c>
      <c r="Q96" s="1" t="s">
        <v>430</v>
      </c>
      <c r="R96" s="1" t="s">
        <v>431</v>
      </c>
      <c r="S96" s="2" t="s">
        <v>570</v>
      </c>
      <c r="T96" s="2" t="s">
        <v>570</v>
      </c>
      <c r="U96" s="1" t="s">
        <v>735</v>
      </c>
      <c r="V96" s="1" t="s">
        <v>736</v>
      </c>
      <c r="W96" s="1" t="s">
        <v>609</v>
      </c>
      <c r="X96" s="1" t="s">
        <v>131</v>
      </c>
      <c r="Y96" s="2" t="s">
        <v>570</v>
      </c>
      <c r="Z96" s="1" t="s">
        <v>874</v>
      </c>
      <c r="AA96" s="2" t="s">
        <v>570</v>
      </c>
      <c r="AB96" s="1">
        <v>4</v>
      </c>
      <c r="AC96" s="1">
        <v>4</v>
      </c>
      <c r="AD96" s="2" t="s">
        <v>570</v>
      </c>
      <c r="AE96" s="2" t="s">
        <v>570</v>
      </c>
      <c r="AF96" s="2" t="s">
        <v>570</v>
      </c>
      <c r="AG96" s="2" t="s">
        <v>570</v>
      </c>
      <c r="AH96" s="2" t="s">
        <v>570</v>
      </c>
      <c r="AI96" s="2" t="s">
        <v>570</v>
      </c>
      <c r="AJ96" s="2" t="s">
        <v>570</v>
      </c>
      <c r="AK96" s="2" t="s">
        <v>570</v>
      </c>
      <c r="AL96" s="49" t="s">
        <v>1027</v>
      </c>
      <c r="AM96" s="2" t="s">
        <v>570</v>
      </c>
      <c r="AN96" s="2" t="s">
        <v>570</v>
      </c>
      <c r="AO96" s="2" t="s">
        <v>570</v>
      </c>
      <c r="AP96" s="2" t="s">
        <v>570</v>
      </c>
      <c r="AQ96" s="2" t="s">
        <v>570</v>
      </c>
      <c r="AR96" s="2" t="s">
        <v>570</v>
      </c>
      <c r="AS96" s="1">
        <v>93.3</v>
      </c>
      <c r="AT96" s="1">
        <v>1.8</v>
      </c>
      <c r="AU96" s="2">
        <f t="shared" si="6"/>
        <v>3.6</v>
      </c>
      <c r="AV96" s="2" t="s">
        <v>570</v>
      </c>
      <c r="AW96" s="2" t="s">
        <v>570</v>
      </c>
      <c r="AX96" s="2" t="s">
        <v>570</v>
      </c>
      <c r="AY96" s="1">
        <v>100</v>
      </c>
      <c r="AZ96" s="1">
        <v>0</v>
      </c>
      <c r="BA96" s="2">
        <f t="shared" si="7"/>
        <v>0</v>
      </c>
      <c r="BB96" s="2" t="s">
        <v>570</v>
      </c>
      <c r="BC96" s="1" t="s">
        <v>457</v>
      </c>
      <c r="BD96" s="2" t="s">
        <v>570</v>
      </c>
      <c r="BE96" s="2" t="s">
        <v>570</v>
      </c>
      <c r="BF96" s="2" t="s">
        <v>570</v>
      </c>
    </row>
    <row r="97" spans="1:58" ht="20.399999999999999">
      <c r="A97" s="1" t="s">
        <v>643</v>
      </c>
      <c r="B97" s="1" t="s">
        <v>508</v>
      </c>
      <c r="C97" s="1" t="s">
        <v>428</v>
      </c>
      <c r="D97" s="2" t="s">
        <v>159</v>
      </c>
      <c r="E97" s="1" t="s">
        <v>160</v>
      </c>
      <c r="F97" s="2" t="s">
        <v>570</v>
      </c>
      <c r="G97" s="2" t="s">
        <v>570</v>
      </c>
      <c r="H97" s="2" t="s">
        <v>570</v>
      </c>
      <c r="I97" s="2" t="s">
        <v>570</v>
      </c>
      <c r="J97" s="2" t="s">
        <v>570</v>
      </c>
      <c r="K97" s="2" t="s">
        <v>570</v>
      </c>
      <c r="L97" s="2" t="s">
        <v>570</v>
      </c>
      <c r="M97" s="2" t="s">
        <v>570</v>
      </c>
      <c r="N97" s="2" t="s">
        <v>570</v>
      </c>
      <c r="O97" s="1">
        <v>2006</v>
      </c>
      <c r="P97" s="2" t="s">
        <v>570</v>
      </c>
      <c r="Q97" s="1" t="s">
        <v>430</v>
      </c>
      <c r="R97" s="1" t="s">
        <v>431</v>
      </c>
      <c r="S97" s="2" t="s">
        <v>570</v>
      </c>
      <c r="T97" s="2" t="s">
        <v>570</v>
      </c>
      <c r="U97" s="1" t="s">
        <v>845</v>
      </c>
      <c r="V97" s="1" t="s">
        <v>738</v>
      </c>
      <c r="W97" s="1" t="s">
        <v>23</v>
      </c>
      <c r="X97" s="1" t="s">
        <v>131</v>
      </c>
      <c r="Y97" s="2" t="s">
        <v>570</v>
      </c>
      <c r="Z97" s="1" t="s">
        <v>874</v>
      </c>
      <c r="AA97" s="2" t="s">
        <v>570</v>
      </c>
      <c r="AB97" s="1">
        <v>4</v>
      </c>
      <c r="AC97" s="1">
        <v>4</v>
      </c>
      <c r="AD97" s="2" t="s">
        <v>570</v>
      </c>
      <c r="AE97" s="2" t="s">
        <v>570</v>
      </c>
      <c r="AF97" s="2" t="s">
        <v>570</v>
      </c>
      <c r="AG97" s="2" t="s">
        <v>570</v>
      </c>
      <c r="AH97" s="2" t="s">
        <v>570</v>
      </c>
      <c r="AI97" s="2" t="s">
        <v>570</v>
      </c>
      <c r="AJ97" s="2" t="s">
        <v>570</v>
      </c>
      <c r="AK97" s="2" t="s">
        <v>570</v>
      </c>
      <c r="AL97" s="49" t="s">
        <v>1027</v>
      </c>
      <c r="AM97" s="2" t="s">
        <v>570</v>
      </c>
      <c r="AN97" s="2" t="s">
        <v>570</v>
      </c>
      <c r="AO97" s="2" t="s">
        <v>570</v>
      </c>
      <c r="AP97" s="2" t="s">
        <v>570</v>
      </c>
      <c r="AQ97" s="2" t="s">
        <v>570</v>
      </c>
      <c r="AR97" s="2" t="s">
        <v>570</v>
      </c>
      <c r="AS97" s="1">
        <v>100</v>
      </c>
      <c r="AT97" s="1">
        <v>0</v>
      </c>
      <c r="AU97" s="2">
        <f t="shared" si="6"/>
        <v>0</v>
      </c>
      <c r="AV97" s="2" t="s">
        <v>570</v>
      </c>
      <c r="AW97" s="2" t="s">
        <v>570</v>
      </c>
      <c r="AX97" s="2" t="s">
        <v>570</v>
      </c>
      <c r="AY97" s="1">
        <v>100</v>
      </c>
      <c r="AZ97" s="1">
        <v>0</v>
      </c>
      <c r="BA97" s="2">
        <f t="shared" si="7"/>
        <v>0</v>
      </c>
      <c r="BB97" s="2" t="s">
        <v>570</v>
      </c>
      <c r="BC97" s="1" t="s">
        <v>457</v>
      </c>
      <c r="BD97" s="2" t="s">
        <v>570</v>
      </c>
      <c r="BE97" s="2" t="s">
        <v>570</v>
      </c>
      <c r="BF97" s="2" t="s">
        <v>570</v>
      </c>
    </row>
    <row r="98" spans="1:58" ht="20.399999999999999">
      <c r="A98" s="1" t="s">
        <v>643</v>
      </c>
      <c r="B98" s="1" t="s">
        <v>508</v>
      </c>
      <c r="C98" s="1" t="s">
        <v>428</v>
      </c>
      <c r="D98" s="2" t="s">
        <v>159</v>
      </c>
      <c r="E98" s="1" t="s">
        <v>160</v>
      </c>
      <c r="F98" s="2" t="s">
        <v>570</v>
      </c>
      <c r="G98" s="2" t="s">
        <v>570</v>
      </c>
      <c r="H98" s="2" t="s">
        <v>570</v>
      </c>
      <c r="I98" s="2" t="s">
        <v>570</v>
      </c>
      <c r="J98" s="2" t="s">
        <v>570</v>
      </c>
      <c r="K98" s="2" t="s">
        <v>570</v>
      </c>
      <c r="L98" s="2" t="s">
        <v>570</v>
      </c>
      <c r="M98" s="2" t="s">
        <v>570</v>
      </c>
      <c r="N98" s="2" t="s">
        <v>570</v>
      </c>
      <c r="O98" s="1">
        <v>2006</v>
      </c>
      <c r="P98" s="2" t="s">
        <v>570</v>
      </c>
      <c r="Q98" s="1" t="s">
        <v>430</v>
      </c>
      <c r="R98" s="1" t="s">
        <v>19</v>
      </c>
      <c r="S98" s="2" t="s">
        <v>570</v>
      </c>
      <c r="T98" s="2" t="s">
        <v>570</v>
      </c>
      <c r="U98" s="1" t="s">
        <v>608</v>
      </c>
      <c r="V98" s="1" t="s">
        <v>736</v>
      </c>
      <c r="W98" s="1" t="s">
        <v>609</v>
      </c>
      <c r="X98" s="1" t="s">
        <v>131</v>
      </c>
      <c r="Y98" s="2" t="s">
        <v>570</v>
      </c>
      <c r="Z98" s="1" t="s">
        <v>610</v>
      </c>
      <c r="AA98" s="2" t="s">
        <v>570</v>
      </c>
      <c r="AB98" s="1">
        <v>4</v>
      </c>
      <c r="AC98" s="1">
        <v>4</v>
      </c>
      <c r="AD98" s="2" t="s">
        <v>570</v>
      </c>
      <c r="AE98" s="2" t="s">
        <v>570</v>
      </c>
      <c r="AF98" s="2" t="s">
        <v>570</v>
      </c>
      <c r="AG98" s="2" t="s">
        <v>570</v>
      </c>
      <c r="AH98" s="2" t="s">
        <v>570</v>
      </c>
      <c r="AI98" s="2" t="s">
        <v>570</v>
      </c>
      <c r="AJ98" s="2" t="s">
        <v>570</v>
      </c>
      <c r="AK98" s="2" t="s">
        <v>570</v>
      </c>
      <c r="AL98" s="49" t="s">
        <v>1027</v>
      </c>
      <c r="AM98" s="2" t="s">
        <v>570</v>
      </c>
      <c r="AN98" s="2" t="s">
        <v>570</v>
      </c>
      <c r="AO98" s="2" t="s">
        <v>570</v>
      </c>
      <c r="AP98" s="2" t="s">
        <v>570</v>
      </c>
      <c r="AQ98" s="2" t="s">
        <v>570</v>
      </c>
      <c r="AR98" s="2" t="s">
        <v>570</v>
      </c>
      <c r="AS98" s="1">
        <v>86.8</v>
      </c>
      <c r="AT98" s="1">
        <v>5.5</v>
      </c>
      <c r="AU98" s="2">
        <f t="shared" ref="AU98:AU111" si="8">AT98*SQRT(AB98)</f>
        <v>11</v>
      </c>
      <c r="AV98" s="2" t="s">
        <v>570</v>
      </c>
      <c r="AW98" s="2" t="s">
        <v>570</v>
      </c>
      <c r="AX98" s="2" t="s">
        <v>570</v>
      </c>
      <c r="AY98" s="1">
        <v>100</v>
      </c>
      <c r="AZ98" s="1">
        <v>0</v>
      </c>
      <c r="BA98" s="2">
        <f t="shared" ref="BA98:BA111" si="9">AZ98*SQRT(AC98)</f>
        <v>0</v>
      </c>
      <c r="BB98" s="2" t="s">
        <v>570</v>
      </c>
      <c r="BC98" s="1" t="s">
        <v>20</v>
      </c>
      <c r="BD98" s="2" t="s">
        <v>570</v>
      </c>
      <c r="BE98" s="2" t="s">
        <v>570</v>
      </c>
      <c r="BF98" s="2" t="s">
        <v>570</v>
      </c>
    </row>
    <row r="99" spans="1:58" ht="20.399999999999999">
      <c r="A99" s="1" t="s">
        <v>643</v>
      </c>
      <c r="B99" s="1" t="s">
        <v>508</v>
      </c>
      <c r="C99" s="1" t="s">
        <v>428</v>
      </c>
      <c r="D99" s="2" t="s">
        <v>159</v>
      </c>
      <c r="E99" s="1" t="s">
        <v>160</v>
      </c>
      <c r="F99" s="2" t="s">
        <v>570</v>
      </c>
      <c r="G99" s="2" t="s">
        <v>570</v>
      </c>
      <c r="H99" s="2" t="s">
        <v>570</v>
      </c>
      <c r="I99" s="2" t="s">
        <v>570</v>
      </c>
      <c r="J99" s="2" t="s">
        <v>570</v>
      </c>
      <c r="K99" s="2" t="s">
        <v>570</v>
      </c>
      <c r="L99" s="2" t="s">
        <v>570</v>
      </c>
      <c r="M99" s="2" t="s">
        <v>570</v>
      </c>
      <c r="N99" s="2" t="s">
        <v>570</v>
      </c>
      <c r="O99" s="1">
        <v>2006</v>
      </c>
      <c r="P99" s="2" t="s">
        <v>570</v>
      </c>
      <c r="Q99" s="1" t="s">
        <v>430</v>
      </c>
      <c r="R99" s="1" t="s">
        <v>19</v>
      </c>
      <c r="S99" s="2" t="s">
        <v>570</v>
      </c>
      <c r="T99" s="2" t="s">
        <v>570</v>
      </c>
      <c r="U99" s="1" t="s">
        <v>437</v>
      </c>
      <c r="V99" s="1" t="s">
        <v>736</v>
      </c>
      <c r="W99" s="1" t="s">
        <v>609</v>
      </c>
      <c r="X99" s="1" t="s">
        <v>131</v>
      </c>
      <c r="Y99" s="2" t="s">
        <v>570</v>
      </c>
      <c r="Z99" s="1" t="s">
        <v>438</v>
      </c>
      <c r="AA99" s="2" t="s">
        <v>570</v>
      </c>
      <c r="AB99" s="1">
        <v>4</v>
      </c>
      <c r="AC99" s="1">
        <v>4</v>
      </c>
      <c r="AD99" s="2" t="s">
        <v>570</v>
      </c>
      <c r="AE99" s="2" t="s">
        <v>570</v>
      </c>
      <c r="AF99" s="2" t="s">
        <v>570</v>
      </c>
      <c r="AG99" s="2" t="s">
        <v>570</v>
      </c>
      <c r="AH99" s="2" t="s">
        <v>570</v>
      </c>
      <c r="AI99" s="2" t="s">
        <v>570</v>
      </c>
      <c r="AJ99" s="2" t="s">
        <v>570</v>
      </c>
      <c r="AK99" s="2" t="s">
        <v>570</v>
      </c>
      <c r="AL99" s="49" t="s">
        <v>1027</v>
      </c>
      <c r="AM99" s="2" t="s">
        <v>570</v>
      </c>
      <c r="AN99" s="2" t="s">
        <v>570</v>
      </c>
      <c r="AO99" s="2" t="s">
        <v>570</v>
      </c>
      <c r="AP99" s="2" t="s">
        <v>570</v>
      </c>
      <c r="AQ99" s="2" t="s">
        <v>570</v>
      </c>
      <c r="AR99" s="2" t="s">
        <v>570</v>
      </c>
      <c r="AS99" s="1">
        <v>96.8</v>
      </c>
      <c r="AT99" s="1">
        <v>3.3</v>
      </c>
      <c r="AU99" s="2">
        <f t="shared" si="8"/>
        <v>6.6</v>
      </c>
      <c r="AV99" s="2" t="s">
        <v>570</v>
      </c>
      <c r="AW99" s="2" t="s">
        <v>570</v>
      </c>
      <c r="AX99" s="2" t="s">
        <v>570</v>
      </c>
      <c r="AY99" s="1">
        <v>100</v>
      </c>
      <c r="AZ99" s="1">
        <v>0</v>
      </c>
      <c r="BA99" s="2">
        <f t="shared" si="9"/>
        <v>0</v>
      </c>
      <c r="BB99" s="2" t="s">
        <v>570</v>
      </c>
      <c r="BC99" s="1" t="s">
        <v>457</v>
      </c>
      <c r="BD99" s="2" t="s">
        <v>570</v>
      </c>
      <c r="BE99" s="2" t="s">
        <v>570</v>
      </c>
      <c r="BF99" s="2" t="s">
        <v>570</v>
      </c>
    </row>
    <row r="100" spans="1:58" ht="20.399999999999999">
      <c r="A100" s="1" t="s">
        <v>643</v>
      </c>
      <c r="B100" s="1" t="s">
        <v>508</v>
      </c>
      <c r="C100" s="1" t="s">
        <v>428</v>
      </c>
      <c r="D100" s="2" t="s">
        <v>159</v>
      </c>
      <c r="E100" s="1" t="s">
        <v>160</v>
      </c>
      <c r="F100" s="2" t="s">
        <v>570</v>
      </c>
      <c r="G100" s="2" t="s">
        <v>570</v>
      </c>
      <c r="H100" s="2" t="s">
        <v>570</v>
      </c>
      <c r="I100" s="2" t="s">
        <v>570</v>
      </c>
      <c r="J100" s="2" t="s">
        <v>570</v>
      </c>
      <c r="K100" s="2" t="s">
        <v>570</v>
      </c>
      <c r="L100" s="2" t="s">
        <v>570</v>
      </c>
      <c r="M100" s="2" t="s">
        <v>570</v>
      </c>
      <c r="N100" s="2" t="s">
        <v>570</v>
      </c>
      <c r="O100" s="1">
        <v>2006</v>
      </c>
      <c r="P100" s="2" t="s">
        <v>570</v>
      </c>
      <c r="Q100" s="1" t="s">
        <v>430</v>
      </c>
      <c r="R100" s="1" t="s">
        <v>19</v>
      </c>
      <c r="S100" s="2" t="s">
        <v>570</v>
      </c>
      <c r="T100" s="2" t="s">
        <v>570</v>
      </c>
      <c r="U100" s="1" t="s">
        <v>737</v>
      </c>
      <c r="V100" s="1" t="s">
        <v>738</v>
      </c>
      <c r="W100" s="1" t="s">
        <v>23</v>
      </c>
      <c r="X100" s="1" t="s">
        <v>131</v>
      </c>
      <c r="Y100" s="2" t="s">
        <v>570</v>
      </c>
      <c r="Z100" s="1" t="s">
        <v>734</v>
      </c>
      <c r="AA100" s="2" t="s">
        <v>570</v>
      </c>
      <c r="AB100" s="1">
        <v>4</v>
      </c>
      <c r="AC100" s="1">
        <v>4</v>
      </c>
      <c r="AD100" s="2" t="s">
        <v>570</v>
      </c>
      <c r="AE100" s="2" t="s">
        <v>570</v>
      </c>
      <c r="AF100" s="2" t="s">
        <v>570</v>
      </c>
      <c r="AG100" s="2" t="s">
        <v>570</v>
      </c>
      <c r="AH100" s="2" t="s">
        <v>570</v>
      </c>
      <c r="AI100" s="2" t="s">
        <v>570</v>
      </c>
      <c r="AJ100" s="2" t="s">
        <v>570</v>
      </c>
      <c r="AK100" s="2" t="s">
        <v>570</v>
      </c>
      <c r="AL100" s="49" t="s">
        <v>1027</v>
      </c>
      <c r="AM100" s="2" t="s">
        <v>570</v>
      </c>
      <c r="AN100" s="2" t="s">
        <v>570</v>
      </c>
      <c r="AO100" s="2" t="s">
        <v>570</v>
      </c>
      <c r="AP100" s="2" t="s">
        <v>570</v>
      </c>
      <c r="AQ100" s="2" t="s">
        <v>570</v>
      </c>
      <c r="AR100" s="2" t="s">
        <v>570</v>
      </c>
      <c r="AS100" s="1">
        <v>93.3</v>
      </c>
      <c r="AT100" s="1">
        <v>4.7</v>
      </c>
      <c r="AU100" s="2">
        <f t="shared" si="8"/>
        <v>9.4</v>
      </c>
      <c r="AV100" s="2" t="s">
        <v>570</v>
      </c>
      <c r="AW100" s="2" t="s">
        <v>570</v>
      </c>
      <c r="AX100" s="2" t="s">
        <v>570</v>
      </c>
      <c r="AY100" s="1">
        <v>96.5</v>
      </c>
      <c r="AZ100" s="1">
        <v>2</v>
      </c>
      <c r="BA100" s="2">
        <f t="shared" si="9"/>
        <v>4</v>
      </c>
      <c r="BB100" s="2" t="s">
        <v>570</v>
      </c>
      <c r="BC100" s="1" t="s">
        <v>20</v>
      </c>
      <c r="BD100" s="2" t="s">
        <v>570</v>
      </c>
      <c r="BE100" s="2" t="s">
        <v>570</v>
      </c>
      <c r="BF100" s="2" t="s">
        <v>570</v>
      </c>
    </row>
    <row r="101" spans="1:58" ht="20.399999999999999">
      <c r="A101" s="1" t="s">
        <v>643</v>
      </c>
      <c r="B101" s="1" t="s">
        <v>508</v>
      </c>
      <c r="C101" s="1" t="s">
        <v>428</v>
      </c>
      <c r="D101" s="2" t="s">
        <v>159</v>
      </c>
      <c r="E101" s="1" t="s">
        <v>160</v>
      </c>
      <c r="F101" s="2" t="s">
        <v>570</v>
      </c>
      <c r="G101" s="2" t="s">
        <v>570</v>
      </c>
      <c r="H101" s="2" t="s">
        <v>570</v>
      </c>
      <c r="I101" s="2" t="s">
        <v>570</v>
      </c>
      <c r="J101" s="2" t="s">
        <v>570</v>
      </c>
      <c r="K101" s="2" t="s">
        <v>570</v>
      </c>
      <c r="L101" s="2" t="s">
        <v>570</v>
      </c>
      <c r="M101" s="2" t="s">
        <v>570</v>
      </c>
      <c r="N101" s="2" t="s">
        <v>570</v>
      </c>
      <c r="O101" s="1">
        <v>2006</v>
      </c>
      <c r="P101" s="2" t="s">
        <v>570</v>
      </c>
      <c r="Q101" s="1" t="s">
        <v>430</v>
      </c>
      <c r="R101" s="1" t="s">
        <v>19</v>
      </c>
      <c r="S101" s="2" t="s">
        <v>570</v>
      </c>
      <c r="T101" s="2" t="s">
        <v>570</v>
      </c>
      <c r="U101" s="1" t="s">
        <v>439</v>
      </c>
      <c r="V101" s="1" t="s">
        <v>736</v>
      </c>
      <c r="W101" s="1" t="s">
        <v>609</v>
      </c>
      <c r="X101" s="1" t="s">
        <v>131</v>
      </c>
      <c r="Y101" s="2" t="s">
        <v>570</v>
      </c>
      <c r="Z101" s="1" t="s">
        <v>233</v>
      </c>
      <c r="AA101" s="2" t="s">
        <v>570</v>
      </c>
      <c r="AB101" s="1">
        <v>4</v>
      </c>
      <c r="AC101" s="1">
        <v>4</v>
      </c>
      <c r="AD101" s="2" t="s">
        <v>570</v>
      </c>
      <c r="AE101" s="2" t="s">
        <v>570</v>
      </c>
      <c r="AF101" s="2" t="s">
        <v>570</v>
      </c>
      <c r="AG101" s="2" t="s">
        <v>570</v>
      </c>
      <c r="AH101" s="2" t="s">
        <v>570</v>
      </c>
      <c r="AI101" s="2" t="s">
        <v>570</v>
      </c>
      <c r="AJ101" s="2" t="s">
        <v>570</v>
      </c>
      <c r="AK101" s="2" t="s">
        <v>570</v>
      </c>
      <c r="AL101" s="49" t="s">
        <v>1027</v>
      </c>
      <c r="AM101" s="2" t="s">
        <v>570</v>
      </c>
      <c r="AN101" s="2" t="s">
        <v>570</v>
      </c>
      <c r="AO101" s="2" t="s">
        <v>570</v>
      </c>
      <c r="AP101" s="2" t="s">
        <v>570</v>
      </c>
      <c r="AQ101" s="2" t="s">
        <v>570</v>
      </c>
      <c r="AR101" s="2" t="s">
        <v>570</v>
      </c>
      <c r="AS101" s="1">
        <v>70.3</v>
      </c>
      <c r="AT101" s="1">
        <v>13.7</v>
      </c>
      <c r="AU101" s="2">
        <f t="shared" si="8"/>
        <v>27.4</v>
      </c>
      <c r="AV101" s="2" t="s">
        <v>570</v>
      </c>
      <c r="AW101" s="2" t="s">
        <v>570</v>
      </c>
      <c r="AX101" s="2" t="s">
        <v>570</v>
      </c>
      <c r="AY101" s="1">
        <v>100</v>
      </c>
      <c r="AZ101" s="1">
        <v>0</v>
      </c>
      <c r="BA101" s="2">
        <f t="shared" si="9"/>
        <v>0</v>
      </c>
      <c r="BB101" s="2" t="s">
        <v>570</v>
      </c>
      <c r="BC101" s="1" t="s">
        <v>20</v>
      </c>
      <c r="BD101" s="2" t="s">
        <v>570</v>
      </c>
      <c r="BE101" s="2" t="s">
        <v>570</v>
      </c>
      <c r="BF101" s="2" t="s">
        <v>570</v>
      </c>
    </row>
    <row r="102" spans="1:58" ht="20.399999999999999">
      <c r="A102" s="1" t="s">
        <v>643</v>
      </c>
      <c r="B102" s="1" t="s">
        <v>508</v>
      </c>
      <c r="C102" s="1" t="s">
        <v>428</v>
      </c>
      <c r="D102" s="2" t="s">
        <v>159</v>
      </c>
      <c r="E102" s="1" t="s">
        <v>160</v>
      </c>
      <c r="F102" s="2" t="s">
        <v>570</v>
      </c>
      <c r="G102" s="2" t="s">
        <v>570</v>
      </c>
      <c r="H102" s="2" t="s">
        <v>570</v>
      </c>
      <c r="I102" s="2" t="s">
        <v>570</v>
      </c>
      <c r="J102" s="2" t="s">
        <v>570</v>
      </c>
      <c r="K102" s="2" t="s">
        <v>570</v>
      </c>
      <c r="L102" s="2" t="s">
        <v>570</v>
      </c>
      <c r="M102" s="2" t="s">
        <v>570</v>
      </c>
      <c r="N102" s="2" t="s">
        <v>570</v>
      </c>
      <c r="O102" s="1">
        <v>2006</v>
      </c>
      <c r="P102" s="2" t="s">
        <v>570</v>
      </c>
      <c r="Q102" s="1" t="s">
        <v>430</v>
      </c>
      <c r="R102" s="1" t="s">
        <v>19</v>
      </c>
      <c r="S102" s="2" t="s">
        <v>570</v>
      </c>
      <c r="T102" s="2" t="s">
        <v>570</v>
      </c>
      <c r="U102" s="1" t="s">
        <v>735</v>
      </c>
      <c r="V102" s="1" t="s">
        <v>736</v>
      </c>
      <c r="W102" s="1" t="s">
        <v>609</v>
      </c>
      <c r="X102" s="1" t="s">
        <v>131</v>
      </c>
      <c r="Y102" s="2" t="s">
        <v>570</v>
      </c>
      <c r="Z102" s="1" t="s">
        <v>874</v>
      </c>
      <c r="AA102" s="2" t="s">
        <v>570</v>
      </c>
      <c r="AB102" s="1">
        <v>4</v>
      </c>
      <c r="AC102" s="1">
        <v>4</v>
      </c>
      <c r="AD102" s="2" t="s">
        <v>570</v>
      </c>
      <c r="AE102" s="2" t="s">
        <v>570</v>
      </c>
      <c r="AF102" s="2" t="s">
        <v>570</v>
      </c>
      <c r="AG102" s="2" t="s">
        <v>570</v>
      </c>
      <c r="AH102" s="2" t="s">
        <v>570</v>
      </c>
      <c r="AI102" s="2" t="s">
        <v>570</v>
      </c>
      <c r="AJ102" s="2" t="s">
        <v>570</v>
      </c>
      <c r="AK102" s="2" t="s">
        <v>570</v>
      </c>
      <c r="AL102" s="49" t="s">
        <v>1027</v>
      </c>
      <c r="AM102" s="2" t="s">
        <v>570</v>
      </c>
      <c r="AN102" s="2" t="s">
        <v>570</v>
      </c>
      <c r="AO102" s="2" t="s">
        <v>570</v>
      </c>
      <c r="AP102" s="2" t="s">
        <v>570</v>
      </c>
      <c r="AQ102" s="2" t="s">
        <v>570</v>
      </c>
      <c r="AR102" s="2" t="s">
        <v>570</v>
      </c>
      <c r="AS102" s="1">
        <v>100</v>
      </c>
      <c r="AT102" s="1">
        <v>0</v>
      </c>
      <c r="AU102" s="2">
        <f t="shared" si="8"/>
        <v>0</v>
      </c>
      <c r="AV102" s="2" t="s">
        <v>570</v>
      </c>
      <c r="AW102" s="2" t="s">
        <v>570</v>
      </c>
      <c r="AX102" s="2" t="s">
        <v>570</v>
      </c>
      <c r="AY102" s="1">
        <v>100</v>
      </c>
      <c r="AZ102" s="1">
        <v>0</v>
      </c>
      <c r="BA102" s="2">
        <f t="shared" si="9"/>
        <v>0</v>
      </c>
      <c r="BB102" s="2" t="s">
        <v>570</v>
      </c>
      <c r="BC102" s="1" t="s">
        <v>457</v>
      </c>
      <c r="BD102" s="2" t="s">
        <v>570</v>
      </c>
      <c r="BE102" s="2" t="s">
        <v>570</v>
      </c>
      <c r="BF102" s="2" t="s">
        <v>570</v>
      </c>
    </row>
    <row r="103" spans="1:58" ht="20.399999999999999">
      <c r="A103" s="1" t="s">
        <v>643</v>
      </c>
      <c r="B103" s="1" t="s">
        <v>508</v>
      </c>
      <c r="C103" s="1" t="s">
        <v>428</v>
      </c>
      <c r="D103" s="2" t="s">
        <v>159</v>
      </c>
      <c r="E103" s="1" t="s">
        <v>160</v>
      </c>
      <c r="F103" s="2" t="s">
        <v>570</v>
      </c>
      <c r="G103" s="2" t="s">
        <v>570</v>
      </c>
      <c r="H103" s="2" t="s">
        <v>570</v>
      </c>
      <c r="I103" s="2" t="s">
        <v>570</v>
      </c>
      <c r="J103" s="2" t="s">
        <v>570</v>
      </c>
      <c r="K103" s="2" t="s">
        <v>570</v>
      </c>
      <c r="L103" s="2" t="s">
        <v>570</v>
      </c>
      <c r="M103" s="2" t="s">
        <v>570</v>
      </c>
      <c r="N103" s="2" t="s">
        <v>570</v>
      </c>
      <c r="O103" s="1">
        <v>2006</v>
      </c>
      <c r="P103" s="2" t="s">
        <v>570</v>
      </c>
      <c r="Q103" s="1" t="s">
        <v>430</v>
      </c>
      <c r="R103" s="1" t="s">
        <v>19</v>
      </c>
      <c r="S103" s="2" t="s">
        <v>570</v>
      </c>
      <c r="T103" s="2" t="s">
        <v>570</v>
      </c>
      <c r="U103" s="1" t="s">
        <v>845</v>
      </c>
      <c r="V103" s="1" t="s">
        <v>738</v>
      </c>
      <c r="W103" s="1" t="s">
        <v>23</v>
      </c>
      <c r="X103" s="1" t="s">
        <v>131</v>
      </c>
      <c r="Y103" s="2" t="s">
        <v>570</v>
      </c>
      <c r="Z103" s="1" t="s">
        <v>874</v>
      </c>
      <c r="AA103" s="2" t="s">
        <v>570</v>
      </c>
      <c r="AB103" s="1">
        <v>4</v>
      </c>
      <c r="AC103" s="1">
        <v>4</v>
      </c>
      <c r="AD103" s="2" t="s">
        <v>570</v>
      </c>
      <c r="AE103" s="2" t="s">
        <v>570</v>
      </c>
      <c r="AF103" s="2" t="s">
        <v>570</v>
      </c>
      <c r="AG103" s="2" t="s">
        <v>570</v>
      </c>
      <c r="AH103" s="2" t="s">
        <v>570</v>
      </c>
      <c r="AI103" s="2" t="s">
        <v>570</v>
      </c>
      <c r="AJ103" s="2" t="s">
        <v>570</v>
      </c>
      <c r="AK103" s="2" t="s">
        <v>570</v>
      </c>
      <c r="AL103" s="49" t="s">
        <v>1027</v>
      </c>
      <c r="AM103" s="2" t="s">
        <v>570</v>
      </c>
      <c r="AN103" s="2" t="s">
        <v>570</v>
      </c>
      <c r="AO103" s="2" t="s">
        <v>570</v>
      </c>
      <c r="AP103" s="2" t="s">
        <v>570</v>
      </c>
      <c r="AQ103" s="2" t="s">
        <v>570</v>
      </c>
      <c r="AR103" s="2" t="s">
        <v>570</v>
      </c>
      <c r="AS103" s="1">
        <v>100</v>
      </c>
      <c r="AT103" s="1">
        <v>0</v>
      </c>
      <c r="AU103" s="2">
        <f t="shared" si="8"/>
        <v>0</v>
      </c>
      <c r="AV103" s="2" t="s">
        <v>570</v>
      </c>
      <c r="AW103" s="2" t="s">
        <v>570</v>
      </c>
      <c r="AX103" s="2" t="s">
        <v>570</v>
      </c>
      <c r="AY103" s="1">
        <v>100</v>
      </c>
      <c r="AZ103" s="1">
        <v>0</v>
      </c>
      <c r="BA103" s="2">
        <f t="shared" si="9"/>
        <v>0</v>
      </c>
      <c r="BB103" s="2" t="s">
        <v>570</v>
      </c>
      <c r="BC103" s="1" t="s">
        <v>457</v>
      </c>
      <c r="BD103" s="2" t="s">
        <v>570</v>
      </c>
      <c r="BE103" s="2" t="s">
        <v>570</v>
      </c>
      <c r="BF103" s="2" t="s">
        <v>570</v>
      </c>
    </row>
    <row r="104" spans="1:58" ht="20.399999999999999">
      <c r="A104" s="1" t="s">
        <v>643</v>
      </c>
      <c r="B104" s="1" t="s">
        <v>508</v>
      </c>
      <c r="C104" s="1" t="s">
        <v>428</v>
      </c>
      <c r="D104" s="2" t="s">
        <v>159</v>
      </c>
      <c r="E104" s="1" t="s">
        <v>160</v>
      </c>
      <c r="F104" s="2" t="s">
        <v>570</v>
      </c>
      <c r="G104" s="2" t="s">
        <v>570</v>
      </c>
      <c r="H104" s="2" t="s">
        <v>570</v>
      </c>
      <c r="I104" s="2" t="s">
        <v>570</v>
      </c>
      <c r="J104" s="2" t="s">
        <v>570</v>
      </c>
      <c r="K104" s="2" t="s">
        <v>570</v>
      </c>
      <c r="L104" s="2" t="s">
        <v>570</v>
      </c>
      <c r="M104" s="2" t="s">
        <v>570</v>
      </c>
      <c r="N104" s="2" t="s">
        <v>570</v>
      </c>
      <c r="O104" s="1">
        <v>2007</v>
      </c>
      <c r="P104" s="2" t="s">
        <v>570</v>
      </c>
      <c r="Q104" s="1" t="s">
        <v>430</v>
      </c>
      <c r="R104" s="1" t="s">
        <v>431</v>
      </c>
      <c r="S104" s="2" t="s">
        <v>570</v>
      </c>
      <c r="T104" s="2" t="s">
        <v>570</v>
      </c>
      <c r="U104" s="1" t="s">
        <v>608</v>
      </c>
      <c r="V104" s="1" t="s">
        <v>736</v>
      </c>
      <c r="W104" s="1" t="s">
        <v>609</v>
      </c>
      <c r="X104" s="1" t="s">
        <v>131</v>
      </c>
      <c r="Y104" s="2" t="s">
        <v>570</v>
      </c>
      <c r="Z104" s="1" t="s">
        <v>610</v>
      </c>
      <c r="AA104" s="2" t="s">
        <v>570</v>
      </c>
      <c r="AB104" s="1">
        <v>4</v>
      </c>
      <c r="AC104" s="1">
        <v>4</v>
      </c>
      <c r="AD104" s="2" t="s">
        <v>570</v>
      </c>
      <c r="AE104" s="2" t="s">
        <v>570</v>
      </c>
      <c r="AF104" s="2" t="s">
        <v>570</v>
      </c>
      <c r="AG104" s="2" t="s">
        <v>570</v>
      </c>
      <c r="AH104" s="2" t="s">
        <v>570</v>
      </c>
      <c r="AI104" s="2" t="s">
        <v>570</v>
      </c>
      <c r="AJ104" s="2" t="s">
        <v>570</v>
      </c>
      <c r="AK104" s="2" t="s">
        <v>570</v>
      </c>
      <c r="AL104" s="49" t="s">
        <v>1027</v>
      </c>
      <c r="AM104" s="2" t="s">
        <v>570</v>
      </c>
      <c r="AN104" s="2" t="s">
        <v>570</v>
      </c>
      <c r="AO104" s="2" t="s">
        <v>570</v>
      </c>
      <c r="AP104" s="2" t="s">
        <v>570</v>
      </c>
      <c r="AQ104" s="2" t="s">
        <v>570</v>
      </c>
      <c r="AR104" s="2" t="s">
        <v>570</v>
      </c>
      <c r="AS104" s="1">
        <v>97.5</v>
      </c>
      <c r="AT104" s="1">
        <v>2.5</v>
      </c>
      <c r="AU104" s="2">
        <f t="shared" si="8"/>
        <v>5</v>
      </c>
      <c r="AV104" s="2" t="s">
        <v>570</v>
      </c>
      <c r="AW104" s="2" t="s">
        <v>570</v>
      </c>
      <c r="AX104" s="2" t="s">
        <v>570</v>
      </c>
      <c r="AY104" s="1">
        <v>100</v>
      </c>
      <c r="AZ104" s="1">
        <v>0</v>
      </c>
      <c r="BA104" s="2">
        <f t="shared" si="9"/>
        <v>0</v>
      </c>
      <c r="BB104" s="2" t="s">
        <v>570</v>
      </c>
      <c r="BC104" s="1" t="s">
        <v>457</v>
      </c>
      <c r="BD104" s="2" t="s">
        <v>570</v>
      </c>
      <c r="BE104" s="2" t="s">
        <v>570</v>
      </c>
      <c r="BF104" s="2" t="s">
        <v>570</v>
      </c>
    </row>
    <row r="105" spans="1:58" ht="20.399999999999999">
      <c r="A105" s="1" t="s">
        <v>643</v>
      </c>
      <c r="B105" s="1" t="s">
        <v>508</v>
      </c>
      <c r="C105" s="1" t="s">
        <v>428</v>
      </c>
      <c r="D105" s="2" t="s">
        <v>159</v>
      </c>
      <c r="E105" s="1" t="s">
        <v>160</v>
      </c>
      <c r="F105" s="2" t="s">
        <v>570</v>
      </c>
      <c r="G105" s="2" t="s">
        <v>570</v>
      </c>
      <c r="H105" s="2" t="s">
        <v>570</v>
      </c>
      <c r="I105" s="2" t="s">
        <v>570</v>
      </c>
      <c r="J105" s="2" t="s">
        <v>570</v>
      </c>
      <c r="K105" s="2" t="s">
        <v>570</v>
      </c>
      <c r="L105" s="2" t="s">
        <v>570</v>
      </c>
      <c r="M105" s="2" t="s">
        <v>570</v>
      </c>
      <c r="N105" s="2" t="s">
        <v>570</v>
      </c>
      <c r="O105" s="1">
        <v>2007</v>
      </c>
      <c r="P105" s="2" t="s">
        <v>570</v>
      </c>
      <c r="Q105" s="1" t="s">
        <v>430</v>
      </c>
      <c r="R105" s="1" t="s">
        <v>431</v>
      </c>
      <c r="S105" s="2" t="s">
        <v>570</v>
      </c>
      <c r="T105" s="2" t="s">
        <v>570</v>
      </c>
      <c r="U105" s="1" t="s">
        <v>437</v>
      </c>
      <c r="V105" s="1" t="s">
        <v>736</v>
      </c>
      <c r="W105" s="1" t="s">
        <v>609</v>
      </c>
      <c r="X105" s="1" t="s">
        <v>131</v>
      </c>
      <c r="Y105" s="2" t="s">
        <v>570</v>
      </c>
      <c r="Z105" s="1" t="s">
        <v>438</v>
      </c>
      <c r="AA105" s="2" t="s">
        <v>570</v>
      </c>
      <c r="AB105" s="1">
        <v>4</v>
      </c>
      <c r="AC105" s="1">
        <v>4</v>
      </c>
      <c r="AD105" s="2" t="s">
        <v>570</v>
      </c>
      <c r="AE105" s="2" t="s">
        <v>570</v>
      </c>
      <c r="AF105" s="2" t="s">
        <v>570</v>
      </c>
      <c r="AG105" s="2" t="s">
        <v>570</v>
      </c>
      <c r="AH105" s="2" t="s">
        <v>570</v>
      </c>
      <c r="AI105" s="2" t="s">
        <v>570</v>
      </c>
      <c r="AJ105" s="2" t="s">
        <v>570</v>
      </c>
      <c r="AK105" s="2" t="s">
        <v>570</v>
      </c>
      <c r="AL105" s="49" t="s">
        <v>1027</v>
      </c>
      <c r="AM105" s="2" t="s">
        <v>570</v>
      </c>
      <c r="AN105" s="2" t="s">
        <v>570</v>
      </c>
      <c r="AO105" s="2" t="s">
        <v>570</v>
      </c>
      <c r="AP105" s="2" t="s">
        <v>570</v>
      </c>
      <c r="AQ105" s="2" t="s">
        <v>570</v>
      </c>
      <c r="AR105" s="2" t="s">
        <v>570</v>
      </c>
      <c r="AS105" s="1">
        <v>98.8</v>
      </c>
      <c r="AT105" s="1">
        <v>1.3</v>
      </c>
      <c r="AU105" s="2">
        <f t="shared" si="8"/>
        <v>2.6</v>
      </c>
      <c r="AV105" s="2" t="s">
        <v>570</v>
      </c>
      <c r="AW105" s="2" t="s">
        <v>570</v>
      </c>
      <c r="AX105" s="2" t="s">
        <v>570</v>
      </c>
      <c r="AY105" s="1">
        <v>100</v>
      </c>
      <c r="AZ105" s="1">
        <v>0</v>
      </c>
      <c r="BA105" s="2">
        <f t="shared" si="9"/>
        <v>0</v>
      </c>
      <c r="BB105" s="2" t="s">
        <v>570</v>
      </c>
      <c r="BC105" s="1" t="s">
        <v>457</v>
      </c>
      <c r="BD105" s="2" t="s">
        <v>570</v>
      </c>
      <c r="BE105" s="2" t="s">
        <v>570</v>
      </c>
      <c r="BF105" s="2" t="s">
        <v>570</v>
      </c>
    </row>
    <row r="106" spans="1:58" ht="20.399999999999999">
      <c r="A106" s="1" t="s">
        <v>643</v>
      </c>
      <c r="B106" s="1" t="s">
        <v>508</v>
      </c>
      <c r="C106" s="1" t="s">
        <v>428</v>
      </c>
      <c r="D106" s="2" t="s">
        <v>159</v>
      </c>
      <c r="E106" s="1" t="s">
        <v>160</v>
      </c>
      <c r="F106" s="2" t="s">
        <v>570</v>
      </c>
      <c r="G106" s="2" t="s">
        <v>570</v>
      </c>
      <c r="H106" s="2" t="s">
        <v>570</v>
      </c>
      <c r="I106" s="2" t="s">
        <v>570</v>
      </c>
      <c r="J106" s="2" t="s">
        <v>570</v>
      </c>
      <c r="K106" s="2" t="s">
        <v>570</v>
      </c>
      <c r="L106" s="2" t="s">
        <v>570</v>
      </c>
      <c r="M106" s="2" t="s">
        <v>570</v>
      </c>
      <c r="N106" s="2" t="s">
        <v>570</v>
      </c>
      <c r="O106" s="1">
        <v>2007</v>
      </c>
      <c r="P106" s="2" t="s">
        <v>570</v>
      </c>
      <c r="Q106" s="1" t="s">
        <v>430</v>
      </c>
      <c r="R106" s="1" t="s">
        <v>431</v>
      </c>
      <c r="S106" s="2" t="s">
        <v>570</v>
      </c>
      <c r="T106" s="2" t="s">
        <v>570</v>
      </c>
      <c r="U106" s="1" t="s">
        <v>737</v>
      </c>
      <c r="V106" s="1" t="s">
        <v>738</v>
      </c>
      <c r="W106" s="1" t="s">
        <v>23</v>
      </c>
      <c r="X106" s="1" t="s">
        <v>131</v>
      </c>
      <c r="Y106" s="2" t="s">
        <v>570</v>
      </c>
      <c r="Z106" s="1" t="s">
        <v>734</v>
      </c>
      <c r="AA106" s="2" t="s">
        <v>570</v>
      </c>
      <c r="AB106" s="1">
        <v>4</v>
      </c>
      <c r="AC106" s="1">
        <v>4</v>
      </c>
      <c r="AD106" s="2" t="s">
        <v>570</v>
      </c>
      <c r="AE106" s="2" t="s">
        <v>570</v>
      </c>
      <c r="AF106" s="2" t="s">
        <v>570</v>
      </c>
      <c r="AG106" s="2" t="s">
        <v>570</v>
      </c>
      <c r="AH106" s="2" t="s">
        <v>570</v>
      </c>
      <c r="AI106" s="2" t="s">
        <v>570</v>
      </c>
      <c r="AJ106" s="2" t="s">
        <v>570</v>
      </c>
      <c r="AK106" s="2" t="s">
        <v>570</v>
      </c>
      <c r="AL106" s="49" t="s">
        <v>1027</v>
      </c>
      <c r="AM106" s="2" t="s">
        <v>570</v>
      </c>
      <c r="AN106" s="2" t="s">
        <v>570</v>
      </c>
      <c r="AO106" s="2" t="s">
        <v>570</v>
      </c>
      <c r="AP106" s="2" t="s">
        <v>570</v>
      </c>
      <c r="AQ106" s="2" t="s">
        <v>570</v>
      </c>
      <c r="AR106" s="2" t="s">
        <v>570</v>
      </c>
      <c r="AS106" s="1">
        <v>100</v>
      </c>
      <c r="AT106" s="1">
        <v>0</v>
      </c>
      <c r="AU106" s="2">
        <f t="shared" si="8"/>
        <v>0</v>
      </c>
      <c r="AV106" s="2" t="s">
        <v>570</v>
      </c>
      <c r="AW106" s="2" t="s">
        <v>570</v>
      </c>
      <c r="AX106" s="2" t="s">
        <v>570</v>
      </c>
      <c r="AY106" s="1">
        <v>100</v>
      </c>
      <c r="AZ106" s="1">
        <v>0</v>
      </c>
      <c r="BA106" s="2">
        <f t="shared" si="9"/>
        <v>0</v>
      </c>
      <c r="BB106" s="2" t="s">
        <v>570</v>
      </c>
      <c r="BC106" s="1" t="s">
        <v>457</v>
      </c>
      <c r="BD106" s="2" t="s">
        <v>570</v>
      </c>
      <c r="BE106" s="2" t="s">
        <v>570</v>
      </c>
      <c r="BF106" s="2" t="s">
        <v>570</v>
      </c>
    </row>
    <row r="107" spans="1:58" ht="20.399999999999999">
      <c r="A107" s="1" t="s">
        <v>643</v>
      </c>
      <c r="B107" s="1" t="s">
        <v>508</v>
      </c>
      <c r="C107" s="1" t="s">
        <v>428</v>
      </c>
      <c r="D107" s="2" t="s">
        <v>159</v>
      </c>
      <c r="E107" s="1" t="s">
        <v>160</v>
      </c>
      <c r="F107" s="2" t="s">
        <v>570</v>
      </c>
      <c r="G107" s="2" t="s">
        <v>570</v>
      </c>
      <c r="H107" s="2" t="s">
        <v>570</v>
      </c>
      <c r="I107" s="2" t="s">
        <v>570</v>
      </c>
      <c r="J107" s="2" t="s">
        <v>570</v>
      </c>
      <c r="K107" s="2" t="s">
        <v>570</v>
      </c>
      <c r="L107" s="2" t="s">
        <v>570</v>
      </c>
      <c r="M107" s="2" t="s">
        <v>570</v>
      </c>
      <c r="N107" s="2" t="s">
        <v>570</v>
      </c>
      <c r="O107" s="1">
        <v>2007</v>
      </c>
      <c r="P107" s="2" t="s">
        <v>570</v>
      </c>
      <c r="Q107" s="1" t="s">
        <v>430</v>
      </c>
      <c r="R107" s="1" t="s">
        <v>431</v>
      </c>
      <c r="S107" s="2" t="s">
        <v>570</v>
      </c>
      <c r="T107" s="2" t="s">
        <v>570</v>
      </c>
      <c r="U107" s="1" t="s">
        <v>439</v>
      </c>
      <c r="V107" s="1" t="s">
        <v>736</v>
      </c>
      <c r="W107" s="1" t="s">
        <v>609</v>
      </c>
      <c r="X107" s="1" t="s">
        <v>131</v>
      </c>
      <c r="Y107" s="2" t="s">
        <v>570</v>
      </c>
      <c r="Z107" s="1" t="s">
        <v>233</v>
      </c>
      <c r="AA107" s="2" t="s">
        <v>570</v>
      </c>
      <c r="AB107" s="1">
        <v>4</v>
      </c>
      <c r="AC107" s="1">
        <v>4</v>
      </c>
      <c r="AD107" s="2" t="s">
        <v>570</v>
      </c>
      <c r="AE107" s="2" t="s">
        <v>570</v>
      </c>
      <c r="AF107" s="2" t="s">
        <v>570</v>
      </c>
      <c r="AG107" s="2" t="s">
        <v>570</v>
      </c>
      <c r="AH107" s="2" t="s">
        <v>570</v>
      </c>
      <c r="AI107" s="2" t="s">
        <v>570</v>
      </c>
      <c r="AJ107" s="2" t="s">
        <v>570</v>
      </c>
      <c r="AK107" s="2" t="s">
        <v>570</v>
      </c>
      <c r="AL107" s="49" t="s">
        <v>1027</v>
      </c>
      <c r="AM107" s="2" t="s">
        <v>570</v>
      </c>
      <c r="AN107" s="2" t="s">
        <v>570</v>
      </c>
      <c r="AO107" s="2" t="s">
        <v>570</v>
      </c>
      <c r="AP107" s="2" t="s">
        <v>570</v>
      </c>
      <c r="AQ107" s="2" t="s">
        <v>570</v>
      </c>
      <c r="AR107" s="2" t="s">
        <v>570</v>
      </c>
      <c r="AS107" s="1">
        <v>81.3</v>
      </c>
      <c r="AT107" s="1">
        <v>6.3</v>
      </c>
      <c r="AU107" s="2">
        <f t="shared" si="8"/>
        <v>12.6</v>
      </c>
      <c r="AV107" s="2" t="s">
        <v>570</v>
      </c>
      <c r="AW107" s="2" t="s">
        <v>570</v>
      </c>
      <c r="AX107" s="2" t="s">
        <v>570</v>
      </c>
      <c r="AY107" s="1">
        <v>100</v>
      </c>
      <c r="AZ107" s="1">
        <v>0</v>
      </c>
      <c r="BA107" s="2">
        <f t="shared" si="9"/>
        <v>0</v>
      </c>
      <c r="BB107" s="2" t="s">
        <v>570</v>
      </c>
      <c r="BC107" s="1" t="s">
        <v>20</v>
      </c>
      <c r="BD107" s="2" t="s">
        <v>570</v>
      </c>
      <c r="BE107" s="2" t="s">
        <v>570</v>
      </c>
      <c r="BF107" s="2" t="s">
        <v>570</v>
      </c>
    </row>
    <row r="108" spans="1:58" ht="20.399999999999999">
      <c r="A108" s="1" t="s">
        <v>643</v>
      </c>
      <c r="B108" s="1" t="s">
        <v>508</v>
      </c>
      <c r="C108" s="1" t="s">
        <v>428</v>
      </c>
      <c r="D108" s="2" t="s">
        <v>159</v>
      </c>
      <c r="E108" s="1" t="s">
        <v>160</v>
      </c>
      <c r="F108" s="2" t="s">
        <v>570</v>
      </c>
      <c r="G108" s="2" t="s">
        <v>570</v>
      </c>
      <c r="H108" s="2" t="s">
        <v>570</v>
      </c>
      <c r="I108" s="2" t="s">
        <v>570</v>
      </c>
      <c r="J108" s="2" t="s">
        <v>570</v>
      </c>
      <c r="K108" s="2" t="s">
        <v>570</v>
      </c>
      <c r="L108" s="2" t="s">
        <v>570</v>
      </c>
      <c r="M108" s="2" t="s">
        <v>570</v>
      </c>
      <c r="N108" s="2" t="s">
        <v>570</v>
      </c>
      <c r="O108" s="1">
        <v>2007</v>
      </c>
      <c r="P108" s="2" t="s">
        <v>570</v>
      </c>
      <c r="Q108" s="1" t="s">
        <v>430</v>
      </c>
      <c r="R108" s="1" t="s">
        <v>19</v>
      </c>
      <c r="S108" s="2" t="s">
        <v>570</v>
      </c>
      <c r="T108" s="2" t="s">
        <v>570</v>
      </c>
      <c r="U108" s="1" t="s">
        <v>608</v>
      </c>
      <c r="V108" s="1" t="s">
        <v>736</v>
      </c>
      <c r="W108" s="1" t="s">
        <v>609</v>
      </c>
      <c r="X108" s="1" t="s">
        <v>131</v>
      </c>
      <c r="Y108" s="2" t="s">
        <v>570</v>
      </c>
      <c r="Z108" s="1" t="s">
        <v>610</v>
      </c>
      <c r="AA108" s="2" t="s">
        <v>570</v>
      </c>
      <c r="AB108" s="1">
        <v>4</v>
      </c>
      <c r="AC108" s="1">
        <v>4</v>
      </c>
      <c r="AD108" s="2" t="s">
        <v>570</v>
      </c>
      <c r="AE108" s="2" t="s">
        <v>570</v>
      </c>
      <c r="AF108" s="2" t="s">
        <v>570</v>
      </c>
      <c r="AG108" s="2" t="s">
        <v>570</v>
      </c>
      <c r="AH108" s="2" t="s">
        <v>570</v>
      </c>
      <c r="AI108" s="2" t="s">
        <v>570</v>
      </c>
      <c r="AJ108" s="2" t="s">
        <v>570</v>
      </c>
      <c r="AK108" s="2" t="s">
        <v>570</v>
      </c>
      <c r="AL108" s="49" t="s">
        <v>1027</v>
      </c>
      <c r="AM108" s="2" t="s">
        <v>570</v>
      </c>
      <c r="AN108" s="2" t="s">
        <v>570</v>
      </c>
      <c r="AO108" s="2" t="s">
        <v>570</v>
      </c>
      <c r="AP108" s="2" t="s">
        <v>570</v>
      </c>
      <c r="AQ108" s="2" t="s">
        <v>570</v>
      </c>
      <c r="AR108" s="2" t="s">
        <v>570</v>
      </c>
      <c r="AS108" s="1">
        <v>81.7</v>
      </c>
      <c r="AT108" s="1">
        <v>5</v>
      </c>
      <c r="AU108" s="2">
        <f t="shared" si="8"/>
        <v>10</v>
      </c>
      <c r="AV108" s="2" t="s">
        <v>570</v>
      </c>
      <c r="AW108" s="2" t="s">
        <v>570</v>
      </c>
      <c r="AX108" s="2" t="s">
        <v>570</v>
      </c>
      <c r="AY108" s="1">
        <v>100</v>
      </c>
      <c r="AZ108" s="1">
        <v>0</v>
      </c>
      <c r="BA108" s="2">
        <f t="shared" si="9"/>
        <v>0</v>
      </c>
      <c r="BB108" s="2" t="s">
        <v>570</v>
      </c>
      <c r="BC108" s="1" t="s">
        <v>20</v>
      </c>
      <c r="BD108" s="2" t="s">
        <v>570</v>
      </c>
      <c r="BE108" s="2" t="s">
        <v>570</v>
      </c>
      <c r="BF108" s="2" t="s">
        <v>570</v>
      </c>
    </row>
    <row r="109" spans="1:58" ht="20.399999999999999">
      <c r="A109" s="1" t="s">
        <v>643</v>
      </c>
      <c r="B109" s="1" t="s">
        <v>508</v>
      </c>
      <c r="C109" s="1" t="s">
        <v>428</v>
      </c>
      <c r="D109" s="2" t="s">
        <v>159</v>
      </c>
      <c r="E109" s="1" t="s">
        <v>160</v>
      </c>
      <c r="F109" s="2" t="s">
        <v>570</v>
      </c>
      <c r="G109" s="2" t="s">
        <v>570</v>
      </c>
      <c r="H109" s="2" t="s">
        <v>570</v>
      </c>
      <c r="I109" s="2" t="s">
        <v>570</v>
      </c>
      <c r="J109" s="2" t="s">
        <v>570</v>
      </c>
      <c r="K109" s="2" t="s">
        <v>570</v>
      </c>
      <c r="L109" s="2" t="s">
        <v>570</v>
      </c>
      <c r="M109" s="2" t="s">
        <v>570</v>
      </c>
      <c r="N109" s="2" t="s">
        <v>570</v>
      </c>
      <c r="O109" s="1">
        <v>2007</v>
      </c>
      <c r="P109" s="2" t="s">
        <v>570</v>
      </c>
      <c r="Q109" s="1" t="s">
        <v>430</v>
      </c>
      <c r="R109" s="1" t="s">
        <v>19</v>
      </c>
      <c r="S109" s="2" t="s">
        <v>570</v>
      </c>
      <c r="T109" s="2" t="s">
        <v>570</v>
      </c>
      <c r="U109" s="1" t="s">
        <v>437</v>
      </c>
      <c r="V109" s="1" t="s">
        <v>736</v>
      </c>
      <c r="W109" s="1" t="s">
        <v>609</v>
      </c>
      <c r="X109" s="1" t="s">
        <v>131</v>
      </c>
      <c r="Y109" s="2" t="s">
        <v>570</v>
      </c>
      <c r="Z109" s="1" t="s">
        <v>438</v>
      </c>
      <c r="AA109" s="2" t="s">
        <v>570</v>
      </c>
      <c r="AB109" s="1">
        <v>4</v>
      </c>
      <c r="AC109" s="1">
        <v>4</v>
      </c>
      <c r="AD109" s="2" t="s">
        <v>570</v>
      </c>
      <c r="AE109" s="2" t="s">
        <v>570</v>
      </c>
      <c r="AF109" s="2" t="s">
        <v>570</v>
      </c>
      <c r="AG109" s="2" t="s">
        <v>570</v>
      </c>
      <c r="AH109" s="2" t="s">
        <v>570</v>
      </c>
      <c r="AI109" s="2" t="s">
        <v>570</v>
      </c>
      <c r="AJ109" s="2" t="s">
        <v>570</v>
      </c>
      <c r="AK109" s="2" t="s">
        <v>570</v>
      </c>
      <c r="AL109" s="49" t="s">
        <v>1027</v>
      </c>
      <c r="AM109" s="2" t="s">
        <v>570</v>
      </c>
      <c r="AN109" s="2" t="s">
        <v>570</v>
      </c>
      <c r="AO109" s="2" t="s">
        <v>570</v>
      </c>
      <c r="AP109" s="2" t="s">
        <v>570</v>
      </c>
      <c r="AQ109" s="2" t="s">
        <v>570</v>
      </c>
      <c r="AR109" s="2" t="s">
        <v>570</v>
      </c>
      <c r="AS109" s="1">
        <v>68.3</v>
      </c>
      <c r="AT109" s="1">
        <v>6.8</v>
      </c>
      <c r="AU109" s="2">
        <f t="shared" si="8"/>
        <v>13.6</v>
      </c>
      <c r="AV109" s="2" t="s">
        <v>570</v>
      </c>
      <c r="AW109" s="2" t="s">
        <v>570</v>
      </c>
      <c r="AX109" s="2" t="s">
        <v>570</v>
      </c>
      <c r="AY109" s="1">
        <v>100</v>
      </c>
      <c r="AZ109" s="1">
        <v>0</v>
      </c>
      <c r="BA109" s="2">
        <f t="shared" si="9"/>
        <v>0</v>
      </c>
      <c r="BB109" s="2" t="s">
        <v>570</v>
      </c>
      <c r="BC109" s="1" t="s">
        <v>20</v>
      </c>
      <c r="BD109" s="2" t="s">
        <v>570</v>
      </c>
      <c r="BE109" s="2" t="s">
        <v>570</v>
      </c>
      <c r="BF109" s="2" t="s">
        <v>570</v>
      </c>
    </row>
    <row r="110" spans="1:58" ht="20.399999999999999">
      <c r="A110" s="1" t="s">
        <v>643</v>
      </c>
      <c r="B110" s="1" t="s">
        <v>508</v>
      </c>
      <c r="C110" s="1" t="s">
        <v>428</v>
      </c>
      <c r="D110" s="2" t="s">
        <v>159</v>
      </c>
      <c r="E110" s="1" t="s">
        <v>160</v>
      </c>
      <c r="F110" s="2" t="s">
        <v>570</v>
      </c>
      <c r="G110" s="2" t="s">
        <v>570</v>
      </c>
      <c r="H110" s="2" t="s">
        <v>570</v>
      </c>
      <c r="I110" s="2" t="s">
        <v>570</v>
      </c>
      <c r="J110" s="2" t="s">
        <v>570</v>
      </c>
      <c r="K110" s="2" t="s">
        <v>570</v>
      </c>
      <c r="L110" s="2" t="s">
        <v>570</v>
      </c>
      <c r="M110" s="2" t="s">
        <v>570</v>
      </c>
      <c r="N110" s="2" t="s">
        <v>570</v>
      </c>
      <c r="O110" s="1">
        <v>2007</v>
      </c>
      <c r="P110" s="2" t="s">
        <v>570</v>
      </c>
      <c r="Q110" s="1" t="s">
        <v>430</v>
      </c>
      <c r="R110" s="1" t="s">
        <v>19</v>
      </c>
      <c r="S110" s="2" t="s">
        <v>570</v>
      </c>
      <c r="T110" s="2" t="s">
        <v>570</v>
      </c>
      <c r="U110" s="1" t="s">
        <v>737</v>
      </c>
      <c r="V110" s="1" t="s">
        <v>738</v>
      </c>
      <c r="W110" s="1" t="s">
        <v>23</v>
      </c>
      <c r="X110" s="1" t="s">
        <v>131</v>
      </c>
      <c r="Y110" s="2" t="s">
        <v>570</v>
      </c>
      <c r="Z110" s="1" t="s">
        <v>734</v>
      </c>
      <c r="AA110" s="2" t="s">
        <v>570</v>
      </c>
      <c r="AB110" s="1">
        <v>4</v>
      </c>
      <c r="AC110" s="1">
        <v>4</v>
      </c>
      <c r="AD110" s="2" t="s">
        <v>570</v>
      </c>
      <c r="AE110" s="2" t="s">
        <v>570</v>
      </c>
      <c r="AF110" s="2" t="s">
        <v>570</v>
      </c>
      <c r="AG110" s="2" t="s">
        <v>570</v>
      </c>
      <c r="AH110" s="2" t="s">
        <v>570</v>
      </c>
      <c r="AI110" s="2" t="s">
        <v>570</v>
      </c>
      <c r="AJ110" s="2" t="s">
        <v>570</v>
      </c>
      <c r="AK110" s="2" t="s">
        <v>570</v>
      </c>
      <c r="AL110" s="49" t="s">
        <v>1027</v>
      </c>
      <c r="AM110" s="2" t="s">
        <v>570</v>
      </c>
      <c r="AN110" s="2" t="s">
        <v>570</v>
      </c>
      <c r="AO110" s="2" t="s">
        <v>570</v>
      </c>
      <c r="AP110" s="2" t="s">
        <v>570</v>
      </c>
      <c r="AQ110" s="2" t="s">
        <v>570</v>
      </c>
      <c r="AR110" s="2" t="s">
        <v>570</v>
      </c>
      <c r="AS110" s="1">
        <v>93.3</v>
      </c>
      <c r="AT110" s="1">
        <v>2.7</v>
      </c>
      <c r="AU110" s="2">
        <f t="shared" si="8"/>
        <v>5.4</v>
      </c>
      <c r="AV110" s="2" t="s">
        <v>570</v>
      </c>
      <c r="AW110" s="2" t="s">
        <v>570</v>
      </c>
      <c r="AX110" s="2" t="s">
        <v>570</v>
      </c>
      <c r="AY110" s="1">
        <v>100</v>
      </c>
      <c r="AZ110" s="1">
        <v>0</v>
      </c>
      <c r="BA110" s="2">
        <f t="shared" si="9"/>
        <v>0</v>
      </c>
      <c r="BB110" s="2" t="s">
        <v>570</v>
      </c>
      <c r="BC110" s="1" t="s">
        <v>20</v>
      </c>
      <c r="BD110" s="2" t="s">
        <v>570</v>
      </c>
      <c r="BE110" s="2" t="s">
        <v>570</v>
      </c>
      <c r="BF110" s="2" t="s">
        <v>570</v>
      </c>
    </row>
    <row r="111" spans="1:58" ht="20.399999999999999">
      <c r="A111" s="6" t="s">
        <v>643</v>
      </c>
      <c r="B111" s="6" t="s">
        <v>508</v>
      </c>
      <c r="C111" s="6" t="s">
        <v>428</v>
      </c>
      <c r="D111" s="6" t="s">
        <v>159</v>
      </c>
      <c r="E111" s="6" t="s">
        <v>160</v>
      </c>
      <c r="F111" s="6" t="s">
        <v>570</v>
      </c>
      <c r="G111" s="6" t="s">
        <v>570</v>
      </c>
      <c r="H111" s="6" t="s">
        <v>570</v>
      </c>
      <c r="I111" s="6" t="s">
        <v>570</v>
      </c>
      <c r="J111" s="6" t="s">
        <v>570</v>
      </c>
      <c r="K111" s="6" t="s">
        <v>570</v>
      </c>
      <c r="L111" s="6" t="s">
        <v>570</v>
      </c>
      <c r="M111" s="6" t="s">
        <v>570</v>
      </c>
      <c r="N111" s="6" t="s">
        <v>570</v>
      </c>
      <c r="O111" s="6">
        <v>2007</v>
      </c>
      <c r="P111" s="6" t="s">
        <v>570</v>
      </c>
      <c r="Q111" s="6" t="s">
        <v>430</v>
      </c>
      <c r="R111" s="6" t="s">
        <v>19</v>
      </c>
      <c r="S111" s="6" t="s">
        <v>570</v>
      </c>
      <c r="T111" s="6" t="s">
        <v>570</v>
      </c>
      <c r="U111" s="6" t="s">
        <v>439</v>
      </c>
      <c r="V111" s="6" t="s">
        <v>736</v>
      </c>
      <c r="W111" s="6" t="s">
        <v>609</v>
      </c>
      <c r="X111" s="6" t="s">
        <v>131</v>
      </c>
      <c r="Y111" s="6" t="s">
        <v>570</v>
      </c>
      <c r="Z111" s="6" t="s">
        <v>233</v>
      </c>
      <c r="AA111" s="6" t="s">
        <v>570</v>
      </c>
      <c r="AB111" s="6">
        <v>4</v>
      </c>
      <c r="AC111" s="6">
        <v>4</v>
      </c>
      <c r="AD111" s="6" t="s">
        <v>570</v>
      </c>
      <c r="AE111" s="6" t="s">
        <v>570</v>
      </c>
      <c r="AF111" s="6" t="s">
        <v>570</v>
      </c>
      <c r="AG111" s="6" t="s">
        <v>570</v>
      </c>
      <c r="AH111" s="6" t="s">
        <v>570</v>
      </c>
      <c r="AI111" s="6" t="s">
        <v>570</v>
      </c>
      <c r="AJ111" s="6" t="s">
        <v>570</v>
      </c>
      <c r="AK111" s="6" t="s">
        <v>570</v>
      </c>
      <c r="AL111" s="50" t="s">
        <v>1027</v>
      </c>
      <c r="AM111" s="6" t="s">
        <v>570</v>
      </c>
      <c r="AN111" s="6" t="s">
        <v>570</v>
      </c>
      <c r="AO111" s="6" t="s">
        <v>570</v>
      </c>
      <c r="AP111" s="6" t="s">
        <v>570</v>
      </c>
      <c r="AQ111" s="6" t="s">
        <v>570</v>
      </c>
      <c r="AR111" s="6" t="s">
        <v>570</v>
      </c>
      <c r="AS111" s="6">
        <v>63.3</v>
      </c>
      <c r="AT111" s="6">
        <v>4.3</v>
      </c>
      <c r="AU111" s="6">
        <f t="shared" si="8"/>
        <v>8.6</v>
      </c>
      <c r="AV111" s="6" t="s">
        <v>570</v>
      </c>
      <c r="AW111" s="6" t="s">
        <v>570</v>
      </c>
      <c r="AX111" s="6" t="s">
        <v>570</v>
      </c>
      <c r="AY111" s="6">
        <v>100</v>
      </c>
      <c r="AZ111" s="6">
        <v>0</v>
      </c>
      <c r="BA111" s="6">
        <f t="shared" si="9"/>
        <v>0</v>
      </c>
      <c r="BB111" s="6" t="s">
        <v>570</v>
      </c>
      <c r="BC111" s="6" t="s">
        <v>20</v>
      </c>
      <c r="BD111" s="6" t="s">
        <v>570</v>
      </c>
      <c r="BE111" s="6" t="s">
        <v>570</v>
      </c>
      <c r="BF111" s="6" t="s">
        <v>570</v>
      </c>
    </row>
    <row r="112" spans="1:58">
      <c r="A112" s="2" t="s">
        <v>400</v>
      </c>
      <c r="B112" s="2" t="s">
        <v>604</v>
      </c>
      <c r="C112" s="2" t="s">
        <v>161</v>
      </c>
      <c r="D112" s="2" t="s">
        <v>204</v>
      </c>
      <c r="E112" s="2" t="s">
        <v>206</v>
      </c>
      <c r="F112" s="2" t="s">
        <v>570</v>
      </c>
      <c r="G112" s="2" t="s">
        <v>570</v>
      </c>
      <c r="H112" s="2" t="s">
        <v>570</v>
      </c>
      <c r="I112" s="2" t="s">
        <v>570</v>
      </c>
      <c r="J112" s="2" t="s">
        <v>570</v>
      </c>
      <c r="K112" s="2" t="s">
        <v>570</v>
      </c>
      <c r="L112" s="2" t="s">
        <v>570</v>
      </c>
      <c r="M112" s="2" t="s">
        <v>570</v>
      </c>
      <c r="N112" s="2" t="s">
        <v>570</v>
      </c>
      <c r="O112" s="2">
        <v>2003</v>
      </c>
      <c r="P112" s="2" t="s">
        <v>570</v>
      </c>
      <c r="Q112" s="2" t="s">
        <v>570</v>
      </c>
      <c r="R112" s="2" t="s">
        <v>55</v>
      </c>
      <c r="S112" s="2" t="s">
        <v>570</v>
      </c>
      <c r="T112" s="2" t="s">
        <v>570</v>
      </c>
      <c r="U112" s="2" t="s">
        <v>503</v>
      </c>
      <c r="V112" s="2" t="s">
        <v>736</v>
      </c>
      <c r="W112" s="2" t="s">
        <v>569</v>
      </c>
      <c r="X112" s="2" t="s">
        <v>131</v>
      </c>
      <c r="Y112" s="2" t="s">
        <v>570</v>
      </c>
      <c r="Z112" s="2" t="s">
        <v>726</v>
      </c>
      <c r="AA112" s="2" t="s">
        <v>570</v>
      </c>
      <c r="AB112" s="2">
        <v>3</v>
      </c>
      <c r="AC112" s="2">
        <v>3</v>
      </c>
      <c r="AD112" s="2" t="s">
        <v>570</v>
      </c>
      <c r="AE112" s="2" t="s">
        <v>570</v>
      </c>
      <c r="AF112" s="2" t="s">
        <v>570</v>
      </c>
      <c r="AG112" s="2" t="s">
        <v>570</v>
      </c>
      <c r="AH112" s="2" t="s">
        <v>570</v>
      </c>
      <c r="AI112" s="2" t="s">
        <v>570</v>
      </c>
      <c r="AJ112" s="2" t="s">
        <v>570</v>
      </c>
      <c r="AK112" s="2" t="s">
        <v>570</v>
      </c>
      <c r="AL112" s="48" t="s">
        <v>1029</v>
      </c>
      <c r="AM112" s="2">
        <v>1</v>
      </c>
      <c r="AN112" s="2" t="s">
        <v>570</v>
      </c>
      <c r="AO112" s="2" t="s">
        <v>570</v>
      </c>
      <c r="AP112" s="2" t="s">
        <v>570</v>
      </c>
      <c r="AQ112" s="2" t="s">
        <v>570</v>
      </c>
      <c r="AR112" s="2" t="s">
        <v>570</v>
      </c>
      <c r="AS112" s="2">
        <v>6.2</v>
      </c>
      <c r="AT112" s="2" t="s">
        <v>570</v>
      </c>
      <c r="AU112" s="4">
        <f>(AV112/100)*AS112</f>
        <v>1.8352000000000004</v>
      </c>
      <c r="AV112" s="2">
        <v>29.6</v>
      </c>
      <c r="AW112" s="2" t="s">
        <v>570</v>
      </c>
      <c r="AX112" s="2"/>
      <c r="AY112" s="2">
        <v>52.7</v>
      </c>
      <c r="AZ112" s="2" t="s">
        <v>570</v>
      </c>
      <c r="BA112" s="4">
        <f>(BD112/100)*AY112</f>
        <v>15.599200000000003</v>
      </c>
      <c r="BB112" s="2" t="s">
        <v>570</v>
      </c>
      <c r="BC112" s="2" t="s">
        <v>785</v>
      </c>
      <c r="BD112" s="2">
        <v>29.6</v>
      </c>
      <c r="BE112" s="2" t="s">
        <v>570</v>
      </c>
      <c r="BF112" s="2" t="s">
        <v>570</v>
      </c>
    </row>
    <row r="113" spans="1:58">
      <c r="A113" s="6" t="s">
        <v>400</v>
      </c>
      <c r="B113" s="6" t="s">
        <v>604</v>
      </c>
      <c r="C113" s="6" t="s">
        <v>161</v>
      </c>
      <c r="D113" s="6" t="s">
        <v>204</v>
      </c>
      <c r="E113" s="6" t="s">
        <v>206</v>
      </c>
      <c r="F113" s="6" t="s">
        <v>570</v>
      </c>
      <c r="G113" s="6" t="s">
        <v>570</v>
      </c>
      <c r="H113" s="6" t="s">
        <v>570</v>
      </c>
      <c r="I113" s="6" t="s">
        <v>570</v>
      </c>
      <c r="J113" s="6" t="s">
        <v>570</v>
      </c>
      <c r="K113" s="6" t="s">
        <v>570</v>
      </c>
      <c r="L113" s="6" t="s">
        <v>570</v>
      </c>
      <c r="M113" s="6" t="s">
        <v>570</v>
      </c>
      <c r="N113" s="6" t="s">
        <v>570</v>
      </c>
      <c r="O113" s="6">
        <v>2003</v>
      </c>
      <c r="P113" s="6" t="s">
        <v>570</v>
      </c>
      <c r="Q113" s="6" t="s">
        <v>570</v>
      </c>
      <c r="R113" s="6" t="s">
        <v>55</v>
      </c>
      <c r="S113" s="6" t="s">
        <v>570</v>
      </c>
      <c r="T113" s="6" t="s">
        <v>570</v>
      </c>
      <c r="U113" s="6" t="s">
        <v>503</v>
      </c>
      <c r="V113" s="6" t="s">
        <v>736</v>
      </c>
      <c r="W113" s="6" t="s">
        <v>569</v>
      </c>
      <c r="X113" s="6" t="s">
        <v>131</v>
      </c>
      <c r="Y113" s="6" t="s">
        <v>570</v>
      </c>
      <c r="Z113" s="6" t="s">
        <v>726</v>
      </c>
      <c r="AA113" s="6" t="s">
        <v>570</v>
      </c>
      <c r="AB113" s="6">
        <v>3</v>
      </c>
      <c r="AC113" s="6">
        <v>3</v>
      </c>
      <c r="AD113" s="6" t="s">
        <v>570</v>
      </c>
      <c r="AE113" s="6" t="s">
        <v>570</v>
      </c>
      <c r="AF113" s="6" t="s">
        <v>570</v>
      </c>
      <c r="AG113" s="6" t="s">
        <v>570</v>
      </c>
      <c r="AH113" s="6" t="s">
        <v>570</v>
      </c>
      <c r="AI113" s="6" t="s">
        <v>570</v>
      </c>
      <c r="AJ113" s="6" t="s">
        <v>570</v>
      </c>
      <c r="AK113" s="6" t="s">
        <v>570</v>
      </c>
      <c r="AL113" s="50" t="s">
        <v>1029</v>
      </c>
      <c r="AM113" s="6">
        <v>2</v>
      </c>
      <c r="AN113" s="6" t="s">
        <v>570</v>
      </c>
      <c r="AO113" s="6" t="s">
        <v>570</v>
      </c>
      <c r="AP113" s="6" t="s">
        <v>570</v>
      </c>
      <c r="AQ113" s="6" t="s">
        <v>570</v>
      </c>
      <c r="AR113" s="6" t="s">
        <v>570</v>
      </c>
      <c r="AS113" s="6">
        <v>8.6999999999999993</v>
      </c>
      <c r="AT113" s="6" t="s">
        <v>570</v>
      </c>
      <c r="AU113" s="6">
        <f>(AV113/100)*AS113</f>
        <v>2.5752000000000002</v>
      </c>
      <c r="AV113" s="6">
        <f>29.6</f>
        <v>29.6</v>
      </c>
      <c r="AW113" s="6" t="s">
        <v>570</v>
      </c>
      <c r="AX113" s="6"/>
      <c r="AY113" s="6">
        <v>37.5</v>
      </c>
      <c r="AZ113" s="6" t="s">
        <v>570</v>
      </c>
      <c r="BA113" s="6">
        <f>(BD113/100)*AY113</f>
        <v>11.100000000000001</v>
      </c>
      <c r="BB113" s="6" t="s">
        <v>570</v>
      </c>
      <c r="BC113" s="6" t="s">
        <v>785</v>
      </c>
      <c r="BD113" s="6">
        <f>29.6</f>
        <v>29.6</v>
      </c>
      <c r="BE113" s="6" t="s">
        <v>570</v>
      </c>
      <c r="BF113" s="6" t="s">
        <v>570</v>
      </c>
    </row>
    <row r="114" spans="1:58" ht="12" customHeight="1">
      <c r="A114" s="1" t="s">
        <v>301</v>
      </c>
      <c r="B114" s="1" t="s">
        <v>604</v>
      </c>
      <c r="C114" s="1" t="s">
        <v>302</v>
      </c>
      <c r="D114" s="1" t="s">
        <v>468</v>
      </c>
      <c r="E114" s="1" t="s">
        <v>708</v>
      </c>
      <c r="F114" s="1" t="s">
        <v>570</v>
      </c>
      <c r="G114" s="1" t="s">
        <v>570</v>
      </c>
      <c r="H114" s="1" t="s">
        <v>570</v>
      </c>
      <c r="I114" s="1" t="s">
        <v>570</v>
      </c>
      <c r="J114" s="1" t="s">
        <v>570</v>
      </c>
      <c r="K114" s="1" t="s">
        <v>570</v>
      </c>
      <c r="L114" s="1" t="s">
        <v>570</v>
      </c>
      <c r="M114" s="1" t="s">
        <v>570</v>
      </c>
      <c r="N114" s="1" t="s">
        <v>570</v>
      </c>
      <c r="O114" s="1">
        <v>1996</v>
      </c>
      <c r="P114" s="1" t="s">
        <v>570</v>
      </c>
      <c r="Q114" s="1" t="s">
        <v>570</v>
      </c>
      <c r="R114" s="1" t="s">
        <v>55</v>
      </c>
      <c r="S114" s="1" t="s">
        <v>570</v>
      </c>
      <c r="T114" s="1" t="s">
        <v>282</v>
      </c>
      <c r="U114" s="1" t="s">
        <v>570</v>
      </c>
      <c r="V114" s="1" t="s">
        <v>736</v>
      </c>
      <c r="W114" s="1" t="s">
        <v>569</v>
      </c>
      <c r="X114" s="1" t="s">
        <v>131</v>
      </c>
      <c r="Y114" s="1" t="s">
        <v>570</v>
      </c>
      <c r="Z114" s="1" t="s">
        <v>281</v>
      </c>
      <c r="AA114" s="1" t="s">
        <v>570</v>
      </c>
      <c r="AB114" s="1">
        <v>4</v>
      </c>
      <c r="AC114" s="1">
        <v>4</v>
      </c>
      <c r="AD114" s="1" t="s">
        <v>570</v>
      </c>
      <c r="AE114" s="1" t="s">
        <v>570</v>
      </c>
      <c r="AF114" s="1" t="s">
        <v>570</v>
      </c>
      <c r="AG114" s="1" t="s">
        <v>570</v>
      </c>
      <c r="AH114" s="1" t="s">
        <v>570</v>
      </c>
      <c r="AI114" s="1" t="s">
        <v>570</v>
      </c>
      <c r="AJ114" s="1" t="s">
        <v>570</v>
      </c>
      <c r="AK114" s="1" t="s">
        <v>570</v>
      </c>
      <c r="AL114" s="51" t="s">
        <v>17</v>
      </c>
      <c r="AM114" s="1" t="s">
        <v>570</v>
      </c>
      <c r="AN114" s="1" t="s">
        <v>570</v>
      </c>
      <c r="AO114" s="1" t="s">
        <v>570</v>
      </c>
      <c r="AP114" s="1" t="s">
        <v>570</v>
      </c>
      <c r="AQ114" s="1" t="s">
        <v>570</v>
      </c>
      <c r="AR114" s="1" t="s">
        <v>570</v>
      </c>
      <c r="AS114" s="1">
        <v>15.5</v>
      </c>
      <c r="AT114" s="1">
        <v>4.29</v>
      </c>
      <c r="AU114" s="4">
        <f t="shared" ref="AU114:AU140" si="10">AT114*SQRT(AB114)</f>
        <v>8.58</v>
      </c>
      <c r="AV114" s="1" t="s">
        <v>570</v>
      </c>
      <c r="AW114" s="1" t="s">
        <v>570</v>
      </c>
      <c r="AY114" s="1">
        <v>23.25</v>
      </c>
      <c r="AZ114" s="1">
        <v>3.06</v>
      </c>
      <c r="BA114" s="1">
        <f t="shared" ref="BA114:BA140" si="11">AZ114*SQRT(AC114)</f>
        <v>6.12</v>
      </c>
      <c r="BB114" s="1" t="s">
        <v>570</v>
      </c>
      <c r="BC114" s="1" t="s">
        <v>20</v>
      </c>
      <c r="BD114" s="1" t="s">
        <v>570</v>
      </c>
      <c r="BE114" s="1" t="s">
        <v>570</v>
      </c>
      <c r="BF114" s="1" t="s">
        <v>570</v>
      </c>
    </row>
    <row r="115" spans="1:58" ht="12" customHeight="1">
      <c r="A115" s="1" t="s">
        <v>301</v>
      </c>
      <c r="B115" s="1" t="s">
        <v>604</v>
      </c>
      <c r="C115" s="1" t="s">
        <v>303</v>
      </c>
      <c r="D115" s="1" t="s">
        <v>470</v>
      </c>
      <c r="E115" s="1" t="s">
        <v>469</v>
      </c>
      <c r="F115" s="1" t="s">
        <v>570</v>
      </c>
      <c r="G115" s="1" t="s">
        <v>570</v>
      </c>
      <c r="H115" s="1" t="s">
        <v>570</v>
      </c>
      <c r="I115" s="1" t="s">
        <v>570</v>
      </c>
      <c r="J115" s="1" t="s">
        <v>570</v>
      </c>
      <c r="K115" s="1" t="s">
        <v>570</v>
      </c>
      <c r="L115" s="1" t="s">
        <v>570</v>
      </c>
      <c r="M115" s="1" t="s">
        <v>570</v>
      </c>
      <c r="N115" s="1" t="s">
        <v>570</v>
      </c>
      <c r="O115" s="1">
        <v>1996</v>
      </c>
      <c r="P115" s="1" t="s">
        <v>570</v>
      </c>
      <c r="Q115" s="1" t="s">
        <v>570</v>
      </c>
      <c r="R115" s="1" t="s">
        <v>55</v>
      </c>
      <c r="S115" s="1" t="s">
        <v>570</v>
      </c>
      <c r="T115" s="1" t="s">
        <v>282</v>
      </c>
      <c r="U115" s="1" t="s">
        <v>570</v>
      </c>
      <c r="V115" s="1" t="s">
        <v>736</v>
      </c>
      <c r="W115" s="1" t="s">
        <v>569</v>
      </c>
      <c r="X115" s="1" t="s">
        <v>131</v>
      </c>
      <c r="Y115" s="1" t="s">
        <v>570</v>
      </c>
      <c r="Z115" s="1" t="s">
        <v>281</v>
      </c>
      <c r="AA115" s="1" t="s">
        <v>570</v>
      </c>
      <c r="AB115" s="1">
        <v>4</v>
      </c>
      <c r="AC115" s="1">
        <v>4</v>
      </c>
      <c r="AD115" s="1" t="s">
        <v>570</v>
      </c>
      <c r="AE115" s="1" t="s">
        <v>570</v>
      </c>
      <c r="AF115" s="1" t="s">
        <v>570</v>
      </c>
      <c r="AG115" s="1" t="s">
        <v>570</v>
      </c>
      <c r="AH115" s="1" t="s">
        <v>570</v>
      </c>
      <c r="AI115" s="1" t="s">
        <v>570</v>
      </c>
      <c r="AJ115" s="1" t="s">
        <v>570</v>
      </c>
      <c r="AK115" s="1" t="s">
        <v>570</v>
      </c>
      <c r="AL115" s="51" t="s">
        <v>17</v>
      </c>
      <c r="AM115" s="1" t="s">
        <v>570</v>
      </c>
      <c r="AN115" s="1" t="s">
        <v>570</v>
      </c>
      <c r="AO115" s="1" t="s">
        <v>570</v>
      </c>
      <c r="AP115" s="1" t="s">
        <v>570</v>
      </c>
      <c r="AQ115" s="1" t="s">
        <v>570</v>
      </c>
      <c r="AR115" s="1" t="s">
        <v>570</v>
      </c>
      <c r="AS115" s="1">
        <v>46.75</v>
      </c>
      <c r="AT115" s="1">
        <v>1.53</v>
      </c>
      <c r="AU115" s="2">
        <f t="shared" si="10"/>
        <v>3.06</v>
      </c>
      <c r="AV115" s="1" t="s">
        <v>570</v>
      </c>
      <c r="AW115" s="1" t="s">
        <v>570</v>
      </c>
      <c r="AY115" s="1">
        <v>51.25</v>
      </c>
      <c r="AZ115" s="1">
        <v>0.92</v>
      </c>
      <c r="BA115" s="1">
        <f t="shared" si="11"/>
        <v>1.84</v>
      </c>
      <c r="BB115" s="1" t="s">
        <v>570</v>
      </c>
      <c r="BC115" s="1" t="s">
        <v>457</v>
      </c>
      <c r="BD115" s="1" t="s">
        <v>570</v>
      </c>
      <c r="BE115" s="1" t="s">
        <v>570</v>
      </c>
      <c r="BF115" s="1" t="s">
        <v>570</v>
      </c>
    </row>
    <row r="116" spans="1:58" ht="12" customHeight="1">
      <c r="A116" s="1" t="s">
        <v>301</v>
      </c>
      <c r="B116" s="1" t="s">
        <v>604</v>
      </c>
      <c r="C116" s="1" t="s">
        <v>128</v>
      </c>
      <c r="D116" s="1" t="s">
        <v>472</v>
      </c>
      <c r="E116" s="1" t="s">
        <v>471</v>
      </c>
      <c r="F116" s="1" t="s">
        <v>570</v>
      </c>
      <c r="G116" s="1" t="s">
        <v>570</v>
      </c>
      <c r="H116" s="1" t="s">
        <v>570</v>
      </c>
      <c r="I116" s="1" t="s">
        <v>570</v>
      </c>
      <c r="J116" s="1" t="s">
        <v>570</v>
      </c>
      <c r="K116" s="1" t="s">
        <v>570</v>
      </c>
      <c r="L116" s="1" t="s">
        <v>570</v>
      </c>
      <c r="M116" s="1" t="s">
        <v>570</v>
      </c>
      <c r="N116" s="1" t="s">
        <v>570</v>
      </c>
      <c r="O116" s="1">
        <v>1996</v>
      </c>
      <c r="P116" s="1" t="s">
        <v>570</v>
      </c>
      <c r="Q116" s="1" t="s">
        <v>570</v>
      </c>
      <c r="R116" s="1" t="s">
        <v>55</v>
      </c>
      <c r="S116" s="1" t="s">
        <v>570</v>
      </c>
      <c r="T116" s="1" t="s">
        <v>282</v>
      </c>
      <c r="U116" s="1" t="s">
        <v>570</v>
      </c>
      <c r="V116" s="1" t="s">
        <v>736</v>
      </c>
      <c r="W116" s="1" t="s">
        <v>569</v>
      </c>
      <c r="X116" s="1" t="s">
        <v>131</v>
      </c>
      <c r="Y116" s="1" t="s">
        <v>570</v>
      </c>
      <c r="Z116" s="1" t="s">
        <v>281</v>
      </c>
      <c r="AA116" s="1" t="s">
        <v>570</v>
      </c>
      <c r="AB116" s="1">
        <v>4</v>
      </c>
      <c r="AC116" s="1">
        <v>4</v>
      </c>
      <c r="AD116" s="1" t="s">
        <v>570</v>
      </c>
      <c r="AE116" s="1" t="s">
        <v>570</v>
      </c>
      <c r="AF116" s="1" t="s">
        <v>570</v>
      </c>
      <c r="AG116" s="1" t="s">
        <v>570</v>
      </c>
      <c r="AH116" s="1" t="s">
        <v>570</v>
      </c>
      <c r="AI116" s="1" t="s">
        <v>570</v>
      </c>
      <c r="AJ116" s="1" t="s">
        <v>570</v>
      </c>
      <c r="AK116" s="1" t="s">
        <v>570</v>
      </c>
      <c r="AL116" s="51" t="s">
        <v>17</v>
      </c>
      <c r="AM116" s="1" t="s">
        <v>570</v>
      </c>
      <c r="AN116" s="1" t="s">
        <v>570</v>
      </c>
      <c r="AO116" s="1" t="s">
        <v>570</v>
      </c>
      <c r="AP116" s="1" t="s">
        <v>570</v>
      </c>
      <c r="AQ116" s="1" t="s">
        <v>570</v>
      </c>
      <c r="AR116" s="1" t="s">
        <v>570</v>
      </c>
      <c r="AS116" s="1">
        <v>29</v>
      </c>
      <c r="AT116" s="1">
        <v>1.27</v>
      </c>
      <c r="AU116" s="2">
        <f t="shared" si="10"/>
        <v>2.54</v>
      </c>
      <c r="AV116" s="1" t="s">
        <v>570</v>
      </c>
      <c r="AW116" s="1" t="s">
        <v>570</v>
      </c>
      <c r="AY116" s="1">
        <v>44.75</v>
      </c>
      <c r="AZ116" s="1">
        <v>1.22</v>
      </c>
      <c r="BA116" s="1">
        <f t="shared" si="11"/>
        <v>2.44</v>
      </c>
      <c r="BB116" s="1" t="s">
        <v>570</v>
      </c>
      <c r="BC116" s="1" t="s">
        <v>785</v>
      </c>
      <c r="BD116" s="1" t="s">
        <v>570</v>
      </c>
      <c r="BE116" s="1" t="s">
        <v>570</v>
      </c>
      <c r="BF116" s="1" t="s">
        <v>570</v>
      </c>
    </row>
    <row r="117" spans="1:58" ht="12" customHeight="1">
      <c r="A117" s="1" t="s">
        <v>301</v>
      </c>
      <c r="B117" s="1" t="s">
        <v>604</v>
      </c>
      <c r="C117" s="1" t="s">
        <v>12</v>
      </c>
      <c r="D117" s="1" t="s">
        <v>474</v>
      </c>
      <c r="E117" s="1" t="s">
        <v>473</v>
      </c>
      <c r="F117" s="1" t="s">
        <v>570</v>
      </c>
      <c r="G117" s="1" t="s">
        <v>570</v>
      </c>
      <c r="H117" s="1" t="s">
        <v>570</v>
      </c>
      <c r="I117" s="1" t="s">
        <v>570</v>
      </c>
      <c r="J117" s="1" t="s">
        <v>570</v>
      </c>
      <c r="K117" s="1" t="s">
        <v>570</v>
      </c>
      <c r="L117" s="1" t="s">
        <v>570</v>
      </c>
      <c r="M117" s="1" t="s">
        <v>570</v>
      </c>
      <c r="N117" s="1" t="s">
        <v>570</v>
      </c>
      <c r="O117" s="1">
        <v>1996</v>
      </c>
      <c r="P117" s="1" t="s">
        <v>570</v>
      </c>
      <c r="Q117" s="1" t="s">
        <v>570</v>
      </c>
      <c r="R117" s="1" t="s">
        <v>55</v>
      </c>
      <c r="S117" s="1" t="s">
        <v>570</v>
      </c>
      <c r="T117" s="1" t="s">
        <v>282</v>
      </c>
      <c r="U117" s="1" t="s">
        <v>570</v>
      </c>
      <c r="V117" s="1" t="s">
        <v>736</v>
      </c>
      <c r="W117" s="1" t="s">
        <v>569</v>
      </c>
      <c r="X117" s="1" t="s">
        <v>131</v>
      </c>
      <c r="Y117" s="1" t="s">
        <v>570</v>
      </c>
      <c r="Z117" s="1" t="s">
        <v>281</v>
      </c>
      <c r="AA117" s="1" t="s">
        <v>570</v>
      </c>
      <c r="AB117" s="1">
        <v>4</v>
      </c>
      <c r="AC117" s="1">
        <v>4</v>
      </c>
      <c r="AD117" s="1" t="s">
        <v>570</v>
      </c>
      <c r="AE117" s="1" t="s">
        <v>570</v>
      </c>
      <c r="AF117" s="1" t="s">
        <v>570</v>
      </c>
      <c r="AG117" s="1" t="s">
        <v>570</v>
      </c>
      <c r="AH117" s="1" t="s">
        <v>570</v>
      </c>
      <c r="AI117" s="1" t="s">
        <v>570</v>
      </c>
      <c r="AJ117" s="1" t="s">
        <v>570</v>
      </c>
      <c r="AK117" s="1" t="s">
        <v>570</v>
      </c>
      <c r="AL117" s="51" t="s">
        <v>17</v>
      </c>
      <c r="AM117" s="1" t="s">
        <v>570</v>
      </c>
      <c r="AN117" s="1" t="s">
        <v>570</v>
      </c>
      <c r="AO117" s="1" t="s">
        <v>570</v>
      </c>
      <c r="AP117" s="1" t="s">
        <v>570</v>
      </c>
      <c r="AQ117" s="1" t="s">
        <v>570</v>
      </c>
      <c r="AR117" s="1" t="s">
        <v>570</v>
      </c>
      <c r="AS117" s="1">
        <v>44.5</v>
      </c>
      <c r="AT117" s="1">
        <v>4.9000000000000004</v>
      </c>
      <c r="AU117" s="2">
        <f t="shared" si="10"/>
        <v>9.8000000000000007</v>
      </c>
      <c r="AV117" s="1" t="s">
        <v>570</v>
      </c>
      <c r="AW117" s="1" t="s">
        <v>570</v>
      </c>
      <c r="AY117" s="1">
        <v>43.25</v>
      </c>
      <c r="AZ117" s="1">
        <v>3.06</v>
      </c>
      <c r="BA117" s="1">
        <f t="shared" si="11"/>
        <v>6.12</v>
      </c>
      <c r="BB117" s="1" t="s">
        <v>570</v>
      </c>
      <c r="BC117" s="1" t="s">
        <v>457</v>
      </c>
      <c r="BD117" s="1" t="s">
        <v>570</v>
      </c>
      <c r="BE117" s="1" t="s">
        <v>570</v>
      </c>
      <c r="BF117" s="1" t="s">
        <v>570</v>
      </c>
    </row>
    <row r="118" spans="1:58" ht="12" customHeight="1">
      <c r="A118" s="1" t="s">
        <v>301</v>
      </c>
      <c r="B118" s="1" t="s">
        <v>604</v>
      </c>
      <c r="C118" s="1" t="s">
        <v>302</v>
      </c>
      <c r="D118" s="1" t="s">
        <v>468</v>
      </c>
      <c r="E118" s="1" t="s">
        <v>708</v>
      </c>
      <c r="F118" s="1" t="s">
        <v>570</v>
      </c>
      <c r="G118" s="1" t="s">
        <v>570</v>
      </c>
      <c r="H118" s="1" t="s">
        <v>570</v>
      </c>
      <c r="I118" s="1" t="s">
        <v>570</v>
      </c>
      <c r="J118" s="1" t="s">
        <v>570</v>
      </c>
      <c r="K118" s="1" t="s">
        <v>570</v>
      </c>
      <c r="L118" s="1" t="s">
        <v>570</v>
      </c>
      <c r="M118" s="1" t="s">
        <v>570</v>
      </c>
      <c r="N118" s="1" t="s">
        <v>570</v>
      </c>
      <c r="O118" s="1">
        <v>1997</v>
      </c>
      <c r="P118" s="1" t="s">
        <v>570</v>
      </c>
      <c r="Q118" s="1" t="s">
        <v>570</v>
      </c>
      <c r="R118" s="1" t="s">
        <v>55</v>
      </c>
      <c r="S118" s="1" t="s">
        <v>570</v>
      </c>
      <c r="T118" s="1" t="s">
        <v>282</v>
      </c>
      <c r="U118" s="1" t="s">
        <v>570</v>
      </c>
      <c r="V118" s="1" t="s">
        <v>736</v>
      </c>
      <c r="W118" s="1" t="s">
        <v>569</v>
      </c>
      <c r="X118" s="1" t="s">
        <v>131</v>
      </c>
      <c r="Y118" s="1" t="s">
        <v>570</v>
      </c>
      <c r="Z118" s="1" t="s">
        <v>281</v>
      </c>
      <c r="AA118" s="1" t="s">
        <v>570</v>
      </c>
      <c r="AB118" s="1">
        <v>4</v>
      </c>
      <c r="AC118" s="1">
        <v>4</v>
      </c>
      <c r="AD118" s="1" t="s">
        <v>570</v>
      </c>
      <c r="AE118" s="1" t="s">
        <v>570</v>
      </c>
      <c r="AF118" s="1" t="s">
        <v>570</v>
      </c>
      <c r="AG118" s="1" t="s">
        <v>570</v>
      </c>
      <c r="AH118" s="1" t="s">
        <v>570</v>
      </c>
      <c r="AI118" s="1" t="s">
        <v>570</v>
      </c>
      <c r="AJ118" s="1" t="s">
        <v>570</v>
      </c>
      <c r="AK118" s="1" t="s">
        <v>570</v>
      </c>
      <c r="AL118" s="51" t="s">
        <v>17</v>
      </c>
      <c r="AM118" s="1" t="s">
        <v>570</v>
      </c>
      <c r="AN118" s="1" t="s">
        <v>570</v>
      </c>
      <c r="AO118" s="1" t="s">
        <v>570</v>
      </c>
      <c r="AP118" s="1" t="s">
        <v>570</v>
      </c>
      <c r="AQ118" s="1" t="s">
        <v>570</v>
      </c>
      <c r="AR118" s="1" t="s">
        <v>570</v>
      </c>
      <c r="AS118" s="1">
        <v>29.08</v>
      </c>
      <c r="AT118" s="1">
        <v>3.98</v>
      </c>
      <c r="AU118" s="2">
        <f t="shared" si="10"/>
        <v>7.96</v>
      </c>
      <c r="AV118" s="1" t="s">
        <v>570</v>
      </c>
      <c r="AW118" s="1" t="s">
        <v>570</v>
      </c>
      <c r="AY118" s="1">
        <v>41.06</v>
      </c>
      <c r="AZ118" s="1">
        <v>1.84</v>
      </c>
      <c r="BA118" s="1">
        <f t="shared" si="11"/>
        <v>3.68</v>
      </c>
      <c r="BB118" s="1" t="s">
        <v>570</v>
      </c>
      <c r="BC118" s="1" t="s">
        <v>457</v>
      </c>
      <c r="BD118" s="1" t="s">
        <v>570</v>
      </c>
      <c r="BE118" s="1" t="s">
        <v>570</v>
      </c>
      <c r="BF118" s="1" t="s">
        <v>570</v>
      </c>
    </row>
    <row r="119" spans="1:58" ht="12" customHeight="1">
      <c r="A119" s="1" t="s">
        <v>301</v>
      </c>
      <c r="B119" s="1" t="s">
        <v>604</v>
      </c>
      <c r="C119" s="1" t="s">
        <v>303</v>
      </c>
      <c r="D119" s="1" t="s">
        <v>470</v>
      </c>
      <c r="E119" s="1" t="s">
        <v>469</v>
      </c>
      <c r="F119" s="1" t="s">
        <v>570</v>
      </c>
      <c r="G119" s="1" t="s">
        <v>570</v>
      </c>
      <c r="H119" s="1" t="s">
        <v>570</v>
      </c>
      <c r="I119" s="1" t="s">
        <v>570</v>
      </c>
      <c r="J119" s="1" t="s">
        <v>570</v>
      </c>
      <c r="K119" s="1" t="s">
        <v>570</v>
      </c>
      <c r="L119" s="1" t="s">
        <v>570</v>
      </c>
      <c r="M119" s="1" t="s">
        <v>570</v>
      </c>
      <c r="N119" s="1" t="s">
        <v>570</v>
      </c>
      <c r="O119" s="1">
        <v>1997</v>
      </c>
      <c r="P119" s="1" t="s">
        <v>570</v>
      </c>
      <c r="Q119" s="1" t="s">
        <v>570</v>
      </c>
      <c r="R119" s="1" t="s">
        <v>55</v>
      </c>
      <c r="S119" s="1" t="s">
        <v>570</v>
      </c>
      <c r="T119" s="1" t="s">
        <v>282</v>
      </c>
      <c r="U119" s="1" t="s">
        <v>570</v>
      </c>
      <c r="V119" s="1" t="s">
        <v>736</v>
      </c>
      <c r="W119" s="1" t="s">
        <v>569</v>
      </c>
      <c r="X119" s="1" t="s">
        <v>131</v>
      </c>
      <c r="Y119" s="1" t="s">
        <v>570</v>
      </c>
      <c r="Z119" s="1" t="s">
        <v>281</v>
      </c>
      <c r="AA119" s="1" t="s">
        <v>570</v>
      </c>
      <c r="AB119" s="1">
        <v>4</v>
      </c>
      <c r="AC119" s="1">
        <v>4</v>
      </c>
      <c r="AD119" s="1" t="s">
        <v>570</v>
      </c>
      <c r="AE119" s="1" t="s">
        <v>570</v>
      </c>
      <c r="AF119" s="1" t="s">
        <v>570</v>
      </c>
      <c r="AG119" s="1" t="s">
        <v>570</v>
      </c>
      <c r="AH119" s="1" t="s">
        <v>570</v>
      </c>
      <c r="AI119" s="1" t="s">
        <v>570</v>
      </c>
      <c r="AJ119" s="1" t="s">
        <v>570</v>
      </c>
      <c r="AK119" s="1" t="s">
        <v>570</v>
      </c>
      <c r="AL119" s="51" t="s">
        <v>17</v>
      </c>
      <c r="AM119" s="1" t="s">
        <v>570</v>
      </c>
      <c r="AN119" s="1" t="s">
        <v>570</v>
      </c>
      <c r="AO119" s="1" t="s">
        <v>570</v>
      </c>
      <c r="AP119" s="1" t="s">
        <v>570</v>
      </c>
      <c r="AQ119" s="1" t="s">
        <v>570</v>
      </c>
      <c r="AR119" s="1" t="s">
        <v>570</v>
      </c>
      <c r="AS119" s="1">
        <v>18.82</v>
      </c>
      <c r="AT119" s="1">
        <v>2.4500000000000002</v>
      </c>
      <c r="AU119" s="2">
        <f t="shared" si="10"/>
        <v>4.9000000000000004</v>
      </c>
      <c r="AV119" s="1" t="s">
        <v>570</v>
      </c>
      <c r="AW119" s="1" t="s">
        <v>570</v>
      </c>
      <c r="AY119" s="1">
        <v>35.32</v>
      </c>
      <c r="AZ119" s="1">
        <v>2.4500000000000002</v>
      </c>
      <c r="BA119" s="1">
        <f t="shared" si="11"/>
        <v>4.9000000000000004</v>
      </c>
      <c r="BB119" s="1" t="s">
        <v>570</v>
      </c>
      <c r="BC119" s="1" t="s">
        <v>457</v>
      </c>
      <c r="BD119" s="1" t="s">
        <v>570</v>
      </c>
      <c r="BE119" s="1" t="s">
        <v>570</v>
      </c>
      <c r="BF119" s="1" t="s">
        <v>570</v>
      </c>
    </row>
    <row r="120" spans="1:58" ht="12" customHeight="1">
      <c r="A120" s="6" t="s">
        <v>301</v>
      </c>
      <c r="B120" s="6" t="s">
        <v>604</v>
      </c>
      <c r="C120" s="6" t="s">
        <v>128</v>
      </c>
      <c r="D120" s="6" t="s">
        <v>472</v>
      </c>
      <c r="E120" s="6" t="s">
        <v>471</v>
      </c>
      <c r="F120" s="2" t="s">
        <v>570</v>
      </c>
      <c r="G120" s="6" t="s">
        <v>570</v>
      </c>
      <c r="H120" s="6" t="s">
        <v>570</v>
      </c>
      <c r="I120" s="6" t="s">
        <v>570</v>
      </c>
      <c r="J120" s="6" t="s">
        <v>570</v>
      </c>
      <c r="K120" s="6" t="s">
        <v>570</v>
      </c>
      <c r="L120" s="6" t="s">
        <v>570</v>
      </c>
      <c r="M120" s="6" t="s">
        <v>570</v>
      </c>
      <c r="N120" s="6" t="s">
        <v>570</v>
      </c>
      <c r="O120" s="6">
        <v>1997</v>
      </c>
      <c r="P120" s="6" t="s">
        <v>570</v>
      </c>
      <c r="Q120" s="6" t="s">
        <v>570</v>
      </c>
      <c r="R120" s="1" t="s">
        <v>55</v>
      </c>
      <c r="S120" s="6" t="s">
        <v>570</v>
      </c>
      <c r="T120" s="6" t="s">
        <v>282</v>
      </c>
      <c r="U120" s="6" t="s">
        <v>570</v>
      </c>
      <c r="V120" s="6" t="s">
        <v>736</v>
      </c>
      <c r="W120" s="6" t="s">
        <v>569</v>
      </c>
      <c r="X120" s="6" t="s">
        <v>131</v>
      </c>
      <c r="Y120" s="6" t="s">
        <v>570</v>
      </c>
      <c r="Z120" s="6" t="s">
        <v>281</v>
      </c>
      <c r="AA120" s="6" t="s">
        <v>570</v>
      </c>
      <c r="AB120" s="6">
        <v>4</v>
      </c>
      <c r="AC120" s="6">
        <v>4</v>
      </c>
      <c r="AD120" s="6" t="s">
        <v>570</v>
      </c>
      <c r="AE120" s="6" t="s">
        <v>570</v>
      </c>
      <c r="AF120" s="6" t="s">
        <v>570</v>
      </c>
      <c r="AG120" s="6" t="s">
        <v>570</v>
      </c>
      <c r="AH120" s="6" t="s">
        <v>570</v>
      </c>
      <c r="AI120" s="6" t="s">
        <v>570</v>
      </c>
      <c r="AJ120" s="6" t="s">
        <v>570</v>
      </c>
      <c r="AK120" s="6" t="s">
        <v>570</v>
      </c>
      <c r="AL120" s="52" t="s">
        <v>17</v>
      </c>
      <c r="AM120" s="6" t="s">
        <v>570</v>
      </c>
      <c r="AN120" s="6" t="s">
        <v>570</v>
      </c>
      <c r="AO120" s="6" t="s">
        <v>570</v>
      </c>
      <c r="AP120" s="6" t="s">
        <v>570</v>
      </c>
      <c r="AQ120" s="6" t="s">
        <v>570</v>
      </c>
      <c r="AR120" s="6" t="s">
        <v>570</v>
      </c>
      <c r="AS120" s="6">
        <v>33.43</v>
      </c>
      <c r="AT120" s="6">
        <v>3.06</v>
      </c>
      <c r="AU120" s="6">
        <f t="shared" si="10"/>
        <v>6.12</v>
      </c>
      <c r="AV120" s="6" t="s">
        <v>570</v>
      </c>
      <c r="AW120" s="6" t="s">
        <v>570</v>
      </c>
      <c r="AX120" s="6"/>
      <c r="AY120" s="6">
        <v>45.66</v>
      </c>
      <c r="AZ120" s="6">
        <v>2.48</v>
      </c>
      <c r="BA120" s="1">
        <f t="shared" si="11"/>
        <v>4.96</v>
      </c>
      <c r="BB120" s="6" t="s">
        <v>570</v>
      </c>
      <c r="BC120" s="6" t="s">
        <v>457</v>
      </c>
      <c r="BD120" s="6" t="s">
        <v>570</v>
      </c>
      <c r="BE120" s="6" t="s">
        <v>570</v>
      </c>
      <c r="BF120" s="6" t="s">
        <v>570</v>
      </c>
    </row>
    <row r="121" spans="1:58">
      <c r="A121" s="4" t="s">
        <v>945</v>
      </c>
      <c r="B121" s="4" t="s">
        <v>604</v>
      </c>
      <c r="C121" s="4" t="s">
        <v>115</v>
      </c>
      <c r="D121" s="4" t="s">
        <v>476</v>
      </c>
      <c r="E121" s="4" t="s">
        <v>475</v>
      </c>
      <c r="F121" s="4" t="s">
        <v>570</v>
      </c>
      <c r="G121" s="4" t="s">
        <v>570</v>
      </c>
      <c r="H121" s="4" t="s">
        <v>570</v>
      </c>
      <c r="I121" s="4" t="s">
        <v>570</v>
      </c>
      <c r="J121" s="4" t="s">
        <v>570</v>
      </c>
      <c r="K121" s="4" t="s">
        <v>570</v>
      </c>
      <c r="L121" s="4" t="s">
        <v>570</v>
      </c>
      <c r="M121" s="4" t="s">
        <v>570</v>
      </c>
      <c r="N121" s="4" t="s">
        <v>570</v>
      </c>
      <c r="O121" s="4">
        <v>1997</v>
      </c>
      <c r="P121" s="53">
        <v>41013</v>
      </c>
      <c r="Q121" s="4" t="s">
        <v>946</v>
      </c>
      <c r="R121" s="4" t="s">
        <v>55</v>
      </c>
      <c r="S121" s="4" t="s">
        <v>570</v>
      </c>
      <c r="T121" s="4" t="s">
        <v>570</v>
      </c>
      <c r="U121" s="4" t="s">
        <v>113</v>
      </c>
      <c r="V121" s="4" t="s">
        <v>862</v>
      </c>
      <c r="W121" s="4" t="s">
        <v>569</v>
      </c>
      <c r="X121" s="1" t="s">
        <v>131</v>
      </c>
      <c r="Y121" s="4" t="s">
        <v>570</v>
      </c>
      <c r="Z121" s="4" t="s">
        <v>114</v>
      </c>
      <c r="AA121" s="4" t="s">
        <v>570</v>
      </c>
      <c r="AB121" s="4">
        <v>8</v>
      </c>
      <c r="AC121" s="4">
        <v>8</v>
      </c>
      <c r="AD121" s="4" t="s">
        <v>570</v>
      </c>
      <c r="AE121" s="4" t="s">
        <v>570</v>
      </c>
      <c r="AF121" s="4" t="s">
        <v>570</v>
      </c>
      <c r="AG121" s="4" t="s">
        <v>570</v>
      </c>
      <c r="AH121" s="4" t="s">
        <v>570</v>
      </c>
      <c r="AI121" s="4" t="s">
        <v>570</v>
      </c>
      <c r="AJ121" s="4" t="s">
        <v>570</v>
      </c>
      <c r="AK121" s="4" t="s">
        <v>570</v>
      </c>
      <c r="AL121" s="51" t="s">
        <v>17</v>
      </c>
      <c r="AM121" s="4" t="s">
        <v>570</v>
      </c>
      <c r="AN121" s="4" t="s">
        <v>570</v>
      </c>
      <c r="AO121" s="4" t="s">
        <v>570</v>
      </c>
      <c r="AP121" s="4" t="s">
        <v>570</v>
      </c>
      <c r="AQ121" s="4" t="s">
        <v>570</v>
      </c>
      <c r="AR121" s="4" t="s">
        <v>570</v>
      </c>
      <c r="AS121" s="4">
        <v>22.5</v>
      </c>
      <c r="AT121" s="4">
        <v>4.2</v>
      </c>
      <c r="AU121" s="7">
        <f t="shared" si="10"/>
        <v>11.879393923934</v>
      </c>
      <c r="AV121" s="4" t="s">
        <v>570</v>
      </c>
      <c r="AW121" s="4" t="s">
        <v>570</v>
      </c>
      <c r="AX121" s="4"/>
      <c r="AY121" s="4">
        <v>87.5</v>
      </c>
      <c r="AZ121" s="4">
        <v>3.7</v>
      </c>
      <c r="BA121" s="5">
        <f t="shared" si="11"/>
        <v>10.465180361560904</v>
      </c>
      <c r="BB121" s="4" t="s">
        <v>570</v>
      </c>
      <c r="BC121" s="4">
        <v>0.05</v>
      </c>
      <c r="BD121" s="4" t="s">
        <v>570</v>
      </c>
      <c r="BE121" s="4" t="s">
        <v>570</v>
      </c>
      <c r="BF121" s="4" t="s">
        <v>570</v>
      </c>
    </row>
    <row r="122" spans="1:58">
      <c r="A122" s="2" t="s">
        <v>945</v>
      </c>
      <c r="B122" s="2" t="s">
        <v>604</v>
      </c>
      <c r="C122" s="2" t="s">
        <v>115</v>
      </c>
      <c r="D122" s="2" t="s">
        <v>476</v>
      </c>
      <c r="E122" s="2" t="s">
        <v>475</v>
      </c>
      <c r="F122" s="2" t="s">
        <v>570</v>
      </c>
      <c r="G122" s="2" t="s">
        <v>570</v>
      </c>
      <c r="H122" s="2" t="s">
        <v>570</v>
      </c>
      <c r="I122" s="2" t="s">
        <v>570</v>
      </c>
      <c r="J122" s="2" t="s">
        <v>570</v>
      </c>
      <c r="K122" s="2" t="s">
        <v>570</v>
      </c>
      <c r="L122" s="2" t="s">
        <v>570</v>
      </c>
      <c r="M122" s="2" t="s">
        <v>570</v>
      </c>
      <c r="N122" s="2" t="s">
        <v>570</v>
      </c>
      <c r="O122" s="2">
        <v>1997</v>
      </c>
      <c r="P122" s="54">
        <v>41013</v>
      </c>
      <c r="Q122" s="2" t="s">
        <v>947</v>
      </c>
      <c r="R122" s="2" t="s">
        <v>55</v>
      </c>
      <c r="S122" s="2" t="s">
        <v>570</v>
      </c>
      <c r="T122" s="2" t="s">
        <v>570</v>
      </c>
      <c r="U122" s="2" t="s">
        <v>113</v>
      </c>
      <c r="V122" s="2" t="s">
        <v>862</v>
      </c>
      <c r="W122" s="2" t="s">
        <v>569</v>
      </c>
      <c r="X122" s="1" t="s">
        <v>131</v>
      </c>
      <c r="Y122" s="2" t="s">
        <v>570</v>
      </c>
      <c r="Z122" s="2" t="s">
        <v>114</v>
      </c>
      <c r="AA122" s="2" t="s">
        <v>570</v>
      </c>
      <c r="AB122" s="2">
        <v>8</v>
      </c>
      <c r="AC122" s="2">
        <v>8</v>
      </c>
      <c r="AD122" s="2" t="s">
        <v>570</v>
      </c>
      <c r="AE122" s="2" t="s">
        <v>570</v>
      </c>
      <c r="AF122" s="2" t="s">
        <v>570</v>
      </c>
      <c r="AG122" s="2" t="s">
        <v>570</v>
      </c>
      <c r="AH122" s="2" t="s">
        <v>570</v>
      </c>
      <c r="AI122" s="2" t="s">
        <v>570</v>
      </c>
      <c r="AJ122" s="2" t="s">
        <v>570</v>
      </c>
      <c r="AK122" s="2" t="s">
        <v>570</v>
      </c>
      <c r="AL122" s="51" t="s">
        <v>17</v>
      </c>
      <c r="AM122" s="2" t="s">
        <v>570</v>
      </c>
      <c r="AN122" s="2" t="s">
        <v>570</v>
      </c>
      <c r="AO122" s="2" t="s">
        <v>570</v>
      </c>
      <c r="AP122" s="2" t="s">
        <v>570</v>
      </c>
      <c r="AQ122" s="2" t="s">
        <v>570</v>
      </c>
      <c r="AR122" s="2" t="s">
        <v>570</v>
      </c>
      <c r="AS122" s="2">
        <v>14.4</v>
      </c>
      <c r="AT122" s="2">
        <v>3.3</v>
      </c>
      <c r="AU122" s="7">
        <f t="shared" si="10"/>
        <v>9.3338095116624267</v>
      </c>
      <c r="AV122" s="2" t="s">
        <v>570</v>
      </c>
      <c r="AW122" s="2" t="s">
        <v>570</v>
      </c>
      <c r="AX122" s="2"/>
      <c r="AY122" s="2">
        <v>77.5</v>
      </c>
      <c r="AZ122" s="2">
        <v>5.5</v>
      </c>
      <c r="BA122" s="7">
        <f t="shared" si="11"/>
        <v>15.556349186104047</v>
      </c>
      <c r="BB122" s="2" t="s">
        <v>570</v>
      </c>
      <c r="BC122" s="2">
        <v>0.05</v>
      </c>
      <c r="BD122" s="2" t="s">
        <v>570</v>
      </c>
      <c r="BE122" s="2" t="s">
        <v>570</v>
      </c>
      <c r="BF122" s="2" t="s">
        <v>570</v>
      </c>
    </row>
    <row r="123" spans="1:58">
      <c r="A123" s="2" t="s">
        <v>945</v>
      </c>
      <c r="B123" s="2" t="s">
        <v>604</v>
      </c>
      <c r="C123" s="2" t="s">
        <v>115</v>
      </c>
      <c r="D123" s="2" t="s">
        <v>476</v>
      </c>
      <c r="E123" s="2" t="s">
        <v>475</v>
      </c>
      <c r="F123" s="2" t="s">
        <v>570</v>
      </c>
      <c r="G123" s="2" t="s">
        <v>570</v>
      </c>
      <c r="H123" s="2" t="s">
        <v>570</v>
      </c>
      <c r="I123" s="2" t="s">
        <v>570</v>
      </c>
      <c r="J123" s="2" t="s">
        <v>570</v>
      </c>
      <c r="K123" s="2" t="s">
        <v>570</v>
      </c>
      <c r="L123" s="2" t="s">
        <v>570</v>
      </c>
      <c r="M123" s="2" t="s">
        <v>570</v>
      </c>
      <c r="N123" s="2" t="s">
        <v>570</v>
      </c>
      <c r="O123" s="2">
        <v>1997</v>
      </c>
      <c r="P123" s="54">
        <v>41013</v>
      </c>
      <c r="Q123" s="2" t="s">
        <v>948</v>
      </c>
      <c r="R123" s="2" t="s">
        <v>55</v>
      </c>
      <c r="S123" s="2" t="s">
        <v>570</v>
      </c>
      <c r="T123" s="2" t="s">
        <v>570</v>
      </c>
      <c r="U123" s="2" t="s">
        <v>113</v>
      </c>
      <c r="V123" s="2" t="s">
        <v>862</v>
      </c>
      <c r="W123" s="2" t="s">
        <v>569</v>
      </c>
      <c r="X123" s="1" t="s">
        <v>131</v>
      </c>
      <c r="Y123" s="2" t="s">
        <v>570</v>
      </c>
      <c r="Z123" s="2" t="s">
        <v>114</v>
      </c>
      <c r="AA123" s="2" t="s">
        <v>570</v>
      </c>
      <c r="AB123" s="2">
        <v>8</v>
      </c>
      <c r="AC123" s="2">
        <v>8</v>
      </c>
      <c r="AD123" s="2" t="s">
        <v>570</v>
      </c>
      <c r="AE123" s="2" t="s">
        <v>570</v>
      </c>
      <c r="AF123" s="2" t="s">
        <v>570</v>
      </c>
      <c r="AG123" s="2" t="s">
        <v>570</v>
      </c>
      <c r="AH123" s="2" t="s">
        <v>570</v>
      </c>
      <c r="AI123" s="2" t="s">
        <v>570</v>
      </c>
      <c r="AJ123" s="2" t="s">
        <v>570</v>
      </c>
      <c r="AK123" s="2" t="s">
        <v>570</v>
      </c>
      <c r="AL123" s="51" t="s">
        <v>17</v>
      </c>
      <c r="AM123" s="2" t="s">
        <v>570</v>
      </c>
      <c r="AN123" s="2" t="s">
        <v>570</v>
      </c>
      <c r="AO123" s="2" t="s">
        <v>570</v>
      </c>
      <c r="AP123" s="2" t="s">
        <v>570</v>
      </c>
      <c r="AQ123" s="2" t="s">
        <v>570</v>
      </c>
      <c r="AR123" s="2" t="s">
        <v>570</v>
      </c>
      <c r="AS123" s="2">
        <v>15</v>
      </c>
      <c r="AT123" s="2">
        <v>3.1</v>
      </c>
      <c r="AU123" s="7">
        <f t="shared" si="10"/>
        <v>8.7681240867131898</v>
      </c>
      <c r="AV123" s="2" t="s">
        <v>570</v>
      </c>
      <c r="AW123" s="2" t="s">
        <v>570</v>
      </c>
      <c r="AX123" s="2"/>
      <c r="AY123" s="2">
        <v>58.8</v>
      </c>
      <c r="AZ123" s="2">
        <v>5.7</v>
      </c>
      <c r="BA123" s="7">
        <f t="shared" si="11"/>
        <v>16.122034611053284</v>
      </c>
      <c r="BB123" s="2" t="s">
        <v>570</v>
      </c>
      <c r="BC123" s="2">
        <v>0.05</v>
      </c>
      <c r="BD123" s="2" t="s">
        <v>570</v>
      </c>
      <c r="BE123" s="2" t="s">
        <v>570</v>
      </c>
      <c r="BF123" s="2" t="s">
        <v>570</v>
      </c>
    </row>
    <row r="124" spans="1:58">
      <c r="A124" s="2" t="s">
        <v>945</v>
      </c>
      <c r="B124" s="2" t="s">
        <v>604</v>
      </c>
      <c r="C124" s="2" t="s">
        <v>115</v>
      </c>
      <c r="D124" s="2" t="s">
        <v>476</v>
      </c>
      <c r="E124" s="2" t="s">
        <v>475</v>
      </c>
      <c r="F124" s="2" t="s">
        <v>570</v>
      </c>
      <c r="G124" s="2" t="s">
        <v>570</v>
      </c>
      <c r="H124" s="2" t="s">
        <v>570</v>
      </c>
      <c r="I124" s="2" t="s">
        <v>570</v>
      </c>
      <c r="J124" s="2" t="s">
        <v>570</v>
      </c>
      <c r="K124" s="2" t="s">
        <v>570</v>
      </c>
      <c r="L124" s="2" t="s">
        <v>570</v>
      </c>
      <c r="M124" s="2" t="s">
        <v>570</v>
      </c>
      <c r="N124" s="2" t="s">
        <v>570</v>
      </c>
      <c r="O124" s="2">
        <v>1997</v>
      </c>
      <c r="P124" s="54">
        <v>41013</v>
      </c>
      <c r="Q124" s="2" t="s">
        <v>965</v>
      </c>
      <c r="R124" s="2" t="s">
        <v>55</v>
      </c>
      <c r="S124" s="2" t="s">
        <v>570</v>
      </c>
      <c r="T124" s="2" t="s">
        <v>570</v>
      </c>
      <c r="U124" s="2" t="s">
        <v>113</v>
      </c>
      <c r="V124" s="2" t="s">
        <v>862</v>
      </c>
      <c r="W124" s="2" t="s">
        <v>569</v>
      </c>
      <c r="X124" s="1" t="s">
        <v>131</v>
      </c>
      <c r="Y124" s="2" t="s">
        <v>570</v>
      </c>
      <c r="Z124" s="2" t="s">
        <v>114</v>
      </c>
      <c r="AA124" s="2" t="s">
        <v>570</v>
      </c>
      <c r="AB124" s="2">
        <v>8</v>
      </c>
      <c r="AC124" s="2">
        <v>8</v>
      </c>
      <c r="AD124" s="2" t="s">
        <v>570</v>
      </c>
      <c r="AE124" s="2" t="s">
        <v>570</v>
      </c>
      <c r="AF124" s="2" t="s">
        <v>570</v>
      </c>
      <c r="AG124" s="2" t="s">
        <v>570</v>
      </c>
      <c r="AH124" s="2" t="s">
        <v>570</v>
      </c>
      <c r="AI124" s="2" t="s">
        <v>570</v>
      </c>
      <c r="AJ124" s="2" t="s">
        <v>570</v>
      </c>
      <c r="AK124" s="2" t="s">
        <v>570</v>
      </c>
      <c r="AL124" s="51" t="s">
        <v>17</v>
      </c>
      <c r="AM124" s="2" t="s">
        <v>570</v>
      </c>
      <c r="AN124" s="2" t="s">
        <v>570</v>
      </c>
      <c r="AO124" s="2" t="s">
        <v>570</v>
      </c>
      <c r="AP124" s="2" t="s">
        <v>570</v>
      </c>
      <c r="AQ124" s="2" t="s">
        <v>570</v>
      </c>
      <c r="AR124" s="2" t="s">
        <v>570</v>
      </c>
      <c r="AS124" s="2">
        <v>15</v>
      </c>
      <c r="AT124" s="2">
        <v>3</v>
      </c>
      <c r="AU124" s="7">
        <f t="shared" si="10"/>
        <v>8.4852813742385713</v>
      </c>
      <c r="AV124" s="2" t="s">
        <v>570</v>
      </c>
      <c r="AW124" s="2" t="s">
        <v>570</v>
      </c>
      <c r="AX124" s="2"/>
      <c r="AY124" s="2">
        <v>43.8</v>
      </c>
      <c r="AZ124" s="2">
        <v>6.1</v>
      </c>
      <c r="BA124" s="7">
        <f t="shared" si="11"/>
        <v>17.253405460951761</v>
      </c>
      <c r="BB124" s="2" t="s">
        <v>570</v>
      </c>
      <c r="BC124" s="2">
        <v>0.05</v>
      </c>
      <c r="BD124" s="2" t="s">
        <v>570</v>
      </c>
      <c r="BE124" s="2" t="s">
        <v>570</v>
      </c>
      <c r="BF124" s="2" t="s">
        <v>570</v>
      </c>
    </row>
    <row r="125" spans="1:58">
      <c r="A125" s="2" t="s">
        <v>945</v>
      </c>
      <c r="B125" s="2" t="s">
        <v>604</v>
      </c>
      <c r="C125" s="2" t="s">
        <v>115</v>
      </c>
      <c r="D125" s="2" t="s">
        <v>476</v>
      </c>
      <c r="E125" s="2" t="s">
        <v>475</v>
      </c>
      <c r="F125" s="2" t="s">
        <v>570</v>
      </c>
      <c r="G125" s="2" t="s">
        <v>570</v>
      </c>
      <c r="H125" s="2" t="s">
        <v>570</v>
      </c>
      <c r="I125" s="2" t="s">
        <v>570</v>
      </c>
      <c r="J125" s="2" t="s">
        <v>570</v>
      </c>
      <c r="K125" s="2" t="s">
        <v>570</v>
      </c>
      <c r="L125" s="2" t="s">
        <v>570</v>
      </c>
      <c r="M125" s="2" t="s">
        <v>570</v>
      </c>
      <c r="N125" s="2" t="s">
        <v>570</v>
      </c>
      <c r="O125" s="2">
        <v>1997</v>
      </c>
      <c r="P125" s="2" t="s">
        <v>966</v>
      </c>
      <c r="Q125" s="2" t="s">
        <v>946</v>
      </c>
      <c r="R125" s="2" t="s">
        <v>55</v>
      </c>
      <c r="S125" s="2" t="s">
        <v>570</v>
      </c>
      <c r="T125" s="2" t="s">
        <v>570</v>
      </c>
      <c r="U125" s="2" t="s">
        <v>113</v>
      </c>
      <c r="V125" s="2" t="s">
        <v>862</v>
      </c>
      <c r="W125" s="2" t="s">
        <v>569</v>
      </c>
      <c r="X125" s="1" t="s">
        <v>131</v>
      </c>
      <c r="Y125" s="2" t="s">
        <v>570</v>
      </c>
      <c r="Z125" s="2" t="s">
        <v>114</v>
      </c>
      <c r="AA125" s="2" t="s">
        <v>570</v>
      </c>
      <c r="AB125" s="2">
        <v>8</v>
      </c>
      <c r="AC125" s="2">
        <v>8</v>
      </c>
      <c r="AD125" s="2" t="s">
        <v>570</v>
      </c>
      <c r="AE125" s="2" t="s">
        <v>570</v>
      </c>
      <c r="AF125" s="2" t="s">
        <v>570</v>
      </c>
      <c r="AG125" s="2" t="s">
        <v>570</v>
      </c>
      <c r="AH125" s="2" t="s">
        <v>570</v>
      </c>
      <c r="AI125" s="2" t="s">
        <v>570</v>
      </c>
      <c r="AJ125" s="2" t="s">
        <v>570</v>
      </c>
      <c r="AK125" s="2" t="s">
        <v>570</v>
      </c>
      <c r="AL125" s="51" t="s">
        <v>17</v>
      </c>
      <c r="AM125" s="2" t="s">
        <v>570</v>
      </c>
      <c r="AN125" s="2" t="s">
        <v>570</v>
      </c>
      <c r="AO125" s="2" t="s">
        <v>570</v>
      </c>
      <c r="AP125" s="2" t="s">
        <v>570</v>
      </c>
      <c r="AQ125" s="2" t="s">
        <v>570</v>
      </c>
      <c r="AR125" s="2" t="s">
        <v>570</v>
      </c>
      <c r="AS125" s="2">
        <v>16.899999999999999</v>
      </c>
      <c r="AT125" s="2">
        <v>3.8</v>
      </c>
      <c r="AU125" s="7">
        <f t="shared" si="10"/>
        <v>10.748023074035522</v>
      </c>
      <c r="AV125" s="2" t="s">
        <v>570</v>
      </c>
      <c r="AW125" s="2" t="s">
        <v>570</v>
      </c>
      <c r="AX125" s="2"/>
      <c r="AY125" s="2">
        <v>99.4</v>
      </c>
      <c r="AZ125" s="2">
        <v>0.6</v>
      </c>
      <c r="BA125" s="7">
        <f t="shared" si="11"/>
        <v>1.697056274847714</v>
      </c>
      <c r="BB125" s="2" t="s">
        <v>570</v>
      </c>
      <c r="BC125" s="2">
        <v>0.05</v>
      </c>
      <c r="BD125" s="2" t="s">
        <v>570</v>
      </c>
      <c r="BE125" s="2" t="s">
        <v>570</v>
      </c>
      <c r="BF125" s="2" t="s">
        <v>570</v>
      </c>
    </row>
    <row r="126" spans="1:58">
      <c r="A126" s="2" t="s">
        <v>945</v>
      </c>
      <c r="B126" s="2" t="s">
        <v>604</v>
      </c>
      <c r="C126" s="2" t="s">
        <v>115</v>
      </c>
      <c r="D126" s="2" t="s">
        <v>476</v>
      </c>
      <c r="E126" s="2" t="s">
        <v>475</v>
      </c>
      <c r="F126" s="2" t="s">
        <v>570</v>
      </c>
      <c r="G126" s="2" t="s">
        <v>570</v>
      </c>
      <c r="H126" s="2" t="s">
        <v>570</v>
      </c>
      <c r="I126" s="2" t="s">
        <v>570</v>
      </c>
      <c r="J126" s="2" t="s">
        <v>570</v>
      </c>
      <c r="K126" s="2" t="s">
        <v>570</v>
      </c>
      <c r="L126" s="2" t="s">
        <v>570</v>
      </c>
      <c r="M126" s="2" t="s">
        <v>570</v>
      </c>
      <c r="N126" s="2" t="s">
        <v>570</v>
      </c>
      <c r="O126" s="2">
        <v>1997</v>
      </c>
      <c r="P126" s="2" t="s">
        <v>966</v>
      </c>
      <c r="Q126" s="2" t="s">
        <v>947</v>
      </c>
      <c r="R126" s="2" t="s">
        <v>55</v>
      </c>
      <c r="S126" s="2" t="s">
        <v>570</v>
      </c>
      <c r="T126" s="2" t="s">
        <v>570</v>
      </c>
      <c r="U126" s="2" t="s">
        <v>113</v>
      </c>
      <c r="V126" s="2" t="s">
        <v>862</v>
      </c>
      <c r="W126" s="2" t="s">
        <v>569</v>
      </c>
      <c r="X126" s="1" t="s">
        <v>131</v>
      </c>
      <c r="Y126" s="2" t="s">
        <v>570</v>
      </c>
      <c r="Z126" s="2" t="s">
        <v>114</v>
      </c>
      <c r="AA126" s="2" t="s">
        <v>570</v>
      </c>
      <c r="AB126" s="2">
        <v>8</v>
      </c>
      <c r="AC126" s="2">
        <v>8</v>
      </c>
      <c r="AD126" s="2" t="s">
        <v>570</v>
      </c>
      <c r="AE126" s="2" t="s">
        <v>570</v>
      </c>
      <c r="AF126" s="2" t="s">
        <v>570</v>
      </c>
      <c r="AG126" s="2" t="s">
        <v>570</v>
      </c>
      <c r="AH126" s="2" t="s">
        <v>570</v>
      </c>
      <c r="AI126" s="2" t="s">
        <v>570</v>
      </c>
      <c r="AJ126" s="2" t="s">
        <v>570</v>
      </c>
      <c r="AK126" s="2" t="s">
        <v>570</v>
      </c>
      <c r="AL126" s="51" t="s">
        <v>17</v>
      </c>
      <c r="AM126" s="2" t="s">
        <v>570</v>
      </c>
      <c r="AN126" s="2" t="s">
        <v>570</v>
      </c>
      <c r="AO126" s="2" t="s">
        <v>570</v>
      </c>
      <c r="AP126" s="2" t="s">
        <v>570</v>
      </c>
      <c r="AQ126" s="2" t="s">
        <v>570</v>
      </c>
      <c r="AR126" s="2" t="s">
        <v>570</v>
      </c>
      <c r="AS126" s="2">
        <v>15</v>
      </c>
      <c r="AT126" s="2">
        <v>2.5</v>
      </c>
      <c r="AU126" s="7">
        <f t="shared" si="10"/>
        <v>7.0710678118654755</v>
      </c>
      <c r="AV126" s="2" t="s">
        <v>570</v>
      </c>
      <c r="AW126" s="2" t="s">
        <v>570</v>
      </c>
      <c r="AX126" s="2"/>
      <c r="AY126" s="2">
        <v>99.4</v>
      </c>
      <c r="AZ126" s="2">
        <v>0.6</v>
      </c>
      <c r="BA126" s="7">
        <f t="shared" si="11"/>
        <v>1.697056274847714</v>
      </c>
      <c r="BB126" s="2" t="s">
        <v>570</v>
      </c>
      <c r="BC126" s="2">
        <v>0.05</v>
      </c>
      <c r="BD126" s="2" t="s">
        <v>570</v>
      </c>
      <c r="BE126" s="2" t="s">
        <v>570</v>
      </c>
      <c r="BF126" s="2" t="s">
        <v>570</v>
      </c>
    </row>
    <row r="127" spans="1:58">
      <c r="A127" s="2" t="s">
        <v>945</v>
      </c>
      <c r="B127" s="2" t="s">
        <v>604</v>
      </c>
      <c r="C127" s="2" t="s">
        <v>115</v>
      </c>
      <c r="D127" s="2" t="s">
        <v>476</v>
      </c>
      <c r="E127" s="2" t="s">
        <v>475</v>
      </c>
      <c r="F127" s="2" t="s">
        <v>570</v>
      </c>
      <c r="G127" s="2" t="s">
        <v>570</v>
      </c>
      <c r="H127" s="2" t="s">
        <v>570</v>
      </c>
      <c r="I127" s="2" t="s">
        <v>570</v>
      </c>
      <c r="J127" s="2" t="s">
        <v>570</v>
      </c>
      <c r="K127" s="2" t="s">
        <v>570</v>
      </c>
      <c r="L127" s="2" t="s">
        <v>570</v>
      </c>
      <c r="M127" s="2" t="s">
        <v>570</v>
      </c>
      <c r="N127" s="2" t="s">
        <v>570</v>
      </c>
      <c r="O127" s="2">
        <v>1997</v>
      </c>
      <c r="P127" s="2" t="s">
        <v>966</v>
      </c>
      <c r="Q127" s="2" t="s">
        <v>948</v>
      </c>
      <c r="R127" s="2" t="s">
        <v>55</v>
      </c>
      <c r="S127" s="2" t="s">
        <v>570</v>
      </c>
      <c r="T127" s="2" t="s">
        <v>570</v>
      </c>
      <c r="U127" s="2" t="s">
        <v>113</v>
      </c>
      <c r="V127" s="2" t="s">
        <v>862</v>
      </c>
      <c r="W127" s="2" t="s">
        <v>569</v>
      </c>
      <c r="X127" s="1" t="s">
        <v>131</v>
      </c>
      <c r="Y127" s="2" t="s">
        <v>570</v>
      </c>
      <c r="Z127" s="2" t="s">
        <v>114</v>
      </c>
      <c r="AA127" s="2" t="s">
        <v>570</v>
      </c>
      <c r="AB127" s="2">
        <v>8</v>
      </c>
      <c r="AC127" s="2">
        <v>8</v>
      </c>
      <c r="AD127" s="2" t="s">
        <v>570</v>
      </c>
      <c r="AE127" s="2" t="s">
        <v>570</v>
      </c>
      <c r="AF127" s="2" t="s">
        <v>570</v>
      </c>
      <c r="AG127" s="2" t="s">
        <v>570</v>
      </c>
      <c r="AH127" s="2" t="s">
        <v>570</v>
      </c>
      <c r="AI127" s="2" t="s">
        <v>570</v>
      </c>
      <c r="AJ127" s="2" t="s">
        <v>570</v>
      </c>
      <c r="AK127" s="2" t="s">
        <v>570</v>
      </c>
      <c r="AL127" s="51" t="s">
        <v>17</v>
      </c>
      <c r="AM127" s="2" t="s">
        <v>570</v>
      </c>
      <c r="AN127" s="2" t="s">
        <v>570</v>
      </c>
      <c r="AO127" s="2" t="s">
        <v>570</v>
      </c>
      <c r="AP127" s="2" t="s">
        <v>570</v>
      </c>
      <c r="AQ127" s="2" t="s">
        <v>570</v>
      </c>
      <c r="AR127" s="2" t="s">
        <v>570</v>
      </c>
      <c r="AS127" s="2">
        <v>13.1</v>
      </c>
      <c r="AT127" s="2">
        <v>4.8</v>
      </c>
      <c r="AU127" s="7">
        <f t="shared" si="10"/>
        <v>13.576450198781712</v>
      </c>
      <c r="AV127" s="2" t="s">
        <v>570</v>
      </c>
      <c r="AW127" s="2" t="s">
        <v>570</v>
      </c>
      <c r="AX127" s="2"/>
      <c r="AY127" s="2">
        <v>89.4</v>
      </c>
      <c r="AZ127" s="2">
        <v>3.5</v>
      </c>
      <c r="BA127" s="7">
        <f t="shared" si="11"/>
        <v>9.8994949366116654</v>
      </c>
      <c r="BB127" s="2" t="s">
        <v>570</v>
      </c>
      <c r="BC127" s="2">
        <v>0.05</v>
      </c>
      <c r="BD127" s="2" t="s">
        <v>570</v>
      </c>
      <c r="BE127" s="2" t="s">
        <v>570</v>
      </c>
      <c r="BF127" s="2" t="s">
        <v>570</v>
      </c>
    </row>
    <row r="128" spans="1:58">
      <c r="A128" s="2" t="s">
        <v>945</v>
      </c>
      <c r="B128" s="2" t="s">
        <v>604</v>
      </c>
      <c r="C128" s="2" t="s">
        <v>115</v>
      </c>
      <c r="D128" s="2" t="s">
        <v>476</v>
      </c>
      <c r="E128" s="2" t="s">
        <v>475</v>
      </c>
      <c r="F128" s="2" t="s">
        <v>570</v>
      </c>
      <c r="G128" s="2" t="s">
        <v>570</v>
      </c>
      <c r="H128" s="2" t="s">
        <v>570</v>
      </c>
      <c r="I128" s="2" t="s">
        <v>570</v>
      </c>
      <c r="J128" s="2" t="s">
        <v>570</v>
      </c>
      <c r="K128" s="2" t="s">
        <v>570</v>
      </c>
      <c r="L128" s="2" t="s">
        <v>570</v>
      </c>
      <c r="M128" s="2" t="s">
        <v>570</v>
      </c>
      <c r="N128" s="2" t="s">
        <v>570</v>
      </c>
      <c r="O128" s="2">
        <v>1997</v>
      </c>
      <c r="P128" s="2" t="s">
        <v>966</v>
      </c>
      <c r="Q128" s="2" t="s">
        <v>965</v>
      </c>
      <c r="R128" s="2" t="s">
        <v>55</v>
      </c>
      <c r="S128" s="2" t="s">
        <v>570</v>
      </c>
      <c r="T128" s="2" t="s">
        <v>570</v>
      </c>
      <c r="U128" s="2" t="s">
        <v>113</v>
      </c>
      <c r="V128" s="2" t="s">
        <v>862</v>
      </c>
      <c r="W128" s="2" t="s">
        <v>569</v>
      </c>
      <c r="X128" s="1" t="s">
        <v>131</v>
      </c>
      <c r="Y128" s="2" t="s">
        <v>570</v>
      </c>
      <c r="Z128" s="2" t="s">
        <v>114</v>
      </c>
      <c r="AA128" s="2" t="s">
        <v>570</v>
      </c>
      <c r="AB128" s="2">
        <v>8</v>
      </c>
      <c r="AC128" s="2">
        <v>8</v>
      </c>
      <c r="AD128" s="2" t="s">
        <v>570</v>
      </c>
      <c r="AE128" s="2" t="s">
        <v>570</v>
      </c>
      <c r="AF128" s="2" t="s">
        <v>570</v>
      </c>
      <c r="AG128" s="2" t="s">
        <v>570</v>
      </c>
      <c r="AH128" s="2" t="s">
        <v>570</v>
      </c>
      <c r="AI128" s="2" t="s">
        <v>570</v>
      </c>
      <c r="AJ128" s="2" t="s">
        <v>570</v>
      </c>
      <c r="AK128" s="2" t="s">
        <v>570</v>
      </c>
      <c r="AL128" s="51" t="s">
        <v>17</v>
      </c>
      <c r="AM128" s="2" t="s">
        <v>570</v>
      </c>
      <c r="AN128" s="2" t="s">
        <v>570</v>
      </c>
      <c r="AO128" s="2" t="s">
        <v>570</v>
      </c>
      <c r="AP128" s="2" t="s">
        <v>570</v>
      </c>
      <c r="AQ128" s="2" t="s">
        <v>570</v>
      </c>
      <c r="AR128" s="2" t="s">
        <v>570</v>
      </c>
      <c r="AS128" s="2">
        <v>3.1</v>
      </c>
      <c r="AT128" s="2">
        <v>0.9</v>
      </c>
      <c r="AU128" s="7">
        <f t="shared" si="10"/>
        <v>2.5455844122715714</v>
      </c>
      <c r="AV128" s="2" t="s">
        <v>570</v>
      </c>
      <c r="AW128" s="2" t="s">
        <v>570</v>
      </c>
      <c r="AX128" s="2"/>
      <c r="AY128" s="2">
        <v>75.599999999999994</v>
      </c>
      <c r="AZ128" s="2">
        <v>3.3</v>
      </c>
      <c r="BA128" s="7">
        <f t="shared" si="11"/>
        <v>9.3338095116624267</v>
      </c>
      <c r="BB128" s="2" t="s">
        <v>570</v>
      </c>
      <c r="BC128" s="2">
        <v>0.05</v>
      </c>
      <c r="BD128" s="2" t="s">
        <v>570</v>
      </c>
      <c r="BE128" s="2" t="s">
        <v>570</v>
      </c>
      <c r="BF128" s="2" t="s">
        <v>570</v>
      </c>
    </row>
    <row r="129" spans="1:58">
      <c r="A129" s="2" t="s">
        <v>945</v>
      </c>
      <c r="B129" s="2" t="s">
        <v>604</v>
      </c>
      <c r="C129" s="2" t="s">
        <v>115</v>
      </c>
      <c r="D129" s="2" t="s">
        <v>476</v>
      </c>
      <c r="E129" s="2" t="s">
        <v>475</v>
      </c>
      <c r="F129" s="2" t="s">
        <v>570</v>
      </c>
      <c r="G129" s="2" t="s">
        <v>570</v>
      </c>
      <c r="H129" s="2" t="s">
        <v>570</v>
      </c>
      <c r="I129" s="2" t="s">
        <v>570</v>
      </c>
      <c r="J129" s="2" t="s">
        <v>570</v>
      </c>
      <c r="K129" s="2" t="s">
        <v>570</v>
      </c>
      <c r="L129" s="2" t="s">
        <v>570</v>
      </c>
      <c r="M129" s="2" t="s">
        <v>570</v>
      </c>
      <c r="N129" s="2" t="s">
        <v>570</v>
      </c>
      <c r="O129" s="2">
        <v>1997</v>
      </c>
      <c r="P129" s="2" t="s">
        <v>220</v>
      </c>
      <c r="Q129" s="2" t="s">
        <v>946</v>
      </c>
      <c r="R129" s="2" t="s">
        <v>55</v>
      </c>
      <c r="S129" s="2" t="s">
        <v>570</v>
      </c>
      <c r="T129" s="2" t="s">
        <v>570</v>
      </c>
      <c r="U129" s="2" t="s">
        <v>113</v>
      </c>
      <c r="V129" s="2" t="s">
        <v>862</v>
      </c>
      <c r="W129" s="2" t="s">
        <v>569</v>
      </c>
      <c r="X129" s="1" t="s">
        <v>131</v>
      </c>
      <c r="Y129" s="2" t="s">
        <v>570</v>
      </c>
      <c r="Z129" s="2" t="s">
        <v>114</v>
      </c>
      <c r="AA129" s="2" t="s">
        <v>570</v>
      </c>
      <c r="AB129" s="2">
        <v>8</v>
      </c>
      <c r="AC129" s="2">
        <v>8</v>
      </c>
      <c r="AD129" s="2" t="s">
        <v>570</v>
      </c>
      <c r="AE129" s="2" t="s">
        <v>570</v>
      </c>
      <c r="AF129" s="2" t="s">
        <v>570</v>
      </c>
      <c r="AG129" s="2" t="s">
        <v>570</v>
      </c>
      <c r="AH129" s="2" t="s">
        <v>570</v>
      </c>
      <c r="AI129" s="2" t="s">
        <v>570</v>
      </c>
      <c r="AJ129" s="2" t="s">
        <v>570</v>
      </c>
      <c r="AK129" s="2" t="s">
        <v>570</v>
      </c>
      <c r="AL129" s="51" t="s">
        <v>17</v>
      </c>
      <c r="AM129" s="2" t="s">
        <v>570</v>
      </c>
      <c r="AN129" s="2" t="s">
        <v>570</v>
      </c>
      <c r="AO129" s="2" t="s">
        <v>570</v>
      </c>
      <c r="AP129" s="2" t="s">
        <v>570</v>
      </c>
      <c r="AQ129" s="2" t="s">
        <v>570</v>
      </c>
      <c r="AR129" s="2" t="s">
        <v>570</v>
      </c>
      <c r="AS129" s="2">
        <v>50</v>
      </c>
      <c r="AT129" s="2">
        <v>5.3</v>
      </c>
      <c r="AU129" s="7">
        <f t="shared" si="10"/>
        <v>14.990663761154808</v>
      </c>
      <c r="AV129" s="2" t="s">
        <v>570</v>
      </c>
      <c r="AW129" s="2" t="s">
        <v>570</v>
      </c>
      <c r="AX129" s="2"/>
      <c r="AY129" s="2">
        <v>100</v>
      </c>
      <c r="AZ129" s="2">
        <v>0</v>
      </c>
      <c r="BA129" s="7">
        <f t="shared" si="11"/>
        <v>0</v>
      </c>
      <c r="BB129" s="2" t="s">
        <v>570</v>
      </c>
      <c r="BC129" s="2">
        <v>0.05</v>
      </c>
      <c r="BD129" s="2" t="s">
        <v>570</v>
      </c>
      <c r="BE129" s="2" t="s">
        <v>570</v>
      </c>
      <c r="BF129" s="2" t="s">
        <v>570</v>
      </c>
    </row>
    <row r="130" spans="1:58">
      <c r="A130" s="2" t="s">
        <v>945</v>
      </c>
      <c r="B130" s="2" t="s">
        <v>604</v>
      </c>
      <c r="C130" s="2" t="s">
        <v>115</v>
      </c>
      <c r="D130" s="2" t="s">
        <v>476</v>
      </c>
      <c r="E130" s="2" t="s">
        <v>475</v>
      </c>
      <c r="F130" s="2" t="s">
        <v>570</v>
      </c>
      <c r="G130" s="2" t="s">
        <v>570</v>
      </c>
      <c r="H130" s="2" t="s">
        <v>570</v>
      </c>
      <c r="I130" s="2" t="s">
        <v>570</v>
      </c>
      <c r="J130" s="2" t="s">
        <v>570</v>
      </c>
      <c r="K130" s="2" t="s">
        <v>570</v>
      </c>
      <c r="L130" s="2" t="s">
        <v>570</v>
      </c>
      <c r="M130" s="2" t="s">
        <v>570</v>
      </c>
      <c r="N130" s="2" t="s">
        <v>570</v>
      </c>
      <c r="O130" s="2">
        <v>1997</v>
      </c>
      <c r="P130" s="2" t="s">
        <v>220</v>
      </c>
      <c r="Q130" s="2" t="s">
        <v>947</v>
      </c>
      <c r="R130" s="2" t="s">
        <v>55</v>
      </c>
      <c r="S130" s="2" t="s">
        <v>570</v>
      </c>
      <c r="T130" s="2" t="s">
        <v>570</v>
      </c>
      <c r="U130" s="2" t="s">
        <v>113</v>
      </c>
      <c r="V130" s="2" t="s">
        <v>862</v>
      </c>
      <c r="W130" s="2" t="s">
        <v>569</v>
      </c>
      <c r="X130" s="1" t="s">
        <v>131</v>
      </c>
      <c r="Y130" s="2" t="s">
        <v>570</v>
      </c>
      <c r="Z130" s="2" t="s">
        <v>114</v>
      </c>
      <c r="AA130" s="2" t="s">
        <v>570</v>
      </c>
      <c r="AB130" s="2">
        <v>8</v>
      </c>
      <c r="AC130" s="2">
        <v>8</v>
      </c>
      <c r="AD130" s="2" t="s">
        <v>570</v>
      </c>
      <c r="AE130" s="2" t="s">
        <v>570</v>
      </c>
      <c r="AF130" s="2" t="s">
        <v>570</v>
      </c>
      <c r="AG130" s="2" t="s">
        <v>570</v>
      </c>
      <c r="AH130" s="2" t="s">
        <v>570</v>
      </c>
      <c r="AI130" s="2" t="s">
        <v>570</v>
      </c>
      <c r="AJ130" s="2" t="s">
        <v>570</v>
      </c>
      <c r="AK130" s="2" t="s">
        <v>570</v>
      </c>
      <c r="AL130" s="51" t="s">
        <v>17</v>
      </c>
      <c r="AM130" s="2" t="s">
        <v>570</v>
      </c>
      <c r="AN130" s="2" t="s">
        <v>570</v>
      </c>
      <c r="AO130" s="2" t="s">
        <v>570</v>
      </c>
      <c r="AP130" s="2" t="s">
        <v>570</v>
      </c>
      <c r="AQ130" s="2" t="s">
        <v>570</v>
      </c>
      <c r="AR130" s="2" t="s">
        <v>570</v>
      </c>
      <c r="AS130" s="2">
        <v>46.3</v>
      </c>
      <c r="AT130" s="2">
        <v>3.9</v>
      </c>
      <c r="AU130" s="7">
        <f t="shared" si="10"/>
        <v>11.030865786510143</v>
      </c>
      <c r="AV130" s="2" t="s">
        <v>570</v>
      </c>
      <c r="AW130" s="2" t="s">
        <v>570</v>
      </c>
      <c r="AX130" s="2"/>
      <c r="AY130" s="2">
        <v>100</v>
      </c>
      <c r="AZ130" s="2">
        <v>0</v>
      </c>
      <c r="BA130" s="7">
        <f t="shared" si="11"/>
        <v>0</v>
      </c>
      <c r="BB130" s="2" t="s">
        <v>570</v>
      </c>
      <c r="BC130" s="2">
        <v>0.05</v>
      </c>
      <c r="BD130" s="2" t="s">
        <v>570</v>
      </c>
      <c r="BE130" s="2" t="s">
        <v>570</v>
      </c>
      <c r="BF130" s="2" t="s">
        <v>570</v>
      </c>
    </row>
    <row r="131" spans="1:58">
      <c r="A131" s="2" t="s">
        <v>945</v>
      </c>
      <c r="B131" s="2" t="s">
        <v>604</v>
      </c>
      <c r="C131" s="2" t="s">
        <v>115</v>
      </c>
      <c r="D131" s="2" t="s">
        <v>476</v>
      </c>
      <c r="E131" s="2" t="s">
        <v>475</v>
      </c>
      <c r="F131" s="2" t="s">
        <v>570</v>
      </c>
      <c r="G131" s="2" t="s">
        <v>570</v>
      </c>
      <c r="H131" s="2" t="s">
        <v>570</v>
      </c>
      <c r="I131" s="2" t="s">
        <v>570</v>
      </c>
      <c r="J131" s="2" t="s">
        <v>570</v>
      </c>
      <c r="K131" s="2" t="s">
        <v>570</v>
      </c>
      <c r="L131" s="2" t="s">
        <v>570</v>
      </c>
      <c r="M131" s="2" t="s">
        <v>570</v>
      </c>
      <c r="N131" s="2" t="s">
        <v>570</v>
      </c>
      <c r="O131" s="2">
        <v>1997</v>
      </c>
      <c r="P131" s="2" t="s">
        <v>220</v>
      </c>
      <c r="Q131" s="2" t="s">
        <v>948</v>
      </c>
      <c r="R131" s="2" t="s">
        <v>55</v>
      </c>
      <c r="S131" s="2" t="s">
        <v>570</v>
      </c>
      <c r="T131" s="2" t="s">
        <v>570</v>
      </c>
      <c r="U131" s="2" t="s">
        <v>113</v>
      </c>
      <c r="V131" s="2" t="s">
        <v>862</v>
      </c>
      <c r="W131" s="2" t="s">
        <v>569</v>
      </c>
      <c r="X131" s="1" t="s">
        <v>131</v>
      </c>
      <c r="Y131" s="2" t="s">
        <v>570</v>
      </c>
      <c r="Z131" s="2" t="s">
        <v>114</v>
      </c>
      <c r="AA131" s="2" t="s">
        <v>570</v>
      </c>
      <c r="AB131" s="2">
        <v>8</v>
      </c>
      <c r="AC131" s="2">
        <v>8</v>
      </c>
      <c r="AD131" s="2" t="s">
        <v>570</v>
      </c>
      <c r="AE131" s="2" t="s">
        <v>570</v>
      </c>
      <c r="AF131" s="2" t="s">
        <v>570</v>
      </c>
      <c r="AG131" s="2" t="s">
        <v>570</v>
      </c>
      <c r="AH131" s="2" t="s">
        <v>570</v>
      </c>
      <c r="AI131" s="2" t="s">
        <v>570</v>
      </c>
      <c r="AJ131" s="2" t="s">
        <v>570</v>
      </c>
      <c r="AK131" s="2" t="s">
        <v>570</v>
      </c>
      <c r="AL131" s="51" t="s">
        <v>17</v>
      </c>
      <c r="AM131" s="2" t="s">
        <v>570</v>
      </c>
      <c r="AN131" s="2" t="s">
        <v>570</v>
      </c>
      <c r="AO131" s="2" t="s">
        <v>570</v>
      </c>
      <c r="AP131" s="2" t="s">
        <v>570</v>
      </c>
      <c r="AQ131" s="2" t="s">
        <v>570</v>
      </c>
      <c r="AR131" s="2" t="s">
        <v>570</v>
      </c>
      <c r="AS131" s="2">
        <v>23.1</v>
      </c>
      <c r="AT131" s="2">
        <v>6.3</v>
      </c>
      <c r="AU131" s="7">
        <f t="shared" si="10"/>
        <v>17.819090885900998</v>
      </c>
      <c r="AV131" s="2" t="s">
        <v>570</v>
      </c>
      <c r="AW131" s="2" t="s">
        <v>570</v>
      </c>
      <c r="AX131" s="2"/>
      <c r="AY131" s="2">
        <v>100</v>
      </c>
      <c r="AZ131" s="2">
        <v>0</v>
      </c>
      <c r="BA131" s="7">
        <f t="shared" si="11"/>
        <v>0</v>
      </c>
      <c r="BB131" s="2" t="s">
        <v>570</v>
      </c>
      <c r="BC131" s="2">
        <v>0.05</v>
      </c>
      <c r="BD131" s="2" t="s">
        <v>570</v>
      </c>
      <c r="BE131" s="2" t="s">
        <v>570</v>
      </c>
      <c r="BF131" s="2" t="s">
        <v>570</v>
      </c>
    </row>
    <row r="132" spans="1:58">
      <c r="A132" s="2" t="s">
        <v>945</v>
      </c>
      <c r="B132" s="2" t="s">
        <v>604</v>
      </c>
      <c r="C132" s="2" t="s">
        <v>115</v>
      </c>
      <c r="D132" s="2" t="s">
        <v>476</v>
      </c>
      <c r="E132" s="2" t="s">
        <v>475</v>
      </c>
      <c r="F132" s="2" t="s">
        <v>570</v>
      </c>
      <c r="G132" s="2" t="s">
        <v>570</v>
      </c>
      <c r="H132" s="2" t="s">
        <v>570</v>
      </c>
      <c r="I132" s="2" t="s">
        <v>570</v>
      </c>
      <c r="J132" s="2" t="s">
        <v>570</v>
      </c>
      <c r="K132" s="2" t="s">
        <v>570</v>
      </c>
      <c r="L132" s="2" t="s">
        <v>570</v>
      </c>
      <c r="M132" s="2" t="s">
        <v>570</v>
      </c>
      <c r="N132" s="2" t="s">
        <v>570</v>
      </c>
      <c r="O132" s="2">
        <v>1997</v>
      </c>
      <c r="P132" s="2" t="s">
        <v>220</v>
      </c>
      <c r="Q132" s="2" t="s">
        <v>965</v>
      </c>
      <c r="R132" s="2" t="s">
        <v>55</v>
      </c>
      <c r="S132" s="2" t="s">
        <v>570</v>
      </c>
      <c r="T132" s="2" t="s">
        <v>570</v>
      </c>
      <c r="U132" s="2" t="s">
        <v>113</v>
      </c>
      <c r="V132" s="2" t="s">
        <v>862</v>
      </c>
      <c r="W132" s="2" t="s">
        <v>569</v>
      </c>
      <c r="X132" s="1" t="s">
        <v>131</v>
      </c>
      <c r="Y132" s="2" t="s">
        <v>570</v>
      </c>
      <c r="Z132" s="2" t="s">
        <v>114</v>
      </c>
      <c r="AA132" s="2" t="s">
        <v>570</v>
      </c>
      <c r="AB132" s="2">
        <v>8</v>
      </c>
      <c r="AC132" s="2">
        <v>8</v>
      </c>
      <c r="AD132" s="2" t="s">
        <v>570</v>
      </c>
      <c r="AE132" s="2" t="s">
        <v>570</v>
      </c>
      <c r="AF132" s="2" t="s">
        <v>570</v>
      </c>
      <c r="AG132" s="2" t="s">
        <v>570</v>
      </c>
      <c r="AH132" s="2" t="s">
        <v>570</v>
      </c>
      <c r="AI132" s="2" t="s">
        <v>570</v>
      </c>
      <c r="AJ132" s="2" t="s">
        <v>570</v>
      </c>
      <c r="AK132" s="2" t="s">
        <v>570</v>
      </c>
      <c r="AL132" s="51" t="s">
        <v>17</v>
      </c>
      <c r="AM132" s="2" t="s">
        <v>570</v>
      </c>
      <c r="AN132" s="2" t="s">
        <v>570</v>
      </c>
      <c r="AO132" s="2" t="s">
        <v>570</v>
      </c>
      <c r="AP132" s="2" t="s">
        <v>570</v>
      </c>
      <c r="AQ132" s="2" t="s">
        <v>570</v>
      </c>
      <c r="AR132" s="2" t="s">
        <v>570</v>
      </c>
      <c r="AS132" s="2">
        <v>16.899999999999999</v>
      </c>
      <c r="AT132" s="2">
        <v>2.8</v>
      </c>
      <c r="AU132" s="7">
        <f t="shared" si="10"/>
        <v>7.9195959492893326</v>
      </c>
      <c r="AV132" s="2" t="s">
        <v>570</v>
      </c>
      <c r="AW132" s="2" t="s">
        <v>570</v>
      </c>
      <c r="AX132" s="2"/>
      <c r="AY132" s="2">
        <v>85.6</v>
      </c>
      <c r="AZ132" s="2">
        <v>3.6</v>
      </c>
      <c r="BA132" s="7">
        <f t="shared" si="11"/>
        <v>10.182337649086286</v>
      </c>
      <c r="BB132" s="2" t="s">
        <v>570</v>
      </c>
      <c r="BC132" s="2">
        <v>0.05</v>
      </c>
      <c r="BD132" s="2" t="s">
        <v>570</v>
      </c>
      <c r="BE132" s="2" t="s">
        <v>570</v>
      </c>
      <c r="BF132" s="2" t="s">
        <v>570</v>
      </c>
    </row>
    <row r="133" spans="1:58">
      <c r="A133" s="2" t="s">
        <v>945</v>
      </c>
      <c r="B133" s="2" t="s">
        <v>604</v>
      </c>
      <c r="C133" s="2" t="s">
        <v>115</v>
      </c>
      <c r="D133" s="2" t="s">
        <v>476</v>
      </c>
      <c r="E133" s="2" t="s">
        <v>475</v>
      </c>
      <c r="F133" s="2" t="s">
        <v>570</v>
      </c>
      <c r="G133" s="2" t="s">
        <v>570</v>
      </c>
      <c r="H133" s="2" t="s">
        <v>570</v>
      </c>
      <c r="I133" s="2" t="s">
        <v>570</v>
      </c>
      <c r="J133" s="2" t="s">
        <v>570</v>
      </c>
      <c r="K133" s="2" t="s">
        <v>570</v>
      </c>
      <c r="L133" s="2" t="s">
        <v>570</v>
      </c>
      <c r="M133" s="2" t="s">
        <v>570</v>
      </c>
      <c r="N133" s="2" t="s">
        <v>570</v>
      </c>
      <c r="O133" s="2">
        <v>1997</v>
      </c>
      <c r="P133" s="2" t="s">
        <v>111</v>
      </c>
      <c r="Q133" s="2" t="s">
        <v>946</v>
      </c>
      <c r="R133" s="2" t="s">
        <v>55</v>
      </c>
      <c r="S133" s="2" t="s">
        <v>570</v>
      </c>
      <c r="T133" s="2" t="s">
        <v>570</v>
      </c>
      <c r="U133" s="2" t="s">
        <v>113</v>
      </c>
      <c r="V133" s="2" t="s">
        <v>862</v>
      </c>
      <c r="W133" s="2" t="s">
        <v>569</v>
      </c>
      <c r="X133" s="1" t="s">
        <v>131</v>
      </c>
      <c r="Y133" s="2" t="s">
        <v>570</v>
      </c>
      <c r="Z133" s="2" t="s">
        <v>114</v>
      </c>
      <c r="AA133" s="2" t="s">
        <v>570</v>
      </c>
      <c r="AB133" s="2">
        <v>8</v>
      </c>
      <c r="AC133" s="2">
        <v>8</v>
      </c>
      <c r="AD133" s="2" t="s">
        <v>570</v>
      </c>
      <c r="AE133" s="2" t="s">
        <v>570</v>
      </c>
      <c r="AF133" s="2" t="s">
        <v>570</v>
      </c>
      <c r="AG133" s="2" t="s">
        <v>570</v>
      </c>
      <c r="AH133" s="2" t="s">
        <v>570</v>
      </c>
      <c r="AI133" s="2" t="s">
        <v>570</v>
      </c>
      <c r="AJ133" s="2" t="s">
        <v>570</v>
      </c>
      <c r="AK133" s="2" t="s">
        <v>570</v>
      </c>
      <c r="AL133" s="51" t="s">
        <v>17</v>
      </c>
      <c r="AM133" s="2" t="s">
        <v>570</v>
      </c>
      <c r="AN133" s="2" t="s">
        <v>570</v>
      </c>
      <c r="AO133" s="2" t="s">
        <v>570</v>
      </c>
      <c r="AP133" s="2" t="s">
        <v>570</v>
      </c>
      <c r="AQ133" s="2" t="s">
        <v>570</v>
      </c>
      <c r="AR133" s="2" t="s">
        <v>570</v>
      </c>
      <c r="AS133" s="2">
        <v>46.3</v>
      </c>
      <c r="AT133" s="2">
        <v>10</v>
      </c>
      <c r="AU133" s="7">
        <f t="shared" si="10"/>
        <v>28.284271247461902</v>
      </c>
      <c r="AV133" s="2" t="s">
        <v>570</v>
      </c>
      <c r="AW133" s="2" t="s">
        <v>570</v>
      </c>
      <c r="AX133" s="2"/>
      <c r="AY133" s="2">
        <v>98.8</v>
      </c>
      <c r="AZ133" s="2">
        <v>1.3</v>
      </c>
      <c r="BA133" s="7">
        <f t="shared" si="11"/>
        <v>3.6769552621700474</v>
      </c>
      <c r="BB133" s="2" t="s">
        <v>570</v>
      </c>
      <c r="BC133" s="2">
        <v>0.05</v>
      </c>
      <c r="BD133" s="2" t="s">
        <v>570</v>
      </c>
      <c r="BE133" s="2" t="s">
        <v>570</v>
      </c>
      <c r="BF133" s="2" t="s">
        <v>570</v>
      </c>
    </row>
    <row r="134" spans="1:58">
      <c r="A134" s="2" t="s">
        <v>945</v>
      </c>
      <c r="B134" s="2" t="s">
        <v>604</v>
      </c>
      <c r="C134" s="2" t="s">
        <v>115</v>
      </c>
      <c r="D134" s="2" t="s">
        <v>476</v>
      </c>
      <c r="E134" s="2" t="s">
        <v>475</v>
      </c>
      <c r="F134" s="2" t="s">
        <v>570</v>
      </c>
      <c r="G134" s="2" t="s">
        <v>570</v>
      </c>
      <c r="H134" s="2" t="s">
        <v>570</v>
      </c>
      <c r="I134" s="2" t="s">
        <v>570</v>
      </c>
      <c r="J134" s="2" t="s">
        <v>570</v>
      </c>
      <c r="K134" s="2" t="s">
        <v>570</v>
      </c>
      <c r="L134" s="2" t="s">
        <v>570</v>
      </c>
      <c r="M134" s="2" t="s">
        <v>570</v>
      </c>
      <c r="N134" s="2" t="s">
        <v>570</v>
      </c>
      <c r="O134" s="2">
        <v>1997</v>
      </c>
      <c r="P134" s="2" t="s">
        <v>111</v>
      </c>
      <c r="Q134" s="2" t="s">
        <v>947</v>
      </c>
      <c r="R134" s="2" t="s">
        <v>55</v>
      </c>
      <c r="S134" s="2" t="s">
        <v>570</v>
      </c>
      <c r="T134" s="2" t="s">
        <v>570</v>
      </c>
      <c r="U134" s="2" t="s">
        <v>113</v>
      </c>
      <c r="V134" s="2" t="s">
        <v>862</v>
      </c>
      <c r="W134" s="2" t="s">
        <v>569</v>
      </c>
      <c r="X134" s="1" t="s">
        <v>131</v>
      </c>
      <c r="Y134" s="2" t="s">
        <v>570</v>
      </c>
      <c r="Z134" s="2" t="s">
        <v>114</v>
      </c>
      <c r="AA134" s="2" t="s">
        <v>570</v>
      </c>
      <c r="AB134" s="2">
        <v>8</v>
      </c>
      <c r="AC134" s="2">
        <v>8</v>
      </c>
      <c r="AD134" s="2" t="s">
        <v>570</v>
      </c>
      <c r="AE134" s="2" t="s">
        <v>570</v>
      </c>
      <c r="AF134" s="2" t="s">
        <v>570</v>
      </c>
      <c r="AG134" s="2" t="s">
        <v>570</v>
      </c>
      <c r="AH134" s="2" t="s">
        <v>570</v>
      </c>
      <c r="AI134" s="2" t="s">
        <v>570</v>
      </c>
      <c r="AJ134" s="2" t="s">
        <v>570</v>
      </c>
      <c r="AK134" s="2" t="s">
        <v>570</v>
      </c>
      <c r="AL134" s="51" t="s">
        <v>17</v>
      </c>
      <c r="AM134" s="2" t="s">
        <v>570</v>
      </c>
      <c r="AN134" s="2" t="s">
        <v>570</v>
      </c>
      <c r="AO134" s="2" t="s">
        <v>570</v>
      </c>
      <c r="AP134" s="2" t="s">
        <v>570</v>
      </c>
      <c r="AQ134" s="2" t="s">
        <v>570</v>
      </c>
      <c r="AR134" s="2" t="s">
        <v>570</v>
      </c>
      <c r="AS134" s="2">
        <v>39.4</v>
      </c>
      <c r="AT134" s="2">
        <v>5.4</v>
      </c>
      <c r="AU134" s="7">
        <f t="shared" si="10"/>
        <v>15.273506473629428</v>
      </c>
      <c r="AV134" s="2" t="s">
        <v>570</v>
      </c>
      <c r="AW134" s="2" t="s">
        <v>570</v>
      </c>
      <c r="AX134" s="2"/>
      <c r="AY134" s="2">
        <v>99.4</v>
      </c>
      <c r="AZ134" s="2">
        <v>0.6</v>
      </c>
      <c r="BA134" s="7">
        <f t="shared" si="11"/>
        <v>1.697056274847714</v>
      </c>
      <c r="BB134" s="2" t="s">
        <v>570</v>
      </c>
      <c r="BC134" s="2">
        <v>0.05</v>
      </c>
      <c r="BD134" s="2" t="s">
        <v>570</v>
      </c>
      <c r="BE134" s="2" t="s">
        <v>570</v>
      </c>
      <c r="BF134" s="2" t="s">
        <v>570</v>
      </c>
    </row>
    <row r="135" spans="1:58">
      <c r="A135" s="2" t="s">
        <v>945</v>
      </c>
      <c r="B135" s="2" t="s">
        <v>604</v>
      </c>
      <c r="C135" s="2" t="s">
        <v>115</v>
      </c>
      <c r="D135" s="2" t="s">
        <v>476</v>
      </c>
      <c r="E135" s="2" t="s">
        <v>475</v>
      </c>
      <c r="F135" s="2" t="s">
        <v>570</v>
      </c>
      <c r="G135" s="2" t="s">
        <v>570</v>
      </c>
      <c r="H135" s="2" t="s">
        <v>570</v>
      </c>
      <c r="I135" s="2" t="s">
        <v>570</v>
      </c>
      <c r="J135" s="2" t="s">
        <v>570</v>
      </c>
      <c r="K135" s="2" t="s">
        <v>570</v>
      </c>
      <c r="L135" s="2" t="s">
        <v>570</v>
      </c>
      <c r="M135" s="2" t="s">
        <v>570</v>
      </c>
      <c r="N135" s="2" t="s">
        <v>570</v>
      </c>
      <c r="O135" s="2">
        <v>1997</v>
      </c>
      <c r="P135" s="2" t="s">
        <v>111</v>
      </c>
      <c r="Q135" s="2" t="s">
        <v>948</v>
      </c>
      <c r="R135" s="2" t="s">
        <v>55</v>
      </c>
      <c r="S135" s="2" t="s">
        <v>570</v>
      </c>
      <c r="T135" s="2" t="s">
        <v>570</v>
      </c>
      <c r="U135" s="2" t="s">
        <v>113</v>
      </c>
      <c r="V135" s="2" t="s">
        <v>862</v>
      </c>
      <c r="W135" s="2" t="s">
        <v>569</v>
      </c>
      <c r="X135" s="1" t="s">
        <v>131</v>
      </c>
      <c r="Y135" s="2" t="s">
        <v>570</v>
      </c>
      <c r="Z135" s="2" t="s">
        <v>114</v>
      </c>
      <c r="AA135" s="2" t="s">
        <v>570</v>
      </c>
      <c r="AB135" s="2">
        <v>8</v>
      </c>
      <c r="AC135" s="2">
        <v>8</v>
      </c>
      <c r="AD135" s="2" t="s">
        <v>570</v>
      </c>
      <c r="AE135" s="2" t="s">
        <v>570</v>
      </c>
      <c r="AF135" s="2" t="s">
        <v>570</v>
      </c>
      <c r="AG135" s="2" t="s">
        <v>570</v>
      </c>
      <c r="AH135" s="2" t="s">
        <v>570</v>
      </c>
      <c r="AI135" s="2" t="s">
        <v>570</v>
      </c>
      <c r="AJ135" s="2" t="s">
        <v>570</v>
      </c>
      <c r="AK135" s="2" t="s">
        <v>570</v>
      </c>
      <c r="AL135" s="51" t="s">
        <v>17</v>
      </c>
      <c r="AM135" s="2" t="s">
        <v>570</v>
      </c>
      <c r="AN135" s="2" t="s">
        <v>570</v>
      </c>
      <c r="AO135" s="2" t="s">
        <v>570</v>
      </c>
      <c r="AP135" s="2" t="s">
        <v>570</v>
      </c>
      <c r="AQ135" s="2" t="s">
        <v>570</v>
      </c>
      <c r="AR135" s="2" t="s">
        <v>570</v>
      </c>
      <c r="AS135" s="2">
        <v>27.5</v>
      </c>
      <c r="AT135" s="2">
        <v>7.3</v>
      </c>
      <c r="AU135" s="7">
        <f t="shared" si="10"/>
        <v>20.64751801064719</v>
      </c>
      <c r="AV135" s="2" t="s">
        <v>570</v>
      </c>
      <c r="AW135" s="2" t="s">
        <v>570</v>
      </c>
      <c r="AX135" s="2"/>
      <c r="AY135" s="2">
        <v>98.1</v>
      </c>
      <c r="AZ135" s="2">
        <v>1.3</v>
      </c>
      <c r="BA135" s="7">
        <f t="shared" si="11"/>
        <v>3.6769552621700474</v>
      </c>
      <c r="BB135" s="2" t="s">
        <v>570</v>
      </c>
      <c r="BC135" s="2">
        <v>0.05</v>
      </c>
      <c r="BD135" s="2" t="s">
        <v>570</v>
      </c>
      <c r="BE135" s="2" t="s">
        <v>570</v>
      </c>
      <c r="BF135" s="2" t="s">
        <v>570</v>
      </c>
    </row>
    <row r="136" spans="1:58">
      <c r="A136" s="2" t="s">
        <v>945</v>
      </c>
      <c r="B136" s="2" t="s">
        <v>604</v>
      </c>
      <c r="C136" s="2" t="s">
        <v>115</v>
      </c>
      <c r="D136" s="2" t="s">
        <v>476</v>
      </c>
      <c r="E136" s="2" t="s">
        <v>475</v>
      </c>
      <c r="F136" s="2" t="s">
        <v>570</v>
      </c>
      <c r="G136" s="2" t="s">
        <v>570</v>
      </c>
      <c r="H136" s="2" t="s">
        <v>570</v>
      </c>
      <c r="I136" s="2" t="s">
        <v>570</v>
      </c>
      <c r="J136" s="2" t="s">
        <v>570</v>
      </c>
      <c r="K136" s="2" t="s">
        <v>570</v>
      </c>
      <c r="L136" s="2" t="s">
        <v>570</v>
      </c>
      <c r="M136" s="2" t="s">
        <v>570</v>
      </c>
      <c r="N136" s="2" t="s">
        <v>570</v>
      </c>
      <c r="O136" s="2">
        <v>1997</v>
      </c>
      <c r="P136" s="2" t="s">
        <v>111</v>
      </c>
      <c r="Q136" s="2" t="s">
        <v>965</v>
      </c>
      <c r="R136" s="2" t="s">
        <v>55</v>
      </c>
      <c r="S136" s="2" t="s">
        <v>570</v>
      </c>
      <c r="T136" s="2" t="s">
        <v>570</v>
      </c>
      <c r="U136" s="2" t="s">
        <v>113</v>
      </c>
      <c r="V136" s="2" t="s">
        <v>862</v>
      </c>
      <c r="W136" s="2" t="s">
        <v>569</v>
      </c>
      <c r="X136" s="1" t="s">
        <v>131</v>
      </c>
      <c r="Y136" s="2" t="s">
        <v>570</v>
      </c>
      <c r="Z136" s="2" t="s">
        <v>114</v>
      </c>
      <c r="AA136" s="2" t="s">
        <v>570</v>
      </c>
      <c r="AB136" s="2">
        <v>8</v>
      </c>
      <c r="AC136" s="2">
        <v>8</v>
      </c>
      <c r="AD136" s="2" t="s">
        <v>570</v>
      </c>
      <c r="AE136" s="2" t="s">
        <v>570</v>
      </c>
      <c r="AF136" s="2" t="s">
        <v>570</v>
      </c>
      <c r="AG136" s="2" t="s">
        <v>570</v>
      </c>
      <c r="AH136" s="2" t="s">
        <v>570</v>
      </c>
      <c r="AI136" s="2" t="s">
        <v>570</v>
      </c>
      <c r="AJ136" s="2" t="s">
        <v>570</v>
      </c>
      <c r="AK136" s="2" t="s">
        <v>570</v>
      </c>
      <c r="AL136" s="51" t="s">
        <v>17</v>
      </c>
      <c r="AM136" s="2" t="s">
        <v>570</v>
      </c>
      <c r="AN136" s="2" t="s">
        <v>570</v>
      </c>
      <c r="AO136" s="2" t="s">
        <v>570</v>
      </c>
      <c r="AP136" s="2" t="s">
        <v>570</v>
      </c>
      <c r="AQ136" s="2" t="s">
        <v>570</v>
      </c>
      <c r="AR136" s="2" t="s">
        <v>570</v>
      </c>
      <c r="AS136" s="2">
        <v>16.899999999999999</v>
      </c>
      <c r="AT136" s="2">
        <v>3.7</v>
      </c>
      <c r="AU136" s="7">
        <f t="shared" si="10"/>
        <v>10.465180361560904</v>
      </c>
      <c r="AV136" s="2" t="s">
        <v>570</v>
      </c>
      <c r="AW136" s="2" t="s">
        <v>570</v>
      </c>
      <c r="AX136" s="2"/>
      <c r="AY136" s="2">
        <v>90.6</v>
      </c>
      <c r="AZ136" s="2">
        <v>3.6</v>
      </c>
      <c r="BA136" s="7">
        <f t="shared" si="11"/>
        <v>10.182337649086286</v>
      </c>
      <c r="BB136" s="2" t="s">
        <v>570</v>
      </c>
      <c r="BC136" s="2">
        <v>0.05</v>
      </c>
      <c r="BD136" s="2" t="s">
        <v>570</v>
      </c>
      <c r="BE136" s="2" t="s">
        <v>570</v>
      </c>
      <c r="BF136" s="2" t="s">
        <v>570</v>
      </c>
    </row>
    <row r="137" spans="1:58">
      <c r="A137" s="2" t="s">
        <v>945</v>
      </c>
      <c r="B137" s="2" t="s">
        <v>604</v>
      </c>
      <c r="C137" s="2" t="s">
        <v>115</v>
      </c>
      <c r="D137" s="2" t="s">
        <v>476</v>
      </c>
      <c r="E137" s="2" t="s">
        <v>475</v>
      </c>
      <c r="F137" s="2" t="s">
        <v>570</v>
      </c>
      <c r="G137" s="2" t="s">
        <v>570</v>
      </c>
      <c r="H137" s="2" t="s">
        <v>570</v>
      </c>
      <c r="I137" s="2" t="s">
        <v>570</v>
      </c>
      <c r="J137" s="2" t="s">
        <v>570</v>
      </c>
      <c r="K137" s="2" t="s">
        <v>570</v>
      </c>
      <c r="L137" s="2" t="s">
        <v>570</v>
      </c>
      <c r="M137" s="2" t="s">
        <v>570</v>
      </c>
      <c r="N137" s="2" t="s">
        <v>570</v>
      </c>
      <c r="O137" s="2">
        <v>1997</v>
      </c>
      <c r="P137" s="2" t="s">
        <v>112</v>
      </c>
      <c r="Q137" s="2" t="s">
        <v>946</v>
      </c>
      <c r="R137" s="2" t="s">
        <v>55</v>
      </c>
      <c r="S137" s="2" t="s">
        <v>570</v>
      </c>
      <c r="T137" s="2" t="s">
        <v>570</v>
      </c>
      <c r="U137" s="2" t="s">
        <v>113</v>
      </c>
      <c r="V137" s="2" t="s">
        <v>862</v>
      </c>
      <c r="W137" s="2" t="s">
        <v>569</v>
      </c>
      <c r="X137" s="1" t="s">
        <v>131</v>
      </c>
      <c r="Y137" s="2" t="s">
        <v>570</v>
      </c>
      <c r="Z137" s="2" t="s">
        <v>114</v>
      </c>
      <c r="AA137" s="2" t="s">
        <v>570</v>
      </c>
      <c r="AB137" s="2">
        <v>8</v>
      </c>
      <c r="AC137" s="2">
        <v>8</v>
      </c>
      <c r="AD137" s="2" t="s">
        <v>570</v>
      </c>
      <c r="AE137" s="2" t="s">
        <v>570</v>
      </c>
      <c r="AF137" s="2" t="s">
        <v>570</v>
      </c>
      <c r="AG137" s="2" t="s">
        <v>570</v>
      </c>
      <c r="AH137" s="2" t="s">
        <v>570</v>
      </c>
      <c r="AI137" s="2" t="s">
        <v>570</v>
      </c>
      <c r="AJ137" s="2" t="s">
        <v>570</v>
      </c>
      <c r="AK137" s="2" t="s">
        <v>570</v>
      </c>
      <c r="AL137" s="51" t="s">
        <v>17</v>
      </c>
      <c r="AM137" s="2" t="s">
        <v>570</v>
      </c>
      <c r="AN137" s="2" t="s">
        <v>570</v>
      </c>
      <c r="AO137" s="2" t="s">
        <v>570</v>
      </c>
      <c r="AP137" s="2" t="s">
        <v>570</v>
      </c>
      <c r="AQ137" s="2" t="s">
        <v>570</v>
      </c>
      <c r="AR137" s="2" t="s">
        <v>570</v>
      </c>
      <c r="AS137" s="2">
        <v>33.1</v>
      </c>
      <c r="AT137" s="2">
        <v>4.5</v>
      </c>
      <c r="AU137" s="7">
        <f t="shared" si="10"/>
        <v>12.727922061357857</v>
      </c>
      <c r="AV137" s="2" t="s">
        <v>570</v>
      </c>
      <c r="AW137" s="2" t="s">
        <v>570</v>
      </c>
      <c r="AX137" s="2"/>
      <c r="AY137" s="2">
        <v>100</v>
      </c>
      <c r="AZ137" s="2">
        <v>0</v>
      </c>
      <c r="BA137" s="7">
        <f t="shared" si="11"/>
        <v>0</v>
      </c>
      <c r="BB137" s="2" t="s">
        <v>570</v>
      </c>
      <c r="BC137" s="2">
        <v>0.05</v>
      </c>
      <c r="BD137" s="2" t="s">
        <v>570</v>
      </c>
      <c r="BE137" s="2" t="s">
        <v>570</v>
      </c>
      <c r="BF137" s="2" t="s">
        <v>570</v>
      </c>
    </row>
    <row r="138" spans="1:58">
      <c r="A138" s="2" t="s">
        <v>945</v>
      </c>
      <c r="B138" s="2" t="s">
        <v>604</v>
      </c>
      <c r="C138" s="2" t="s">
        <v>115</v>
      </c>
      <c r="D138" s="2" t="s">
        <v>476</v>
      </c>
      <c r="E138" s="2" t="s">
        <v>475</v>
      </c>
      <c r="F138" s="2" t="s">
        <v>570</v>
      </c>
      <c r="G138" s="2" t="s">
        <v>570</v>
      </c>
      <c r="H138" s="2" t="s">
        <v>570</v>
      </c>
      <c r="I138" s="2" t="s">
        <v>570</v>
      </c>
      <c r="J138" s="2" t="s">
        <v>570</v>
      </c>
      <c r="K138" s="2" t="s">
        <v>570</v>
      </c>
      <c r="L138" s="2" t="s">
        <v>570</v>
      </c>
      <c r="M138" s="2" t="s">
        <v>570</v>
      </c>
      <c r="N138" s="2" t="s">
        <v>570</v>
      </c>
      <c r="O138" s="2">
        <v>1997</v>
      </c>
      <c r="P138" s="2" t="s">
        <v>112</v>
      </c>
      <c r="Q138" s="2" t="s">
        <v>947</v>
      </c>
      <c r="R138" s="2" t="s">
        <v>55</v>
      </c>
      <c r="S138" s="2" t="s">
        <v>570</v>
      </c>
      <c r="T138" s="2" t="s">
        <v>570</v>
      </c>
      <c r="U138" s="2" t="s">
        <v>113</v>
      </c>
      <c r="V138" s="2" t="s">
        <v>862</v>
      </c>
      <c r="W138" s="2" t="s">
        <v>569</v>
      </c>
      <c r="X138" s="1" t="s">
        <v>131</v>
      </c>
      <c r="Y138" s="2" t="s">
        <v>570</v>
      </c>
      <c r="Z138" s="2" t="s">
        <v>114</v>
      </c>
      <c r="AA138" s="2" t="s">
        <v>570</v>
      </c>
      <c r="AB138" s="2">
        <v>8</v>
      </c>
      <c r="AC138" s="2">
        <v>8</v>
      </c>
      <c r="AD138" s="2" t="s">
        <v>570</v>
      </c>
      <c r="AE138" s="2" t="s">
        <v>570</v>
      </c>
      <c r="AF138" s="2" t="s">
        <v>570</v>
      </c>
      <c r="AG138" s="2" t="s">
        <v>570</v>
      </c>
      <c r="AH138" s="2" t="s">
        <v>570</v>
      </c>
      <c r="AI138" s="2" t="s">
        <v>570</v>
      </c>
      <c r="AJ138" s="2" t="s">
        <v>570</v>
      </c>
      <c r="AK138" s="2" t="s">
        <v>570</v>
      </c>
      <c r="AL138" s="51" t="s">
        <v>17</v>
      </c>
      <c r="AM138" s="2" t="s">
        <v>570</v>
      </c>
      <c r="AN138" s="2" t="s">
        <v>570</v>
      </c>
      <c r="AO138" s="2" t="s">
        <v>570</v>
      </c>
      <c r="AP138" s="2" t="s">
        <v>570</v>
      </c>
      <c r="AQ138" s="2" t="s">
        <v>570</v>
      </c>
      <c r="AR138" s="2" t="s">
        <v>570</v>
      </c>
      <c r="AS138" s="2">
        <v>21.3</v>
      </c>
      <c r="AT138" s="2">
        <v>3</v>
      </c>
      <c r="AU138" s="7">
        <f t="shared" si="10"/>
        <v>8.4852813742385713</v>
      </c>
      <c r="AV138" s="2" t="s">
        <v>570</v>
      </c>
      <c r="AW138" s="2" t="s">
        <v>570</v>
      </c>
      <c r="AX138" s="2"/>
      <c r="AY138" s="2">
        <v>100</v>
      </c>
      <c r="AZ138" s="2">
        <v>0</v>
      </c>
      <c r="BA138" s="7">
        <f t="shared" si="11"/>
        <v>0</v>
      </c>
      <c r="BB138" s="2" t="s">
        <v>570</v>
      </c>
      <c r="BC138" s="2">
        <v>0.05</v>
      </c>
      <c r="BD138" s="2" t="s">
        <v>570</v>
      </c>
      <c r="BE138" s="2" t="s">
        <v>570</v>
      </c>
      <c r="BF138" s="2" t="s">
        <v>570</v>
      </c>
    </row>
    <row r="139" spans="1:58">
      <c r="A139" s="2" t="s">
        <v>945</v>
      </c>
      <c r="B139" s="2" t="s">
        <v>604</v>
      </c>
      <c r="C139" s="2" t="s">
        <v>115</v>
      </c>
      <c r="D139" s="2" t="s">
        <v>476</v>
      </c>
      <c r="E139" s="2" t="s">
        <v>475</v>
      </c>
      <c r="F139" s="2" t="s">
        <v>570</v>
      </c>
      <c r="G139" s="2" t="s">
        <v>570</v>
      </c>
      <c r="H139" s="2" t="s">
        <v>570</v>
      </c>
      <c r="I139" s="2" t="s">
        <v>570</v>
      </c>
      <c r="J139" s="2" t="s">
        <v>570</v>
      </c>
      <c r="K139" s="2" t="s">
        <v>570</v>
      </c>
      <c r="L139" s="2" t="s">
        <v>570</v>
      </c>
      <c r="M139" s="2" t="s">
        <v>570</v>
      </c>
      <c r="N139" s="2" t="s">
        <v>570</v>
      </c>
      <c r="O139" s="2">
        <v>1997</v>
      </c>
      <c r="P139" s="2" t="s">
        <v>112</v>
      </c>
      <c r="Q139" s="2" t="s">
        <v>948</v>
      </c>
      <c r="R139" s="2" t="s">
        <v>55</v>
      </c>
      <c r="S139" s="2" t="s">
        <v>570</v>
      </c>
      <c r="T139" s="2" t="s">
        <v>570</v>
      </c>
      <c r="U139" s="2" t="s">
        <v>113</v>
      </c>
      <c r="V139" s="2" t="s">
        <v>862</v>
      </c>
      <c r="W139" s="2" t="s">
        <v>569</v>
      </c>
      <c r="X139" s="1" t="s">
        <v>131</v>
      </c>
      <c r="Y139" s="2" t="s">
        <v>570</v>
      </c>
      <c r="Z139" s="2" t="s">
        <v>114</v>
      </c>
      <c r="AA139" s="2" t="s">
        <v>570</v>
      </c>
      <c r="AB139" s="2">
        <v>8</v>
      </c>
      <c r="AC139" s="2">
        <v>8</v>
      </c>
      <c r="AD139" s="2" t="s">
        <v>570</v>
      </c>
      <c r="AE139" s="2" t="s">
        <v>570</v>
      </c>
      <c r="AF139" s="2" t="s">
        <v>570</v>
      </c>
      <c r="AG139" s="2" t="s">
        <v>570</v>
      </c>
      <c r="AH139" s="2" t="s">
        <v>570</v>
      </c>
      <c r="AI139" s="2" t="s">
        <v>570</v>
      </c>
      <c r="AJ139" s="2" t="s">
        <v>570</v>
      </c>
      <c r="AK139" s="2" t="s">
        <v>570</v>
      </c>
      <c r="AL139" s="51" t="s">
        <v>17</v>
      </c>
      <c r="AM139" s="2" t="s">
        <v>570</v>
      </c>
      <c r="AN139" s="2" t="s">
        <v>570</v>
      </c>
      <c r="AO139" s="2" t="s">
        <v>570</v>
      </c>
      <c r="AP139" s="2" t="s">
        <v>570</v>
      </c>
      <c r="AQ139" s="2" t="s">
        <v>570</v>
      </c>
      <c r="AR139" s="2" t="s">
        <v>570</v>
      </c>
      <c r="AS139" s="2">
        <v>9.4</v>
      </c>
      <c r="AT139" s="2">
        <v>2</v>
      </c>
      <c r="AU139" s="7">
        <f t="shared" si="10"/>
        <v>5.6568542494923806</v>
      </c>
      <c r="AV139" s="2" t="s">
        <v>570</v>
      </c>
      <c r="AW139" s="2" t="s">
        <v>570</v>
      </c>
      <c r="AX139" s="2"/>
      <c r="AY139" s="2">
        <v>96.3</v>
      </c>
      <c r="AZ139" s="2">
        <v>1.3</v>
      </c>
      <c r="BA139" s="7">
        <f t="shared" si="11"/>
        <v>3.6769552621700474</v>
      </c>
      <c r="BB139" s="2" t="s">
        <v>570</v>
      </c>
      <c r="BC139" s="2">
        <v>0.05</v>
      </c>
      <c r="BD139" s="2" t="s">
        <v>570</v>
      </c>
      <c r="BE139" s="2" t="s">
        <v>570</v>
      </c>
      <c r="BF139" s="2" t="s">
        <v>570</v>
      </c>
    </row>
    <row r="140" spans="1:58">
      <c r="A140" s="6" t="s">
        <v>945</v>
      </c>
      <c r="B140" s="6" t="s">
        <v>604</v>
      </c>
      <c r="C140" s="6" t="s">
        <v>115</v>
      </c>
      <c r="D140" s="6" t="s">
        <v>476</v>
      </c>
      <c r="E140" s="6" t="s">
        <v>475</v>
      </c>
      <c r="F140" s="6" t="s">
        <v>570</v>
      </c>
      <c r="G140" s="6" t="s">
        <v>570</v>
      </c>
      <c r="H140" s="6" t="s">
        <v>570</v>
      </c>
      <c r="I140" s="6" t="s">
        <v>570</v>
      </c>
      <c r="J140" s="6" t="s">
        <v>570</v>
      </c>
      <c r="K140" s="6" t="s">
        <v>570</v>
      </c>
      <c r="L140" s="6" t="s">
        <v>570</v>
      </c>
      <c r="M140" s="6" t="s">
        <v>570</v>
      </c>
      <c r="N140" s="6" t="s">
        <v>570</v>
      </c>
      <c r="O140" s="6">
        <v>1997</v>
      </c>
      <c r="P140" s="6" t="s">
        <v>112</v>
      </c>
      <c r="Q140" s="6" t="s">
        <v>965</v>
      </c>
      <c r="R140" s="6" t="s">
        <v>55</v>
      </c>
      <c r="S140" s="6" t="s">
        <v>570</v>
      </c>
      <c r="T140" s="6" t="s">
        <v>570</v>
      </c>
      <c r="U140" s="6" t="s">
        <v>113</v>
      </c>
      <c r="V140" s="6" t="s">
        <v>862</v>
      </c>
      <c r="W140" s="6" t="s">
        <v>569</v>
      </c>
      <c r="X140" s="6" t="s">
        <v>131</v>
      </c>
      <c r="Y140" s="6" t="s">
        <v>570</v>
      </c>
      <c r="Z140" s="6" t="s">
        <v>114</v>
      </c>
      <c r="AA140" s="6" t="s">
        <v>570</v>
      </c>
      <c r="AB140" s="6">
        <v>8</v>
      </c>
      <c r="AC140" s="6">
        <v>8</v>
      </c>
      <c r="AD140" s="6" t="s">
        <v>570</v>
      </c>
      <c r="AE140" s="6" t="s">
        <v>570</v>
      </c>
      <c r="AF140" s="6" t="s">
        <v>570</v>
      </c>
      <c r="AG140" s="6" t="s">
        <v>570</v>
      </c>
      <c r="AH140" s="6" t="s">
        <v>570</v>
      </c>
      <c r="AI140" s="6" t="s">
        <v>570</v>
      </c>
      <c r="AJ140" s="6" t="s">
        <v>570</v>
      </c>
      <c r="AK140" s="6" t="s">
        <v>570</v>
      </c>
      <c r="AL140" s="52" t="s">
        <v>17</v>
      </c>
      <c r="AM140" s="6" t="s">
        <v>570</v>
      </c>
      <c r="AN140" s="6" t="s">
        <v>570</v>
      </c>
      <c r="AO140" s="6" t="s">
        <v>570</v>
      </c>
      <c r="AP140" s="6" t="s">
        <v>570</v>
      </c>
      <c r="AQ140" s="6" t="s">
        <v>570</v>
      </c>
      <c r="AR140" s="6" t="s">
        <v>570</v>
      </c>
      <c r="AS140" s="6">
        <v>9.4</v>
      </c>
      <c r="AT140" s="6">
        <v>2.7</v>
      </c>
      <c r="AU140" s="8">
        <f t="shared" si="10"/>
        <v>7.6367532368147142</v>
      </c>
      <c r="AV140" s="6" t="s">
        <v>570</v>
      </c>
      <c r="AW140" s="6" t="s">
        <v>570</v>
      </c>
      <c r="AX140" s="6"/>
      <c r="AY140" s="6">
        <v>86.9</v>
      </c>
      <c r="AZ140" s="6">
        <v>5.3</v>
      </c>
      <c r="BA140" s="8">
        <f t="shared" si="11"/>
        <v>14.990663761154808</v>
      </c>
      <c r="BB140" s="6" t="s">
        <v>570</v>
      </c>
      <c r="BC140" s="6">
        <v>0.05</v>
      </c>
      <c r="BD140" s="6" t="s">
        <v>570</v>
      </c>
      <c r="BE140" s="6" t="s">
        <v>570</v>
      </c>
      <c r="BF140" s="6" t="s">
        <v>570</v>
      </c>
    </row>
    <row r="141" spans="1:58" ht="13.2">
      <c r="AP141" s="65"/>
      <c r="AQ141" s="65"/>
    </row>
    <row r="142" spans="1:58" ht="13.2">
      <c r="AP142" s="65"/>
      <c r="AQ142" s="65"/>
    </row>
    <row r="143" spans="1:58" ht="13.2">
      <c r="C143" s="65"/>
      <c r="AP143" s="65"/>
      <c r="AQ143" s="65"/>
    </row>
    <row r="144" spans="1:58" ht="13.2">
      <c r="AP144" s="65"/>
      <c r="AQ144" s="65"/>
    </row>
    <row r="145" spans="42:43" ht="13.2">
      <c r="AP145" s="65"/>
      <c r="AQ145" s="65"/>
    </row>
  </sheetData>
  <phoneticPr fontId="1" type="noConversion"/>
  <pageMargins left="0.75" right="0.75" top="1" bottom="1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zoomScale="85" zoomScaleNormal="85"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BF5" sqref="BF5"/>
    </sheetView>
  </sheetViews>
  <sheetFormatPr defaultColWidth="8.33203125" defaultRowHeight="10.199999999999999"/>
  <cols>
    <col min="1" max="1" width="10.77734375" style="1" customWidth="1"/>
    <col min="2" max="2" width="6.33203125" style="1" customWidth="1"/>
    <col min="3" max="3" width="78" style="1" customWidth="1"/>
    <col min="4" max="4" width="13.77734375" style="1" customWidth="1"/>
    <col min="5" max="5" width="11.44140625" style="1" customWidth="1"/>
    <col min="6" max="9" width="13.77734375" style="1" customWidth="1"/>
    <col min="10" max="10" width="9" style="1" customWidth="1"/>
    <col min="11" max="11" width="10.109375" style="1" customWidth="1"/>
    <col min="12" max="12" width="9.77734375" style="1" customWidth="1"/>
    <col min="13" max="13" width="8.44140625" style="1" customWidth="1"/>
    <col min="14" max="14" width="14.44140625" style="1" customWidth="1"/>
    <col min="15" max="15" width="12.77734375" style="1" customWidth="1"/>
    <col min="16" max="16" width="10.109375" style="1" customWidth="1"/>
    <col min="17" max="17" width="28.77734375" style="1" customWidth="1"/>
    <col min="18" max="18" width="42.44140625" style="1" customWidth="1"/>
    <col min="19" max="19" width="20" style="1" customWidth="1"/>
    <col min="20" max="20" width="15.44140625" style="1" bestFit="1" customWidth="1"/>
    <col min="21" max="21" width="13.33203125" style="1" customWidth="1"/>
    <col min="22" max="22" width="28.33203125" style="1" customWidth="1"/>
    <col min="23" max="24" width="23.33203125" style="1" customWidth="1"/>
    <col min="25" max="25" width="38.77734375" style="1" customWidth="1"/>
    <col min="26" max="26" width="12.44140625" style="1" customWidth="1"/>
    <col min="27" max="27" width="27.109375" style="1" customWidth="1"/>
    <col min="28" max="28" width="15" style="1" customWidth="1"/>
    <col min="29" max="30" width="7.77734375" style="1" customWidth="1"/>
    <col min="31" max="31" width="17.44140625" style="1" customWidth="1"/>
    <col min="32" max="34" width="10.6640625" style="1" customWidth="1"/>
    <col min="35" max="35" width="10.33203125" style="1" customWidth="1"/>
    <col min="36" max="36" width="12.109375" style="1" customWidth="1"/>
    <col min="37" max="37" width="19" style="1" customWidth="1"/>
    <col min="38" max="38" width="10.77734375" style="1" customWidth="1"/>
    <col min="39" max="39" width="15.33203125" style="1" customWidth="1"/>
    <col min="40" max="41" width="10.77734375" style="1" customWidth="1"/>
    <col min="42" max="42" width="14.77734375" style="1" customWidth="1"/>
    <col min="43" max="43" width="10.77734375" style="1" customWidth="1"/>
    <col min="44" max="44" width="28" style="1" customWidth="1"/>
    <col min="45" max="46" width="6.77734375" style="1" customWidth="1"/>
    <col min="47" max="49" width="6.44140625" style="1" customWidth="1"/>
    <col min="50" max="51" width="8.44140625" style="1" customWidth="1"/>
    <col min="52" max="52" width="7.109375" style="1" customWidth="1"/>
    <col min="53" max="55" width="6.77734375" style="1" customWidth="1"/>
    <col min="56" max="16384" width="8.33203125" style="1"/>
  </cols>
  <sheetData>
    <row r="1" spans="1:55" s="3" customFormat="1" ht="66" customHeight="1">
      <c r="A1" s="62" t="s">
        <v>836</v>
      </c>
      <c r="B1" s="10" t="s">
        <v>87</v>
      </c>
      <c r="C1" s="10" t="s">
        <v>88</v>
      </c>
      <c r="D1" s="10" t="s">
        <v>520</v>
      </c>
      <c r="E1" s="10" t="s">
        <v>521</v>
      </c>
      <c r="F1" s="10" t="s">
        <v>89</v>
      </c>
      <c r="G1" s="10" t="s">
        <v>90</v>
      </c>
      <c r="H1" s="10" t="s">
        <v>91</v>
      </c>
      <c r="I1" s="10" t="s">
        <v>92</v>
      </c>
      <c r="J1" s="10" t="s">
        <v>522</v>
      </c>
      <c r="K1" s="62" t="s">
        <v>109</v>
      </c>
      <c r="L1" s="62" t="s">
        <v>110</v>
      </c>
      <c r="M1" s="10" t="s">
        <v>267</v>
      </c>
      <c r="N1" s="10" t="s">
        <v>268</v>
      </c>
      <c r="O1" s="10" t="s">
        <v>269</v>
      </c>
      <c r="P1" s="10" t="s">
        <v>270</v>
      </c>
      <c r="Q1" s="62" t="s">
        <v>275</v>
      </c>
      <c r="R1" s="10" t="s">
        <v>276</v>
      </c>
      <c r="S1" s="10" t="s">
        <v>910</v>
      </c>
      <c r="T1" s="10" t="s">
        <v>85</v>
      </c>
      <c r="U1" s="70" t="s">
        <v>170</v>
      </c>
      <c r="V1" s="10" t="s">
        <v>280</v>
      </c>
      <c r="W1" s="62" t="s">
        <v>462</v>
      </c>
      <c r="X1" s="71" t="s">
        <v>232</v>
      </c>
      <c r="Y1" s="71" t="s">
        <v>807</v>
      </c>
      <c r="Z1" s="10" t="s">
        <v>465</v>
      </c>
      <c r="AA1" s="10" t="s">
        <v>466</v>
      </c>
      <c r="AB1" s="10" t="s">
        <v>467</v>
      </c>
      <c r="AC1" s="62" t="s">
        <v>252</v>
      </c>
      <c r="AD1" s="62" t="s">
        <v>253</v>
      </c>
      <c r="AE1" s="62" t="s">
        <v>254</v>
      </c>
      <c r="AF1" s="62" t="s">
        <v>255</v>
      </c>
      <c r="AG1" s="62" t="s">
        <v>256</v>
      </c>
      <c r="AH1" s="62" t="s">
        <v>257</v>
      </c>
      <c r="AI1" s="62" t="s">
        <v>258</v>
      </c>
      <c r="AJ1" s="62" t="s">
        <v>259</v>
      </c>
      <c r="AK1" s="62" t="s">
        <v>260</v>
      </c>
      <c r="AL1" s="62" t="s">
        <v>261</v>
      </c>
      <c r="AM1" s="62" t="s">
        <v>262</v>
      </c>
      <c r="AN1" s="62" t="s">
        <v>263</v>
      </c>
      <c r="AO1" s="62" t="s">
        <v>264</v>
      </c>
      <c r="AP1" s="62" t="s">
        <v>117</v>
      </c>
      <c r="AQ1" s="62" t="s">
        <v>118</v>
      </c>
      <c r="AR1" s="62" t="s">
        <v>348</v>
      </c>
      <c r="AS1" s="62" t="s">
        <v>704</v>
      </c>
      <c r="AT1" s="62" t="s">
        <v>576</v>
      </c>
      <c r="AU1" s="102" t="s">
        <v>577</v>
      </c>
      <c r="AV1" s="103"/>
      <c r="AW1" s="62" t="s">
        <v>334</v>
      </c>
      <c r="AX1" s="62" t="s">
        <v>578</v>
      </c>
      <c r="AY1" s="62" t="s">
        <v>404</v>
      </c>
      <c r="AZ1" s="104" t="s">
        <v>405</v>
      </c>
      <c r="BA1" s="105"/>
      <c r="BB1" s="62" t="s">
        <v>335</v>
      </c>
      <c r="BC1" s="62" t="s">
        <v>406</v>
      </c>
    </row>
    <row r="2" spans="1:55">
      <c r="A2" s="1" t="s">
        <v>512</v>
      </c>
      <c r="B2" s="1" t="s">
        <v>508</v>
      </c>
      <c r="C2" s="1" t="s">
        <v>247</v>
      </c>
      <c r="D2" s="1" t="s">
        <v>248</v>
      </c>
      <c r="E2" s="1" t="s">
        <v>249</v>
      </c>
      <c r="F2" s="1" t="s">
        <v>570</v>
      </c>
      <c r="G2" s="1" t="s">
        <v>570</v>
      </c>
      <c r="H2" s="1" t="s">
        <v>570</v>
      </c>
      <c r="I2" s="1" t="s">
        <v>570</v>
      </c>
      <c r="J2" s="1" t="s">
        <v>570</v>
      </c>
      <c r="K2" s="1" t="s">
        <v>570</v>
      </c>
      <c r="L2" s="1" t="s">
        <v>570</v>
      </c>
      <c r="M2" s="1" t="s">
        <v>570</v>
      </c>
      <c r="N2" s="1" t="s">
        <v>570</v>
      </c>
      <c r="O2" s="1" t="s">
        <v>250</v>
      </c>
      <c r="P2" s="1" t="s">
        <v>570</v>
      </c>
      <c r="Q2" s="1" t="s">
        <v>570</v>
      </c>
      <c r="R2" s="1" t="s">
        <v>326</v>
      </c>
      <c r="T2" s="1" t="s">
        <v>570</v>
      </c>
      <c r="U2" s="1" t="s">
        <v>513</v>
      </c>
      <c r="V2" s="1" t="s">
        <v>327</v>
      </c>
      <c r="W2" s="1" t="s">
        <v>500</v>
      </c>
      <c r="X2" s="1" t="s">
        <v>13</v>
      </c>
      <c r="Y2" s="1" t="s">
        <v>7</v>
      </c>
      <c r="Z2" s="1" t="s">
        <v>570</v>
      </c>
      <c r="AA2" s="1" t="s">
        <v>489</v>
      </c>
      <c r="AB2" s="1" t="s">
        <v>570</v>
      </c>
      <c r="AC2" s="1">
        <v>18</v>
      </c>
      <c r="AD2" s="1">
        <v>18</v>
      </c>
      <c r="AF2" s="1" t="s">
        <v>776</v>
      </c>
      <c r="AG2" s="1" t="s">
        <v>570</v>
      </c>
      <c r="AH2" s="1" t="s">
        <v>570</v>
      </c>
      <c r="AI2" s="1" t="s">
        <v>570</v>
      </c>
      <c r="AJ2" s="1" t="s">
        <v>570</v>
      </c>
      <c r="AK2" s="1" t="s">
        <v>570</v>
      </c>
      <c r="AL2" s="1" t="s">
        <v>570</v>
      </c>
      <c r="AM2" s="1" t="s">
        <v>570</v>
      </c>
      <c r="AN2" s="1" t="s">
        <v>570</v>
      </c>
      <c r="AO2" s="1" t="s">
        <v>570</v>
      </c>
      <c r="AP2" s="1" t="s">
        <v>570</v>
      </c>
      <c r="AQ2" s="1" t="s">
        <v>570</v>
      </c>
      <c r="AR2" s="1" t="s">
        <v>570</v>
      </c>
      <c r="AS2" s="1">
        <v>9.5</v>
      </c>
      <c r="AT2" s="1" t="s">
        <v>570</v>
      </c>
      <c r="AU2" s="1">
        <v>7.57</v>
      </c>
      <c r="AV2" s="1">
        <v>11.32</v>
      </c>
      <c r="AW2" s="1">
        <f>(AV2-AU2)/4</f>
        <v>0.9375</v>
      </c>
      <c r="AX2" s="1">
        <v>9.32</v>
      </c>
      <c r="AY2" s="1" t="s">
        <v>570</v>
      </c>
      <c r="AZ2" s="1">
        <v>8.5500000000000007</v>
      </c>
      <c r="BA2" s="1">
        <v>9.77</v>
      </c>
      <c r="BB2" s="1">
        <f>(BA2-AZ2)/4</f>
        <v>0.30499999999999972</v>
      </c>
      <c r="BC2" s="1" t="s">
        <v>457</v>
      </c>
    </row>
    <row r="3" spans="1:55" ht="20.399999999999999">
      <c r="A3" s="6" t="s">
        <v>512</v>
      </c>
      <c r="B3" s="6" t="s">
        <v>508</v>
      </c>
      <c r="C3" s="6" t="s">
        <v>247</v>
      </c>
      <c r="D3" s="6" t="s">
        <v>248</v>
      </c>
      <c r="E3" s="6" t="s">
        <v>249</v>
      </c>
      <c r="F3" s="6" t="s">
        <v>570</v>
      </c>
      <c r="G3" s="6" t="s">
        <v>570</v>
      </c>
      <c r="H3" s="6" t="s">
        <v>570</v>
      </c>
      <c r="I3" s="6" t="s">
        <v>570</v>
      </c>
      <c r="J3" s="6" t="s">
        <v>570</v>
      </c>
      <c r="K3" s="6" t="s">
        <v>570</v>
      </c>
      <c r="L3" s="6" t="s">
        <v>570</v>
      </c>
      <c r="M3" s="6" t="s">
        <v>570</v>
      </c>
      <c r="N3" s="6" t="s">
        <v>570</v>
      </c>
      <c r="O3" s="6" t="s">
        <v>250</v>
      </c>
      <c r="P3" s="6" t="s">
        <v>570</v>
      </c>
      <c r="Q3" s="6" t="s">
        <v>570</v>
      </c>
      <c r="R3" s="6" t="s">
        <v>326</v>
      </c>
      <c r="S3" s="6"/>
      <c r="T3" s="6" t="s">
        <v>570</v>
      </c>
      <c r="U3" s="6" t="s">
        <v>513</v>
      </c>
      <c r="V3" s="6" t="s">
        <v>501</v>
      </c>
      <c r="W3" s="6" t="s">
        <v>500</v>
      </c>
      <c r="X3" s="6" t="s">
        <v>13</v>
      </c>
      <c r="Y3" s="15" t="s">
        <v>7</v>
      </c>
      <c r="Z3" s="6" t="s">
        <v>570</v>
      </c>
      <c r="AA3" s="6" t="s">
        <v>489</v>
      </c>
      <c r="AB3" s="6" t="s">
        <v>570</v>
      </c>
      <c r="AC3" s="6">
        <v>18</v>
      </c>
      <c r="AD3" s="6">
        <v>18</v>
      </c>
      <c r="AE3" s="6"/>
      <c r="AF3" s="6" t="s">
        <v>777</v>
      </c>
      <c r="AG3" s="6" t="s">
        <v>570</v>
      </c>
      <c r="AH3" s="6" t="s">
        <v>570</v>
      </c>
      <c r="AI3" s="6" t="s">
        <v>570</v>
      </c>
      <c r="AJ3" s="6" t="s">
        <v>570</v>
      </c>
      <c r="AK3" s="6" t="s">
        <v>570</v>
      </c>
      <c r="AL3" s="6" t="s">
        <v>570</v>
      </c>
      <c r="AM3" s="6" t="s">
        <v>570</v>
      </c>
      <c r="AN3" s="6" t="s">
        <v>570</v>
      </c>
      <c r="AO3" s="6" t="s">
        <v>570</v>
      </c>
      <c r="AP3" s="6" t="s">
        <v>570</v>
      </c>
      <c r="AQ3" s="6" t="s">
        <v>570</v>
      </c>
      <c r="AR3" s="6" t="s">
        <v>570</v>
      </c>
      <c r="AS3" s="6">
        <v>10.3</v>
      </c>
      <c r="AT3" s="6" t="s">
        <v>570</v>
      </c>
      <c r="AU3" s="6">
        <v>9.41</v>
      </c>
      <c r="AV3" s="6">
        <v>11.45</v>
      </c>
      <c r="AW3" s="6">
        <f>(AV3-AU3)/4</f>
        <v>0.50999999999999979</v>
      </c>
      <c r="AX3" s="6">
        <v>10.44</v>
      </c>
      <c r="AY3" s="6" t="s">
        <v>570</v>
      </c>
      <c r="AZ3" s="6">
        <v>9.17</v>
      </c>
      <c r="BA3" s="6">
        <v>11.5</v>
      </c>
      <c r="BB3" s="6">
        <f>(BA3-AZ3)/4</f>
        <v>0.58250000000000002</v>
      </c>
      <c r="BC3" s="6" t="s">
        <v>457</v>
      </c>
    </row>
    <row r="4" spans="1:55" s="2" customFormat="1">
      <c r="A4" s="1" t="s">
        <v>502</v>
      </c>
      <c r="B4" s="1" t="s">
        <v>508</v>
      </c>
      <c r="C4" s="1" t="s">
        <v>810</v>
      </c>
      <c r="D4" s="1" t="s">
        <v>570</v>
      </c>
      <c r="E4" s="1" t="s">
        <v>570</v>
      </c>
      <c r="F4" s="1" t="s">
        <v>570</v>
      </c>
      <c r="G4" s="1" t="s">
        <v>570</v>
      </c>
      <c r="H4" s="1" t="s">
        <v>570</v>
      </c>
      <c r="I4" s="1" t="s">
        <v>570</v>
      </c>
      <c r="J4" s="1" t="s">
        <v>570</v>
      </c>
      <c r="K4" s="1" t="s">
        <v>570</v>
      </c>
      <c r="L4" s="1" t="s">
        <v>570</v>
      </c>
      <c r="M4" s="1" t="s">
        <v>570</v>
      </c>
      <c r="N4" s="1" t="s">
        <v>570</v>
      </c>
      <c r="O4" s="1">
        <v>2010</v>
      </c>
      <c r="P4" s="1" t="s">
        <v>570</v>
      </c>
      <c r="Q4" s="1" t="s">
        <v>570</v>
      </c>
      <c r="R4" s="1" t="s">
        <v>1026</v>
      </c>
      <c r="S4" s="1" t="s">
        <v>374</v>
      </c>
      <c r="T4" s="1" t="s">
        <v>811</v>
      </c>
      <c r="U4" s="1" t="s">
        <v>812</v>
      </c>
      <c r="V4" s="1" t="s">
        <v>813</v>
      </c>
      <c r="W4" s="1" t="s">
        <v>436</v>
      </c>
      <c r="X4" s="1" t="s">
        <v>131</v>
      </c>
      <c r="Y4" s="1" t="s">
        <v>959</v>
      </c>
      <c r="Z4" s="1" t="s">
        <v>570</v>
      </c>
      <c r="AA4" s="1" t="s">
        <v>814</v>
      </c>
      <c r="AB4" s="1" t="s">
        <v>570</v>
      </c>
      <c r="AC4" s="1">
        <v>4</v>
      </c>
      <c r="AD4" s="1">
        <v>4</v>
      </c>
      <c r="AE4" s="1" t="s">
        <v>570</v>
      </c>
      <c r="AF4" s="1" t="s">
        <v>570</v>
      </c>
      <c r="AG4" s="1" t="s">
        <v>570</v>
      </c>
      <c r="AH4" s="1" t="s">
        <v>570</v>
      </c>
      <c r="AI4" s="1" t="s">
        <v>570</v>
      </c>
      <c r="AJ4" s="1" t="s">
        <v>570</v>
      </c>
      <c r="AK4" s="1" t="s">
        <v>570</v>
      </c>
      <c r="AL4" s="1" t="s">
        <v>570</v>
      </c>
      <c r="AM4" s="1" t="s">
        <v>570</v>
      </c>
      <c r="AN4" s="1" t="s">
        <v>570</v>
      </c>
      <c r="AO4" s="1" t="s">
        <v>570</v>
      </c>
      <c r="AP4" s="1" t="s">
        <v>570</v>
      </c>
      <c r="AQ4" s="1" t="s">
        <v>570</v>
      </c>
      <c r="AR4" s="1" t="s">
        <v>763</v>
      </c>
      <c r="AS4" s="1">
        <v>9.43</v>
      </c>
      <c r="AT4" s="1">
        <v>0.2</v>
      </c>
      <c r="AU4" s="1">
        <v>8.25</v>
      </c>
      <c r="AV4" s="1">
        <v>10.74</v>
      </c>
      <c r="AW4" s="1">
        <f>(AV4-AU4)/4</f>
        <v>0.62250000000000005</v>
      </c>
      <c r="AX4" s="1">
        <v>9.2100000000000009</v>
      </c>
      <c r="AY4" s="1">
        <v>0.2</v>
      </c>
      <c r="AZ4" s="1">
        <v>7.44</v>
      </c>
      <c r="BA4" s="1">
        <v>10.51</v>
      </c>
      <c r="BB4" s="1">
        <f>(BA4-AZ4)/4</f>
        <v>0.76749999999999985</v>
      </c>
      <c r="BC4" s="1" t="s">
        <v>457</v>
      </c>
    </row>
    <row r="5" spans="1:55" s="2" customFormat="1" ht="40.799999999999997">
      <c r="A5" s="6" t="s">
        <v>502</v>
      </c>
      <c r="B5" s="6" t="s">
        <v>508</v>
      </c>
      <c r="C5" s="6" t="s">
        <v>493</v>
      </c>
      <c r="D5" s="6" t="s">
        <v>570</v>
      </c>
      <c r="E5" s="6" t="s">
        <v>570</v>
      </c>
      <c r="F5" s="6" t="s">
        <v>570</v>
      </c>
      <c r="G5" s="6" t="s">
        <v>570</v>
      </c>
      <c r="H5" s="6" t="s">
        <v>570</v>
      </c>
      <c r="I5" s="6" t="s">
        <v>570</v>
      </c>
      <c r="J5" s="6" t="s">
        <v>570</v>
      </c>
      <c r="K5" s="6" t="s">
        <v>570</v>
      </c>
      <c r="L5" s="6" t="s">
        <v>570</v>
      </c>
      <c r="M5" s="6" t="s">
        <v>570</v>
      </c>
      <c r="N5" s="6" t="s">
        <v>570</v>
      </c>
      <c r="O5" s="6">
        <v>2010</v>
      </c>
      <c r="P5" s="6" t="s">
        <v>570</v>
      </c>
      <c r="Q5" s="6" t="s">
        <v>570</v>
      </c>
      <c r="R5" s="6" t="s">
        <v>1026</v>
      </c>
      <c r="S5" s="6" t="s">
        <v>374</v>
      </c>
      <c r="T5" s="6" t="s">
        <v>811</v>
      </c>
      <c r="U5" s="6" t="s">
        <v>812</v>
      </c>
      <c r="V5" s="6" t="s">
        <v>484</v>
      </c>
      <c r="W5" s="6" t="s">
        <v>436</v>
      </c>
      <c r="X5" s="6" t="s">
        <v>961</v>
      </c>
      <c r="Y5" s="15" t="s">
        <v>960</v>
      </c>
      <c r="Z5" s="6" t="s">
        <v>570</v>
      </c>
      <c r="AA5" s="6" t="s">
        <v>485</v>
      </c>
      <c r="AB5" s="6" t="s">
        <v>570</v>
      </c>
      <c r="AC5" s="6">
        <v>4</v>
      </c>
      <c r="AD5" s="6">
        <v>4</v>
      </c>
      <c r="AE5" s="6" t="s">
        <v>325</v>
      </c>
      <c r="AF5" s="6" t="s">
        <v>570</v>
      </c>
      <c r="AG5" s="6" t="s">
        <v>570</v>
      </c>
      <c r="AH5" s="6" t="s">
        <v>570</v>
      </c>
      <c r="AI5" s="6" t="s">
        <v>570</v>
      </c>
      <c r="AJ5" s="6" t="s">
        <v>570</v>
      </c>
      <c r="AK5" s="6" t="s">
        <v>570</v>
      </c>
      <c r="AL5" s="6" t="s">
        <v>570</v>
      </c>
      <c r="AM5" s="6" t="s">
        <v>570</v>
      </c>
      <c r="AN5" s="6" t="s">
        <v>570</v>
      </c>
      <c r="AO5" s="6" t="s">
        <v>570</v>
      </c>
      <c r="AP5" s="6" t="s">
        <v>570</v>
      </c>
      <c r="AQ5" s="6" t="s">
        <v>570</v>
      </c>
      <c r="AR5" s="6" t="s">
        <v>176</v>
      </c>
      <c r="AS5" s="6">
        <v>9.49</v>
      </c>
      <c r="AT5" s="6">
        <v>0.38</v>
      </c>
      <c r="AU5" s="6">
        <v>7.47</v>
      </c>
      <c r="AV5" s="6">
        <v>11.14</v>
      </c>
      <c r="AW5" s="6">
        <f>(AV5-AU5)/4</f>
        <v>0.9175000000000002</v>
      </c>
      <c r="AX5" s="6">
        <v>9.58</v>
      </c>
      <c r="AY5" s="6">
        <v>0.38</v>
      </c>
      <c r="AZ5" s="6">
        <v>6.79</v>
      </c>
      <c r="BA5" s="6">
        <v>11.9</v>
      </c>
      <c r="BB5" s="6">
        <f>(BA5-AZ5)/4</f>
        <v>1.2775000000000001</v>
      </c>
      <c r="BC5" s="6" t="s">
        <v>457</v>
      </c>
    </row>
    <row r="6" spans="1:55" ht="20.399999999999999">
      <c r="A6" s="1" t="s">
        <v>607</v>
      </c>
      <c r="B6" s="1" t="s">
        <v>604</v>
      </c>
      <c r="C6" s="1" t="s">
        <v>618</v>
      </c>
      <c r="D6" s="1" t="s">
        <v>570</v>
      </c>
      <c r="E6" s="1" t="s">
        <v>570</v>
      </c>
      <c r="F6" s="1" t="s">
        <v>570</v>
      </c>
      <c r="G6" s="1" t="s">
        <v>570</v>
      </c>
      <c r="H6" s="1" t="s">
        <v>570</v>
      </c>
      <c r="I6" s="1" t="s">
        <v>570</v>
      </c>
      <c r="J6" s="1" t="s">
        <v>570</v>
      </c>
      <c r="K6" s="1" t="s">
        <v>570</v>
      </c>
      <c r="L6" s="1" t="s">
        <v>570</v>
      </c>
      <c r="M6" s="1" t="s">
        <v>570</v>
      </c>
      <c r="N6" s="1" t="s">
        <v>570</v>
      </c>
      <c r="O6" s="1">
        <v>2002</v>
      </c>
      <c r="P6" s="1" t="s">
        <v>570</v>
      </c>
      <c r="Q6" s="1" t="s">
        <v>570</v>
      </c>
      <c r="R6" s="1" t="s">
        <v>178</v>
      </c>
      <c r="S6" s="1" t="s">
        <v>374</v>
      </c>
      <c r="T6" s="1" t="s">
        <v>745</v>
      </c>
      <c r="U6" s="1" t="s">
        <v>136</v>
      </c>
      <c r="V6" s="1" t="s">
        <v>179</v>
      </c>
      <c r="W6" s="1" t="s">
        <v>180</v>
      </c>
      <c r="X6" s="1" t="s">
        <v>13</v>
      </c>
      <c r="Y6" s="24" t="s">
        <v>1034</v>
      </c>
      <c r="Z6" s="1" t="s">
        <v>570</v>
      </c>
      <c r="AA6" s="1" t="s">
        <v>570</v>
      </c>
      <c r="AB6" s="1" t="s">
        <v>570</v>
      </c>
      <c r="AC6" s="1">
        <v>3</v>
      </c>
      <c r="AD6" s="1">
        <v>3</v>
      </c>
      <c r="AE6" s="1" t="s">
        <v>570</v>
      </c>
      <c r="AF6" s="1" t="s">
        <v>570</v>
      </c>
      <c r="AG6" s="1" t="s">
        <v>570</v>
      </c>
      <c r="AH6" s="1" t="s">
        <v>570</v>
      </c>
      <c r="AI6" s="1" t="s">
        <v>570</v>
      </c>
      <c r="AJ6" s="1" t="s">
        <v>570</v>
      </c>
      <c r="AK6" s="1" t="s">
        <v>570</v>
      </c>
      <c r="AL6" s="1" t="s">
        <v>570</v>
      </c>
      <c r="AM6" s="1" t="s">
        <v>570</v>
      </c>
      <c r="AN6" s="1" t="s">
        <v>570</v>
      </c>
      <c r="AO6" s="1" t="s">
        <v>570</v>
      </c>
      <c r="AP6" s="1" t="s">
        <v>570</v>
      </c>
      <c r="AQ6" s="1" t="s">
        <v>570</v>
      </c>
      <c r="AR6" s="1" t="s">
        <v>570</v>
      </c>
      <c r="AS6" s="1">
        <v>12.51</v>
      </c>
      <c r="AT6" s="1">
        <v>0.35</v>
      </c>
      <c r="AU6" s="1" t="s">
        <v>570</v>
      </c>
      <c r="AW6" s="1">
        <f>AT6*SQRT(AC6)</f>
        <v>0.60621778264910697</v>
      </c>
      <c r="AX6" s="1">
        <v>12.28</v>
      </c>
      <c r="AY6" s="1">
        <v>0.35</v>
      </c>
      <c r="AZ6" s="1" t="s">
        <v>570</v>
      </c>
      <c r="BB6" s="1">
        <f>AY6*SQRT(AD6)</f>
        <v>0.60621778264910697</v>
      </c>
      <c r="BC6" s="1" t="s">
        <v>457</v>
      </c>
    </row>
    <row r="7" spans="1:55" ht="30.6">
      <c r="A7" s="6" t="s">
        <v>607</v>
      </c>
      <c r="B7" s="6" t="s">
        <v>604</v>
      </c>
      <c r="C7" s="6" t="s">
        <v>333</v>
      </c>
      <c r="D7" s="6" t="s">
        <v>570</v>
      </c>
      <c r="E7" s="6" t="s">
        <v>570</v>
      </c>
      <c r="F7" s="6" t="s">
        <v>570</v>
      </c>
      <c r="G7" s="6" t="s">
        <v>570</v>
      </c>
      <c r="H7" s="6" t="s">
        <v>570</v>
      </c>
      <c r="I7" s="6" t="s">
        <v>570</v>
      </c>
      <c r="J7" s="6" t="s">
        <v>570</v>
      </c>
      <c r="K7" s="6" t="s">
        <v>570</v>
      </c>
      <c r="L7" s="6" t="s">
        <v>570</v>
      </c>
      <c r="M7" s="6" t="s">
        <v>570</v>
      </c>
      <c r="N7" s="6" t="s">
        <v>570</v>
      </c>
      <c r="O7" s="6" t="s">
        <v>416</v>
      </c>
      <c r="P7" s="6" t="s">
        <v>570</v>
      </c>
      <c r="Q7" s="6" t="s">
        <v>570</v>
      </c>
      <c r="R7" s="6" t="s">
        <v>178</v>
      </c>
      <c r="S7" s="6" t="s">
        <v>374</v>
      </c>
      <c r="T7" s="6" t="s">
        <v>745</v>
      </c>
      <c r="U7" s="6" t="s">
        <v>136</v>
      </c>
      <c r="V7" s="6" t="s">
        <v>179</v>
      </c>
      <c r="W7" s="6" t="s">
        <v>180</v>
      </c>
      <c r="X7" s="6" t="s">
        <v>13</v>
      </c>
      <c r="Y7" s="15" t="s">
        <v>971</v>
      </c>
      <c r="Z7" s="6" t="s">
        <v>570</v>
      </c>
      <c r="AA7" s="6" t="s">
        <v>570</v>
      </c>
      <c r="AB7" s="6" t="s">
        <v>570</v>
      </c>
      <c r="AC7" s="6">
        <v>3</v>
      </c>
      <c r="AD7" s="6">
        <v>3</v>
      </c>
      <c r="AE7" s="6" t="s">
        <v>570</v>
      </c>
      <c r="AF7" s="6" t="s">
        <v>570</v>
      </c>
      <c r="AG7" s="6" t="s">
        <v>570</v>
      </c>
      <c r="AH7" s="6" t="s">
        <v>570</v>
      </c>
      <c r="AI7" s="6" t="s">
        <v>570</v>
      </c>
      <c r="AJ7" s="6" t="s">
        <v>570</v>
      </c>
      <c r="AK7" s="6" t="s">
        <v>570</v>
      </c>
      <c r="AL7" s="6" t="s">
        <v>570</v>
      </c>
      <c r="AM7" s="6" t="s">
        <v>570</v>
      </c>
      <c r="AN7" s="6" t="s">
        <v>570</v>
      </c>
      <c r="AO7" s="6" t="s">
        <v>570</v>
      </c>
      <c r="AP7" s="6" t="s">
        <v>570</v>
      </c>
      <c r="AQ7" s="6" t="s">
        <v>570</v>
      </c>
      <c r="AR7" s="6" t="s">
        <v>570</v>
      </c>
      <c r="AS7" s="6">
        <v>10.52</v>
      </c>
      <c r="AT7" s="6">
        <v>0.41</v>
      </c>
      <c r="AU7" s="6" t="s">
        <v>570</v>
      </c>
      <c r="AV7" s="6"/>
      <c r="AW7" s="6">
        <f>AT7*SQRT(AC7)</f>
        <v>0.71014083110323956</v>
      </c>
      <c r="AX7" s="6">
        <v>9.73</v>
      </c>
      <c r="AY7" s="6">
        <v>0.41</v>
      </c>
      <c r="AZ7" s="6" t="s">
        <v>570</v>
      </c>
      <c r="BA7" s="6"/>
      <c r="BB7" s="6">
        <f>AY7*SQRT(AD7)</f>
        <v>0.71014083110323956</v>
      </c>
      <c r="BC7" s="6" t="s">
        <v>457</v>
      </c>
    </row>
  </sheetData>
  <mergeCells count="2">
    <mergeCell ref="AU1:AV1"/>
    <mergeCell ref="AZ1:BA1"/>
  </mergeCells>
  <phoneticPr fontId="1" type="noConversion"/>
  <pageMargins left="0.75" right="0.75" top="1" bottom="1" header="0.4921259845" footer="0.4921259845"/>
  <headerFooter alignWithMargins="0"/>
  <ignoredErrors>
    <ignoredError sqref="BB3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"/>
  <sheetViews>
    <sheetView zoomScale="115" zoomScaleNormal="115" workbookViewId="0">
      <pane xSplit="1" ySplit="1" topLeftCell="AK5" activePane="bottomRight" state="frozen"/>
      <selection pane="topRight" activeCell="B1" sqref="B1"/>
      <selection pane="bottomLeft" activeCell="A2" sqref="A2"/>
      <selection pane="bottomRight" activeCell="AK5" sqref="AK5"/>
    </sheetView>
  </sheetViews>
  <sheetFormatPr defaultColWidth="8.33203125" defaultRowHeight="10.199999999999999"/>
  <cols>
    <col min="1" max="1" width="10.77734375" style="1" customWidth="1"/>
    <col min="2" max="2" width="6.33203125" style="1" customWidth="1"/>
    <col min="3" max="3" width="78" style="1" customWidth="1"/>
    <col min="4" max="4" width="13.77734375" style="1" customWidth="1"/>
    <col min="5" max="5" width="11.44140625" style="1" customWidth="1"/>
    <col min="6" max="9" width="13.77734375" style="1" customWidth="1"/>
    <col min="10" max="10" width="9" style="1" customWidth="1"/>
    <col min="11" max="11" width="10.109375" style="1" customWidth="1"/>
    <col min="12" max="12" width="9.77734375" style="1" customWidth="1"/>
    <col min="13" max="13" width="8.44140625" style="1" customWidth="1"/>
    <col min="14" max="14" width="14.44140625" style="1" customWidth="1"/>
    <col min="15" max="15" width="12.77734375" style="1" customWidth="1"/>
    <col min="16" max="16" width="10.109375" style="1" customWidth="1"/>
    <col min="17" max="17" width="28.77734375" style="1" customWidth="1"/>
    <col min="18" max="18" width="42.44140625" style="1" customWidth="1"/>
    <col min="19" max="19" width="20" style="1" customWidth="1"/>
    <col min="20" max="20" width="40.6640625" style="1" customWidth="1"/>
    <col min="21" max="21" width="13.33203125" style="1" customWidth="1"/>
    <col min="22" max="22" width="28.33203125" style="1" customWidth="1"/>
    <col min="23" max="24" width="23.33203125" style="1" customWidth="1"/>
    <col min="25" max="25" width="38.109375" style="1" customWidth="1"/>
    <col min="26" max="26" width="12.44140625" style="1" customWidth="1"/>
    <col min="27" max="27" width="27.109375" style="1" customWidth="1"/>
    <col min="28" max="28" width="15" style="1" customWidth="1"/>
    <col min="29" max="30" width="7.77734375" style="1" customWidth="1"/>
    <col min="31" max="31" width="17.44140625" style="1" customWidth="1"/>
    <col min="32" max="34" width="10.6640625" style="1" customWidth="1"/>
    <col min="35" max="35" width="10.33203125" style="1" customWidth="1"/>
    <col min="36" max="36" width="12.109375" style="1" customWidth="1"/>
    <col min="37" max="37" width="19" style="1" customWidth="1"/>
    <col min="38" max="38" width="10.77734375" style="1" customWidth="1"/>
    <col min="39" max="39" width="15.33203125" style="1" customWidth="1"/>
    <col min="40" max="41" width="10.77734375" style="1" customWidth="1"/>
    <col min="42" max="42" width="14.77734375" style="1" customWidth="1"/>
    <col min="43" max="44" width="10.77734375" style="1" customWidth="1"/>
    <col min="45" max="46" width="8" style="1" customWidth="1"/>
    <col min="47" max="47" width="7.6640625" style="1" customWidth="1"/>
    <col min="48" max="48" width="7.33203125" style="1" customWidth="1"/>
    <col min="49" max="50" width="7.44140625" style="1" customWidth="1"/>
    <col min="51" max="51" width="8.33203125" style="1"/>
    <col min="52" max="53" width="7.109375" style="1" customWidth="1"/>
    <col min="54" max="16384" width="8.33203125" style="1"/>
  </cols>
  <sheetData>
    <row r="1" spans="1:53" s="3" customFormat="1" ht="66" customHeight="1">
      <c r="A1" s="62" t="s">
        <v>279</v>
      </c>
      <c r="B1" s="10" t="s">
        <v>778</v>
      </c>
      <c r="C1" s="10" t="s">
        <v>779</v>
      </c>
      <c r="D1" s="10" t="s">
        <v>520</v>
      </c>
      <c r="E1" s="10" t="s">
        <v>521</v>
      </c>
      <c r="F1" s="10" t="s">
        <v>774</v>
      </c>
      <c r="G1" s="10" t="s">
        <v>90</v>
      </c>
      <c r="H1" s="10" t="s">
        <v>91</v>
      </c>
      <c r="I1" s="10" t="s">
        <v>92</v>
      </c>
      <c r="J1" s="10" t="s">
        <v>522</v>
      </c>
      <c r="K1" s="62" t="s">
        <v>523</v>
      </c>
      <c r="L1" s="62" t="s">
        <v>510</v>
      </c>
      <c r="M1" s="10" t="s">
        <v>511</v>
      </c>
      <c r="N1" s="10" t="s">
        <v>661</v>
      </c>
      <c r="O1" s="10" t="s">
        <v>486</v>
      </c>
      <c r="P1" s="10" t="s">
        <v>487</v>
      </c>
      <c r="Q1" s="62" t="s">
        <v>775</v>
      </c>
      <c r="R1" s="10" t="s">
        <v>488</v>
      </c>
      <c r="S1" s="10" t="s">
        <v>908</v>
      </c>
      <c r="T1" s="10" t="s">
        <v>817</v>
      </c>
      <c r="U1" s="70" t="s">
        <v>171</v>
      </c>
      <c r="V1" s="10" t="s">
        <v>22</v>
      </c>
      <c r="W1" s="62" t="s">
        <v>1030</v>
      </c>
      <c r="X1" s="71" t="s">
        <v>232</v>
      </c>
      <c r="Y1" s="71" t="s">
        <v>807</v>
      </c>
      <c r="Z1" s="10" t="s">
        <v>893</v>
      </c>
      <c r="AA1" s="10" t="s">
        <v>597</v>
      </c>
      <c r="AB1" s="10" t="s">
        <v>781</v>
      </c>
      <c r="AC1" s="62" t="s">
        <v>420</v>
      </c>
      <c r="AD1" s="62" t="s">
        <v>571</v>
      </c>
      <c r="AE1" s="62" t="s">
        <v>21</v>
      </c>
      <c r="AF1" s="62" t="s">
        <v>506</v>
      </c>
      <c r="AG1" s="62" t="s">
        <v>780</v>
      </c>
      <c r="AH1" s="62" t="s">
        <v>642</v>
      </c>
      <c r="AI1" s="62" t="s">
        <v>660</v>
      </c>
      <c r="AJ1" s="62" t="s">
        <v>380</v>
      </c>
      <c r="AK1" s="62" t="s">
        <v>371</v>
      </c>
      <c r="AL1" s="62" t="s">
        <v>507</v>
      </c>
      <c r="AM1" s="62" t="s">
        <v>96</v>
      </c>
      <c r="AN1" s="62" t="s">
        <v>491</v>
      </c>
      <c r="AO1" s="62" t="s">
        <v>621</v>
      </c>
      <c r="AP1" s="62" t="s">
        <v>599</v>
      </c>
      <c r="AQ1" s="62" t="s">
        <v>600</v>
      </c>
      <c r="AR1" s="62" t="s">
        <v>348</v>
      </c>
      <c r="AS1" s="62" t="s">
        <v>879</v>
      </c>
      <c r="AT1" s="62" t="s">
        <v>141</v>
      </c>
      <c r="AU1" s="104" t="s">
        <v>514</v>
      </c>
      <c r="AV1" s="105"/>
      <c r="AW1" s="62" t="s">
        <v>515</v>
      </c>
      <c r="AX1" s="62" t="s">
        <v>2</v>
      </c>
      <c r="AY1" s="104" t="s">
        <v>516</v>
      </c>
      <c r="AZ1" s="105"/>
      <c r="BA1" s="62" t="s">
        <v>575</v>
      </c>
    </row>
    <row r="2" spans="1:53" ht="30.6">
      <c r="A2" s="1" t="s">
        <v>512</v>
      </c>
      <c r="B2" s="1" t="s">
        <v>641</v>
      </c>
      <c r="C2" s="24" t="s">
        <v>746</v>
      </c>
      <c r="D2" s="1" t="s">
        <v>619</v>
      </c>
      <c r="E2" s="1" t="s">
        <v>620</v>
      </c>
      <c r="F2" s="1" t="s">
        <v>570</v>
      </c>
      <c r="G2" s="1" t="s">
        <v>570</v>
      </c>
      <c r="H2" s="1" t="s">
        <v>570</v>
      </c>
      <c r="I2" s="1" t="s">
        <v>570</v>
      </c>
      <c r="J2" s="23" t="s">
        <v>570</v>
      </c>
      <c r="K2" s="23" t="s">
        <v>570</v>
      </c>
      <c r="L2" s="23" t="s">
        <v>570</v>
      </c>
      <c r="M2" s="23" t="s">
        <v>570</v>
      </c>
      <c r="N2" s="23" t="s">
        <v>570</v>
      </c>
      <c r="O2" s="1" t="s">
        <v>876</v>
      </c>
      <c r="P2" s="37" t="s">
        <v>570</v>
      </c>
      <c r="Q2" s="37" t="s">
        <v>570</v>
      </c>
      <c r="R2" s="24" t="s">
        <v>764</v>
      </c>
      <c r="S2" s="24"/>
      <c r="T2" s="2" t="s">
        <v>697</v>
      </c>
      <c r="U2" s="1" t="s">
        <v>513</v>
      </c>
      <c r="V2" s="42" t="s">
        <v>116</v>
      </c>
      <c r="W2" s="1" t="s">
        <v>433</v>
      </c>
      <c r="X2" s="1" t="s">
        <v>131</v>
      </c>
      <c r="Y2" s="24" t="s">
        <v>972</v>
      </c>
      <c r="Z2" s="1" t="s">
        <v>570</v>
      </c>
      <c r="AA2" s="1" t="s">
        <v>489</v>
      </c>
      <c r="AB2" s="1" t="s">
        <v>570</v>
      </c>
      <c r="AC2" s="1">
        <v>9</v>
      </c>
      <c r="AD2" s="1">
        <v>9</v>
      </c>
      <c r="AF2" s="1" t="s">
        <v>776</v>
      </c>
      <c r="AG2" s="37" t="s">
        <v>570</v>
      </c>
      <c r="AH2" s="37" t="s">
        <v>570</v>
      </c>
      <c r="AI2" s="37" t="s">
        <v>570</v>
      </c>
      <c r="AJ2" s="37" t="s">
        <v>570</v>
      </c>
      <c r="AK2" s="37" t="s">
        <v>570</v>
      </c>
      <c r="AL2" s="37" t="s">
        <v>570</v>
      </c>
      <c r="AM2" s="37" t="s">
        <v>570</v>
      </c>
      <c r="AN2" s="37" t="s">
        <v>570</v>
      </c>
      <c r="AO2" s="2" t="s">
        <v>697</v>
      </c>
      <c r="AP2" s="37" t="s">
        <v>570</v>
      </c>
      <c r="AQ2" s="37" t="s">
        <v>570</v>
      </c>
      <c r="AR2" s="37" t="s">
        <v>570</v>
      </c>
      <c r="AS2" s="38">
        <v>3.89</v>
      </c>
      <c r="AT2" s="37" t="s">
        <v>570</v>
      </c>
      <c r="AU2" s="38">
        <v>3.45</v>
      </c>
      <c r="AV2" s="38">
        <v>4.2300000000000004</v>
      </c>
      <c r="AW2" s="38">
        <v>3.72</v>
      </c>
      <c r="AX2" s="37" t="s">
        <v>570</v>
      </c>
      <c r="AY2" s="2">
        <v>3.6</v>
      </c>
      <c r="AZ2" s="2">
        <v>3.9</v>
      </c>
      <c r="BA2" s="2" t="s">
        <v>574</v>
      </c>
    </row>
    <row r="3" spans="1:53" ht="30.6">
      <c r="A3" s="6" t="s">
        <v>512</v>
      </c>
      <c r="B3" s="6" t="s">
        <v>641</v>
      </c>
      <c r="C3" s="15" t="s">
        <v>746</v>
      </c>
      <c r="D3" s="6" t="s">
        <v>619</v>
      </c>
      <c r="E3" s="6" t="s">
        <v>620</v>
      </c>
      <c r="F3" s="6" t="s">
        <v>570</v>
      </c>
      <c r="G3" s="6" t="s">
        <v>570</v>
      </c>
      <c r="H3" s="6" t="s">
        <v>570</v>
      </c>
      <c r="I3" s="6" t="s">
        <v>570</v>
      </c>
      <c r="J3" s="34" t="s">
        <v>570</v>
      </c>
      <c r="K3" s="34" t="s">
        <v>570</v>
      </c>
      <c r="L3" s="34" t="s">
        <v>570</v>
      </c>
      <c r="M3" s="34" t="s">
        <v>570</v>
      </c>
      <c r="N3" s="34" t="s">
        <v>570</v>
      </c>
      <c r="O3" s="6" t="s">
        <v>876</v>
      </c>
      <c r="P3" s="39" t="s">
        <v>570</v>
      </c>
      <c r="Q3" s="39" t="s">
        <v>570</v>
      </c>
      <c r="R3" s="15" t="s">
        <v>676</v>
      </c>
      <c r="S3" s="15"/>
      <c r="T3" s="6" t="s">
        <v>697</v>
      </c>
      <c r="U3" s="6" t="s">
        <v>513</v>
      </c>
      <c r="V3" s="1" t="s">
        <v>116</v>
      </c>
      <c r="W3" s="1" t="s">
        <v>434</v>
      </c>
      <c r="X3" s="6" t="s">
        <v>131</v>
      </c>
      <c r="Y3" s="45" t="s">
        <v>972</v>
      </c>
      <c r="Z3" s="6" t="s">
        <v>570</v>
      </c>
      <c r="AA3" s="6" t="s">
        <v>489</v>
      </c>
      <c r="AB3" s="6" t="s">
        <v>570</v>
      </c>
      <c r="AC3" s="6">
        <v>9</v>
      </c>
      <c r="AD3" s="6">
        <v>9</v>
      </c>
      <c r="AE3" s="6"/>
      <c r="AF3" s="15" t="s">
        <v>777</v>
      </c>
      <c r="AG3" s="39" t="s">
        <v>570</v>
      </c>
      <c r="AH3" s="39" t="s">
        <v>570</v>
      </c>
      <c r="AI3" s="39" t="s">
        <v>570</v>
      </c>
      <c r="AJ3" s="39" t="s">
        <v>570</v>
      </c>
      <c r="AK3" s="39" t="s">
        <v>570</v>
      </c>
      <c r="AL3" s="39" t="s">
        <v>570</v>
      </c>
      <c r="AM3" s="39" t="s">
        <v>570</v>
      </c>
      <c r="AN3" s="39" t="s">
        <v>570</v>
      </c>
      <c r="AO3" s="6" t="s">
        <v>697</v>
      </c>
      <c r="AP3" s="39" t="s">
        <v>570</v>
      </c>
      <c r="AQ3" s="39" t="s">
        <v>570</v>
      </c>
      <c r="AR3" s="39" t="s">
        <v>570</v>
      </c>
      <c r="AS3" s="40">
        <v>4.0199999999999996</v>
      </c>
      <c r="AT3" s="39" t="s">
        <v>570</v>
      </c>
      <c r="AU3" s="40">
        <v>3.71</v>
      </c>
      <c r="AV3" s="40">
        <v>4.28</v>
      </c>
      <c r="AW3" s="40">
        <v>3.96</v>
      </c>
      <c r="AX3" s="39" t="s">
        <v>570</v>
      </c>
      <c r="AY3" s="40">
        <v>3.47</v>
      </c>
      <c r="AZ3" s="40">
        <v>4.2300000000000004</v>
      </c>
      <c r="BA3" s="6" t="s">
        <v>574</v>
      </c>
    </row>
    <row r="4" spans="1:53" s="2" customFormat="1" ht="102">
      <c r="A4" s="2" t="s">
        <v>579</v>
      </c>
      <c r="B4" s="2" t="s">
        <v>740</v>
      </c>
      <c r="C4" s="41" t="s">
        <v>4</v>
      </c>
      <c r="D4" s="2" t="s">
        <v>697</v>
      </c>
      <c r="E4" s="2" t="s">
        <v>697</v>
      </c>
      <c r="F4" s="2" t="s">
        <v>697</v>
      </c>
      <c r="G4" s="2" t="s">
        <v>739</v>
      </c>
      <c r="H4" s="2" t="s">
        <v>739</v>
      </c>
      <c r="I4" s="2" t="s">
        <v>739</v>
      </c>
      <c r="J4" s="2" t="s">
        <v>697</v>
      </c>
      <c r="K4" s="2" t="s">
        <v>697</v>
      </c>
      <c r="L4" s="2" t="s">
        <v>697</v>
      </c>
      <c r="M4" s="2" t="s">
        <v>697</v>
      </c>
      <c r="N4" s="2" t="s">
        <v>697</v>
      </c>
      <c r="O4" s="41">
        <v>2010</v>
      </c>
      <c r="P4" s="2" t="s">
        <v>697</v>
      </c>
      <c r="Q4" s="2" t="s">
        <v>697</v>
      </c>
      <c r="R4" s="19" t="s">
        <v>1026</v>
      </c>
      <c r="S4" s="2" t="s">
        <v>229</v>
      </c>
      <c r="T4" s="2" t="s">
        <v>78</v>
      </c>
      <c r="U4" s="2" t="s">
        <v>77</v>
      </c>
      <c r="V4" s="42" t="s">
        <v>213</v>
      </c>
      <c r="W4" s="43" t="s">
        <v>440</v>
      </c>
      <c r="X4" s="72" t="s">
        <v>131</v>
      </c>
      <c r="Y4" s="72" t="s">
        <v>959</v>
      </c>
      <c r="Z4" s="2" t="s">
        <v>739</v>
      </c>
      <c r="AA4" s="42" t="s">
        <v>75</v>
      </c>
      <c r="AB4" s="2" t="s">
        <v>739</v>
      </c>
      <c r="AC4" s="2">
        <v>4</v>
      </c>
      <c r="AD4" s="2">
        <v>4</v>
      </c>
      <c r="AE4" s="4" t="s">
        <v>739</v>
      </c>
      <c r="AF4" s="4" t="s">
        <v>739</v>
      </c>
      <c r="AG4" s="4" t="s">
        <v>739</v>
      </c>
      <c r="AH4" s="4" t="s">
        <v>739</v>
      </c>
      <c r="AI4" s="4" t="s">
        <v>739</v>
      </c>
      <c r="AJ4" s="4" t="s">
        <v>739</v>
      </c>
      <c r="AK4" s="4" t="s">
        <v>739</v>
      </c>
      <c r="AL4" s="4" t="s">
        <v>739</v>
      </c>
      <c r="AM4" s="4" t="s">
        <v>739</v>
      </c>
      <c r="AN4" s="4" t="s">
        <v>144</v>
      </c>
      <c r="AO4" s="4" t="s">
        <v>739</v>
      </c>
      <c r="AP4" s="4" t="s">
        <v>739</v>
      </c>
      <c r="AQ4" s="4" t="s">
        <v>739</v>
      </c>
      <c r="AR4" s="41" t="s">
        <v>744</v>
      </c>
      <c r="AS4" s="4">
        <v>3.37</v>
      </c>
      <c r="AT4" s="4">
        <v>8.8999999999999996E-2</v>
      </c>
      <c r="AU4" s="42">
        <v>2.69</v>
      </c>
      <c r="AV4" s="42">
        <v>3.82</v>
      </c>
      <c r="AW4" s="42">
        <v>3.33</v>
      </c>
      <c r="AX4" s="42">
        <v>8.8999999999999996E-2</v>
      </c>
      <c r="AY4" s="42">
        <v>2.74</v>
      </c>
      <c r="AZ4" s="42">
        <v>3.78</v>
      </c>
      <c r="BA4" s="2" t="s">
        <v>3</v>
      </c>
    </row>
    <row r="5" spans="1:53" s="2" customFormat="1" ht="102">
      <c r="A5" s="6" t="s">
        <v>579</v>
      </c>
      <c r="B5" s="6" t="s">
        <v>740</v>
      </c>
      <c r="C5" s="44" t="s">
        <v>212</v>
      </c>
      <c r="D5" s="6" t="s">
        <v>697</v>
      </c>
      <c r="E5" s="6" t="s">
        <v>697</v>
      </c>
      <c r="F5" s="6" t="s">
        <v>697</v>
      </c>
      <c r="G5" s="6" t="s">
        <v>739</v>
      </c>
      <c r="H5" s="6" t="s">
        <v>739</v>
      </c>
      <c r="I5" s="6" t="s">
        <v>739</v>
      </c>
      <c r="J5" s="6" t="s">
        <v>697</v>
      </c>
      <c r="K5" s="6" t="s">
        <v>697</v>
      </c>
      <c r="L5" s="6" t="s">
        <v>697</v>
      </c>
      <c r="M5" s="6" t="s">
        <v>697</v>
      </c>
      <c r="N5" s="6" t="s">
        <v>697</v>
      </c>
      <c r="O5" s="44">
        <v>2010</v>
      </c>
      <c r="P5" s="6" t="s">
        <v>697</v>
      </c>
      <c r="Q5" s="6" t="s">
        <v>697</v>
      </c>
      <c r="R5" s="15" t="s">
        <v>1026</v>
      </c>
      <c r="S5" s="6" t="s">
        <v>229</v>
      </c>
      <c r="T5" s="6" t="s">
        <v>78</v>
      </c>
      <c r="U5" s="6" t="s">
        <v>77</v>
      </c>
      <c r="V5" s="44" t="s">
        <v>875</v>
      </c>
      <c r="W5" s="45" t="s">
        <v>228</v>
      </c>
      <c r="X5" s="45" t="s">
        <v>961</v>
      </c>
      <c r="Y5" s="45" t="s">
        <v>960</v>
      </c>
      <c r="Z5" s="6" t="s">
        <v>739</v>
      </c>
      <c r="AA5" s="44" t="s">
        <v>76</v>
      </c>
      <c r="AB5" s="6" t="s">
        <v>739</v>
      </c>
      <c r="AC5" s="6">
        <v>4</v>
      </c>
      <c r="AD5" s="6">
        <v>4</v>
      </c>
      <c r="AE5" s="44" t="s">
        <v>1025</v>
      </c>
      <c r="AF5" s="6" t="s">
        <v>739</v>
      </c>
      <c r="AG5" s="6" t="s">
        <v>739</v>
      </c>
      <c r="AH5" s="6" t="s">
        <v>739</v>
      </c>
      <c r="AI5" s="6" t="s">
        <v>739</v>
      </c>
      <c r="AJ5" s="6" t="s">
        <v>739</v>
      </c>
      <c r="AK5" s="6" t="s">
        <v>739</v>
      </c>
      <c r="AL5" s="6" t="s">
        <v>739</v>
      </c>
      <c r="AM5" s="6" t="s">
        <v>739</v>
      </c>
      <c r="AN5" s="6" t="s">
        <v>144</v>
      </c>
      <c r="AO5" s="6" t="s">
        <v>739</v>
      </c>
      <c r="AP5" s="6" t="s">
        <v>739</v>
      </c>
      <c r="AQ5" s="6" t="s">
        <v>739</v>
      </c>
      <c r="AR5" s="44" t="s">
        <v>49</v>
      </c>
      <c r="AS5" s="6">
        <v>2.99</v>
      </c>
      <c r="AT5" s="6">
        <v>0.14000000000000001</v>
      </c>
      <c r="AU5" s="55">
        <v>1.96</v>
      </c>
      <c r="AV5" s="55">
        <v>3.98</v>
      </c>
      <c r="AW5" s="55">
        <v>2.92</v>
      </c>
      <c r="AX5" s="55">
        <v>0.14000000000000001</v>
      </c>
      <c r="AY5" s="55">
        <v>1.59</v>
      </c>
      <c r="AZ5" s="55">
        <v>3.75</v>
      </c>
      <c r="BA5" s="6" t="s">
        <v>3</v>
      </c>
    </row>
    <row r="6" spans="1:53">
      <c r="A6" s="1" t="s">
        <v>607</v>
      </c>
      <c r="B6" s="1" t="s">
        <v>604</v>
      </c>
      <c r="C6" s="1" t="s">
        <v>618</v>
      </c>
      <c r="D6" s="1" t="s">
        <v>208</v>
      </c>
      <c r="E6" s="1" t="s">
        <v>208</v>
      </c>
      <c r="F6" s="1" t="s">
        <v>208</v>
      </c>
      <c r="G6" s="1" t="s">
        <v>208</v>
      </c>
      <c r="H6" s="1" t="s">
        <v>208</v>
      </c>
      <c r="I6" s="1" t="s">
        <v>208</v>
      </c>
      <c r="J6" s="1" t="s">
        <v>208</v>
      </c>
      <c r="K6" s="1" t="s">
        <v>208</v>
      </c>
      <c r="L6" s="1" t="s">
        <v>208</v>
      </c>
      <c r="M6" s="1" t="s">
        <v>208</v>
      </c>
      <c r="N6" s="1" t="s">
        <v>208</v>
      </c>
      <c r="O6" s="2">
        <v>2002</v>
      </c>
      <c r="P6" s="1" t="s">
        <v>208</v>
      </c>
      <c r="Q6" s="1" t="s">
        <v>208</v>
      </c>
      <c r="R6" s="4" t="s">
        <v>866</v>
      </c>
      <c r="S6" s="1" t="s">
        <v>865</v>
      </c>
      <c r="T6" s="4" t="s">
        <v>745</v>
      </c>
      <c r="U6" s="1" t="s">
        <v>136</v>
      </c>
      <c r="V6" s="1" t="s">
        <v>135</v>
      </c>
      <c r="W6" s="1" t="s">
        <v>877</v>
      </c>
      <c r="X6" s="1" t="s">
        <v>13</v>
      </c>
      <c r="Y6" s="1" t="s">
        <v>1034</v>
      </c>
      <c r="Z6" s="1" t="s">
        <v>208</v>
      </c>
      <c r="AA6" s="1" t="s">
        <v>208</v>
      </c>
      <c r="AB6" s="1" t="s">
        <v>208</v>
      </c>
      <c r="AC6" s="1">
        <v>3</v>
      </c>
      <c r="AD6" s="1">
        <v>3</v>
      </c>
      <c r="AE6" s="1" t="s">
        <v>208</v>
      </c>
      <c r="AF6" s="1" t="s">
        <v>208</v>
      </c>
      <c r="AG6" s="1" t="s">
        <v>208</v>
      </c>
      <c r="AH6" s="1" t="s">
        <v>208</v>
      </c>
      <c r="AI6" s="1" t="s">
        <v>208</v>
      </c>
      <c r="AJ6" s="1" t="s">
        <v>208</v>
      </c>
      <c r="AK6" s="1" t="s">
        <v>208</v>
      </c>
      <c r="AL6" s="1" t="s">
        <v>208</v>
      </c>
      <c r="AM6" s="1" t="s">
        <v>207</v>
      </c>
      <c r="AN6" s="1" t="s">
        <v>144</v>
      </c>
      <c r="AO6" s="1" t="s">
        <v>208</v>
      </c>
      <c r="AP6" s="1" t="s">
        <v>208</v>
      </c>
      <c r="AQ6" s="1" t="s">
        <v>208</v>
      </c>
      <c r="AR6" s="1" t="s">
        <v>208</v>
      </c>
      <c r="AS6" s="1">
        <v>3.64</v>
      </c>
      <c r="AT6" s="4" t="s">
        <v>570</v>
      </c>
      <c r="AU6" s="1">
        <v>0.13</v>
      </c>
      <c r="AV6" s="4" t="s">
        <v>570</v>
      </c>
      <c r="AW6" s="1">
        <v>3.79</v>
      </c>
      <c r="AX6" s="4" t="s">
        <v>570</v>
      </c>
      <c r="AY6" s="1">
        <v>0.13</v>
      </c>
      <c r="AZ6" s="4" t="s">
        <v>435</v>
      </c>
      <c r="BA6" s="1" t="s">
        <v>137</v>
      </c>
    </row>
    <row r="7" spans="1:53">
      <c r="A7" s="6" t="s">
        <v>607</v>
      </c>
      <c r="B7" s="6" t="s">
        <v>604</v>
      </c>
      <c r="C7" s="6" t="s">
        <v>18</v>
      </c>
      <c r="D7" s="6" t="s">
        <v>209</v>
      </c>
      <c r="E7" s="6" t="s">
        <v>209</v>
      </c>
      <c r="F7" s="6" t="s">
        <v>209</v>
      </c>
      <c r="G7" s="6" t="s">
        <v>209</v>
      </c>
      <c r="H7" s="6" t="s">
        <v>209</v>
      </c>
      <c r="I7" s="6" t="s">
        <v>209</v>
      </c>
      <c r="J7" s="6" t="s">
        <v>209</v>
      </c>
      <c r="K7" s="6" t="s">
        <v>209</v>
      </c>
      <c r="L7" s="6" t="s">
        <v>209</v>
      </c>
      <c r="M7" s="6" t="s">
        <v>209</v>
      </c>
      <c r="N7" s="6" t="s">
        <v>209</v>
      </c>
      <c r="O7" s="6" t="s">
        <v>416</v>
      </c>
      <c r="P7" s="6" t="s">
        <v>209</v>
      </c>
      <c r="Q7" s="6" t="s">
        <v>209</v>
      </c>
      <c r="R7" s="6" t="s">
        <v>866</v>
      </c>
      <c r="S7" s="6" t="s">
        <v>865</v>
      </c>
      <c r="T7" s="6" t="s">
        <v>124</v>
      </c>
      <c r="U7" s="6" t="s">
        <v>136</v>
      </c>
      <c r="V7" s="6" t="s">
        <v>135</v>
      </c>
      <c r="W7" s="6" t="s">
        <v>878</v>
      </c>
      <c r="X7" s="6" t="s">
        <v>13</v>
      </c>
      <c r="Y7" s="6" t="s">
        <v>1034</v>
      </c>
      <c r="Z7" s="6" t="s">
        <v>209</v>
      </c>
      <c r="AA7" s="6" t="s">
        <v>209</v>
      </c>
      <c r="AB7" s="6" t="s">
        <v>209</v>
      </c>
      <c r="AC7" s="6">
        <v>3</v>
      </c>
      <c r="AD7" s="6">
        <v>3</v>
      </c>
      <c r="AE7" s="6" t="s">
        <v>209</v>
      </c>
      <c r="AF7" s="6" t="s">
        <v>209</v>
      </c>
      <c r="AG7" s="6" t="s">
        <v>209</v>
      </c>
      <c r="AH7" s="6" t="s">
        <v>209</v>
      </c>
      <c r="AI7" s="6" t="s">
        <v>209</v>
      </c>
      <c r="AJ7" s="6" t="s">
        <v>209</v>
      </c>
      <c r="AK7" s="6" t="s">
        <v>209</v>
      </c>
      <c r="AL7" s="6" t="s">
        <v>209</v>
      </c>
      <c r="AM7" s="6" t="s">
        <v>207</v>
      </c>
      <c r="AN7" s="6" t="s">
        <v>144</v>
      </c>
      <c r="AO7" s="6" t="s">
        <v>209</v>
      </c>
      <c r="AP7" s="6" t="s">
        <v>209</v>
      </c>
      <c r="AQ7" s="6" t="s">
        <v>209</v>
      </c>
      <c r="AR7" s="6" t="s">
        <v>209</v>
      </c>
      <c r="AS7" s="6">
        <v>3.34</v>
      </c>
      <c r="AT7" s="6" t="s">
        <v>570</v>
      </c>
      <c r="AU7" s="6">
        <v>6.7000000000000004E-2</v>
      </c>
      <c r="AV7" s="6" t="s">
        <v>570</v>
      </c>
      <c r="AW7" s="6">
        <v>3.53</v>
      </c>
      <c r="AX7" s="6" t="s">
        <v>570</v>
      </c>
      <c r="AY7" s="6">
        <v>6.7000000000000004E-2</v>
      </c>
      <c r="AZ7" s="6" t="s">
        <v>435</v>
      </c>
      <c r="BA7" s="6" t="s">
        <v>137</v>
      </c>
    </row>
    <row r="8" spans="1:53" ht="13.2">
      <c r="AP8" s="65"/>
      <c r="AQ8" s="65"/>
    </row>
    <row r="9" spans="1:53" ht="13.2">
      <c r="AP9" s="65"/>
      <c r="AQ9" s="65"/>
    </row>
    <row r="10" spans="1:53" ht="13.2">
      <c r="C10" s="65"/>
      <c r="AP10" s="65"/>
      <c r="AQ10" s="65"/>
    </row>
    <row r="11" spans="1:53" ht="13.2">
      <c r="AP11" s="65"/>
      <c r="AQ11" s="65"/>
    </row>
    <row r="12" spans="1:53" ht="13.2">
      <c r="AP12" s="65"/>
      <c r="AQ12" s="65"/>
    </row>
  </sheetData>
  <mergeCells count="2">
    <mergeCell ref="AY1:AZ1"/>
    <mergeCell ref="AU1:AV1"/>
  </mergeCells>
  <phoneticPr fontId="1" type="noConversion"/>
  <pageMargins left="0.75" right="0.75" top="1" bottom="1" header="0.4921259845" footer="0.492125984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"/>
  <sheetViews>
    <sheetView zoomScale="85" zoomScaleNormal="85" zoomScalePageLayoutView="125" workbookViewId="0">
      <pane xSplit="1" ySplit="1" topLeftCell="AD2" activePane="bottomRight" state="frozen"/>
      <selection pane="topRight" activeCell="B1" sqref="B1"/>
      <selection pane="bottomLeft" activeCell="A2" sqref="A2"/>
      <selection pane="bottomRight" activeCell="BC1" sqref="BC1"/>
    </sheetView>
  </sheetViews>
  <sheetFormatPr defaultColWidth="8.33203125" defaultRowHeight="10.199999999999999"/>
  <cols>
    <col min="1" max="1" width="10.77734375" style="1" customWidth="1"/>
    <col min="2" max="2" width="6.33203125" style="1" customWidth="1"/>
    <col min="3" max="3" width="78" style="1" customWidth="1"/>
    <col min="4" max="4" width="13.77734375" style="1" customWidth="1"/>
    <col min="5" max="5" width="11.44140625" style="1" customWidth="1"/>
    <col min="6" max="9" width="13.77734375" style="1" customWidth="1"/>
    <col min="10" max="10" width="9" style="1" customWidth="1"/>
    <col min="11" max="11" width="10.109375" style="1" customWidth="1"/>
    <col min="12" max="12" width="9.77734375" style="1" customWidth="1"/>
    <col min="13" max="13" width="8.44140625" style="1" customWidth="1"/>
    <col min="14" max="14" width="14.44140625" style="1" customWidth="1"/>
    <col min="15" max="15" width="12.77734375" style="1" customWidth="1"/>
    <col min="16" max="16" width="10.109375" style="1" customWidth="1"/>
    <col min="17" max="17" width="28.77734375" style="1" customWidth="1"/>
    <col min="18" max="18" width="42.44140625" style="1" customWidth="1"/>
    <col min="19" max="19" width="20" style="1" customWidth="1"/>
    <col min="20" max="20" width="40.6640625" style="1" customWidth="1"/>
    <col min="21" max="21" width="13.33203125" style="1" customWidth="1"/>
    <col min="22" max="22" width="28.33203125" style="1" customWidth="1"/>
    <col min="23" max="24" width="23.33203125" style="1" customWidth="1"/>
    <col min="25" max="25" width="37.44140625" style="1" customWidth="1"/>
    <col min="26" max="26" width="12.44140625" style="1" customWidth="1"/>
    <col min="27" max="27" width="27.109375" style="1" customWidth="1"/>
    <col min="28" max="28" width="15" style="1" customWidth="1"/>
    <col min="29" max="30" width="7.77734375" style="1" customWidth="1"/>
    <col min="31" max="31" width="17.44140625" style="1" customWidth="1"/>
    <col min="32" max="34" width="10.6640625" style="1" customWidth="1"/>
    <col min="35" max="35" width="10.33203125" style="1" customWidth="1"/>
    <col min="36" max="36" width="12.109375" style="1" customWidth="1"/>
    <col min="37" max="37" width="19" style="1" customWidth="1"/>
    <col min="38" max="38" width="10.77734375" style="1" customWidth="1"/>
    <col min="39" max="39" width="15.33203125" style="1" customWidth="1"/>
    <col min="40" max="41" width="10.77734375" style="1" customWidth="1"/>
    <col min="42" max="42" width="14.77734375" style="1" customWidth="1"/>
    <col min="43" max="44" width="10.77734375" style="1" customWidth="1"/>
    <col min="45" max="46" width="7" style="1" customWidth="1"/>
    <col min="47" max="47" width="7.109375" style="1" customWidth="1"/>
    <col min="48" max="49" width="6.109375" style="1" customWidth="1"/>
    <col min="50" max="51" width="7.77734375" style="1" customWidth="1"/>
    <col min="52" max="52" width="7" style="1" customWidth="1"/>
    <col min="53" max="55" width="7.6640625" style="1" customWidth="1"/>
    <col min="56" max="16384" width="8.33203125" style="1"/>
  </cols>
  <sheetData>
    <row r="1" spans="1:55" s="3" customFormat="1" ht="66" customHeight="1">
      <c r="A1" s="62" t="s">
        <v>279</v>
      </c>
      <c r="B1" s="10" t="s">
        <v>87</v>
      </c>
      <c r="C1" s="10" t="s">
        <v>88</v>
      </c>
      <c r="D1" s="10" t="s">
        <v>520</v>
      </c>
      <c r="E1" s="10" t="s">
        <v>521</v>
      </c>
      <c r="F1" s="10" t="s">
        <v>89</v>
      </c>
      <c r="G1" s="10" t="s">
        <v>90</v>
      </c>
      <c r="H1" s="10" t="s">
        <v>91</v>
      </c>
      <c r="I1" s="10" t="s">
        <v>92</v>
      </c>
      <c r="J1" s="10" t="s">
        <v>522</v>
      </c>
      <c r="K1" s="62" t="s">
        <v>109</v>
      </c>
      <c r="L1" s="62" t="s">
        <v>110</v>
      </c>
      <c r="M1" s="10" t="s">
        <v>267</v>
      </c>
      <c r="N1" s="10" t="s">
        <v>268</v>
      </c>
      <c r="O1" s="10" t="s">
        <v>269</v>
      </c>
      <c r="P1" s="10" t="s">
        <v>270</v>
      </c>
      <c r="Q1" s="62" t="s">
        <v>275</v>
      </c>
      <c r="R1" s="10" t="s">
        <v>276</v>
      </c>
      <c r="S1" s="10" t="s">
        <v>911</v>
      </c>
      <c r="T1" s="10" t="s">
        <v>85</v>
      </c>
      <c r="U1" s="70" t="s">
        <v>168</v>
      </c>
      <c r="V1" s="10" t="s">
        <v>280</v>
      </c>
      <c r="W1" s="62" t="s">
        <v>462</v>
      </c>
      <c r="X1" s="71" t="s">
        <v>232</v>
      </c>
      <c r="Y1" s="71" t="s">
        <v>807</v>
      </c>
      <c r="Z1" s="10" t="s">
        <v>465</v>
      </c>
      <c r="AA1" s="10" t="s">
        <v>466</v>
      </c>
      <c r="AB1" s="10" t="s">
        <v>467</v>
      </c>
      <c r="AC1" s="62" t="s">
        <v>252</v>
      </c>
      <c r="AD1" s="62" t="s">
        <v>253</v>
      </c>
      <c r="AE1" s="62" t="s">
        <v>254</v>
      </c>
      <c r="AF1" s="62" t="s">
        <v>255</v>
      </c>
      <c r="AG1" s="62" t="s">
        <v>256</v>
      </c>
      <c r="AH1" s="62" t="s">
        <v>257</v>
      </c>
      <c r="AI1" s="62" t="s">
        <v>258</v>
      </c>
      <c r="AJ1" s="62" t="s">
        <v>259</v>
      </c>
      <c r="AK1" s="62" t="s">
        <v>260</v>
      </c>
      <c r="AL1" s="62" t="s">
        <v>261</v>
      </c>
      <c r="AM1" s="62" t="s">
        <v>262</v>
      </c>
      <c r="AN1" s="62" t="s">
        <v>263</v>
      </c>
      <c r="AO1" s="62" t="s">
        <v>264</v>
      </c>
      <c r="AP1" s="62" t="s">
        <v>117</v>
      </c>
      <c r="AQ1" s="62" t="s">
        <v>118</v>
      </c>
      <c r="AR1" s="62" t="s">
        <v>348</v>
      </c>
      <c r="AS1" s="62" t="s">
        <v>598</v>
      </c>
      <c r="AT1" s="62" t="s">
        <v>407</v>
      </c>
      <c r="AU1" s="102" t="s">
        <v>408</v>
      </c>
      <c r="AV1" s="103"/>
      <c r="AW1" s="62" t="s">
        <v>334</v>
      </c>
      <c r="AX1" s="62" t="s">
        <v>409</v>
      </c>
      <c r="AY1" s="62" t="s">
        <v>410</v>
      </c>
      <c r="AZ1" s="104" t="s">
        <v>411</v>
      </c>
      <c r="BA1" s="105"/>
      <c r="BB1" s="62" t="s">
        <v>335</v>
      </c>
      <c r="BC1" s="62" t="s">
        <v>412</v>
      </c>
    </row>
    <row r="2" spans="1:55" ht="30.6">
      <c r="A2" s="1" t="s">
        <v>512</v>
      </c>
      <c r="B2" s="1" t="s">
        <v>508</v>
      </c>
      <c r="C2" s="24" t="s">
        <v>247</v>
      </c>
      <c r="D2" s="1" t="s">
        <v>248</v>
      </c>
      <c r="E2" s="1" t="s">
        <v>249</v>
      </c>
      <c r="F2" s="1" t="s">
        <v>570</v>
      </c>
      <c r="G2" s="1" t="s">
        <v>570</v>
      </c>
      <c r="H2" s="1" t="s">
        <v>570</v>
      </c>
      <c r="I2" s="1" t="s">
        <v>570</v>
      </c>
      <c r="J2" s="23" t="s">
        <v>570</v>
      </c>
      <c r="K2" s="23" t="s">
        <v>570</v>
      </c>
      <c r="L2" s="23" t="s">
        <v>570</v>
      </c>
      <c r="M2" s="23" t="s">
        <v>570</v>
      </c>
      <c r="N2" s="23" t="s">
        <v>570</v>
      </c>
      <c r="O2" s="1" t="s">
        <v>250</v>
      </c>
      <c r="P2" s="37" t="s">
        <v>570</v>
      </c>
      <c r="Q2" s="37" t="s">
        <v>570</v>
      </c>
      <c r="R2" s="24" t="s">
        <v>326</v>
      </c>
      <c r="S2" s="24"/>
      <c r="T2" s="2" t="s">
        <v>570</v>
      </c>
      <c r="U2" s="1" t="s">
        <v>513</v>
      </c>
      <c r="V2" s="25" t="s">
        <v>327</v>
      </c>
      <c r="W2" s="1" t="s">
        <v>433</v>
      </c>
      <c r="X2" s="1" t="s">
        <v>131</v>
      </c>
      <c r="Y2" s="24" t="s">
        <v>972</v>
      </c>
      <c r="Z2" s="1" t="s">
        <v>570</v>
      </c>
      <c r="AA2" s="1" t="s">
        <v>489</v>
      </c>
      <c r="AB2" s="1" t="s">
        <v>570</v>
      </c>
      <c r="AC2" s="1">
        <v>18</v>
      </c>
      <c r="AD2" s="1">
        <v>18</v>
      </c>
      <c r="AF2" s="1" t="s">
        <v>776</v>
      </c>
      <c r="AG2" s="37" t="s">
        <v>570</v>
      </c>
      <c r="AH2" s="37" t="s">
        <v>570</v>
      </c>
      <c r="AI2" s="37" t="s">
        <v>570</v>
      </c>
      <c r="AJ2" s="37" t="s">
        <v>570</v>
      </c>
      <c r="AK2" s="37" t="s">
        <v>570</v>
      </c>
      <c r="AL2" s="37" t="s">
        <v>570</v>
      </c>
      <c r="AM2" s="37" t="s">
        <v>570</v>
      </c>
      <c r="AN2" s="37" t="s">
        <v>570</v>
      </c>
      <c r="AO2" s="2" t="s">
        <v>570</v>
      </c>
      <c r="AP2" s="37" t="s">
        <v>570</v>
      </c>
      <c r="AQ2" s="37" t="s">
        <v>570</v>
      </c>
      <c r="AR2" s="37" t="s">
        <v>570</v>
      </c>
      <c r="AS2" s="38">
        <v>2.57</v>
      </c>
      <c r="AT2" s="37" t="s">
        <v>570</v>
      </c>
      <c r="AU2" s="38">
        <v>2.08</v>
      </c>
      <c r="AV2" s="38">
        <v>3.18</v>
      </c>
      <c r="AW2" s="38">
        <f>(AV2-AU2)/4</f>
        <v>0.27500000000000002</v>
      </c>
      <c r="AX2" s="38">
        <v>2.4700000000000002</v>
      </c>
      <c r="AY2" s="37" t="s">
        <v>570</v>
      </c>
      <c r="AZ2" s="38">
        <v>1.41</v>
      </c>
      <c r="BA2" s="38">
        <v>4.41</v>
      </c>
      <c r="BB2" s="38">
        <f>(BA2-AZ2)/4</f>
        <v>0.75</v>
      </c>
      <c r="BC2" s="38" t="s">
        <v>457</v>
      </c>
    </row>
    <row r="3" spans="1:55" ht="30.6">
      <c r="A3" s="6" t="s">
        <v>512</v>
      </c>
      <c r="B3" s="6" t="s">
        <v>508</v>
      </c>
      <c r="C3" s="15" t="s">
        <v>247</v>
      </c>
      <c r="D3" s="6" t="s">
        <v>248</v>
      </c>
      <c r="E3" s="6" t="s">
        <v>249</v>
      </c>
      <c r="F3" s="6" t="s">
        <v>570</v>
      </c>
      <c r="G3" s="6" t="s">
        <v>570</v>
      </c>
      <c r="H3" s="6" t="s">
        <v>570</v>
      </c>
      <c r="I3" s="6" t="s">
        <v>570</v>
      </c>
      <c r="J3" s="34" t="s">
        <v>570</v>
      </c>
      <c r="K3" s="34" t="s">
        <v>570</v>
      </c>
      <c r="L3" s="34" t="s">
        <v>570</v>
      </c>
      <c r="M3" s="34" t="s">
        <v>570</v>
      </c>
      <c r="N3" s="34" t="s">
        <v>570</v>
      </c>
      <c r="O3" s="6" t="s">
        <v>250</v>
      </c>
      <c r="P3" s="39" t="s">
        <v>570</v>
      </c>
      <c r="Q3" s="39" t="s">
        <v>570</v>
      </c>
      <c r="R3" s="15" t="s">
        <v>326</v>
      </c>
      <c r="S3" s="15"/>
      <c r="T3" s="6" t="s">
        <v>570</v>
      </c>
      <c r="U3" s="6" t="s">
        <v>513</v>
      </c>
      <c r="V3" s="21" t="s">
        <v>501</v>
      </c>
      <c r="W3" s="1" t="s">
        <v>434</v>
      </c>
      <c r="X3" s="6" t="s">
        <v>131</v>
      </c>
      <c r="Y3" s="45" t="s">
        <v>972</v>
      </c>
      <c r="Z3" s="6" t="s">
        <v>570</v>
      </c>
      <c r="AA3" s="6" t="s">
        <v>489</v>
      </c>
      <c r="AB3" s="6" t="s">
        <v>570</v>
      </c>
      <c r="AC3" s="6">
        <v>18</v>
      </c>
      <c r="AD3" s="6">
        <v>18</v>
      </c>
      <c r="AE3" s="6"/>
      <c r="AF3" s="15" t="s">
        <v>777</v>
      </c>
      <c r="AG3" s="39" t="s">
        <v>570</v>
      </c>
      <c r="AH3" s="39" t="s">
        <v>570</v>
      </c>
      <c r="AI3" s="39" t="s">
        <v>570</v>
      </c>
      <c r="AJ3" s="39" t="s">
        <v>570</v>
      </c>
      <c r="AK3" s="39" t="s">
        <v>570</v>
      </c>
      <c r="AL3" s="39" t="s">
        <v>570</v>
      </c>
      <c r="AM3" s="39" t="s">
        <v>570</v>
      </c>
      <c r="AN3" s="39" t="s">
        <v>570</v>
      </c>
      <c r="AO3" s="6" t="s">
        <v>570</v>
      </c>
      <c r="AP3" s="39" t="s">
        <v>570</v>
      </c>
      <c r="AQ3" s="39" t="s">
        <v>570</v>
      </c>
      <c r="AR3" s="39" t="s">
        <v>570</v>
      </c>
      <c r="AS3" s="40">
        <v>2.59</v>
      </c>
      <c r="AT3" s="39" t="s">
        <v>570</v>
      </c>
      <c r="AU3" s="40">
        <v>1.85</v>
      </c>
      <c r="AV3" s="40">
        <v>3.58</v>
      </c>
      <c r="AW3" s="40">
        <f>(AV3-AU3)/4</f>
        <v>0.4325</v>
      </c>
      <c r="AX3" s="40">
        <v>2.33</v>
      </c>
      <c r="AY3" s="39" t="s">
        <v>570</v>
      </c>
      <c r="AZ3" s="40">
        <v>1.83</v>
      </c>
      <c r="BA3" s="40">
        <v>3.05</v>
      </c>
      <c r="BB3" s="40">
        <f>(BA3-AZ3)/4</f>
        <v>0.30499999999999994</v>
      </c>
      <c r="BC3" s="40" t="s">
        <v>457</v>
      </c>
    </row>
    <row r="4" spans="1:55" s="2" customFormat="1" ht="102">
      <c r="A4" s="2" t="s">
        <v>502</v>
      </c>
      <c r="B4" s="2" t="s">
        <v>508</v>
      </c>
      <c r="C4" s="41" t="s">
        <v>810</v>
      </c>
      <c r="D4" s="2" t="s">
        <v>570</v>
      </c>
      <c r="E4" s="2" t="s">
        <v>570</v>
      </c>
      <c r="F4" s="2" t="s">
        <v>570</v>
      </c>
      <c r="G4" s="2" t="s">
        <v>570</v>
      </c>
      <c r="H4" s="2" t="s">
        <v>570</v>
      </c>
      <c r="I4" s="2" t="s">
        <v>570</v>
      </c>
      <c r="J4" s="2" t="s">
        <v>570</v>
      </c>
      <c r="K4" s="2" t="s">
        <v>570</v>
      </c>
      <c r="L4" s="2" t="s">
        <v>570</v>
      </c>
      <c r="M4" s="2" t="s">
        <v>570</v>
      </c>
      <c r="N4" s="2" t="s">
        <v>570</v>
      </c>
      <c r="O4" s="41">
        <v>2010</v>
      </c>
      <c r="P4" s="2" t="s">
        <v>570</v>
      </c>
      <c r="Q4" s="2" t="s">
        <v>570</v>
      </c>
      <c r="R4" s="19" t="s">
        <v>1026</v>
      </c>
      <c r="S4" s="2" t="s">
        <v>374</v>
      </c>
      <c r="T4" s="2" t="s">
        <v>811</v>
      </c>
      <c r="U4" s="2" t="s">
        <v>812</v>
      </c>
      <c r="V4" s="42" t="s">
        <v>813</v>
      </c>
      <c r="W4" s="43" t="s">
        <v>436</v>
      </c>
      <c r="X4" s="72" t="s">
        <v>131</v>
      </c>
      <c r="Y4" s="72" t="s">
        <v>959</v>
      </c>
      <c r="Z4" s="2" t="s">
        <v>570</v>
      </c>
      <c r="AA4" s="42" t="s">
        <v>814</v>
      </c>
      <c r="AB4" s="2" t="s">
        <v>570</v>
      </c>
      <c r="AC4" s="2">
        <v>4</v>
      </c>
      <c r="AD4" s="2">
        <v>4</v>
      </c>
      <c r="AE4" s="4" t="s">
        <v>570</v>
      </c>
      <c r="AF4" s="4" t="s">
        <v>570</v>
      </c>
      <c r="AG4" s="4" t="s">
        <v>570</v>
      </c>
      <c r="AH4" s="4" t="s">
        <v>570</v>
      </c>
      <c r="AI4" s="4" t="s">
        <v>570</v>
      </c>
      <c r="AJ4" s="4" t="s">
        <v>570</v>
      </c>
      <c r="AK4" s="4" t="s">
        <v>570</v>
      </c>
      <c r="AL4" s="4" t="s">
        <v>570</v>
      </c>
      <c r="AM4" s="4" t="s">
        <v>570</v>
      </c>
      <c r="AN4" s="4" t="s">
        <v>570</v>
      </c>
      <c r="AO4" s="4" t="s">
        <v>570</v>
      </c>
      <c r="AP4" s="4" t="s">
        <v>570</v>
      </c>
      <c r="AQ4" s="4" t="s">
        <v>570</v>
      </c>
      <c r="AR4" s="41" t="s">
        <v>763</v>
      </c>
      <c r="AS4" s="4">
        <v>3.07</v>
      </c>
      <c r="AT4" s="4">
        <v>9.5000000000000001E-2</v>
      </c>
      <c r="AU4" s="4">
        <v>2.27</v>
      </c>
      <c r="AV4" s="4">
        <v>4.0999999999999996</v>
      </c>
      <c r="AW4" s="2">
        <f>(AV4-AU4)/4</f>
        <v>0.45749999999999991</v>
      </c>
      <c r="AX4" s="2">
        <v>3.25</v>
      </c>
      <c r="AY4" s="2">
        <v>9.6000000000000002E-2</v>
      </c>
      <c r="AZ4" s="2">
        <v>3.18</v>
      </c>
      <c r="BA4" s="2">
        <v>4.3600000000000003</v>
      </c>
      <c r="BB4" s="2">
        <f>(BA4-AZ4)/4</f>
        <v>0.29500000000000004</v>
      </c>
      <c r="BC4" s="2" t="s">
        <v>457</v>
      </c>
    </row>
    <row r="5" spans="1:55" s="2" customFormat="1" ht="102">
      <c r="A5" s="6" t="s">
        <v>502</v>
      </c>
      <c r="B5" s="6" t="s">
        <v>508</v>
      </c>
      <c r="C5" s="44" t="s">
        <v>493</v>
      </c>
      <c r="D5" s="6" t="s">
        <v>570</v>
      </c>
      <c r="E5" s="6" t="s">
        <v>570</v>
      </c>
      <c r="F5" s="6" t="s">
        <v>570</v>
      </c>
      <c r="G5" s="6" t="s">
        <v>570</v>
      </c>
      <c r="H5" s="6" t="s">
        <v>570</v>
      </c>
      <c r="I5" s="6" t="s">
        <v>570</v>
      </c>
      <c r="J5" s="6" t="s">
        <v>570</v>
      </c>
      <c r="K5" s="6" t="s">
        <v>570</v>
      </c>
      <c r="L5" s="6" t="s">
        <v>570</v>
      </c>
      <c r="M5" s="6" t="s">
        <v>570</v>
      </c>
      <c r="N5" s="6" t="s">
        <v>570</v>
      </c>
      <c r="O5" s="44">
        <v>2010</v>
      </c>
      <c r="P5" s="6" t="s">
        <v>570</v>
      </c>
      <c r="Q5" s="6" t="s">
        <v>570</v>
      </c>
      <c r="R5" s="15" t="s">
        <v>1026</v>
      </c>
      <c r="S5" s="6" t="s">
        <v>374</v>
      </c>
      <c r="T5" s="6" t="s">
        <v>811</v>
      </c>
      <c r="U5" s="6" t="s">
        <v>812</v>
      </c>
      <c r="V5" s="44" t="s">
        <v>484</v>
      </c>
      <c r="W5" s="45" t="s">
        <v>436</v>
      </c>
      <c r="X5" s="45" t="s">
        <v>961</v>
      </c>
      <c r="Y5" s="45" t="s">
        <v>960</v>
      </c>
      <c r="Z5" s="6" t="s">
        <v>570</v>
      </c>
      <c r="AA5" s="44" t="s">
        <v>485</v>
      </c>
      <c r="AB5" s="6" t="s">
        <v>570</v>
      </c>
      <c r="AC5" s="6">
        <v>4</v>
      </c>
      <c r="AD5" s="6">
        <v>4</v>
      </c>
      <c r="AE5" s="44" t="s">
        <v>325</v>
      </c>
      <c r="AF5" s="6" t="s">
        <v>570</v>
      </c>
      <c r="AG5" s="6" t="s">
        <v>570</v>
      </c>
      <c r="AH5" s="6" t="s">
        <v>570</v>
      </c>
      <c r="AI5" s="6" t="s">
        <v>570</v>
      </c>
      <c r="AJ5" s="6" t="s">
        <v>570</v>
      </c>
      <c r="AK5" s="6" t="s">
        <v>570</v>
      </c>
      <c r="AL5" s="6" t="s">
        <v>570</v>
      </c>
      <c r="AM5" s="6" t="s">
        <v>570</v>
      </c>
      <c r="AN5" s="6" t="s">
        <v>570</v>
      </c>
      <c r="AO5" s="6" t="s">
        <v>570</v>
      </c>
      <c r="AP5" s="6" t="s">
        <v>570</v>
      </c>
      <c r="AQ5" s="6" t="s">
        <v>570</v>
      </c>
      <c r="AR5" s="44" t="s">
        <v>176</v>
      </c>
      <c r="AS5" s="6">
        <v>4.2699999999999996</v>
      </c>
      <c r="AT5" s="6">
        <v>7.2999999999999995E-2</v>
      </c>
      <c r="AU5" s="6">
        <v>3.6</v>
      </c>
      <c r="AV5" s="6">
        <v>4.79</v>
      </c>
      <c r="AW5" s="6">
        <f>(AV5-AU5)/4</f>
        <v>0.29749999999999999</v>
      </c>
      <c r="AX5" s="6">
        <v>4.4400000000000004</v>
      </c>
      <c r="AY5" s="6">
        <v>7.2999999999999995E-2</v>
      </c>
      <c r="AZ5" s="6">
        <v>3.8</v>
      </c>
      <c r="BA5" s="6">
        <v>4.87</v>
      </c>
      <c r="BB5" s="6">
        <f>(BA5-AZ5)/4</f>
        <v>0.26750000000000007</v>
      </c>
      <c r="BC5" s="6" t="s">
        <v>457</v>
      </c>
    </row>
    <row r="6" spans="1:55">
      <c r="A6" s="1" t="s">
        <v>607</v>
      </c>
      <c r="B6" s="1" t="s">
        <v>604</v>
      </c>
      <c r="C6" s="1" t="s">
        <v>618</v>
      </c>
      <c r="D6" s="1" t="s">
        <v>570</v>
      </c>
      <c r="E6" s="1" t="s">
        <v>570</v>
      </c>
      <c r="F6" s="1" t="s">
        <v>570</v>
      </c>
      <c r="G6" s="1" t="s">
        <v>570</v>
      </c>
      <c r="H6" s="1" t="s">
        <v>570</v>
      </c>
      <c r="I6" s="1" t="s">
        <v>570</v>
      </c>
      <c r="J6" s="1" t="s">
        <v>570</v>
      </c>
      <c r="K6" s="1" t="s">
        <v>570</v>
      </c>
      <c r="L6" s="1" t="s">
        <v>570</v>
      </c>
      <c r="M6" s="1" t="s">
        <v>570</v>
      </c>
      <c r="N6" s="1" t="s">
        <v>570</v>
      </c>
      <c r="O6" s="2">
        <v>2002</v>
      </c>
      <c r="P6" s="1" t="s">
        <v>570</v>
      </c>
      <c r="Q6" s="1" t="s">
        <v>570</v>
      </c>
      <c r="R6" s="4" t="s">
        <v>178</v>
      </c>
      <c r="S6" s="1" t="s">
        <v>374</v>
      </c>
      <c r="T6" s="4" t="s">
        <v>745</v>
      </c>
      <c r="U6" s="1" t="s">
        <v>136</v>
      </c>
      <c r="V6" s="1" t="s">
        <v>179</v>
      </c>
      <c r="W6" s="1" t="s">
        <v>180</v>
      </c>
      <c r="X6" s="1" t="s">
        <v>13</v>
      </c>
      <c r="Y6" s="1" t="s">
        <v>1034</v>
      </c>
      <c r="Z6" s="1" t="s">
        <v>570</v>
      </c>
      <c r="AA6" s="1" t="s">
        <v>570</v>
      </c>
      <c r="AB6" s="1" t="s">
        <v>570</v>
      </c>
      <c r="AC6" s="1">
        <v>3</v>
      </c>
      <c r="AD6" s="1">
        <v>3</v>
      </c>
      <c r="AE6" s="1" t="s">
        <v>570</v>
      </c>
      <c r="AF6" s="1" t="s">
        <v>570</v>
      </c>
      <c r="AG6" s="1" t="s">
        <v>570</v>
      </c>
      <c r="AH6" s="1" t="s">
        <v>570</v>
      </c>
      <c r="AI6" s="1" t="s">
        <v>570</v>
      </c>
      <c r="AJ6" s="1" t="s">
        <v>570</v>
      </c>
      <c r="AK6" s="1" t="s">
        <v>570</v>
      </c>
      <c r="AL6" s="1" t="s">
        <v>570</v>
      </c>
      <c r="AM6" s="1" t="s">
        <v>570</v>
      </c>
      <c r="AN6" s="1" t="s">
        <v>570</v>
      </c>
      <c r="AO6" s="1" t="s">
        <v>570</v>
      </c>
      <c r="AP6" s="1" t="s">
        <v>570</v>
      </c>
      <c r="AQ6" s="1" t="s">
        <v>570</v>
      </c>
      <c r="AR6" s="1" t="s">
        <v>570</v>
      </c>
      <c r="AS6" s="1">
        <v>3.77</v>
      </c>
      <c r="AT6" s="1">
        <v>0.16</v>
      </c>
      <c r="AU6" s="4" t="s">
        <v>570</v>
      </c>
      <c r="AV6" s="4" t="s">
        <v>570</v>
      </c>
      <c r="AW6" s="2">
        <f>AT6*SQRT(AC6)</f>
        <v>0.27712812921102037</v>
      </c>
      <c r="AX6" s="1">
        <v>3.54</v>
      </c>
      <c r="AY6" s="1">
        <v>0.16</v>
      </c>
      <c r="AZ6" s="4" t="s">
        <v>570</v>
      </c>
      <c r="BA6" s="4" t="s">
        <v>570</v>
      </c>
      <c r="BB6" s="2">
        <f>AY6*SQRT(AD6)</f>
        <v>0.27712812921102037</v>
      </c>
      <c r="BC6" s="1" t="s">
        <v>457</v>
      </c>
    </row>
    <row r="7" spans="1:55" ht="20.399999999999999">
      <c r="A7" s="6" t="s">
        <v>607</v>
      </c>
      <c r="B7" s="6" t="s">
        <v>604</v>
      </c>
      <c r="C7" s="6" t="s">
        <v>333</v>
      </c>
      <c r="D7" s="6" t="s">
        <v>570</v>
      </c>
      <c r="E7" s="6" t="s">
        <v>570</v>
      </c>
      <c r="F7" s="6" t="s">
        <v>570</v>
      </c>
      <c r="G7" s="6" t="s">
        <v>570</v>
      </c>
      <c r="H7" s="6" t="s">
        <v>570</v>
      </c>
      <c r="I7" s="6" t="s">
        <v>570</v>
      </c>
      <c r="J7" s="6" t="s">
        <v>570</v>
      </c>
      <c r="K7" s="6" t="s">
        <v>570</v>
      </c>
      <c r="L7" s="6" t="s">
        <v>570</v>
      </c>
      <c r="M7" s="6" t="s">
        <v>570</v>
      </c>
      <c r="N7" s="6" t="s">
        <v>570</v>
      </c>
      <c r="O7" s="6" t="s">
        <v>416</v>
      </c>
      <c r="P7" s="6" t="s">
        <v>570</v>
      </c>
      <c r="Q7" s="6" t="s">
        <v>570</v>
      </c>
      <c r="R7" s="6" t="s">
        <v>178</v>
      </c>
      <c r="S7" s="6" t="s">
        <v>374</v>
      </c>
      <c r="T7" s="6" t="s">
        <v>745</v>
      </c>
      <c r="U7" s="6" t="s">
        <v>136</v>
      </c>
      <c r="V7" s="6" t="s">
        <v>179</v>
      </c>
      <c r="W7" s="6" t="s">
        <v>180</v>
      </c>
      <c r="X7" s="6" t="s">
        <v>13</v>
      </c>
      <c r="Y7" s="45" t="s">
        <v>1034</v>
      </c>
      <c r="Z7" s="6" t="s">
        <v>570</v>
      </c>
      <c r="AA7" s="6" t="s">
        <v>570</v>
      </c>
      <c r="AB7" s="6" t="s">
        <v>570</v>
      </c>
      <c r="AC7" s="6">
        <v>3</v>
      </c>
      <c r="AD7" s="6">
        <v>3</v>
      </c>
      <c r="AE7" s="6" t="s">
        <v>570</v>
      </c>
      <c r="AF7" s="6" t="s">
        <v>570</v>
      </c>
      <c r="AG7" s="6" t="s">
        <v>570</v>
      </c>
      <c r="AH7" s="6" t="s">
        <v>570</v>
      </c>
      <c r="AI7" s="6" t="s">
        <v>570</v>
      </c>
      <c r="AJ7" s="6" t="s">
        <v>570</v>
      </c>
      <c r="AK7" s="6" t="s">
        <v>570</v>
      </c>
      <c r="AL7" s="6" t="s">
        <v>570</v>
      </c>
      <c r="AM7" s="6" t="s">
        <v>570</v>
      </c>
      <c r="AN7" s="6" t="s">
        <v>570</v>
      </c>
      <c r="AO7" s="6" t="s">
        <v>570</v>
      </c>
      <c r="AP7" s="6" t="s">
        <v>570</v>
      </c>
      <c r="AQ7" s="6" t="s">
        <v>570</v>
      </c>
      <c r="AR7" s="6" t="s">
        <v>570</v>
      </c>
      <c r="AS7" s="6">
        <v>4.6900000000000004</v>
      </c>
      <c r="AT7" s="6">
        <v>0.28000000000000003</v>
      </c>
      <c r="AU7" s="6" t="s">
        <v>570</v>
      </c>
      <c r="AV7" s="6" t="s">
        <v>570</v>
      </c>
      <c r="AW7" s="6">
        <f>AT7*SQRT(AC7)</f>
        <v>0.48497422611928565</v>
      </c>
      <c r="AX7" s="6">
        <v>4.84</v>
      </c>
      <c r="AY7" s="6">
        <v>0.28000000000000003</v>
      </c>
      <c r="AZ7" s="6" t="s">
        <v>570</v>
      </c>
      <c r="BA7" s="6" t="s">
        <v>570</v>
      </c>
      <c r="BB7" s="6">
        <f>AY7*SQRT(AD7)</f>
        <v>0.48497422611928565</v>
      </c>
      <c r="BC7" s="6" t="s">
        <v>457</v>
      </c>
    </row>
    <row r="8" spans="1:55" ht="13.2">
      <c r="C8" s="65"/>
      <c r="AP8" s="65"/>
      <c r="AQ8" s="65"/>
    </row>
    <row r="9" spans="1:55" ht="13.2">
      <c r="AP9" s="65"/>
      <c r="AQ9" s="65"/>
    </row>
    <row r="10" spans="1:55" ht="13.2">
      <c r="AP10" s="65"/>
      <c r="AQ10" s="65"/>
    </row>
  </sheetData>
  <mergeCells count="2">
    <mergeCell ref="AZ1:BA1"/>
    <mergeCell ref="AU1:AV1"/>
  </mergeCells>
  <phoneticPr fontId="1" type="noConversion"/>
  <pageMargins left="0.75" right="0.75" top="1" bottom="1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zoomScale="150" workbookViewId="0">
      <pane xSplit="1" ySplit="1" topLeftCell="V4" activePane="bottomRight" state="frozen"/>
      <selection pane="topRight" activeCell="B1" sqref="B1"/>
      <selection pane="bottomLeft" activeCell="A2" sqref="A2"/>
      <selection pane="bottomRight" activeCell="W5" sqref="W5"/>
    </sheetView>
  </sheetViews>
  <sheetFormatPr defaultColWidth="8.33203125" defaultRowHeight="10.199999999999999"/>
  <cols>
    <col min="1" max="1" width="10.77734375" style="1" customWidth="1"/>
    <col min="2" max="2" width="6.33203125" style="1" customWidth="1"/>
    <col min="3" max="3" width="78" style="1" customWidth="1"/>
    <col min="4" max="4" width="13.77734375" style="1" customWidth="1"/>
    <col min="5" max="5" width="11.44140625" style="1" customWidth="1"/>
    <col min="6" max="9" width="13.77734375" style="1" customWidth="1"/>
    <col min="10" max="10" width="9" style="1" customWidth="1"/>
    <col min="11" max="11" width="10.109375" style="1" customWidth="1"/>
    <col min="12" max="12" width="9.77734375" style="1" customWidth="1"/>
    <col min="13" max="13" width="8.44140625" style="1" customWidth="1"/>
    <col min="14" max="14" width="14.44140625" style="1" customWidth="1"/>
    <col min="15" max="15" width="12.77734375" style="1" customWidth="1"/>
    <col min="16" max="16" width="10.109375" style="1" customWidth="1"/>
    <col min="17" max="17" width="28.77734375" style="1" customWidth="1"/>
    <col min="18" max="18" width="42.44140625" style="1" customWidth="1"/>
    <col min="19" max="19" width="12.44140625" style="1" bestFit="1" customWidth="1"/>
    <col min="20" max="20" width="15.44140625" style="1" bestFit="1" customWidth="1"/>
    <col min="21" max="21" width="13.33203125" style="1" customWidth="1"/>
    <col min="22" max="22" width="28.33203125" style="1" customWidth="1"/>
    <col min="23" max="25" width="23.33203125" style="1" customWidth="1"/>
    <col min="26" max="26" width="12.44140625" style="1" customWidth="1"/>
    <col min="27" max="27" width="27.109375" style="1" customWidth="1"/>
    <col min="28" max="28" width="15" style="1" customWidth="1"/>
    <col min="29" max="30" width="7.77734375" style="1" customWidth="1"/>
    <col min="31" max="31" width="17.44140625" style="1" customWidth="1"/>
    <col min="32" max="34" width="10.6640625" style="1" customWidth="1"/>
    <col min="35" max="35" width="10.33203125" style="1" customWidth="1"/>
    <col min="36" max="36" width="12.109375" style="1" customWidth="1"/>
    <col min="37" max="37" width="19" style="1" customWidth="1"/>
    <col min="38" max="38" width="10.77734375" style="1" customWidth="1"/>
    <col min="39" max="39" width="15.33203125" style="1" customWidth="1"/>
    <col min="40" max="41" width="10.77734375" style="1" customWidth="1"/>
    <col min="42" max="42" width="14.77734375" style="1" customWidth="1"/>
    <col min="43" max="44" width="10.77734375" style="1" customWidth="1"/>
    <col min="45" max="46" width="6.44140625" style="1" customWidth="1"/>
    <col min="47" max="47" width="6" style="1" customWidth="1"/>
    <col min="48" max="49" width="5.6640625" style="1" customWidth="1"/>
    <col min="50" max="51" width="7.44140625" style="1" customWidth="1"/>
    <col min="52" max="52" width="6.77734375" style="1" customWidth="1"/>
    <col min="53" max="55" width="5.6640625" style="1" customWidth="1"/>
    <col min="56" max="16384" width="8.33203125" style="1"/>
  </cols>
  <sheetData>
    <row r="1" spans="1:55" s="3" customFormat="1" ht="66" customHeight="1">
      <c r="A1" s="62" t="s">
        <v>279</v>
      </c>
      <c r="B1" s="10" t="s">
        <v>87</v>
      </c>
      <c r="C1" s="10" t="s">
        <v>88</v>
      </c>
      <c r="D1" s="10" t="s">
        <v>520</v>
      </c>
      <c r="E1" s="10" t="s">
        <v>521</v>
      </c>
      <c r="F1" s="10" t="s">
        <v>89</v>
      </c>
      <c r="G1" s="10" t="s">
        <v>90</v>
      </c>
      <c r="H1" s="10" t="s">
        <v>91</v>
      </c>
      <c r="I1" s="10" t="s">
        <v>92</v>
      </c>
      <c r="J1" s="10" t="s">
        <v>522</v>
      </c>
      <c r="K1" s="62" t="s">
        <v>109</v>
      </c>
      <c r="L1" s="62" t="s">
        <v>110</v>
      </c>
      <c r="M1" s="10" t="s">
        <v>267</v>
      </c>
      <c r="N1" s="10" t="s">
        <v>268</v>
      </c>
      <c r="O1" s="10" t="s">
        <v>269</v>
      </c>
      <c r="P1" s="10" t="s">
        <v>270</v>
      </c>
      <c r="Q1" s="62" t="s">
        <v>275</v>
      </c>
      <c r="R1" s="10" t="s">
        <v>276</v>
      </c>
      <c r="S1" s="10" t="s">
        <v>277</v>
      </c>
      <c r="T1" s="10" t="s">
        <v>85</v>
      </c>
      <c r="U1" s="70" t="s">
        <v>168</v>
      </c>
      <c r="V1" s="10" t="s">
        <v>280</v>
      </c>
      <c r="W1" s="62" t="s">
        <v>462</v>
      </c>
      <c r="X1" s="71" t="s">
        <v>232</v>
      </c>
      <c r="Y1" s="71" t="s">
        <v>807</v>
      </c>
      <c r="Z1" s="10" t="s">
        <v>465</v>
      </c>
      <c r="AA1" s="10" t="s">
        <v>466</v>
      </c>
      <c r="AB1" s="10" t="s">
        <v>467</v>
      </c>
      <c r="AC1" s="62" t="s">
        <v>252</v>
      </c>
      <c r="AD1" s="62" t="s">
        <v>253</v>
      </c>
      <c r="AE1" s="62" t="s">
        <v>254</v>
      </c>
      <c r="AF1" s="62" t="s">
        <v>255</v>
      </c>
      <c r="AG1" s="62" t="s">
        <v>256</v>
      </c>
      <c r="AH1" s="62" t="s">
        <v>257</v>
      </c>
      <c r="AI1" s="62" t="s">
        <v>258</v>
      </c>
      <c r="AJ1" s="62" t="s">
        <v>259</v>
      </c>
      <c r="AK1" s="62" t="s">
        <v>260</v>
      </c>
      <c r="AL1" s="62" t="s">
        <v>261</v>
      </c>
      <c r="AM1" s="62" t="s">
        <v>262</v>
      </c>
      <c r="AN1" s="62" t="s">
        <v>263</v>
      </c>
      <c r="AO1" s="62" t="s">
        <v>264</v>
      </c>
      <c r="AP1" s="62" t="s">
        <v>117</v>
      </c>
      <c r="AQ1" s="62" t="s">
        <v>118</v>
      </c>
      <c r="AR1" s="62" t="s">
        <v>348</v>
      </c>
      <c r="AS1" s="62" t="s">
        <v>413</v>
      </c>
      <c r="AT1" s="62" t="s">
        <v>580</v>
      </c>
      <c r="AU1" s="104" t="s">
        <v>581</v>
      </c>
      <c r="AV1" s="105"/>
      <c r="AW1" s="62" t="s">
        <v>334</v>
      </c>
      <c r="AX1" s="62" t="s">
        <v>582</v>
      </c>
      <c r="AY1" s="62" t="s">
        <v>583</v>
      </c>
      <c r="AZ1" s="104" t="s">
        <v>584</v>
      </c>
      <c r="BA1" s="105"/>
      <c r="BB1" s="62" t="s">
        <v>335</v>
      </c>
      <c r="BC1" s="62" t="s">
        <v>567</v>
      </c>
    </row>
    <row r="2" spans="1:55" ht="51">
      <c r="A2" s="1" t="s">
        <v>512</v>
      </c>
      <c r="B2" s="1" t="s">
        <v>508</v>
      </c>
      <c r="C2" s="24" t="s">
        <v>247</v>
      </c>
      <c r="D2" s="1" t="s">
        <v>248</v>
      </c>
      <c r="E2" s="1" t="s">
        <v>249</v>
      </c>
      <c r="F2" s="1" t="s">
        <v>570</v>
      </c>
      <c r="G2" s="1" t="s">
        <v>570</v>
      </c>
      <c r="H2" s="1" t="s">
        <v>570</v>
      </c>
      <c r="I2" s="1" t="s">
        <v>570</v>
      </c>
      <c r="J2" s="23" t="s">
        <v>570</v>
      </c>
      <c r="K2" s="23" t="s">
        <v>570</v>
      </c>
      <c r="L2" s="23" t="s">
        <v>570</v>
      </c>
      <c r="M2" s="23" t="s">
        <v>570</v>
      </c>
      <c r="N2" s="23" t="s">
        <v>570</v>
      </c>
      <c r="O2" s="1" t="s">
        <v>250</v>
      </c>
      <c r="P2" s="37" t="s">
        <v>570</v>
      </c>
      <c r="Q2" s="37" t="s">
        <v>570</v>
      </c>
      <c r="R2" s="24" t="s">
        <v>326</v>
      </c>
      <c r="S2" s="24"/>
      <c r="T2" s="2" t="s">
        <v>570</v>
      </c>
      <c r="U2" s="1" t="s">
        <v>513</v>
      </c>
      <c r="V2" s="25" t="s">
        <v>327</v>
      </c>
      <c r="W2" s="1" t="s">
        <v>500</v>
      </c>
      <c r="X2" s="1" t="s">
        <v>131</v>
      </c>
      <c r="Y2" s="24" t="s">
        <v>972</v>
      </c>
      <c r="Z2" s="1" t="s">
        <v>570</v>
      </c>
      <c r="AA2" s="1" t="s">
        <v>489</v>
      </c>
      <c r="AB2" s="1" t="s">
        <v>570</v>
      </c>
      <c r="AC2" s="1">
        <v>18</v>
      </c>
      <c r="AD2" s="1">
        <v>18</v>
      </c>
      <c r="AF2" s="1" t="s">
        <v>776</v>
      </c>
      <c r="AG2" s="37" t="s">
        <v>570</v>
      </c>
      <c r="AH2" s="37" t="s">
        <v>570</v>
      </c>
      <c r="AI2" s="37" t="s">
        <v>570</v>
      </c>
      <c r="AJ2" s="37" t="s">
        <v>570</v>
      </c>
      <c r="AK2" s="37" t="s">
        <v>570</v>
      </c>
      <c r="AL2" s="37" t="s">
        <v>570</v>
      </c>
      <c r="AM2" s="37" t="s">
        <v>570</v>
      </c>
      <c r="AN2" s="37" t="s">
        <v>570</v>
      </c>
      <c r="AO2" s="2" t="s">
        <v>570</v>
      </c>
      <c r="AP2" s="37" t="s">
        <v>570</v>
      </c>
      <c r="AQ2" s="37" t="s">
        <v>570</v>
      </c>
      <c r="AR2" s="37" t="s">
        <v>570</v>
      </c>
      <c r="AS2" s="38">
        <v>8.66</v>
      </c>
      <c r="AT2" s="37" t="s">
        <v>570</v>
      </c>
      <c r="AU2" s="38">
        <v>8.19</v>
      </c>
      <c r="AV2" s="38">
        <v>9.4499999999999993</v>
      </c>
      <c r="AW2" s="38">
        <f>(AV2-AU2)/4</f>
        <v>0.31499999999999995</v>
      </c>
      <c r="AX2" s="38">
        <v>8.6</v>
      </c>
      <c r="AY2" s="37" t="s">
        <v>570</v>
      </c>
      <c r="AZ2" s="1">
        <v>7.74</v>
      </c>
      <c r="BA2" s="1">
        <v>9.6999999999999993</v>
      </c>
      <c r="BB2" s="1">
        <f>(BA2-AZ2)/4</f>
        <v>0.48999999999999977</v>
      </c>
      <c r="BC2" s="1" t="s">
        <v>457</v>
      </c>
    </row>
    <row r="3" spans="1:55" ht="51">
      <c r="A3" s="6" t="s">
        <v>512</v>
      </c>
      <c r="B3" s="6" t="s">
        <v>508</v>
      </c>
      <c r="C3" s="15" t="s">
        <v>247</v>
      </c>
      <c r="D3" s="6" t="s">
        <v>248</v>
      </c>
      <c r="E3" s="6" t="s">
        <v>249</v>
      </c>
      <c r="F3" s="6" t="s">
        <v>570</v>
      </c>
      <c r="G3" s="6" t="s">
        <v>570</v>
      </c>
      <c r="H3" s="6" t="s">
        <v>570</v>
      </c>
      <c r="I3" s="6" t="s">
        <v>570</v>
      </c>
      <c r="J3" s="34" t="s">
        <v>570</v>
      </c>
      <c r="K3" s="34" t="s">
        <v>570</v>
      </c>
      <c r="L3" s="34" t="s">
        <v>570</v>
      </c>
      <c r="M3" s="34" t="s">
        <v>570</v>
      </c>
      <c r="N3" s="34" t="s">
        <v>570</v>
      </c>
      <c r="O3" s="6" t="s">
        <v>250</v>
      </c>
      <c r="P3" s="39" t="s">
        <v>570</v>
      </c>
      <c r="Q3" s="39" t="s">
        <v>570</v>
      </c>
      <c r="R3" s="15" t="s">
        <v>326</v>
      </c>
      <c r="S3" s="15"/>
      <c r="T3" s="6" t="s">
        <v>570</v>
      </c>
      <c r="U3" s="6" t="s">
        <v>513</v>
      </c>
      <c r="V3" s="21" t="s">
        <v>501</v>
      </c>
      <c r="W3" s="6" t="s">
        <v>500</v>
      </c>
      <c r="X3" s="6" t="s">
        <v>131</v>
      </c>
      <c r="Y3" s="45" t="s">
        <v>972</v>
      </c>
      <c r="Z3" s="6" t="s">
        <v>570</v>
      </c>
      <c r="AA3" s="6" t="s">
        <v>489</v>
      </c>
      <c r="AB3" s="6" t="s">
        <v>570</v>
      </c>
      <c r="AC3" s="6">
        <v>18</v>
      </c>
      <c r="AD3" s="6">
        <v>18</v>
      </c>
      <c r="AE3" s="6"/>
      <c r="AF3" s="15" t="s">
        <v>777</v>
      </c>
      <c r="AG3" s="39" t="s">
        <v>570</v>
      </c>
      <c r="AH3" s="39" t="s">
        <v>570</v>
      </c>
      <c r="AI3" s="39" t="s">
        <v>570</v>
      </c>
      <c r="AJ3" s="39" t="s">
        <v>570</v>
      </c>
      <c r="AK3" s="39" t="s">
        <v>570</v>
      </c>
      <c r="AL3" s="39" t="s">
        <v>570</v>
      </c>
      <c r="AM3" s="39" t="s">
        <v>570</v>
      </c>
      <c r="AN3" s="39" t="s">
        <v>570</v>
      </c>
      <c r="AO3" s="6" t="s">
        <v>570</v>
      </c>
      <c r="AP3" s="39" t="s">
        <v>570</v>
      </c>
      <c r="AQ3" s="39" t="s">
        <v>570</v>
      </c>
      <c r="AR3" s="39" t="s">
        <v>570</v>
      </c>
      <c r="AS3" s="40">
        <v>8.8699999999999992</v>
      </c>
      <c r="AT3" s="39" t="s">
        <v>570</v>
      </c>
      <c r="AU3" s="40">
        <v>7.33</v>
      </c>
      <c r="AV3" s="40">
        <v>11.31</v>
      </c>
      <c r="AW3" s="40">
        <f>(AV3-AU3)/4</f>
        <v>0.99500000000000011</v>
      </c>
      <c r="AX3" s="40">
        <v>8.2200000000000006</v>
      </c>
      <c r="AY3" s="39" t="s">
        <v>570</v>
      </c>
      <c r="AZ3" s="6">
        <v>7.91</v>
      </c>
      <c r="BA3" s="6">
        <v>8.66</v>
      </c>
      <c r="BB3" s="1">
        <f>(BA3-AZ3)/4</f>
        <v>0.1875</v>
      </c>
      <c r="BC3" s="6" t="s">
        <v>457</v>
      </c>
    </row>
    <row r="4" spans="1:55" s="2" customFormat="1" ht="102">
      <c r="A4" s="2" t="s">
        <v>502</v>
      </c>
      <c r="B4" s="2" t="s">
        <v>508</v>
      </c>
      <c r="C4" s="41" t="s">
        <v>810</v>
      </c>
      <c r="D4" s="2" t="s">
        <v>570</v>
      </c>
      <c r="E4" s="2" t="s">
        <v>570</v>
      </c>
      <c r="F4" s="2" t="s">
        <v>570</v>
      </c>
      <c r="G4" s="2" t="s">
        <v>570</v>
      </c>
      <c r="H4" s="2" t="s">
        <v>570</v>
      </c>
      <c r="I4" s="2" t="s">
        <v>570</v>
      </c>
      <c r="J4" s="2" t="s">
        <v>570</v>
      </c>
      <c r="K4" s="2" t="s">
        <v>570</v>
      </c>
      <c r="L4" s="2" t="s">
        <v>570</v>
      </c>
      <c r="M4" s="2" t="s">
        <v>570</v>
      </c>
      <c r="N4" s="2" t="s">
        <v>570</v>
      </c>
      <c r="O4" s="41">
        <v>2010</v>
      </c>
      <c r="P4" s="2" t="s">
        <v>570</v>
      </c>
      <c r="Q4" s="2" t="s">
        <v>570</v>
      </c>
      <c r="R4" s="19" t="s">
        <v>1026</v>
      </c>
      <c r="S4" s="2" t="s">
        <v>374</v>
      </c>
      <c r="T4" s="2" t="s">
        <v>811</v>
      </c>
      <c r="U4" s="2" t="s">
        <v>812</v>
      </c>
      <c r="V4" s="42" t="s">
        <v>813</v>
      </c>
      <c r="W4" s="43" t="s">
        <v>436</v>
      </c>
      <c r="X4" s="72" t="s">
        <v>131</v>
      </c>
      <c r="Y4" s="72" t="s">
        <v>959</v>
      </c>
      <c r="Z4" s="2" t="s">
        <v>570</v>
      </c>
      <c r="AA4" s="42" t="s">
        <v>814</v>
      </c>
      <c r="AB4" s="2" t="s">
        <v>570</v>
      </c>
      <c r="AC4" s="2">
        <v>4</v>
      </c>
      <c r="AD4" s="2">
        <v>4</v>
      </c>
      <c r="AE4" s="4" t="s">
        <v>570</v>
      </c>
      <c r="AF4" s="4" t="s">
        <v>570</v>
      </c>
      <c r="AG4" s="4" t="s">
        <v>570</v>
      </c>
      <c r="AH4" s="4" t="s">
        <v>570</v>
      </c>
      <c r="AI4" s="4" t="s">
        <v>570</v>
      </c>
      <c r="AJ4" s="4" t="s">
        <v>570</v>
      </c>
      <c r="AK4" s="4" t="s">
        <v>570</v>
      </c>
      <c r="AL4" s="4" t="s">
        <v>570</v>
      </c>
      <c r="AM4" s="4" t="s">
        <v>570</v>
      </c>
      <c r="AN4" s="4" t="s">
        <v>570</v>
      </c>
      <c r="AO4" s="4" t="s">
        <v>570</v>
      </c>
      <c r="AP4" s="4" t="s">
        <v>570</v>
      </c>
      <c r="AQ4" s="4" t="s">
        <v>570</v>
      </c>
      <c r="AR4" s="41" t="s">
        <v>763</v>
      </c>
      <c r="AS4" s="4">
        <v>10.54</v>
      </c>
      <c r="AT4" s="4">
        <v>0.38</v>
      </c>
      <c r="AU4" s="4">
        <v>8.7899999999999991</v>
      </c>
      <c r="AV4" s="4">
        <v>13.63</v>
      </c>
      <c r="AW4" s="2">
        <f>(AV4-AU4)/4</f>
        <v>1.2100000000000004</v>
      </c>
      <c r="AX4" s="2">
        <v>10.74</v>
      </c>
      <c r="AY4" s="2">
        <v>0.38</v>
      </c>
      <c r="AZ4" s="2">
        <v>8.8800000000000008</v>
      </c>
      <c r="BA4" s="4">
        <v>15.11</v>
      </c>
      <c r="BB4" s="4">
        <f>(BA4-AZ4)/4</f>
        <v>1.5574999999999997</v>
      </c>
      <c r="BC4" s="4" t="s">
        <v>457</v>
      </c>
    </row>
    <row r="5" spans="1:55" s="2" customFormat="1" ht="102">
      <c r="A5" s="6" t="s">
        <v>502</v>
      </c>
      <c r="B5" s="6" t="s">
        <v>508</v>
      </c>
      <c r="C5" s="44" t="s">
        <v>493</v>
      </c>
      <c r="D5" s="6" t="s">
        <v>570</v>
      </c>
      <c r="E5" s="6" t="s">
        <v>570</v>
      </c>
      <c r="F5" s="6" t="s">
        <v>570</v>
      </c>
      <c r="G5" s="6" t="s">
        <v>570</v>
      </c>
      <c r="H5" s="6" t="s">
        <v>570</v>
      </c>
      <c r="I5" s="6" t="s">
        <v>570</v>
      </c>
      <c r="J5" s="6" t="s">
        <v>570</v>
      </c>
      <c r="K5" s="6" t="s">
        <v>570</v>
      </c>
      <c r="L5" s="6" t="s">
        <v>570</v>
      </c>
      <c r="M5" s="6" t="s">
        <v>570</v>
      </c>
      <c r="N5" s="6" t="s">
        <v>570</v>
      </c>
      <c r="O5" s="44">
        <v>2010</v>
      </c>
      <c r="P5" s="6" t="s">
        <v>570</v>
      </c>
      <c r="Q5" s="6" t="s">
        <v>570</v>
      </c>
      <c r="R5" s="15" t="s">
        <v>1026</v>
      </c>
      <c r="S5" s="6" t="s">
        <v>374</v>
      </c>
      <c r="T5" s="6" t="s">
        <v>811</v>
      </c>
      <c r="U5" s="6" t="s">
        <v>812</v>
      </c>
      <c r="V5" s="44" t="s">
        <v>484</v>
      </c>
      <c r="W5" s="45" t="s">
        <v>436</v>
      </c>
      <c r="X5" s="45" t="s">
        <v>961</v>
      </c>
      <c r="Y5" s="45" t="s">
        <v>960</v>
      </c>
      <c r="Z5" s="6" t="s">
        <v>570</v>
      </c>
      <c r="AA5" s="44" t="s">
        <v>485</v>
      </c>
      <c r="AB5" s="6" t="s">
        <v>570</v>
      </c>
      <c r="AC5" s="6">
        <v>4</v>
      </c>
      <c r="AD5" s="6">
        <v>4</v>
      </c>
      <c r="AE5" s="44" t="s">
        <v>325</v>
      </c>
      <c r="AF5" s="6" t="s">
        <v>570</v>
      </c>
      <c r="AG5" s="6" t="s">
        <v>570</v>
      </c>
      <c r="AH5" s="6" t="s">
        <v>570</v>
      </c>
      <c r="AI5" s="6" t="s">
        <v>570</v>
      </c>
      <c r="AJ5" s="6" t="s">
        <v>570</v>
      </c>
      <c r="AK5" s="6" t="s">
        <v>570</v>
      </c>
      <c r="AL5" s="6" t="s">
        <v>570</v>
      </c>
      <c r="AM5" s="6" t="s">
        <v>570</v>
      </c>
      <c r="AN5" s="6" t="s">
        <v>570</v>
      </c>
      <c r="AO5" s="6" t="s">
        <v>570</v>
      </c>
      <c r="AP5" s="6" t="s">
        <v>570</v>
      </c>
      <c r="AQ5" s="6" t="s">
        <v>570</v>
      </c>
      <c r="AR5" s="44" t="s">
        <v>176</v>
      </c>
      <c r="AS5" s="6">
        <v>11.51</v>
      </c>
      <c r="AT5" s="6">
        <v>0.27</v>
      </c>
      <c r="AU5" s="6">
        <v>9.76</v>
      </c>
      <c r="AV5" s="6">
        <v>14.56</v>
      </c>
      <c r="AW5" s="6">
        <f>(AV5-AU5)/4</f>
        <v>1.2000000000000002</v>
      </c>
      <c r="AX5" s="6">
        <v>11.52</v>
      </c>
      <c r="AY5" s="6">
        <v>0.27</v>
      </c>
      <c r="AZ5" s="6">
        <v>10.46</v>
      </c>
      <c r="BA5" s="6">
        <v>12.99</v>
      </c>
      <c r="BB5" s="9">
        <f>(BA5-AZ5)/4</f>
        <v>0.63249999999999984</v>
      </c>
      <c r="BC5" s="6" t="s">
        <v>457</v>
      </c>
    </row>
    <row r="6" spans="1:55">
      <c r="A6" s="1" t="s">
        <v>607</v>
      </c>
      <c r="B6" s="1" t="s">
        <v>604</v>
      </c>
      <c r="C6" s="1" t="s">
        <v>618</v>
      </c>
      <c r="D6" s="1" t="s">
        <v>570</v>
      </c>
      <c r="E6" s="1" t="s">
        <v>570</v>
      </c>
      <c r="F6" s="1" t="s">
        <v>570</v>
      </c>
      <c r="G6" s="1" t="s">
        <v>570</v>
      </c>
      <c r="H6" s="1" t="s">
        <v>570</v>
      </c>
      <c r="I6" s="1" t="s">
        <v>570</v>
      </c>
      <c r="J6" s="1" t="s">
        <v>570</v>
      </c>
      <c r="K6" s="1" t="s">
        <v>570</v>
      </c>
      <c r="L6" s="1" t="s">
        <v>570</v>
      </c>
      <c r="M6" s="1" t="s">
        <v>570</v>
      </c>
      <c r="N6" s="1" t="s">
        <v>570</v>
      </c>
      <c r="O6" s="2">
        <v>2002</v>
      </c>
      <c r="P6" s="1" t="s">
        <v>570</v>
      </c>
      <c r="Q6" s="1" t="s">
        <v>570</v>
      </c>
      <c r="R6" s="4" t="s">
        <v>178</v>
      </c>
      <c r="S6" s="1" t="s">
        <v>374</v>
      </c>
      <c r="T6" s="4" t="s">
        <v>745</v>
      </c>
      <c r="U6" s="1" t="s">
        <v>136</v>
      </c>
      <c r="V6" s="1" t="s">
        <v>179</v>
      </c>
      <c r="W6" s="1" t="s">
        <v>180</v>
      </c>
      <c r="X6" s="1" t="s">
        <v>13</v>
      </c>
      <c r="Y6" s="1" t="s">
        <v>1034</v>
      </c>
      <c r="Z6" s="1" t="s">
        <v>570</v>
      </c>
      <c r="AA6" s="1" t="s">
        <v>570</v>
      </c>
      <c r="AB6" s="1" t="s">
        <v>570</v>
      </c>
      <c r="AC6" s="1">
        <v>3</v>
      </c>
      <c r="AD6" s="1">
        <v>3</v>
      </c>
      <c r="AE6" s="1" t="s">
        <v>570</v>
      </c>
      <c r="AF6" s="1" t="s">
        <v>570</v>
      </c>
      <c r="AG6" s="1" t="s">
        <v>570</v>
      </c>
      <c r="AH6" s="1" t="s">
        <v>570</v>
      </c>
      <c r="AI6" s="1" t="s">
        <v>570</v>
      </c>
      <c r="AJ6" s="1" t="s">
        <v>570</v>
      </c>
      <c r="AK6" s="1" t="s">
        <v>570</v>
      </c>
      <c r="AL6" s="1" t="s">
        <v>570</v>
      </c>
      <c r="AM6" s="1" t="s">
        <v>570</v>
      </c>
      <c r="AN6" s="1" t="s">
        <v>570</v>
      </c>
      <c r="AO6" s="1" t="s">
        <v>570</v>
      </c>
      <c r="AP6" s="1" t="s">
        <v>570</v>
      </c>
      <c r="AQ6" s="1" t="s">
        <v>570</v>
      </c>
      <c r="AR6" s="1" t="s">
        <v>570</v>
      </c>
      <c r="AS6" s="1">
        <v>12.44</v>
      </c>
      <c r="AT6" s="1">
        <v>0.62</v>
      </c>
      <c r="AU6" s="4" t="s">
        <v>570</v>
      </c>
      <c r="AV6" s="4" t="s">
        <v>570</v>
      </c>
      <c r="AW6" s="2">
        <f>AT6*SQRT(AC6)</f>
        <v>1.0738715006927038</v>
      </c>
      <c r="AX6" s="1">
        <v>11.87</v>
      </c>
      <c r="AY6" s="1">
        <v>0.62</v>
      </c>
      <c r="AZ6" s="2" t="s">
        <v>570</v>
      </c>
      <c r="BA6" s="2" t="s">
        <v>570</v>
      </c>
      <c r="BB6" s="4">
        <f>AY6*SQRT(AD6)</f>
        <v>1.0738715006927038</v>
      </c>
      <c r="BC6" s="1" t="s">
        <v>457</v>
      </c>
    </row>
    <row r="7" spans="1:55" ht="30.6">
      <c r="A7" s="6" t="s">
        <v>607</v>
      </c>
      <c r="B7" s="6" t="s">
        <v>604</v>
      </c>
      <c r="C7" s="6" t="s">
        <v>333</v>
      </c>
      <c r="D7" s="6" t="s">
        <v>570</v>
      </c>
      <c r="E7" s="6" t="s">
        <v>570</v>
      </c>
      <c r="F7" s="6" t="s">
        <v>570</v>
      </c>
      <c r="G7" s="6" t="s">
        <v>570</v>
      </c>
      <c r="H7" s="6" t="s">
        <v>570</v>
      </c>
      <c r="I7" s="6" t="s">
        <v>570</v>
      </c>
      <c r="J7" s="6" t="s">
        <v>570</v>
      </c>
      <c r="K7" s="6" t="s">
        <v>570</v>
      </c>
      <c r="L7" s="6" t="s">
        <v>570</v>
      </c>
      <c r="M7" s="6" t="s">
        <v>570</v>
      </c>
      <c r="N7" s="6" t="s">
        <v>570</v>
      </c>
      <c r="O7" s="6" t="s">
        <v>416</v>
      </c>
      <c r="P7" s="6" t="s">
        <v>570</v>
      </c>
      <c r="Q7" s="6" t="s">
        <v>570</v>
      </c>
      <c r="R7" s="6" t="s">
        <v>178</v>
      </c>
      <c r="S7" s="6" t="s">
        <v>374</v>
      </c>
      <c r="T7" s="6" t="s">
        <v>745</v>
      </c>
      <c r="U7" s="6" t="s">
        <v>136</v>
      </c>
      <c r="V7" s="6" t="s">
        <v>179</v>
      </c>
      <c r="W7" s="6" t="s">
        <v>180</v>
      </c>
      <c r="X7" s="6" t="s">
        <v>13</v>
      </c>
      <c r="Y7" s="45" t="s">
        <v>1034</v>
      </c>
      <c r="Z7" s="6" t="s">
        <v>570</v>
      </c>
      <c r="AA7" s="6" t="s">
        <v>570</v>
      </c>
      <c r="AB7" s="6" t="s">
        <v>570</v>
      </c>
      <c r="AC7" s="6">
        <v>3</v>
      </c>
      <c r="AD7" s="6">
        <v>3</v>
      </c>
      <c r="AE7" s="6" t="s">
        <v>570</v>
      </c>
      <c r="AF7" s="6" t="s">
        <v>570</v>
      </c>
      <c r="AG7" s="6" t="s">
        <v>570</v>
      </c>
      <c r="AH7" s="6" t="s">
        <v>570</v>
      </c>
      <c r="AI7" s="6" t="s">
        <v>570</v>
      </c>
      <c r="AJ7" s="6" t="s">
        <v>570</v>
      </c>
      <c r="AK7" s="6" t="s">
        <v>570</v>
      </c>
      <c r="AL7" s="6" t="s">
        <v>570</v>
      </c>
      <c r="AM7" s="6" t="s">
        <v>570</v>
      </c>
      <c r="AN7" s="6" t="s">
        <v>570</v>
      </c>
      <c r="AO7" s="6" t="s">
        <v>570</v>
      </c>
      <c r="AP7" s="6" t="s">
        <v>570</v>
      </c>
      <c r="AQ7" s="6" t="s">
        <v>570</v>
      </c>
      <c r="AR7" s="6" t="s">
        <v>570</v>
      </c>
      <c r="AS7" s="6">
        <v>12.4</v>
      </c>
      <c r="AT7" s="6">
        <v>0.59</v>
      </c>
      <c r="AU7" s="6" t="s">
        <v>570</v>
      </c>
      <c r="AV7" s="6" t="s">
        <v>570</v>
      </c>
      <c r="AW7" s="6">
        <f>AT7*SQRT(AC7)</f>
        <v>1.0219099764656374</v>
      </c>
      <c r="AX7" s="6">
        <v>12.79</v>
      </c>
      <c r="AY7" s="6">
        <v>0.59</v>
      </c>
      <c r="AZ7" s="6" t="s">
        <v>570</v>
      </c>
      <c r="BA7" s="6" t="s">
        <v>570</v>
      </c>
      <c r="BB7" s="6">
        <f>AY7*SQRT(AD7)</f>
        <v>1.0219099764656374</v>
      </c>
      <c r="BC7" s="6" t="s">
        <v>457</v>
      </c>
    </row>
    <row r="8" spans="1:55" ht="13.2">
      <c r="AP8" s="65"/>
      <c r="AQ8" s="65"/>
    </row>
    <row r="9" spans="1:55" ht="13.2">
      <c r="C9" s="65"/>
      <c r="AP9" s="65"/>
      <c r="AQ9" s="65"/>
    </row>
    <row r="10" spans="1:55" ht="13.2">
      <c r="AP10" s="65"/>
      <c r="AQ10" s="65"/>
    </row>
    <row r="11" spans="1:55" ht="13.2">
      <c r="AP11" s="65"/>
      <c r="AQ11" s="65"/>
    </row>
  </sheetData>
  <mergeCells count="2">
    <mergeCell ref="AU1:AV1"/>
    <mergeCell ref="AZ1:BA1"/>
  </mergeCells>
  <phoneticPr fontId="1" type="noConversion"/>
  <pageMargins left="0.75" right="0.75" top="1" bottom="1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Y1" sqref="Y1"/>
    </sheetView>
  </sheetViews>
  <sheetFormatPr defaultColWidth="8.33203125" defaultRowHeight="10.199999999999999"/>
  <cols>
    <col min="1" max="1" width="10.77734375" style="1" customWidth="1"/>
    <col min="2" max="2" width="6.33203125" style="1" customWidth="1"/>
    <col min="3" max="3" width="78" style="1" customWidth="1"/>
    <col min="4" max="4" width="13.77734375" style="1" customWidth="1"/>
    <col min="5" max="5" width="11.44140625" style="1" customWidth="1"/>
    <col min="6" max="9" width="13.77734375" style="1" customWidth="1"/>
    <col min="10" max="10" width="9" style="1" customWidth="1"/>
    <col min="11" max="11" width="10.109375" style="1" customWidth="1"/>
    <col min="12" max="12" width="9.77734375" style="1" customWidth="1"/>
    <col min="13" max="13" width="8.44140625" style="1" customWidth="1"/>
    <col min="14" max="14" width="14.44140625" style="1" customWidth="1"/>
    <col min="15" max="15" width="12.77734375" style="1" customWidth="1"/>
    <col min="16" max="16" width="10.109375" style="1" customWidth="1"/>
    <col min="17" max="17" width="28.77734375" style="1" customWidth="1"/>
    <col min="18" max="18" width="42.44140625" style="1" customWidth="1"/>
    <col min="19" max="19" width="20" style="1" customWidth="1"/>
    <col min="20" max="20" width="40.6640625" style="1" customWidth="1"/>
    <col min="21" max="21" width="13.33203125" style="1" customWidth="1"/>
    <col min="22" max="22" width="28.33203125" style="1" customWidth="1"/>
    <col min="23" max="25" width="23.33203125" style="1" customWidth="1"/>
    <col min="26" max="26" width="12.44140625" style="1" customWidth="1"/>
    <col min="27" max="27" width="27.109375" style="1" customWidth="1"/>
    <col min="28" max="28" width="15" style="1" customWidth="1"/>
    <col min="29" max="30" width="7.77734375" style="1" customWidth="1"/>
    <col min="31" max="31" width="17.44140625" style="1" customWidth="1"/>
    <col min="32" max="34" width="10.6640625" style="1" customWidth="1"/>
    <col min="35" max="35" width="10.33203125" style="1" customWidth="1"/>
    <col min="36" max="36" width="12.109375" style="1" customWidth="1"/>
    <col min="37" max="37" width="19" style="1" customWidth="1"/>
    <col min="38" max="38" width="10.77734375" style="1" customWidth="1"/>
    <col min="39" max="39" width="15.33203125" style="1" customWidth="1"/>
    <col min="40" max="41" width="10.77734375" style="1" customWidth="1"/>
    <col min="42" max="42" width="14.77734375" style="1" customWidth="1"/>
    <col min="43" max="44" width="10.77734375" style="1" customWidth="1"/>
    <col min="45" max="49" width="7.44140625" style="1" customWidth="1"/>
    <col min="50" max="51" width="7" style="1" customWidth="1"/>
    <col min="52" max="52" width="6.77734375" style="1" customWidth="1"/>
    <col min="53" max="55" width="6.44140625" style="1" customWidth="1"/>
    <col min="56" max="16384" width="8.33203125" style="1"/>
  </cols>
  <sheetData>
    <row r="1" spans="1:55" s="3" customFormat="1" ht="66" customHeight="1">
      <c r="A1" s="62" t="s">
        <v>279</v>
      </c>
      <c r="B1" s="10" t="s">
        <v>87</v>
      </c>
      <c r="C1" s="10" t="s">
        <v>88</v>
      </c>
      <c r="D1" s="10" t="s">
        <v>520</v>
      </c>
      <c r="E1" s="10" t="s">
        <v>521</v>
      </c>
      <c r="F1" s="10" t="s">
        <v>89</v>
      </c>
      <c r="G1" s="10" t="s">
        <v>90</v>
      </c>
      <c r="H1" s="10" t="s">
        <v>91</v>
      </c>
      <c r="I1" s="10" t="s">
        <v>92</v>
      </c>
      <c r="J1" s="10" t="s">
        <v>522</v>
      </c>
      <c r="K1" s="62" t="s">
        <v>109</v>
      </c>
      <c r="L1" s="62" t="s">
        <v>110</v>
      </c>
      <c r="M1" s="10" t="s">
        <v>267</v>
      </c>
      <c r="N1" s="10" t="s">
        <v>268</v>
      </c>
      <c r="O1" s="10" t="s">
        <v>269</v>
      </c>
      <c r="P1" s="10" t="s">
        <v>270</v>
      </c>
      <c r="Q1" s="62" t="s">
        <v>275</v>
      </c>
      <c r="R1" s="10" t="s">
        <v>276</v>
      </c>
      <c r="S1" s="10" t="s">
        <v>277</v>
      </c>
      <c r="T1" s="10" t="s">
        <v>85</v>
      </c>
      <c r="U1" s="70" t="s">
        <v>172</v>
      </c>
      <c r="V1" s="10" t="s">
        <v>280</v>
      </c>
      <c r="W1" s="62" t="s">
        <v>462</v>
      </c>
      <c r="X1" s="71" t="s">
        <v>232</v>
      </c>
      <c r="Y1" s="71" t="s">
        <v>807</v>
      </c>
      <c r="Z1" s="10" t="s">
        <v>465</v>
      </c>
      <c r="AA1" s="10" t="s">
        <v>466</v>
      </c>
      <c r="AB1" s="10" t="s">
        <v>467</v>
      </c>
      <c r="AC1" s="62" t="s">
        <v>252</v>
      </c>
      <c r="AD1" s="62" t="s">
        <v>253</v>
      </c>
      <c r="AE1" s="62" t="s">
        <v>254</v>
      </c>
      <c r="AF1" s="62" t="s">
        <v>255</v>
      </c>
      <c r="AG1" s="62" t="s">
        <v>256</v>
      </c>
      <c r="AH1" s="62" t="s">
        <v>257</v>
      </c>
      <c r="AI1" s="62" t="s">
        <v>258</v>
      </c>
      <c r="AJ1" s="62" t="s">
        <v>259</v>
      </c>
      <c r="AK1" s="62" t="s">
        <v>260</v>
      </c>
      <c r="AL1" s="62" t="s">
        <v>261</v>
      </c>
      <c r="AM1" s="62" t="s">
        <v>262</v>
      </c>
      <c r="AN1" s="62" t="s">
        <v>263</v>
      </c>
      <c r="AO1" s="62" t="s">
        <v>264</v>
      </c>
      <c r="AP1" s="62" t="s">
        <v>117</v>
      </c>
      <c r="AQ1" s="62" t="s">
        <v>118</v>
      </c>
      <c r="AR1" s="62" t="s">
        <v>348</v>
      </c>
      <c r="AS1" s="62" t="s">
        <v>401</v>
      </c>
      <c r="AT1" s="62" t="s">
        <v>402</v>
      </c>
      <c r="AU1" s="102" t="s">
        <v>403</v>
      </c>
      <c r="AV1" s="103"/>
      <c r="AW1" s="62" t="s">
        <v>334</v>
      </c>
      <c r="AX1" s="62" t="s">
        <v>393</v>
      </c>
      <c r="AY1" s="62" t="s">
        <v>394</v>
      </c>
      <c r="AZ1" s="104" t="s">
        <v>395</v>
      </c>
      <c r="BA1" s="105"/>
      <c r="BB1" s="62" t="s">
        <v>335</v>
      </c>
      <c r="BC1" s="62" t="s">
        <v>396</v>
      </c>
    </row>
    <row r="2" spans="1:55" ht="51">
      <c r="A2" s="1" t="s">
        <v>512</v>
      </c>
      <c r="B2" s="1" t="s">
        <v>508</v>
      </c>
      <c r="C2" s="24" t="s">
        <v>247</v>
      </c>
      <c r="D2" s="1" t="s">
        <v>248</v>
      </c>
      <c r="E2" s="1" t="s">
        <v>249</v>
      </c>
      <c r="F2" s="1" t="s">
        <v>570</v>
      </c>
      <c r="G2" s="1" t="s">
        <v>570</v>
      </c>
      <c r="H2" s="1" t="s">
        <v>570</v>
      </c>
      <c r="I2" s="1" t="s">
        <v>570</v>
      </c>
      <c r="J2" s="23" t="s">
        <v>570</v>
      </c>
      <c r="K2" s="23" t="s">
        <v>570</v>
      </c>
      <c r="L2" s="23" t="s">
        <v>570</v>
      </c>
      <c r="M2" s="23" t="s">
        <v>570</v>
      </c>
      <c r="N2" s="23" t="s">
        <v>570</v>
      </c>
      <c r="O2" s="1" t="s">
        <v>250</v>
      </c>
      <c r="P2" s="37" t="s">
        <v>570</v>
      </c>
      <c r="Q2" s="37" t="s">
        <v>570</v>
      </c>
      <c r="R2" s="24" t="s">
        <v>326</v>
      </c>
      <c r="S2" s="24"/>
      <c r="T2" s="2" t="s">
        <v>570</v>
      </c>
      <c r="U2" s="1" t="s">
        <v>513</v>
      </c>
      <c r="V2" s="25" t="s">
        <v>327</v>
      </c>
      <c r="W2" s="1" t="s">
        <v>500</v>
      </c>
      <c r="X2" s="1" t="s">
        <v>131</v>
      </c>
      <c r="Y2" s="24" t="s">
        <v>972</v>
      </c>
      <c r="Z2" s="1" t="s">
        <v>570</v>
      </c>
      <c r="AA2" s="1" t="s">
        <v>489</v>
      </c>
      <c r="AB2" s="1" t="s">
        <v>570</v>
      </c>
      <c r="AC2" s="1">
        <v>18</v>
      </c>
      <c r="AD2" s="1">
        <v>18</v>
      </c>
      <c r="AF2" s="1" t="s">
        <v>776</v>
      </c>
      <c r="AG2" s="37" t="s">
        <v>570</v>
      </c>
      <c r="AH2" s="37" t="s">
        <v>570</v>
      </c>
      <c r="AI2" s="37" t="s">
        <v>570</v>
      </c>
      <c r="AJ2" s="37" t="s">
        <v>570</v>
      </c>
      <c r="AK2" s="37" t="s">
        <v>570</v>
      </c>
      <c r="AL2" s="37" t="s">
        <v>570</v>
      </c>
      <c r="AM2" s="37" t="s">
        <v>570</v>
      </c>
      <c r="AN2" s="37" t="s">
        <v>570</v>
      </c>
      <c r="AO2" s="2" t="s">
        <v>570</v>
      </c>
      <c r="AP2" s="37" t="s">
        <v>570</v>
      </c>
      <c r="AQ2" s="37" t="s">
        <v>570</v>
      </c>
      <c r="AR2" s="37" t="s">
        <v>570</v>
      </c>
      <c r="AS2" s="1">
        <v>12.7</v>
      </c>
      <c r="AT2" s="37" t="s">
        <v>570</v>
      </c>
      <c r="AU2" s="1">
        <v>11.59</v>
      </c>
      <c r="AV2" s="1">
        <v>16</v>
      </c>
      <c r="AW2" s="1">
        <f>(AV2-AU2)/4</f>
        <v>1.1025</v>
      </c>
      <c r="AX2" s="1">
        <v>12.53</v>
      </c>
      <c r="AY2" s="37" t="s">
        <v>570</v>
      </c>
      <c r="AZ2" s="38">
        <v>11.2</v>
      </c>
      <c r="BA2" s="38">
        <v>13.98</v>
      </c>
      <c r="BB2" s="38">
        <f>(BA2-AZ2)/4</f>
        <v>0.69500000000000028</v>
      </c>
      <c r="BC2" s="38" t="s">
        <v>457</v>
      </c>
    </row>
    <row r="3" spans="1:55" ht="51">
      <c r="A3" s="6" t="s">
        <v>512</v>
      </c>
      <c r="B3" s="6" t="s">
        <v>508</v>
      </c>
      <c r="C3" s="15" t="s">
        <v>247</v>
      </c>
      <c r="D3" s="6" t="s">
        <v>248</v>
      </c>
      <c r="E3" s="6" t="s">
        <v>249</v>
      </c>
      <c r="F3" s="6" t="s">
        <v>570</v>
      </c>
      <c r="G3" s="6" t="s">
        <v>570</v>
      </c>
      <c r="H3" s="6" t="s">
        <v>570</v>
      </c>
      <c r="I3" s="6" t="s">
        <v>570</v>
      </c>
      <c r="J3" s="34" t="s">
        <v>570</v>
      </c>
      <c r="K3" s="34" t="s">
        <v>570</v>
      </c>
      <c r="L3" s="34" t="s">
        <v>570</v>
      </c>
      <c r="M3" s="34" t="s">
        <v>570</v>
      </c>
      <c r="N3" s="34" t="s">
        <v>570</v>
      </c>
      <c r="O3" s="6" t="s">
        <v>250</v>
      </c>
      <c r="P3" s="39" t="s">
        <v>570</v>
      </c>
      <c r="Q3" s="39" t="s">
        <v>570</v>
      </c>
      <c r="R3" s="15" t="s">
        <v>326</v>
      </c>
      <c r="S3" s="15"/>
      <c r="T3" s="6" t="s">
        <v>570</v>
      </c>
      <c r="U3" s="6" t="s">
        <v>513</v>
      </c>
      <c r="V3" s="21" t="s">
        <v>501</v>
      </c>
      <c r="W3" s="6" t="s">
        <v>500</v>
      </c>
      <c r="X3" s="6" t="s">
        <v>131</v>
      </c>
      <c r="Y3" s="45" t="s">
        <v>972</v>
      </c>
      <c r="Z3" s="6" t="s">
        <v>570</v>
      </c>
      <c r="AA3" s="6" t="s">
        <v>489</v>
      </c>
      <c r="AB3" s="6" t="s">
        <v>570</v>
      </c>
      <c r="AC3" s="6">
        <v>18</v>
      </c>
      <c r="AD3" s="6">
        <v>18</v>
      </c>
      <c r="AE3" s="6"/>
      <c r="AF3" s="15" t="s">
        <v>777</v>
      </c>
      <c r="AG3" s="39" t="s">
        <v>570</v>
      </c>
      <c r="AH3" s="39" t="s">
        <v>570</v>
      </c>
      <c r="AI3" s="39" t="s">
        <v>570</v>
      </c>
      <c r="AJ3" s="39" t="s">
        <v>570</v>
      </c>
      <c r="AK3" s="39" t="s">
        <v>570</v>
      </c>
      <c r="AL3" s="39" t="s">
        <v>570</v>
      </c>
      <c r="AM3" s="39" t="s">
        <v>570</v>
      </c>
      <c r="AN3" s="39" t="s">
        <v>570</v>
      </c>
      <c r="AO3" s="6" t="s">
        <v>570</v>
      </c>
      <c r="AP3" s="39" t="s">
        <v>570</v>
      </c>
      <c r="AQ3" s="39" t="s">
        <v>570</v>
      </c>
      <c r="AR3" s="39" t="s">
        <v>570</v>
      </c>
      <c r="AS3" s="6">
        <v>12.48</v>
      </c>
      <c r="AT3" s="39" t="s">
        <v>570</v>
      </c>
      <c r="AU3" s="6">
        <v>10.78</v>
      </c>
      <c r="AV3" s="6">
        <v>14.43</v>
      </c>
      <c r="AW3" s="1">
        <f>(AV3-AU3)/4</f>
        <v>0.91250000000000009</v>
      </c>
      <c r="AX3" s="6">
        <v>12.15</v>
      </c>
      <c r="AY3" s="39" t="s">
        <v>570</v>
      </c>
      <c r="AZ3" s="40">
        <v>11.06</v>
      </c>
      <c r="BA3" s="40">
        <v>13.7</v>
      </c>
      <c r="BB3" s="38">
        <f>(BA3-AZ3)/4</f>
        <v>0.6599999999999997</v>
      </c>
      <c r="BC3" s="40" t="s">
        <v>457</v>
      </c>
    </row>
    <row r="4" spans="1:55" s="2" customFormat="1" ht="102">
      <c r="A4" s="2" t="s">
        <v>502</v>
      </c>
      <c r="B4" s="2" t="s">
        <v>508</v>
      </c>
      <c r="C4" s="41" t="s">
        <v>810</v>
      </c>
      <c r="D4" s="2" t="s">
        <v>570</v>
      </c>
      <c r="E4" s="2" t="s">
        <v>570</v>
      </c>
      <c r="F4" s="2" t="s">
        <v>570</v>
      </c>
      <c r="G4" s="2" t="s">
        <v>570</v>
      </c>
      <c r="H4" s="2" t="s">
        <v>570</v>
      </c>
      <c r="I4" s="2" t="s">
        <v>570</v>
      </c>
      <c r="J4" s="2" t="s">
        <v>570</v>
      </c>
      <c r="K4" s="2" t="s">
        <v>570</v>
      </c>
      <c r="L4" s="2" t="s">
        <v>570</v>
      </c>
      <c r="M4" s="2" t="s">
        <v>570</v>
      </c>
      <c r="N4" s="2" t="s">
        <v>570</v>
      </c>
      <c r="O4" s="41">
        <v>2010</v>
      </c>
      <c r="P4" s="2" t="s">
        <v>570</v>
      </c>
      <c r="Q4" s="2" t="s">
        <v>570</v>
      </c>
      <c r="R4" s="19" t="s">
        <v>1026</v>
      </c>
      <c r="S4" s="2" t="s">
        <v>374</v>
      </c>
      <c r="T4" s="2" t="s">
        <v>811</v>
      </c>
      <c r="U4" s="2" t="s">
        <v>812</v>
      </c>
      <c r="V4" s="42" t="s">
        <v>813</v>
      </c>
      <c r="W4" s="43" t="s">
        <v>436</v>
      </c>
      <c r="X4" s="72" t="s">
        <v>131</v>
      </c>
      <c r="Y4" s="72" t="s">
        <v>959</v>
      </c>
      <c r="Z4" s="2" t="s">
        <v>570</v>
      </c>
      <c r="AA4" s="42" t="s">
        <v>814</v>
      </c>
      <c r="AB4" s="2" t="s">
        <v>570</v>
      </c>
      <c r="AC4" s="2">
        <v>4</v>
      </c>
      <c r="AD4" s="2">
        <v>4</v>
      </c>
      <c r="AE4" s="4" t="s">
        <v>570</v>
      </c>
      <c r="AF4" s="4" t="s">
        <v>570</v>
      </c>
      <c r="AG4" s="4" t="s">
        <v>570</v>
      </c>
      <c r="AH4" s="4" t="s">
        <v>570</v>
      </c>
      <c r="AI4" s="4" t="s">
        <v>570</v>
      </c>
      <c r="AJ4" s="4" t="s">
        <v>570</v>
      </c>
      <c r="AK4" s="4" t="s">
        <v>570</v>
      </c>
      <c r="AL4" s="4" t="s">
        <v>570</v>
      </c>
      <c r="AM4" s="4" t="s">
        <v>570</v>
      </c>
      <c r="AN4" s="4" t="s">
        <v>570</v>
      </c>
      <c r="AO4" s="4" t="s">
        <v>570</v>
      </c>
      <c r="AP4" s="4" t="s">
        <v>570</v>
      </c>
      <c r="AQ4" s="4" t="s">
        <v>570</v>
      </c>
      <c r="AR4" s="41" t="s">
        <v>763</v>
      </c>
      <c r="AS4" s="4">
        <v>13.97</v>
      </c>
      <c r="AT4" s="4">
        <v>0.45</v>
      </c>
      <c r="AU4" s="4">
        <v>10.39</v>
      </c>
      <c r="AV4" s="4">
        <v>16.57</v>
      </c>
      <c r="AW4" s="4">
        <f>(AV4-AU4)/4</f>
        <v>1.5449999999999999</v>
      </c>
      <c r="AX4" s="4">
        <v>14.68</v>
      </c>
      <c r="AY4" s="4">
        <v>0.45</v>
      </c>
      <c r="AZ4" s="4">
        <v>11.64</v>
      </c>
      <c r="BA4" s="4">
        <v>17.68</v>
      </c>
      <c r="BB4" s="4">
        <f>(BA4-AZ4)/4</f>
        <v>1.5099999999999998</v>
      </c>
      <c r="BC4" s="4" t="s">
        <v>457</v>
      </c>
    </row>
    <row r="5" spans="1:55" s="2" customFormat="1" ht="102">
      <c r="A5" s="6" t="s">
        <v>502</v>
      </c>
      <c r="B5" s="6" t="s">
        <v>508</v>
      </c>
      <c r="C5" s="44" t="s">
        <v>493</v>
      </c>
      <c r="D5" s="6" t="s">
        <v>570</v>
      </c>
      <c r="E5" s="6" t="s">
        <v>570</v>
      </c>
      <c r="F5" s="6" t="s">
        <v>570</v>
      </c>
      <c r="G5" s="6" t="s">
        <v>570</v>
      </c>
      <c r="H5" s="6" t="s">
        <v>570</v>
      </c>
      <c r="I5" s="6" t="s">
        <v>570</v>
      </c>
      <c r="J5" s="6" t="s">
        <v>570</v>
      </c>
      <c r="K5" s="6" t="s">
        <v>570</v>
      </c>
      <c r="L5" s="6" t="s">
        <v>570</v>
      </c>
      <c r="M5" s="6" t="s">
        <v>570</v>
      </c>
      <c r="N5" s="6" t="s">
        <v>570</v>
      </c>
      <c r="O5" s="44">
        <v>2010</v>
      </c>
      <c r="P5" s="6" t="s">
        <v>570</v>
      </c>
      <c r="Q5" s="6" t="s">
        <v>570</v>
      </c>
      <c r="R5" s="15" t="s">
        <v>1026</v>
      </c>
      <c r="S5" s="6" t="s">
        <v>374</v>
      </c>
      <c r="T5" s="6" t="s">
        <v>811</v>
      </c>
      <c r="U5" s="6" t="s">
        <v>812</v>
      </c>
      <c r="V5" s="44" t="s">
        <v>484</v>
      </c>
      <c r="W5" s="45" t="s">
        <v>436</v>
      </c>
      <c r="X5" s="45" t="s">
        <v>961</v>
      </c>
      <c r="Y5" s="45" t="s">
        <v>960</v>
      </c>
      <c r="Z5" s="6" t="s">
        <v>570</v>
      </c>
      <c r="AA5" s="44" t="s">
        <v>485</v>
      </c>
      <c r="AB5" s="6" t="s">
        <v>570</v>
      </c>
      <c r="AC5" s="6">
        <v>4</v>
      </c>
      <c r="AD5" s="6">
        <v>4</v>
      </c>
      <c r="AE5" s="44" t="s">
        <v>325</v>
      </c>
      <c r="AF5" s="6" t="s">
        <v>570</v>
      </c>
      <c r="AG5" s="6" t="s">
        <v>570</v>
      </c>
      <c r="AH5" s="6" t="s">
        <v>570</v>
      </c>
      <c r="AI5" s="6" t="s">
        <v>570</v>
      </c>
      <c r="AJ5" s="6" t="s">
        <v>570</v>
      </c>
      <c r="AK5" s="6" t="s">
        <v>570</v>
      </c>
      <c r="AL5" s="6" t="s">
        <v>570</v>
      </c>
      <c r="AM5" s="6" t="s">
        <v>570</v>
      </c>
      <c r="AN5" s="6" t="s">
        <v>570</v>
      </c>
      <c r="AO5" s="6" t="s">
        <v>570</v>
      </c>
      <c r="AP5" s="6" t="s">
        <v>570</v>
      </c>
      <c r="AQ5" s="6" t="s">
        <v>570</v>
      </c>
      <c r="AR5" s="44" t="s">
        <v>176</v>
      </c>
      <c r="AS5" s="6">
        <v>16.27</v>
      </c>
      <c r="AT5" s="6">
        <v>0.45</v>
      </c>
      <c r="AU5" s="6">
        <v>12.36</v>
      </c>
      <c r="AV5" s="6">
        <v>19.350000000000001</v>
      </c>
      <c r="AW5" s="6">
        <f>(AV5-AU5)/4</f>
        <v>1.7475000000000005</v>
      </c>
      <c r="AX5" s="6">
        <v>16.48</v>
      </c>
      <c r="AY5" s="6">
        <v>0.45</v>
      </c>
      <c r="AZ5" s="6">
        <v>13.7</v>
      </c>
      <c r="BA5" s="6">
        <v>18.670000000000002</v>
      </c>
      <c r="BB5" s="6">
        <f>(BA5-AZ5)/4</f>
        <v>1.2425000000000006</v>
      </c>
      <c r="BC5" s="6" t="s">
        <v>177</v>
      </c>
    </row>
    <row r="6" spans="1:55">
      <c r="A6" s="1" t="s">
        <v>607</v>
      </c>
      <c r="B6" s="1" t="s">
        <v>604</v>
      </c>
      <c r="C6" s="1" t="s">
        <v>618</v>
      </c>
      <c r="D6" s="1" t="s">
        <v>570</v>
      </c>
      <c r="E6" s="1" t="s">
        <v>570</v>
      </c>
      <c r="F6" s="1" t="s">
        <v>570</v>
      </c>
      <c r="G6" s="1" t="s">
        <v>570</v>
      </c>
      <c r="H6" s="1" t="s">
        <v>570</v>
      </c>
      <c r="I6" s="1" t="s">
        <v>570</v>
      </c>
      <c r="J6" s="1" t="s">
        <v>570</v>
      </c>
      <c r="K6" s="1" t="s">
        <v>570</v>
      </c>
      <c r="L6" s="1" t="s">
        <v>570</v>
      </c>
      <c r="M6" s="1" t="s">
        <v>570</v>
      </c>
      <c r="N6" s="1" t="s">
        <v>570</v>
      </c>
      <c r="O6" s="2">
        <v>2002</v>
      </c>
      <c r="P6" s="1" t="s">
        <v>570</v>
      </c>
      <c r="Q6" s="1" t="s">
        <v>570</v>
      </c>
      <c r="R6" s="4" t="s">
        <v>178</v>
      </c>
      <c r="S6" s="1" t="s">
        <v>374</v>
      </c>
      <c r="T6" s="4" t="s">
        <v>745</v>
      </c>
      <c r="U6" s="1" t="s">
        <v>136</v>
      </c>
      <c r="V6" s="1" t="s">
        <v>179</v>
      </c>
      <c r="W6" s="1" t="s">
        <v>180</v>
      </c>
      <c r="X6" s="1" t="s">
        <v>13</v>
      </c>
      <c r="Y6" s="1" t="s">
        <v>1034</v>
      </c>
      <c r="Z6" s="1" t="s">
        <v>570</v>
      </c>
      <c r="AA6" s="1" t="s">
        <v>570</v>
      </c>
      <c r="AB6" s="1" t="s">
        <v>570</v>
      </c>
      <c r="AC6" s="1">
        <v>3</v>
      </c>
      <c r="AD6" s="1">
        <v>3</v>
      </c>
      <c r="AE6" s="1" t="s">
        <v>570</v>
      </c>
      <c r="AF6" s="1" t="s">
        <v>570</v>
      </c>
      <c r="AG6" s="1" t="s">
        <v>570</v>
      </c>
      <c r="AH6" s="1" t="s">
        <v>570</v>
      </c>
      <c r="AI6" s="1" t="s">
        <v>570</v>
      </c>
      <c r="AJ6" s="1" t="s">
        <v>570</v>
      </c>
      <c r="AK6" s="1" t="s">
        <v>570</v>
      </c>
      <c r="AL6" s="1" t="s">
        <v>570</v>
      </c>
      <c r="AM6" s="1" t="s">
        <v>570</v>
      </c>
      <c r="AN6" s="1" t="s">
        <v>570</v>
      </c>
      <c r="AO6" s="1" t="s">
        <v>570</v>
      </c>
      <c r="AP6" s="1" t="s">
        <v>570</v>
      </c>
      <c r="AQ6" s="1" t="s">
        <v>570</v>
      </c>
      <c r="AR6" s="1" t="s">
        <v>570</v>
      </c>
      <c r="AS6" s="1">
        <v>16.239999999999998</v>
      </c>
      <c r="AT6" s="1">
        <v>0.71</v>
      </c>
      <c r="AU6" s="4" t="s">
        <v>570</v>
      </c>
      <c r="AV6" s="4" t="s">
        <v>570</v>
      </c>
      <c r="AW6" s="2">
        <f>AT6*SQRT(AC6)</f>
        <v>1.2297560733739028</v>
      </c>
      <c r="AX6" s="1">
        <v>15.4</v>
      </c>
      <c r="AY6" s="1">
        <v>0.71</v>
      </c>
      <c r="AZ6" s="4" t="s">
        <v>570</v>
      </c>
      <c r="BA6" s="4" t="s">
        <v>570</v>
      </c>
      <c r="BB6" s="2">
        <f>AY6*SQRT(AD6)</f>
        <v>1.2297560733739028</v>
      </c>
      <c r="BC6" s="1" t="s">
        <v>457</v>
      </c>
    </row>
    <row r="7" spans="1:55" ht="30.6">
      <c r="A7" s="6" t="s">
        <v>607</v>
      </c>
      <c r="B7" s="6" t="s">
        <v>604</v>
      </c>
      <c r="C7" s="6" t="s">
        <v>333</v>
      </c>
      <c r="D7" s="6" t="s">
        <v>570</v>
      </c>
      <c r="E7" s="6" t="s">
        <v>570</v>
      </c>
      <c r="F7" s="6" t="s">
        <v>570</v>
      </c>
      <c r="G7" s="6" t="s">
        <v>570</v>
      </c>
      <c r="H7" s="6" t="s">
        <v>570</v>
      </c>
      <c r="I7" s="6" t="s">
        <v>570</v>
      </c>
      <c r="J7" s="6" t="s">
        <v>570</v>
      </c>
      <c r="K7" s="6" t="s">
        <v>570</v>
      </c>
      <c r="L7" s="6" t="s">
        <v>570</v>
      </c>
      <c r="M7" s="6" t="s">
        <v>570</v>
      </c>
      <c r="N7" s="6" t="s">
        <v>570</v>
      </c>
      <c r="O7" s="6" t="s">
        <v>416</v>
      </c>
      <c r="P7" s="6" t="s">
        <v>570</v>
      </c>
      <c r="Q7" s="6" t="s">
        <v>570</v>
      </c>
      <c r="R7" s="6" t="s">
        <v>178</v>
      </c>
      <c r="S7" s="6" t="s">
        <v>374</v>
      </c>
      <c r="T7" s="6" t="s">
        <v>745</v>
      </c>
      <c r="U7" s="6" t="s">
        <v>136</v>
      </c>
      <c r="V7" s="6" t="s">
        <v>179</v>
      </c>
      <c r="W7" s="6" t="s">
        <v>180</v>
      </c>
      <c r="X7" s="6" t="s">
        <v>13</v>
      </c>
      <c r="Y7" s="45" t="s">
        <v>1034</v>
      </c>
      <c r="Z7" s="6" t="s">
        <v>570</v>
      </c>
      <c r="AA7" s="6" t="s">
        <v>570</v>
      </c>
      <c r="AB7" s="6" t="s">
        <v>570</v>
      </c>
      <c r="AC7" s="6">
        <v>3</v>
      </c>
      <c r="AD7" s="6">
        <v>3</v>
      </c>
      <c r="AE7" s="6" t="s">
        <v>570</v>
      </c>
      <c r="AF7" s="6" t="s">
        <v>570</v>
      </c>
      <c r="AG7" s="6" t="s">
        <v>570</v>
      </c>
      <c r="AH7" s="6" t="s">
        <v>570</v>
      </c>
      <c r="AI7" s="6" t="s">
        <v>570</v>
      </c>
      <c r="AJ7" s="6" t="s">
        <v>570</v>
      </c>
      <c r="AK7" s="6" t="s">
        <v>570</v>
      </c>
      <c r="AL7" s="6" t="s">
        <v>570</v>
      </c>
      <c r="AM7" s="6" t="s">
        <v>570</v>
      </c>
      <c r="AN7" s="6" t="s">
        <v>570</v>
      </c>
      <c r="AO7" s="6" t="s">
        <v>570</v>
      </c>
      <c r="AP7" s="6" t="s">
        <v>570</v>
      </c>
      <c r="AQ7" s="6" t="s">
        <v>570</v>
      </c>
      <c r="AR7" s="6" t="s">
        <v>570</v>
      </c>
      <c r="AS7" s="6">
        <v>18.18</v>
      </c>
      <c r="AT7" s="6">
        <v>0.99</v>
      </c>
      <c r="AU7" s="6" t="s">
        <v>570</v>
      </c>
      <c r="AV7" s="6" t="s">
        <v>570</v>
      </c>
      <c r="AW7" s="6">
        <f>AT7*SQRT(AC7)</f>
        <v>1.7147302994931883</v>
      </c>
      <c r="AX7" s="6">
        <v>18.010000000000002</v>
      </c>
      <c r="AY7" s="6">
        <v>0.99</v>
      </c>
      <c r="AZ7" s="6" t="s">
        <v>570</v>
      </c>
      <c r="BA7" s="6" t="s">
        <v>570</v>
      </c>
      <c r="BB7" s="6">
        <f>AY7*SQRT(AD7)</f>
        <v>1.7147302994931883</v>
      </c>
      <c r="BC7" s="6" t="s">
        <v>457</v>
      </c>
    </row>
    <row r="8" spans="1:55" ht="13.2">
      <c r="AP8" s="65"/>
      <c r="AQ8" s="65"/>
    </row>
    <row r="9" spans="1:55" ht="13.2">
      <c r="C9" s="65"/>
      <c r="AP9" s="65"/>
      <c r="AQ9" s="65"/>
    </row>
    <row r="10" spans="1:55" ht="13.2">
      <c r="AP10" s="65"/>
      <c r="AQ10" s="65"/>
    </row>
    <row r="11" spans="1:55" ht="13.2">
      <c r="AP11" s="65"/>
      <c r="AQ11" s="65"/>
    </row>
  </sheetData>
  <mergeCells count="2">
    <mergeCell ref="AZ1:BA1"/>
    <mergeCell ref="AU1:AV1"/>
  </mergeCells>
  <phoneticPr fontId="1" type="noConversion"/>
  <pageMargins left="0.75" right="0.75" top="1" bottom="1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28"/>
  <sheetViews>
    <sheetView zoomScale="125" zoomScaleNormal="125" zoomScalePageLayoutView="125"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A2" sqref="AA2"/>
    </sheetView>
  </sheetViews>
  <sheetFormatPr defaultColWidth="8.33203125" defaultRowHeight="10.199999999999999"/>
  <cols>
    <col min="1" max="1" width="10.77734375" style="1" customWidth="1"/>
    <col min="2" max="2" width="6.33203125" style="1" customWidth="1"/>
    <col min="3" max="3" width="78" style="1" customWidth="1"/>
    <col min="4" max="4" width="13.77734375" style="1" customWidth="1"/>
    <col min="5" max="5" width="11.44140625" style="1" customWidth="1"/>
    <col min="6" max="9" width="13.77734375" style="1" customWidth="1"/>
    <col min="10" max="10" width="9" style="1" customWidth="1"/>
    <col min="11" max="11" width="10.109375" style="1" customWidth="1"/>
    <col min="12" max="12" width="9.77734375" style="1" customWidth="1"/>
    <col min="13" max="13" width="8.44140625" style="1" customWidth="1"/>
    <col min="14" max="14" width="14.44140625" style="1" customWidth="1"/>
    <col min="15" max="15" width="12.77734375" style="1" customWidth="1"/>
    <col min="16" max="16" width="10.109375" style="1" customWidth="1"/>
    <col min="17" max="17" width="28.77734375" style="1" customWidth="1"/>
    <col min="18" max="18" width="42.44140625" style="1" customWidth="1"/>
    <col min="19" max="19" width="20" style="1" customWidth="1"/>
    <col min="20" max="20" width="40.6640625" style="1" customWidth="1"/>
    <col min="21" max="21" width="13.33203125" style="1" customWidth="1"/>
    <col min="22" max="22" width="28.33203125" style="1" customWidth="1"/>
    <col min="23" max="27" width="23.33203125" style="1" customWidth="1"/>
    <col min="28" max="28" width="12.44140625" style="1" customWidth="1"/>
    <col min="29" max="29" width="28.6640625" style="1" bestFit="1" customWidth="1"/>
    <col min="30" max="30" width="15" style="1" customWidth="1"/>
    <col min="31" max="32" width="7.77734375" style="1" customWidth="1"/>
    <col min="33" max="33" width="17.44140625" style="1" customWidth="1"/>
    <col min="34" max="36" width="10.6640625" style="1" customWidth="1"/>
    <col min="37" max="37" width="10.33203125" style="1" customWidth="1"/>
    <col min="38" max="38" width="12.109375" style="1" customWidth="1"/>
    <col min="39" max="39" width="53" style="1" bestFit="1" customWidth="1"/>
    <col min="40" max="40" width="10.77734375" style="1" customWidth="1"/>
    <col min="41" max="41" width="15.33203125" style="1" customWidth="1"/>
    <col min="42" max="43" width="10.77734375" style="1" customWidth="1"/>
    <col min="44" max="44" width="14.77734375" style="1" customWidth="1"/>
    <col min="45" max="46" width="10.77734375" style="1" customWidth="1"/>
    <col min="47" max="53" width="10.6640625" style="1" customWidth="1"/>
    <col min="54" max="56" width="8.33203125" style="1"/>
    <col min="57" max="57" width="6.109375" style="1" bestFit="1" customWidth="1"/>
    <col min="58" max="58" width="12.77734375" style="1" customWidth="1"/>
    <col min="59" max="16384" width="8.33203125" style="1"/>
  </cols>
  <sheetData>
    <row r="1" spans="1:195" s="3" customFormat="1" ht="66" customHeight="1">
      <c r="A1" s="62" t="s">
        <v>836</v>
      </c>
      <c r="B1" s="10" t="s">
        <v>87</v>
      </c>
      <c r="C1" s="10" t="s">
        <v>88</v>
      </c>
      <c r="D1" s="10" t="s">
        <v>520</v>
      </c>
      <c r="E1" s="10" t="s">
        <v>521</v>
      </c>
      <c r="F1" s="10" t="s">
        <v>89</v>
      </c>
      <c r="G1" s="10" t="s">
        <v>90</v>
      </c>
      <c r="H1" s="10" t="s">
        <v>91</v>
      </c>
      <c r="I1" s="10" t="s">
        <v>92</v>
      </c>
      <c r="J1" s="10" t="s">
        <v>522</v>
      </c>
      <c r="K1" s="62" t="s">
        <v>109</v>
      </c>
      <c r="L1" s="62" t="s">
        <v>110</v>
      </c>
      <c r="M1" s="10" t="s">
        <v>267</v>
      </c>
      <c r="N1" s="10" t="s">
        <v>268</v>
      </c>
      <c r="O1" s="10" t="s">
        <v>269</v>
      </c>
      <c r="P1" s="10" t="s">
        <v>270</v>
      </c>
      <c r="Q1" s="62" t="s">
        <v>275</v>
      </c>
      <c r="R1" s="10" t="s">
        <v>276</v>
      </c>
      <c r="S1" s="10" t="s">
        <v>277</v>
      </c>
      <c r="T1" s="10" t="s">
        <v>85</v>
      </c>
      <c r="U1" s="70" t="s">
        <v>168</v>
      </c>
      <c r="V1" s="10" t="s">
        <v>280</v>
      </c>
      <c r="W1" s="62" t="s">
        <v>462</v>
      </c>
      <c r="X1" s="71" t="s">
        <v>232</v>
      </c>
      <c r="Y1" s="71" t="s">
        <v>807</v>
      </c>
      <c r="Z1" s="62" t="s">
        <v>15</v>
      </c>
      <c r="AA1" s="71" t="s">
        <v>807</v>
      </c>
      <c r="AB1" s="10" t="s">
        <v>465</v>
      </c>
      <c r="AC1" s="10" t="s">
        <v>466</v>
      </c>
      <c r="AD1" s="10" t="s">
        <v>467</v>
      </c>
      <c r="AE1" s="62" t="s">
        <v>252</v>
      </c>
      <c r="AF1" s="62" t="s">
        <v>253</v>
      </c>
      <c r="AG1" s="62" t="s">
        <v>254</v>
      </c>
      <c r="AH1" s="62" t="s">
        <v>255</v>
      </c>
      <c r="AI1" s="62" t="s">
        <v>256</v>
      </c>
      <c r="AJ1" s="62" t="s">
        <v>257</v>
      </c>
      <c r="AK1" s="62" t="s">
        <v>258</v>
      </c>
      <c r="AL1" s="62" t="s">
        <v>259</v>
      </c>
      <c r="AM1" s="62" t="s">
        <v>260</v>
      </c>
      <c r="AN1" s="62" t="s">
        <v>261</v>
      </c>
      <c r="AO1" s="62" t="s">
        <v>262</v>
      </c>
      <c r="AP1" s="62" t="s">
        <v>263</v>
      </c>
      <c r="AQ1" s="62" t="s">
        <v>264</v>
      </c>
      <c r="AR1" s="62" t="s">
        <v>117</v>
      </c>
      <c r="AS1" s="62" t="s">
        <v>118</v>
      </c>
      <c r="AT1" s="62" t="s">
        <v>348</v>
      </c>
      <c r="AU1" s="62" t="s">
        <v>106</v>
      </c>
      <c r="AV1" s="62" t="s">
        <v>107</v>
      </c>
      <c r="AW1" s="62" t="s">
        <v>381</v>
      </c>
      <c r="AX1" s="62" t="s">
        <v>108</v>
      </c>
      <c r="AY1" s="62" t="s">
        <v>266</v>
      </c>
      <c r="AZ1" s="62" t="s">
        <v>382</v>
      </c>
      <c r="BA1" s="62" t="s">
        <v>766</v>
      </c>
      <c r="BB1" s="3" t="s">
        <v>383</v>
      </c>
      <c r="BC1" s="3" t="s">
        <v>384</v>
      </c>
      <c r="BD1" s="3" t="s">
        <v>385</v>
      </c>
      <c r="BE1" s="3" t="s">
        <v>386</v>
      </c>
    </row>
    <row r="2" spans="1:195" ht="20.399999999999999">
      <c r="A2" s="6" t="s">
        <v>603</v>
      </c>
      <c r="B2" s="6" t="s">
        <v>604</v>
      </c>
      <c r="C2" s="6" t="s">
        <v>278</v>
      </c>
      <c r="D2" s="6" t="s">
        <v>768</v>
      </c>
      <c r="E2" s="6" t="s">
        <v>769</v>
      </c>
      <c r="F2" s="6" t="s">
        <v>570</v>
      </c>
      <c r="G2" s="6" t="s">
        <v>570</v>
      </c>
      <c r="H2" s="6" t="s">
        <v>570</v>
      </c>
      <c r="I2" s="6" t="s">
        <v>570</v>
      </c>
      <c r="J2" s="6" t="s">
        <v>570</v>
      </c>
      <c r="K2" s="6" t="s">
        <v>570</v>
      </c>
      <c r="L2" s="6" t="s">
        <v>570</v>
      </c>
      <c r="M2" s="6" t="s">
        <v>570</v>
      </c>
      <c r="N2" s="6" t="s">
        <v>570</v>
      </c>
      <c r="O2" s="6">
        <v>2006</v>
      </c>
      <c r="P2" s="6" t="s">
        <v>570</v>
      </c>
      <c r="Q2" s="6" t="s">
        <v>570</v>
      </c>
      <c r="R2" s="6" t="s">
        <v>55</v>
      </c>
      <c r="S2" s="6" t="s">
        <v>570</v>
      </c>
      <c r="T2" s="6" t="s">
        <v>570</v>
      </c>
      <c r="U2" s="6" t="s">
        <v>605</v>
      </c>
      <c r="V2" s="6" t="s">
        <v>736</v>
      </c>
      <c r="W2" s="6" t="s">
        <v>609</v>
      </c>
      <c r="X2" s="6"/>
      <c r="Y2" s="6"/>
      <c r="Z2" s="6" t="s">
        <v>131</v>
      </c>
      <c r="AA2" s="15" t="s">
        <v>1008</v>
      </c>
      <c r="AB2" s="6" t="s">
        <v>570</v>
      </c>
      <c r="AC2" s="6" t="s">
        <v>606</v>
      </c>
      <c r="AD2" s="6" t="s">
        <v>570</v>
      </c>
      <c r="AE2" s="6">
        <v>5</v>
      </c>
      <c r="AF2" s="6">
        <v>5</v>
      </c>
      <c r="AG2" s="6" t="s">
        <v>570</v>
      </c>
      <c r="AH2" s="6" t="s">
        <v>570</v>
      </c>
      <c r="AI2" s="6" t="s">
        <v>570</v>
      </c>
      <c r="AJ2" s="6" t="s">
        <v>570</v>
      </c>
      <c r="AK2" s="6" t="s">
        <v>570</v>
      </c>
      <c r="AL2" s="6" t="s">
        <v>570</v>
      </c>
      <c r="AM2" s="6" t="s">
        <v>570</v>
      </c>
      <c r="AN2" s="6" t="s">
        <v>570</v>
      </c>
      <c r="AO2" s="6" t="s">
        <v>570</v>
      </c>
      <c r="AP2" s="6" t="s">
        <v>570</v>
      </c>
      <c r="AQ2" s="6" t="s">
        <v>570</v>
      </c>
      <c r="AR2" s="6" t="s">
        <v>570</v>
      </c>
      <c r="AS2" s="6" t="s">
        <v>570</v>
      </c>
      <c r="AT2" s="6" t="s">
        <v>570</v>
      </c>
      <c r="AU2" s="6">
        <v>1.6</v>
      </c>
      <c r="AV2" s="6">
        <v>0.2</v>
      </c>
      <c r="AW2" s="8">
        <f>AV2*SQRT(AE2)</f>
        <v>0.44721359549995798</v>
      </c>
      <c r="AX2" s="6">
        <v>3.5</v>
      </c>
      <c r="AY2" s="6">
        <v>0.8</v>
      </c>
      <c r="AZ2" s="8">
        <f>AY2*SQRT(AF2)</f>
        <v>1.7888543819998319</v>
      </c>
      <c r="BA2" s="6">
        <v>6.83E-2</v>
      </c>
      <c r="BB2" s="6"/>
      <c r="BC2" s="6"/>
      <c r="BD2" s="6"/>
      <c r="BE2" s="6"/>
    </row>
    <row r="3" spans="1:195" ht="30.6">
      <c r="A3" s="1" t="s">
        <v>494</v>
      </c>
      <c r="B3" s="2" t="s">
        <v>604</v>
      </c>
      <c r="C3" s="19" t="s">
        <v>628</v>
      </c>
      <c r="D3" s="1" t="s">
        <v>570</v>
      </c>
      <c r="E3" s="1" t="s">
        <v>570</v>
      </c>
      <c r="F3" s="1" t="s">
        <v>570</v>
      </c>
      <c r="G3" s="1" t="s">
        <v>570</v>
      </c>
      <c r="H3" s="1" t="s">
        <v>570</v>
      </c>
      <c r="I3" s="1" t="s">
        <v>570</v>
      </c>
      <c r="J3" s="1" t="s">
        <v>570</v>
      </c>
      <c r="K3" s="1" t="s">
        <v>570</v>
      </c>
      <c r="L3" s="1" t="s">
        <v>570</v>
      </c>
      <c r="M3" s="1" t="s">
        <v>570</v>
      </c>
      <c r="N3" s="1" t="s">
        <v>570</v>
      </c>
      <c r="O3" s="1" t="s">
        <v>570</v>
      </c>
      <c r="P3" s="1" t="s">
        <v>570</v>
      </c>
      <c r="Q3" s="1" t="s">
        <v>570</v>
      </c>
      <c r="R3" s="1" t="s">
        <v>570</v>
      </c>
      <c r="S3" s="1" t="s">
        <v>570</v>
      </c>
      <c r="T3" s="1" t="s">
        <v>570</v>
      </c>
      <c r="U3" s="1" t="s">
        <v>570</v>
      </c>
      <c r="V3" s="1" t="s">
        <v>570</v>
      </c>
      <c r="W3" s="1" t="s">
        <v>570</v>
      </c>
      <c r="X3" s="1" t="s">
        <v>570</v>
      </c>
      <c r="Y3" s="1" t="s">
        <v>570</v>
      </c>
      <c r="Z3" s="2" t="s">
        <v>131</v>
      </c>
      <c r="AA3" s="19" t="s">
        <v>973</v>
      </c>
      <c r="AB3" s="1" t="s">
        <v>570</v>
      </c>
      <c r="AC3" s="1" t="s">
        <v>570</v>
      </c>
      <c r="AD3" s="1" t="s">
        <v>570</v>
      </c>
      <c r="AE3" s="1">
        <v>208</v>
      </c>
      <c r="AF3" s="1">
        <v>208</v>
      </c>
      <c r="AG3" s="1" t="s">
        <v>570</v>
      </c>
      <c r="AH3" s="1" t="s">
        <v>570</v>
      </c>
      <c r="AI3" s="1" t="s">
        <v>570</v>
      </c>
      <c r="AJ3" s="1" t="s">
        <v>570</v>
      </c>
      <c r="AK3" s="1" t="s">
        <v>570</v>
      </c>
      <c r="AL3" s="1" t="s">
        <v>570</v>
      </c>
      <c r="AM3" s="1" t="s">
        <v>570</v>
      </c>
      <c r="AN3" s="1" t="s">
        <v>570</v>
      </c>
      <c r="AO3" s="1" t="s">
        <v>570</v>
      </c>
      <c r="AP3" s="1" t="s">
        <v>570</v>
      </c>
      <c r="AQ3" s="1" t="s">
        <v>570</v>
      </c>
      <c r="AR3" s="1" t="s">
        <v>570</v>
      </c>
      <c r="AS3" s="1" t="s">
        <v>570</v>
      </c>
      <c r="AT3" s="1" t="s">
        <v>570</v>
      </c>
      <c r="AU3" s="13">
        <v>1.64307547169811</v>
      </c>
      <c r="AV3" s="1" t="s">
        <v>570</v>
      </c>
      <c r="AW3" s="1" t="s">
        <v>570</v>
      </c>
      <c r="AX3" s="13">
        <v>3.328226415094341</v>
      </c>
      <c r="AY3" s="1" t="s">
        <v>570</v>
      </c>
      <c r="AZ3" s="1" t="s">
        <v>570</v>
      </c>
      <c r="BA3" s="13">
        <v>1E-3</v>
      </c>
      <c r="BB3" s="1" t="s">
        <v>570</v>
      </c>
      <c r="BC3" s="1" t="s">
        <v>570</v>
      </c>
      <c r="BD3" s="1" t="s">
        <v>570</v>
      </c>
      <c r="BE3" s="1" t="s">
        <v>570</v>
      </c>
    </row>
    <row r="4" spans="1:195" ht="20.399999999999999">
      <c r="A4" s="1" t="s">
        <v>494</v>
      </c>
      <c r="B4" s="2" t="s">
        <v>604</v>
      </c>
      <c r="C4" s="2" t="s">
        <v>629</v>
      </c>
      <c r="D4" s="1" t="s">
        <v>570</v>
      </c>
      <c r="E4" s="1" t="s">
        <v>570</v>
      </c>
      <c r="F4" s="1" t="s">
        <v>570</v>
      </c>
      <c r="G4" s="1" t="s">
        <v>570</v>
      </c>
      <c r="H4" s="1" t="s">
        <v>570</v>
      </c>
      <c r="I4" s="1" t="s">
        <v>570</v>
      </c>
      <c r="J4" s="1" t="s">
        <v>570</v>
      </c>
      <c r="K4" s="1" t="s">
        <v>570</v>
      </c>
      <c r="L4" s="1" t="s">
        <v>570</v>
      </c>
      <c r="M4" s="1" t="s">
        <v>570</v>
      </c>
      <c r="N4" s="1" t="s">
        <v>570</v>
      </c>
      <c r="O4" s="1" t="s">
        <v>570</v>
      </c>
      <c r="P4" s="1" t="s">
        <v>570</v>
      </c>
      <c r="Q4" s="1" t="s">
        <v>570</v>
      </c>
      <c r="R4" s="1" t="s">
        <v>570</v>
      </c>
      <c r="S4" s="1" t="s">
        <v>570</v>
      </c>
      <c r="T4" s="1" t="s">
        <v>570</v>
      </c>
      <c r="U4" s="1" t="s">
        <v>570</v>
      </c>
      <c r="V4" s="1" t="s">
        <v>570</v>
      </c>
      <c r="W4" s="1" t="s">
        <v>570</v>
      </c>
      <c r="X4" s="1" t="s">
        <v>570</v>
      </c>
      <c r="Y4" s="1" t="s">
        <v>570</v>
      </c>
      <c r="Z4" s="2" t="s">
        <v>131</v>
      </c>
      <c r="AA4" s="19" t="s">
        <v>973</v>
      </c>
      <c r="AB4" s="1" t="s">
        <v>570</v>
      </c>
      <c r="AC4" s="1" t="s">
        <v>570</v>
      </c>
      <c r="AD4" s="1" t="s">
        <v>570</v>
      </c>
      <c r="AE4" s="1">
        <f>28*4</f>
        <v>112</v>
      </c>
      <c r="AF4" s="1">
        <f>28*4</f>
        <v>112</v>
      </c>
      <c r="AG4" s="1" t="s">
        <v>570</v>
      </c>
      <c r="AH4" s="1" t="s">
        <v>570</v>
      </c>
      <c r="AI4" s="1" t="s">
        <v>570</v>
      </c>
      <c r="AJ4" s="1" t="s">
        <v>570</v>
      </c>
      <c r="AK4" s="1" t="s">
        <v>570</v>
      </c>
      <c r="AL4" s="1" t="s">
        <v>570</v>
      </c>
      <c r="AM4" s="1" t="s">
        <v>570</v>
      </c>
      <c r="AN4" s="1" t="s">
        <v>570</v>
      </c>
      <c r="AO4" s="1" t="s">
        <v>570</v>
      </c>
      <c r="AP4" s="1" t="s">
        <v>570</v>
      </c>
      <c r="AQ4" s="1" t="s">
        <v>570</v>
      </c>
      <c r="AR4" s="1" t="s">
        <v>570</v>
      </c>
      <c r="AS4" s="1" t="s">
        <v>570</v>
      </c>
      <c r="AT4" s="1" t="s">
        <v>570</v>
      </c>
      <c r="AU4" s="13">
        <v>2.8270000000000031</v>
      </c>
      <c r="AV4" s="1" t="s">
        <v>570</v>
      </c>
      <c r="AW4" s="1" t="s">
        <v>570</v>
      </c>
      <c r="AX4" s="13">
        <v>4.8891240310077535</v>
      </c>
      <c r="AY4" s="1" t="s">
        <v>570</v>
      </c>
      <c r="AZ4" s="1" t="s">
        <v>570</v>
      </c>
      <c r="BA4" s="13">
        <v>1E-3</v>
      </c>
      <c r="BB4" s="1" t="s">
        <v>570</v>
      </c>
      <c r="BC4" s="1" t="s">
        <v>570</v>
      </c>
      <c r="BD4" s="1" t="s">
        <v>570</v>
      </c>
      <c r="BE4" s="1" t="s">
        <v>570</v>
      </c>
    </row>
    <row r="5" spans="1:195" ht="20.399999999999999">
      <c r="A5" s="1" t="s">
        <v>494</v>
      </c>
      <c r="B5" s="2" t="s">
        <v>604</v>
      </c>
      <c r="C5" s="2" t="s">
        <v>630</v>
      </c>
      <c r="D5" s="1" t="s">
        <v>570</v>
      </c>
      <c r="E5" s="1" t="s">
        <v>570</v>
      </c>
      <c r="F5" s="1" t="s">
        <v>570</v>
      </c>
      <c r="G5" s="1" t="s">
        <v>570</v>
      </c>
      <c r="H5" s="1" t="s">
        <v>570</v>
      </c>
      <c r="I5" s="1" t="s">
        <v>570</v>
      </c>
      <c r="J5" s="1" t="s">
        <v>570</v>
      </c>
      <c r="K5" s="1" t="s">
        <v>570</v>
      </c>
      <c r="L5" s="1" t="s">
        <v>570</v>
      </c>
      <c r="M5" s="1" t="s">
        <v>570</v>
      </c>
      <c r="N5" s="1" t="s">
        <v>570</v>
      </c>
      <c r="O5" s="1" t="s">
        <v>570</v>
      </c>
      <c r="P5" s="1" t="s">
        <v>570</v>
      </c>
      <c r="Q5" s="1" t="s">
        <v>570</v>
      </c>
      <c r="R5" s="1" t="s">
        <v>570</v>
      </c>
      <c r="S5" s="1" t="s">
        <v>570</v>
      </c>
      <c r="T5" s="1" t="s">
        <v>570</v>
      </c>
      <c r="U5" s="1" t="s">
        <v>570</v>
      </c>
      <c r="V5" s="1" t="s">
        <v>570</v>
      </c>
      <c r="W5" s="1" t="s">
        <v>570</v>
      </c>
      <c r="X5" s="1" t="s">
        <v>570</v>
      </c>
      <c r="Y5" s="1" t="s">
        <v>570</v>
      </c>
      <c r="Z5" s="2" t="s">
        <v>131</v>
      </c>
      <c r="AA5" s="19" t="s">
        <v>973</v>
      </c>
      <c r="AB5" s="1" t="s">
        <v>570</v>
      </c>
      <c r="AC5" s="1" t="s">
        <v>570</v>
      </c>
      <c r="AD5" s="1" t="s">
        <v>570</v>
      </c>
      <c r="AE5" s="1">
        <f>26*4</f>
        <v>104</v>
      </c>
      <c r="AF5" s="1">
        <f>26*4</f>
        <v>104</v>
      </c>
      <c r="AG5" s="1" t="s">
        <v>570</v>
      </c>
      <c r="AH5" s="1" t="s">
        <v>570</v>
      </c>
      <c r="AI5" s="1" t="s">
        <v>570</v>
      </c>
      <c r="AJ5" s="1" t="s">
        <v>570</v>
      </c>
      <c r="AK5" s="1" t="s">
        <v>570</v>
      </c>
      <c r="AL5" s="1" t="s">
        <v>570</v>
      </c>
      <c r="AM5" s="1" t="s">
        <v>570</v>
      </c>
      <c r="AN5" s="1" t="s">
        <v>570</v>
      </c>
      <c r="AO5" s="1" t="s">
        <v>570</v>
      </c>
      <c r="AP5" s="1" t="s">
        <v>570</v>
      </c>
      <c r="AQ5" s="1" t="s">
        <v>570</v>
      </c>
      <c r="AR5" s="1" t="s">
        <v>570</v>
      </c>
      <c r="AS5" s="1" t="s">
        <v>570</v>
      </c>
      <c r="AT5" s="1" t="s">
        <v>570</v>
      </c>
      <c r="AU5" s="13">
        <v>6.251814814814816</v>
      </c>
      <c r="AV5" s="1" t="s">
        <v>570</v>
      </c>
      <c r="AW5" s="1" t="s">
        <v>570</v>
      </c>
      <c r="AX5" s="13">
        <v>8.1518518518518501</v>
      </c>
      <c r="AY5" s="1" t="s">
        <v>570</v>
      </c>
      <c r="AZ5" s="1" t="s">
        <v>570</v>
      </c>
      <c r="BA5" s="13">
        <v>0.1065</v>
      </c>
      <c r="BB5" s="1" t="s">
        <v>570</v>
      </c>
      <c r="BC5" s="1" t="s">
        <v>570</v>
      </c>
      <c r="BD5" s="1" t="s">
        <v>570</v>
      </c>
      <c r="BE5" s="1" t="s">
        <v>570</v>
      </c>
    </row>
    <row r="6" spans="1:195" ht="12" customHeight="1">
      <c r="A6" s="1" t="s">
        <v>494</v>
      </c>
      <c r="B6" s="2" t="s">
        <v>604</v>
      </c>
      <c r="C6" s="2" t="s">
        <v>631</v>
      </c>
      <c r="D6" s="1" t="s">
        <v>570</v>
      </c>
      <c r="E6" s="1" t="s">
        <v>570</v>
      </c>
      <c r="F6" s="1" t="s">
        <v>570</v>
      </c>
      <c r="G6" s="1" t="s">
        <v>570</v>
      </c>
      <c r="H6" s="1" t="s">
        <v>570</v>
      </c>
      <c r="I6" s="1" t="s">
        <v>570</v>
      </c>
      <c r="J6" s="1" t="s">
        <v>570</v>
      </c>
      <c r="K6" s="1" t="s">
        <v>570</v>
      </c>
      <c r="L6" s="1" t="s">
        <v>570</v>
      </c>
      <c r="M6" s="1" t="s">
        <v>570</v>
      </c>
      <c r="N6" s="1" t="s">
        <v>570</v>
      </c>
      <c r="O6" s="1" t="s">
        <v>570</v>
      </c>
      <c r="P6" s="1" t="s">
        <v>570</v>
      </c>
      <c r="Q6" s="1" t="s">
        <v>570</v>
      </c>
      <c r="R6" s="1" t="s">
        <v>570</v>
      </c>
      <c r="S6" s="1" t="s">
        <v>570</v>
      </c>
      <c r="T6" s="1" t="s">
        <v>570</v>
      </c>
      <c r="U6" s="1" t="s">
        <v>570</v>
      </c>
      <c r="V6" s="1" t="s">
        <v>570</v>
      </c>
      <c r="W6" s="1" t="s">
        <v>570</v>
      </c>
      <c r="X6" s="1" t="s">
        <v>570</v>
      </c>
      <c r="Y6" s="1" t="s">
        <v>570</v>
      </c>
      <c r="Z6" s="2" t="s">
        <v>131</v>
      </c>
      <c r="AA6" s="19" t="s">
        <v>973</v>
      </c>
      <c r="AB6" s="1" t="s">
        <v>570</v>
      </c>
      <c r="AC6" s="1" t="s">
        <v>570</v>
      </c>
      <c r="AD6" s="1" t="s">
        <v>570</v>
      </c>
      <c r="AE6" s="1">
        <f>15*4</f>
        <v>60</v>
      </c>
      <c r="AF6" s="1">
        <f>15*4</f>
        <v>60</v>
      </c>
      <c r="AG6" s="1" t="s">
        <v>570</v>
      </c>
      <c r="AH6" s="1" t="s">
        <v>570</v>
      </c>
      <c r="AI6" s="1" t="s">
        <v>570</v>
      </c>
      <c r="AJ6" s="1" t="s">
        <v>570</v>
      </c>
      <c r="AK6" s="1" t="s">
        <v>570</v>
      </c>
      <c r="AL6" s="1" t="s">
        <v>570</v>
      </c>
      <c r="AM6" s="1" t="s">
        <v>570</v>
      </c>
      <c r="AN6" s="1" t="s">
        <v>570</v>
      </c>
      <c r="AO6" s="1" t="s">
        <v>570</v>
      </c>
      <c r="AP6" s="1" t="s">
        <v>570</v>
      </c>
      <c r="AQ6" s="1" t="s">
        <v>570</v>
      </c>
      <c r="AR6" s="1" t="s">
        <v>570</v>
      </c>
      <c r="AS6" s="1" t="s">
        <v>570</v>
      </c>
      <c r="AT6" s="1" t="s">
        <v>570</v>
      </c>
      <c r="AU6" s="13">
        <v>4.2811874999999997</v>
      </c>
      <c r="AV6" s="1" t="s">
        <v>570</v>
      </c>
      <c r="AW6" s="1" t="s">
        <v>570</v>
      </c>
      <c r="AX6" s="13">
        <v>13.973750000000001</v>
      </c>
      <c r="AY6" s="1" t="s">
        <v>570</v>
      </c>
      <c r="AZ6" s="1" t="s">
        <v>570</v>
      </c>
      <c r="BA6" s="13">
        <v>1E-3</v>
      </c>
      <c r="BB6" s="1" t="s">
        <v>570</v>
      </c>
      <c r="BC6" s="1" t="s">
        <v>570</v>
      </c>
      <c r="BD6" s="1" t="s">
        <v>570</v>
      </c>
      <c r="BE6" s="1" t="s">
        <v>570</v>
      </c>
      <c r="ES6" s="1" t="s">
        <v>570</v>
      </c>
      <c r="ET6" s="1" t="s">
        <v>570</v>
      </c>
      <c r="EU6" s="1" t="s">
        <v>570</v>
      </c>
      <c r="EV6" s="1" t="s">
        <v>570</v>
      </c>
      <c r="EW6" s="1" t="s">
        <v>570</v>
      </c>
      <c r="EX6" s="1" t="s">
        <v>570</v>
      </c>
      <c r="EY6" s="1" t="s">
        <v>570</v>
      </c>
      <c r="EZ6" s="1" t="s">
        <v>570</v>
      </c>
      <c r="FA6" s="1" t="s">
        <v>570</v>
      </c>
      <c r="FB6" s="1" t="s">
        <v>570</v>
      </c>
      <c r="FC6" s="1" t="s">
        <v>570</v>
      </c>
      <c r="FD6" s="1" t="s">
        <v>570</v>
      </c>
      <c r="FE6" s="1" t="s">
        <v>570</v>
      </c>
      <c r="FF6" s="1" t="s">
        <v>570</v>
      </c>
      <c r="FG6" s="1" t="s">
        <v>570</v>
      </c>
      <c r="FH6" s="1" t="s">
        <v>570</v>
      </c>
      <c r="FI6" s="1" t="s">
        <v>570</v>
      </c>
      <c r="FJ6" s="1" t="s">
        <v>570</v>
      </c>
      <c r="FK6" s="1" t="s">
        <v>570</v>
      </c>
      <c r="FL6" s="1" t="s">
        <v>570</v>
      </c>
      <c r="FM6" s="1" t="s">
        <v>570</v>
      </c>
      <c r="FN6" s="1" t="s">
        <v>570</v>
      </c>
      <c r="FO6" s="1">
        <v>339.75</v>
      </c>
      <c r="FP6" s="1" t="s">
        <v>570</v>
      </c>
      <c r="FQ6" s="1">
        <v>332.03125</v>
      </c>
      <c r="FS6" s="1" t="s">
        <v>457</v>
      </c>
      <c r="GL6" s="1">
        <v>347.03043749999995</v>
      </c>
      <c r="GM6" s="1">
        <v>355.65449999999998</v>
      </c>
    </row>
    <row r="7" spans="1:195" ht="20.399999999999999">
      <c r="A7" s="6" t="s">
        <v>494</v>
      </c>
      <c r="B7" s="6" t="s">
        <v>604</v>
      </c>
      <c r="C7" s="6" t="s">
        <v>631</v>
      </c>
      <c r="D7" s="6" t="s">
        <v>570</v>
      </c>
      <c r="E7" s="6" t="s">
        <v>570</v>
      </c>
      <c r="F7" s="6" t="s">
        <v>570</v>
      </c>
      <c r="G7" s="6" t="s">
        <v>570</v>
      </c>
      <c r="H7" s="6" t="s">
        <v>570</v>
      </c>
      <c r="I7" s="6" t="s">
        <v>570</v>
      </c>
      <c r="J7" s="6" t="s">
        <v>570</v>
      </c>
      <c r="K7" s="6" t="s">
        <v>570</v>
      </c>
      <c r="L7" s="6" t="s">
        <v>570</v>
      </c>
      <c r="M7" s="6" t="s">
        <v>570</v>
      </c>
      <c r="N7" s="6" t="s">
        <v>570</v>
      </c>
      <c r="O7" s="6" t="s">
        <v>570</v>
      </c>
      <c r="P7" s="6" t="s">
        <v>570</v>
      </c>
      <c r="Q7" s="6" t="s">
        <v>570</v>
      </c>
      <c r="R7" s="6" t="s">
        <v>570</v>
      </c>
      <c r="S7" s="6" t="s">
        <v>570</v>
      </c>
      <c r="T7" s="6" t="s">
        <v>570</v>
      </c>
      <c r="U7" s="6" t="s">
        <v>570</v>
      </c>
      <c r="V7" s="6" t="s">
        <v>570</v>
      </c>
      <c r="W7" s="6" t="s">
        <v>570</v>
      </c>
      <c r="X7" s="6" t="s">
        <v>570</v>
      </c>
      <c r="Y7" s="6" t="s">
        <v>570</v>
      </c>
      <c r="Z7" s="6" t="s">
        <v>131</v>
      </c>
      <c r="AA7" s="15" t="s">
        <v>973</v>
      </c>
      <c r="AB7" s="6" t="s">
        <v>570</v>
      </c>
      <c r="AC7" s="6" t="s">
        <v>570</v>
      </c>
      <c r="AD7" s="6" t="s">
        <v>570</v>
      </c>
      <c r="AE7" s="6">
        <f>9*4</f>
        <v>36</v>
      </c>
      <c r="AF7" s="6">
        <f>9*4</f>
        <v>36</v>
      </c>
      <c r="AG7" s="6" t="s">
        <v>570</v>
      </c>
      <c r="AH7" s="6" t="s">
        <v>570</v>
      </c>
      <c r="AI7" s="6" t="s">
        <v>570</v>
      </c>
      <c r="AJ7" s="6" t="s">
        <v>570</v>
      </c>
      <c r="AK7" s="6" t="s">
        <v>570</v>
      </c>
      <c r="AL7" s="6" t="s">
        <v>570</v>
      </c>
      <c r="AM7" s="6" t="s">
        <v>570</v>
      </c>
      <c r="AN7" s="6" t="s">
        <v>570</v>
      </c>
      <c r="AO7" s="6" t="s">
        <v>570</v>
      </c>
      <c r="AP7" s="6" t="s">
        <v>570</v>
      </c>
      <c r="AQ7" s="6" t="s">
        <v>570</v>
      </c>
      <c r="AR7" s="6" t="s">
        <v>570</v>
      </c>
      <c r="AS7" s="6" t="s">
        <v>570</v>
      </c>
      <c r="AT7" s="6" t="s">
        <v>570</v>
      </c>
      <c r="AU7" s="8">
        <v>3.8</v>
      </c>
      <c r="AV7" s="6" t="s">
        <v>570</v>
      </c>
      <c r="AW7" s="6" t="s">
        <v>570</v>
      </c>
      <c r="AX7" s="8">
        <v>10.722222222222221</v>
      </c>
      <c r="AY7" s="6" t="s">
        <v>570</v>
      </c>
      <c r="AZ7" s="6" t="s">
        <v>570</v>
      </c>
      <c r="BA7" s="8">
        <v>1E-3</v>
      </c>
      <c r="BB7" s="6" t="s">
        <v>570</v>
      </c>
      <c r="BC7" s="6" t="s">
        <v>570</v>
      </c>
      <c r="BD7" s="6" t="s">
        <v>570</v>
      </c>
      <c r="BE7" s="6" t="s">
        <v>570</v>
      </c>
    </row>
    <row r="8" spans="1:195" ht="20.399999999999999">
      <c r="A8" s="1" t="s">
        <v>294</v>
      </c>
      <c r="B8" s="1" t="s">
        <v>604</v>
      </c>
      <c r="C8" s="1" t="s">
        <v>73</v>
      </c>
      <c r="D8" s="1" t="s">
        <v>570</v>
      </c>
      <c r="E8" s="1" t="s">
        <v>570</v>
      </c>
      <c r="F8" s="1" t="s">
        <v>570</v>
      </c>
      <c r="G8" s="1" t="s">
        <v>570</v>
      </c>
      <c r="H8" s="1" t="s">
        <v>570</v>
      </c>
      <c r="I8" s="1" t="s">
        <v>570</v>
      </c>
      <c r="J8" s="1" t="s">
        <v>570</v>
      </c>
      <c r="K8" s="1" t="s">
        <v>570</v>
      </c>
      <c r="L8" s="1" t="s">
        <v>570</v>
      </c>
      <c r="M8" s="1" t="s">
        <v>570</v>
      </c>
      <c r="N8" s="1" t="s">
        <v>570</v>
      </c>
      <c r="O8" s="1" t="s">
        <v>295</v>
      </c>
      <c r="P8" s="1" t="s">
        <v>570</v>
      </c>
      <c r="Q8" s="1" t="s">
        <v>570</v>
      </c>
      <c r="R8" s="1" t="s">
        <v>55</v>
      </c>
      <c r="S8" s="1" t="s">
        <v>633</v>
      </c>
      <c r="T8" s="1" t="s">
        <v>66</v>
      </c>
      <c r="U8" s="1" t="s">
        <v>570</v>
      </c>
      <c r="V8" s="1" t="s">
        <v>736</v>
      </c>
      <c r="W8" s="1" t="s">
        <v>569</v>
      </c>
      <c r="Z8" s="1" t="s">
        <v>131</v>
      </c>
      <c r="AA8" s="19" t="s">
        <v>973</v>
      </c>
      <c r="AB8" s="1" t="s">
        <v>570</v>
      </c>
      <c r="AC8" s="1" t="s">
        <v>210</v>
      </c>
      <c r="AD8" s="1" t="s">
        <v>570</v>
      </c>
      <c r="AE8" s="1">
        <f>4*2*2*4</f>
        <v>64</v>
      </c>
      <c r="AF8" s="1">
        <f>4*2*2*4</f>
        <v>64</v>
      </c>
      <c r="AG8" s="1" t="s">
        <v>634</v>
      </c>
      <c r="AH8" s="1" t="s">
        <v>570</v>
      </c>
      <c r="AI8" s="1" t="s">
        <v>570</v>
      </c>
      <c r="AJ8" s="1" t="s">
        <v>570</v>
      </c>
      <c r="AK8" s="1" t="s">
        <v>570</v>
      </c>
      <c r="AL8" s="1" t="s">
        <v>570</v>
      </c>
      <c r="AM8" s="1" t="s">
        <v>635</v>
      </c>
      <c r="AN8" s="1" t="s">
        <v>570</v>
      </c>
      <c r="AO8" s="1" t="s">
        <v>570</v>
      </c>
      <c r="AP8" s="1" t="s">
        <v>570</v>
      </c>
      <c r="AQ8" s="1" t="s">
        <v>570</v>
      </c>
      <c r="AR8" s="1" t="s">
        <v>570</v>
      </c>
      <c r="AS8" s="1" t="s">
        <v>570</v>
      </c>
      <c r="AT8" s="1" t="s">
        <v>570</v>
      </c>
      <c r="AU8" s="1">
        <v>7.6829999999999998</v>
      </c>
      <c r="AV8" s="1" t="s">
        <v>570</v>
      </c>
      <c r="AW8" s="1">
        <v>1.6599866130651644</v>
      </c>
      <c r="AX8" s="1">
        <v>9.5820000000000007</v>
      </c>
      <c r="AY8" s="1" t="s">
        <v>570</v>
      </c>
      <c r="AZ8" s="1">
        <v>1.6599866130651644</v>
      </c>
      <c r="BA8" s="1" t="s">
        <v>785</v>
      </c>
      <c r="BB8" s="1">
        <v>4.3055555555555562E-2</v>
      </c>
      <c r="BC8" s="1">
        <f t="shared" ref="BC8:BC17" si="0">BB8*AE8</f>
        <v>2.755555555555556</v>
      </c>
      <c r="BD8" s="1">
        <f>SQRT(BC8)</f>
        <v>1.6599866130651644</v>
      </c>
    </row>
    <row r="9" spans="1:195" ht="20.399999999999999">
      <c r="A9" s="1" t="s">
        <v>294</v>
      </c>
      <c r="B9" s="1" t="s">
        <v>604</v>
      </c>
      <c r="C9" s="1" t="s">
        <v>73</v>
      </c>
      <c r="D9" s="1" t="s">
        <v>570</v>
      </c>
      <c r="E9" s="1" t="s">
        <v>570</v>
      </c>
      <c r="F9" s="1" t="s">
        <v>570</v>
      </c>
      <c r="G9" s="1" t="s">
        <v>570</v>
      </c>
      <c r="H9" s="1" t="s">
        <v>570</v>
      </c>
      <c r="I9" s="1" t="s">
        <v>570</v>
      </c>
      <c r="J9" s="1" t="s">
        <v>570</v>
      </c>
      <c r="K9" s="1" t="s">
        <v>570</v>
      </c>
      <c r="L9" s="1" t="s">
        <v>570</v>
      </c>
      <c r="M9" s="1" t="s">
        <v>570</v>
      </c>
      <c r="N9" s="1" t="s">
        <v>570</v>
      </c>
      <c r="O9" s="1" t="s">
        <v>295</v>
      </c>
      <c r="P9" s="1" t="s">
        <v>570</v>
      </c>
      <c r="Q9" s="1" t="s">
        <v>570</v>
      </c>
      <c r="R9" s="1" t="s">
        <v>55</v>
      </c>
      <c r="S9" s="1" t="s">
        <v>633</v>
      </c>
      <c r="T9" s="1" t="s">
        <v>66</v>
      </c>
      <c r="U9" s="1" t="s">
        <v>570</v>
      </c>
      <c r="V9" s="1" t="s">
        <v>736</v>
      </c>
      <c r="W9" s="1" t="s">
        <v>569</v>
      </c>
      <c r="Z9" s="1" t="s">
        <v>131</v>
      </c>
      <c r="AA9" s="19" t="s">
        <v>973</v>
      </c>
      <c r="AB9" s="1" t="s">
        <v>570</v>
      </c>
      <c r="AC9" s="1" t="s">
        <v>210</v>
      </c>
      <c r="AD9" s="1" t="s">
        <v>570</v>
      </c>
      <c r="AE9" s="1">
        <f t="shared" ref="AE9:AF17" si="1">4*2*2*4</f>
        <v>64</v>
      </c>
      <c r="AF9" s="1">
        <f t="shared" si="1"/>
        <v>64</v>
      </c>
      <c r="AG9" s="1" t="s">
        <v>636</v>
      </c>
      <c r="AH9" s="1" t="s">
        <v>570</v>
      </c>
      <c r="AI9" s="1" t="s">
        <v>570</v>
      </c>
      <c r="AJ9" s="1" t="s">
        <v>570</v>
      </c>
      <c r="AK9" s="1" t="s">
        <v>570</v>
      </c>
      <c r="AL9" s="1" t="s">
        <v>570</v>
      </c>
      <c r="AM9" s="1" t="s">
        <v>635</v>
      </c>
      <c r="AN9" s="1" t="s">
        <v>570</v>
      </c>
      <c r="AO9" s="1" t="s">
        <v>570</v>
      </c>
      <c r="AP9" s="1" t="s">
        <v>570</v>
      </c>
      <c r="AQ9" s="1" t="s">
        <v>570</v>
      </c>
      <c r="AR9" s="1" t="s">
        <v>570</v>
      </c>
      <c r="AS9" s="1" t="s">
        <v>570</v>
      </c>
      <c r="AT9" s="1" t="s">
        <v>570</v>
      </c>
      <c r="AU9" s="1">
        <v>7.3570000000000002</v>
      </c>
      <c r="AV9" s="1" t="s">
        <v>570</v>
      </c>
      <c r="AW9" s="1">
        <v>1.6599866130651644</v>
      </c>
      <c r="AX9" s="1">
        <v>7.4580000000000002</v>
      </c>
      <c r="AY9" s="1" t="s">
        <v>570</v>
      </c>
      <c r="AZ9" s="1">
        <v>1.6599866130651644</v>
      </c>
      <c r="BA9" s="1" t="s">
        <v>457</v>
      </c>
      <c r="BB9" s="1">
        <v>4.3055555555555562E-2</v>
      </c>
      <c r="BC9" s="1">
        <f t="shared" si="0"/>
        <v>2.755555555555556</v>
      </c>
      <c r="BD9" s="1">
        <f t="shared" ref="BD9:BD17" si="2">SQRT(BC9)</f>
        <v>1.6599866130651644</v>
      </c>
    </row>
    <row r="10" spans="1:195" ht="20.399999999999999">
      <c r="A10" s="1" t="s">
        <v>294</v>
      </c>
      <c r="B10" s="1" t="s">
        <v>604</v>
      </c>
      <c r="C10" s="1" t="s">
        <v>73</v>
      </c>
      <c r="D10" s="1" t="s">
        <v>570</v>
      </c>
      <c r="E10" s="1" t="s">
        <v>570</v>
      </c>
      <c r="F10" s="1" t="s">
        <v>570</v>
      </c>
      <c r="G10" s="1" t="s">
        <v>570</v>
      </c>
      <c r="H10" s="1" t="s">
        <v>570</v>
      </c>
      <c r="I10" s="1" t="s">
        <v>570</v>
      </c>
      <c r="J10" s="1" t="s">
        <v>570</v>
      </c>
      <c r="K10" s="1" t="s">
        <v>570</v>
      </c>
      <c r="L10" s="1" t="s">
        <v>570</v>
      </c>
      <c r="M10" s="1" t="s">
        <v>570</v>
      </c>
      <c r="N10" s="1" t="s">
        <v>570</v>
      </c>
      <c r="O10" s="1" t="s">
        <v>295</v>
      </c>
      <c r="P10" s="1" t="s">
        <v>570</v>
      </c>
      <c r="Q10" s="1" t="s">
        <v>570</v>
      </c>
      <c r="R10" s="2" t="s">
        <v>55</v>
      </c>
      <c r="S10" s="1" t="s">
        <v>633</v>
      </c>
      <c r="T10" s="1" t="s">
        <v>66</v>
      </c>
      <c r="U10" s="1" t="s">
        <v>570</v>
      </c>
      <c r="V10" s="1" t="s">
        <v>736</v>
      </c>
      <c r="W10" s="1" t="s">
        <v>569</v>
      </c>
      <c r="Z10" s="1" t="s">
        <v>131</v>
      </c>
      <c r="AA10" s="19" t="s">
        <v>973</v>
      </c>
      <c r="AB10" s="1" t="s">
        <v>570</v>
      </c>
      <c r="AC10" s="1" t="s">
        <v>210</v>
      </c>
      <c r="AD10" s="1" t="s">
        <v>570</v>
      </c>
      <c r="AE10" s="1">
        <f t="shared" si="1"/>
        <v>64</v>
      </c>
      <c r="AF10" s="1">
        <f t="shared" si="1"/>
        <v>64</v>
      </c>
      <c r="AG10" s="1" t="s">
        <v>221</v>
      </c>
      <c r="AH10" s="1" t="s">
        <v>570</v>
      </c>
      <c r="AI10" s="1" t="s">
        <v>570</v>
      </c>
      <c r="AJ10" s="1" t="s">
        <v>570</v>
      </c>
      <c r="AK10" s="1" t="s">
        <v>570</v>
      </c>
      <c r="AL10" s="1" t="s">
        <v>570</v>
      </c>
      <c r="AM10" s="1" t="s">
        <v>635</v>
      </c>
      <c r="AN10" s="1" t="s">
        <v>570</v>
      </c>
      <c r="AO10" s="1" t="s">
        <v>570</v>
      </c>
      <c r="AP10" s="1" t="s">
        <v>570</v>
      </c>
      <c r="AQ10" s="1" t="s">
        <v>570</v>
      </c>
      <c r="AR10" s="1" t="s">
        <v>570</v>
      </c>
      <c r="AS10" s="1" t="s">
        <v>570</v>
      </c>
      <c r="AT10" s="1" t="s">
        <v>570</v>
      </c>
      <c r="AU10" s="1">
        <v>5.7169999999999996</v>
      </c>
      <c r="AV10" s="1" t="s">
        <v>570</v>
      </c>
      <c r="AW10" s="1">
        <v>1.6599866130651644</v>
      </c>
      <c r="AX10" s="1">
        <v>8.7140000000000004</v>
      </c>
      <c r="AY10" s="1" t="s">
        <v>570</v>
      </c>
      <c r="AZ10" s="1">
        <v>1.6599866130651644</v>
      </c>
      <c r="BA10" s="1" t="s">
        <v>457</v>
      </c>
      <c r="BB10" s="1">
        <v>4.3055555555555562E-2</v>
      </c>
      <c r="BC10" s="1">
        <f t="shared" si="0"/>
        <v>2.755555555555556</v>
      </c>
      <c r="BD10" s="1">
        <f t="shared" si="2"/>
        <v>1.6599866130651644</v>
      </c>
    </row>
    <row r="11" spans="1:195" ht="20.399999999999999">
      <c r="A11" s="1" t="s">
        <v>294</v>
      </c>
      <c r="B11" s="1" t="s">
        <v>604</v>
      </c>
      <c r="C11" s="1" t="s">
        <v>73</v>
      </c>
      <c r="D11" s="1" t="s">
        <v>570</v>
      </c>
      <c r="E11" s="1" t="s">
        <v>570</v>
      </c>
      <c r="F11" s="1" t="s">
        <v>570</v>
      </c>
      <c r="G11" s="1" t="s">
        <v>570</v>
      </c>
      <c r="H11" s="1" t="s">
        <v>570</v>
      </c>
      <c r="I11" s="1" t="s">
        <v>570</v>
      </c>
      <c r="J11" s="1" t="s">
        <v>570</v>
      </c>
      <c r="K11" s="1" t="s">
        <v>570</v>
      </c>
      <c r="L11" s="1" t="s">
        <v>570</v>
      </c>
      <c r="M11" s="1" t="s">
        <v>570</v>
      </c>
      <c r="N11" s="1" t="s">
        <v>570</v>
      </c>
      <c r="O11" s="1" t="s">
        <v>295</v>
      </c>
      <c r="P11" s="1" t="s">
        <v>570</v>
      </c>
      <c r="Q11" s="1" t="s">
        <v>570</v>
      </c>
      <c r="R11" s="2" t="s">
        <v>55</v>
      </c>
      <c r="S11" s="1" t="s">
        <v>633</v>
      </c>
      <c r="T11" s="1" t="s">
        <v>66</v>
      </c>
      <c r="U11" s="1" t="s">
        <v>570</v>
      </c>
      <c r="V11" s="1" t="s">
        <v>736</v>
      </c>
      <c r="W11" s="1" t="s">
        <v>569</v>
      </c>
      <c r="Z11" s="1" t="s">
        <v>131</v>
      </c>
      <c r="AA11" s="19" t="s">
        <v>973</v>
      </c>
      <c r="AB11" s="1" t="s">
        <v>570</v>
      </c>
      <c r="AC11" s="1" t="s">
        <v>210</v>
      </c>
      <c r="AD11" s="1" t="s">
        <v>570</v>
      </c>
      <c r="AE11" s="1">
        <f t="shared" si="1"/>
        <v>64</v>
      </c>
      <c r="AF11" s="1">
        <f t="shared" si="1"/>
        <v>64</v>
      </c>
      <c r="AG11" s="1" t="s">
        <v>313</v>
      </c>
      <c r="AH11" s="1" t="s">
        <v>570</v>
      </c>
      <c r="AI11" s="1" t="s">
        <v>570</v>
      </c>
      <c r="AJ11" s="1" t="s">
        <v>570</v>
      </c>
      <c r="AK11" s="1" t="s">
        <v>570</v>
      </c>
      <c r="AL11" s="1" t="s">
        <v>570</v>
      </c>
      <c r="AM11" s="1" t="s">
        <v>215</v>
      </c>
      <c r="AN11" s="1" t="s">
        <v>570</v>
      </c>
      <c r="AO11" s="1" t="s">
        <v>570</v>
      </c>
      <c r="AP11" s="1" t="s">
        <v>570</v>
      </c>
      <c r="AQ11" s="1" t="s">
        <v>570</v>
      </c>
      <c r="AR11" s="1" t="s">
        <v>570</v>
      </c>
      <c r="AS11" s="1" t="s">
        <v>570</v>
      </c>
      <c r="AT11" s="1" t="s">
        <v>570</v>
      </c>
      <c r="AU11" s="1">
        <v>2.7250000000000001</v>
      </c>
      <c r="AV11" s="1" t="s">
        <v>570</v>
      </c>
      <c r="AW11" s="1">
        <v>1.6599866130651644</v>
      </c>
      <c r="AX11" s="1">
        <v>5.6310000000000002</v>
      </c>
      <c r="AY11" s="1" t="s">
        <v>570</v>
      </c>
      <c r="AZ11" s="1">
        <v>1.6599866130651644</v>
      </c>
      <c r="BA11" s="1" t="s">
        <v>785</v>
      </c>
      <c r="BB11" s="1">
        <v>4.3055555555555562E-2</v>
      </c>
      <c r="BC11" s="1">
        <f t="shared" si="0"/>
        <v>2.755555555555556</v>
      </c>
      <c r="BD11" s="1">
        <f t="shared" si="2"/>
        <v>1.6599866130651644</v>
      </c>
    </row>
    <row r="12" spans="1:195" ht="20.399999999999999">
      <c r="A12" s="1" t="s">
        <v>294</v>
      </c>
      <c r="B12" s="1" t="s">
        <v>604</v>
      </c>
      <c r="C12" s="1" t="s">
        <v>73</v>
      </c>
      <c r="D12" s="1" t="s">
        <v>570</v>
      </c>
      <c r="E12" s="1" t="s">
        <v>570</v>
      </c>
      <c r="F12" s="1" t="s">
        <v>570</v>
      </c>
      <c r="G12" s="1" t="s">
        <v>570</v>
      </c>
      <c r="H12" s="1" t="s">
        <v>570</v>
      </c>
      <c r="I12" s="1" t="s">
        <v>570</v>
      </c>
      <c r="J12" s="1" t="s">
        <v>570</v>
      </c>
      <c r="K12" s="1" t="s">
        <v>570</v>
      </c>
      <c r="L12" s="1" t="s">
        <v>570</v>
      </c>
      <c r="M12" s="1" t="s">
        <v>570</v>
      </c>
      <c r="N12" s="1" t="s">
        <v>570</v>
      </c>
      <c r="O12" s="1" t="s">
        <v>295</v>
      </c>
      <c r="P12" s="1" t="s">
        <v>570</v>
      </c>
      <c r="Q12" s="1" t="s">
        <v>570</v>
      </c>
      <c r="R12" s="2" t="s">
        <v>55</v>
      </c>
      <c r="S12" s="1" t="s">
        <v>633</v>
      </c>
      <c r="T12" s="1" t="s">
        <v>66</v>
      </c>
      <c r="U12" s="1" t="s">
        <v>570</v>
      </c>
      <c r="V12" s="1" t="s">
        <v>736</v>
      </c>
      <c r="W12" s="1" t="s">
        <v>569</v>
      </c>
      <c r="Z12" s="1" t="s">
        <v>131</v>
      </c>
      <c r="AA12" s="19" t="s">
        <v>973</v>
      </c>
      <c r="AB12" s="1" t="s">
        <v>570</v>
      </c>
      <c r="AC12" s="1" t="s">
        <v>210</v>
      </c>
      <c r="AD12" s="1" t="s">
        <v>570</v>
      </c>
      <c r="AE12" s="1">
        <f t="shared" si="1"/>
        <v>64</v>
      </c>
      <c r="AF12" s="1">
        <f t="shared" si="1"/>
        <v>64</v>
      </c>
      <c r="AG12" s="1" t="s">
        <v>140</v>
      </c>
      <c r="AH12" s="1" t="s">
        <v>570</v>
      </c>
      <c r="AI12" s="1" t="s">
        <v>570</v>
      </c>
      <c r="AJ12" s="1" t="s">
        <v>570</v>
      </c>
      <c r="AK12" s="1" t="s">
        <v>570</v>
      </c>
      <c r="AL12" s="1" t="s">
        <v>570</v>
      </c>
      <c r="AM12" s="1" t="s">
        <v>215</v>
      </c>
      <c r="AN12" s="1" t="s">
        <v>570</v>
      </c>
      <c r="AO12" s="1" t="s">
        <v>570</v>
      </c>
      <c r="AP12" s="1" t="s">
        <v>570</v>
      </c>
      <c r="AQ12" s="1" t="s">
        <v>570</v>
      </c>
      <c r="AR12" s="1" t="s">
        <v>570</v>
      </c>
      <c r="AS12" s="1" t="s">
        <v>570</v>
      </c>
      <c r="AT12" s="1" t="s">
        <v>570</v>
      </c>
      <c r="AU12" s="1">
        <v>3.1459999999999999</v>
      </c>
      <c r="AV12" s="1" t="s">
        <v>570</v>
      </c>
      <c r="AW12" s="1">
        <v>1.6599866130651644</v>
      </c>
      <c r="AX12" s="35">
        <v>3.51</v>
      </c>
      <c r="AY12" s="1" t="s">
        <v>570</v>
      </c>
      <c r="AZ12" s="1">
        <v>1.6599866130651644</v>
      </c>
      <c r="BA12" s="1" t="s">
        <v>457</v>
      </c>
      <c r="BB12" s="1">
        <v>4.3055555555555562E-2</v>
      </c>
      <c r="BC12" s="1">
        <f t="shared" si="0"/>
        <v>2.755555555555556</v>
      </c>
      <c r="BD12" s="1">
        <f t="shared" si="2"/>
        <v>1.6599866130651644</v>
      </c>
    </row>
    <row r="13" spans="1:195" ht="20.399999999999999">
      <c r="A13" s="1" t="s">
        <v>294</v>
      </c>
      <c r="B13" s="1" t="s">
        <v>604</v>
      </c>
      <c r="C13" s="1" t="s">
        <v>73</v>
      </c>
      <c r="D13" s="2" t="s">
        <v>570</v>
      </c>
      <c r="E13" s="2" t="s">
        <v>570</v>
      </c>
      <c r="F13" s="2" t="s">
        <v>570</v>
      </c>
      <c r="G13" s="2" t="s">
        <v>570</v>
      </c>
      <c r="H13" s="2" t="s">
        <v>570</v>
      </c>
      <c r="I13" s="2" t="s">
        <v>570</v>
      </c>
      <c r="J13" s="2" t="s">
        <v>570</v>
      </c>
      <c r="K13" s="2" t="s">
        <v>570</v>
      </c>
      <c r="L13" s="2" t="s">
        <v>570</v>
      </c>
      <c r="M13" s="2" t="s">
        <v>570</v>
      </c>
      <c r="N13" s="2" t="s">
        <v>570</v>
      </c>
      <c r="O13" s="1" t="s">
        <v>295</v>
      </c>
      <c r="P13" s="2" t="s">
        <v>570</v>
      </c>
      <c r="Q13" s="2" t="s">
        <v>570</v>
      </c>
      <c r="R13" s="2" t="s">
        <v>55</v>
      </c>
      <c r="S13" s="1" t="s">
        <v>633</v>
      </c>
      <c r="T13" s="1" t="s">
        <v>66</v>
      </c>
      <c r="U13" s="2" t="s">
        <v>570</v>
      </c>
      <c r="V13" s="1" t="s">
        <v>736</v>
      </c>
      <c r="W13" s="1" t="s">
        <v>569</v>
      </c>
      <c r="Z13" s="1" t="s">
        <v>131</v>
      </c>
      <c r="AA13" s="19" t="s">
        <v>973</v>
      </c>
      <c r="AB13" s="2" t="s">
        <v>570</v>
      </c>
      <c r="AC13" s="1" t="s">
        <v>210</v>
      </c>
      <c r="AD13" s="2" t="s">
        <v>570</v>
      </c>
      <c r="AE13" s="1">
        <f t="shared" si="1"/>
        <v>64</v>
      </c>
      <c r="AF13" s="1">
        <f t="shared" si="1"/>
        <v>64</v>
      </c>
      <c r="AG13" s="1" t="s">
        <v>221</v>
      </c>
      <c r="AH13" s="2" t="s">
        <v>570</v>
      </c>
      <c r="AI13" s="2" t="s">
        <v>570</v>
      </c>
      <c r="AJ13" s="2" t="s">
        <v>570</v>
      </c>
      <c r="AK13" s="2" t="s">
        <v>570</v>
      </c>
      <c r="AL13" s="2" t="s">
        <v>570</v>
      </c>
      <c r="AM13" s="1" t="s">
        <v>215</v>
      </c>
      <c r="AN13" s="2" t="s">
        <v>570</v>
      </c>
      <c r="AO13" s="2" t="s">
        <v>570</v>
      </c>
      <c r="AP13" s="2" t="s">
        <v>570</v>
      </c>
      <c r="AQ13" s="2" t="s">
        <v>570</v>
      </c>
      <c r="AR13" s="2" t="s">
        <v>570</v>
      </c>
      <c r="AS13" s="2" t="s">
        <v>570</v>
      </c>
      <c r="AT13" s="2" t="s">
        <v>570</v>
      </c>
      <c r="AU13" s="1">
        <v>2.2080000000000002</v>
      </c>
      <c r="AV13" s="2" t="s">
        <v>570</v>
      </c>
      <c r="AW13" s="2">
        <v>1.6599866130651644</v>
      </c>
      <c r="AX13" s="35">
        <v>2.88</v>
      </c>
      <c r="AY13" s="2" t="s">
        <v>570</v>
      </c>
      <c r="AZ13" s="2">
        <v>1.6599866130651644</v>
      </c>
      <c r="BA13" s="1" t="s">
        <v>785</v>
      </c>
      <c r="BB13" s="1">
        <v>4.3055555555555562E-2</v>
      </c>
      <c r="BC13" s="1">
        <f t="shared" si="0"/>
        <v>2.755555555555556</v>
      </c>
      <c r="BD13" s="1">
        <f t="shared" si="2"/>
        <v>1.6599866130651644</v>
      </c>
    </row>
    <row r="14" spans="1:195" ht="20.399999999999999">
      <c r="A14" s="1" t="s">
        <v>294</v>
      </c>
      <c r="B14" s="1" t="s">
        <v>604</v>
      </c>
      <c r="C14" s="1" t="s">
        <v>73</v>
      </c>
      <c r="D14" s="2" t="s">
        <v>570</v>
      </c>
      <c r="E14" s="2" t="s">
        <v>570</v>
      </c>
      <c r="F14" s="2" t="s">
        <v>570</v>
      </c>
      <c r="G14" s="2" t="s">
        <v>570</v>
      </c>
      <c r="H14" s="2" t="s">
        <v>570</v>
      </c>
      <c r="I14" s="2" t="s">
        <v>570</v>
      </c>
      <c r="J14" s="2" t="s">
        <v>570</v>
      </c>
      <c r="K14" s="2" t="s">
        <v>570</v>
      </c>
      <c r="L14" s="2" t="s">
        <v>570</v>
      </c>
      <c r="M14" s="2" t="s">
        <v>570</v>
      </c>
      <c r="N14" s="2" t="s">
        <v>570</v>
      </c>
      <c r="O14" s="1" t="s">
        <v>295</v>
      </c>
      <c r="P14" s="2" t="s">
        <v>570</v>
      </c>
      <c r="Q14" s="2" t="s">
        <v>570</v>
      </c>
      <c r="R14" s="2" t="s">
        <v>55</v>
      </c>
      <c r="S14" s="1" t="s">
        <v>463</v>
      </c>
      <c r="T14" s="1" t="s">
        <v>244</v>
      </c>
      <c r="U14" s="2" t="s">
        <v>570</v>
      </c>
      <c r="V14" s="1" t="s">
        <v>736</v>
      </c>
      <c r="W14" s="1" t="s">
        <v>569</v>
      </c>
      <c r="Z14" s="1" t="s">
        <v>131</v>
      </c>
      <c r="AA14" s="19" t="s">
        <v>973</v>
      </c>
      <c r="AB14" s="2" t="s">
        <v>570</v>
      </c>
      <c r="AC14" s="1" t="s">
        <v>299</v>
      </c>
      <c r="AD14" s="2" t="s">
        <v>570</v>
      </c>
      <c r="AE14" s="1">
        <f t="shared" si="1"/>
        <v>64</v>
      </c>
      <c r="AF14" s="1">
        <f t="shared" si="1"/>
        <v>64</v>
      </c>
      <c r="AG14" s="2" t="s">
        <v>221</v>
      </c>
      <c r="AH14" s="2" t="s">
        <v>570</v>
      </c>
      <c r="AI14" s="2" t="s">
        <v>570</v>
      </c>
      <c r="AJ14" s="2" t="s">
        <v>570</v>
      </c>
      <c r="AK14" s="2" t="s">
        <v>570</v>
      </c>
      <c r="AL14" s="2" t="s">
        <v>570</v>
      </c>
      <c r="AM14" s="2" t="s">
        <v>635</v>
      </c>
      <c r="AN14" s="2" t="s">
        <v>570</v>
      </c>
      <c r="AO14" s="2" t="s">
        <v>570</v>
      </c>
      <c r="AP14" s="2" t="s">
        <v>570</v>
      </c>
      <c r="AQ14" s="2" t="s">
        <v>570</v>
      </c>
      <c r="AR14" s="2" t="s">
        <v>570</v>
      </c>
      <c r="AS14" s="2" t="s">
        <v>570</v>
      </c>
      <c r="AT14" s="2" t="s">
        <v>570</v>
      </c>
      <c r="AU14" s="1">
        <v>3.556</v>
      </c>
      <c r="AV14" s="2" t="s">
        <v>570</v>
      </c>
      <c r="AW14" s="2">
        <v>1.6599866130651644</v>
      </c>
      <c r="AX14" s="1">
        <v>3.5979999999999999</v>
      </c>
      <c r="AY14" s="2" t="s">
        <v>570</v>
      </c>
      <c r="AZ14" s="2">
        <v>1.6599866130651644</v>
      </c>
      <c r="BA14" s="1" t="s">
        <v>457</v>
      </c>
      <c r="BB14" s="1">
        <v>4.3055555555555562E-2</v>
      </c>
      <c r="BC14" s="1">
        <f t="shared" si="0"/>
        <v>2.755555555555556</v>
      </c>
      <c r="BD14" s="1">
        <f t="shared" si="2"/>
        <v>1.6599866130651644</v>
      </c>
    </row>
    <row r="15" spans="1:195" ht="20.399999999999999">
      <c r="A15" s="1" t="s">
        <v>294</v>
      </c>
      <c r="B15" s="1" t="s">
        <v>604</v>
      </c>
      <c r="C15" s="1" t="s">
        <v>73</v>
      </c>
      <c r="D15" s="2" t="s">
        <v>570</v>
      </c>
      <c r="E15" s="2" t="s">
        <v>570</v>
      </c>
      <c r="F15" s="2" t="s">
        <v>570</v>
      </c>
      <c r="G15" s="2" t="s">
        <v>570</v>
      </c>
      <c r="H15" s="2" t="s">
        <v>570</v>
      </c>
      <c r="I15" s="2" t="s">
        <v>570</v>
      </c>
      <c r="J15" s="2" t="s">
        <v>570</v>
      </c>
      <c r="K15" s="2" t="s">
        <v>570</v>
      </c>
      <c r="L15" s="2" t="s">
        <v>570</v>
      </c>
      <c r="M15" s="2" t="s">
        <v>570</v>
      </c>
      <c r="N15" s="2" t="s">
        <v>570</v>
      </c>
      <c r="O15" s="1" t="s">
        <v>295</v>
      </c>
      <c r="P15" s="2" t="s">
        <v>570</v>
      </c>
      <c r="Q15" s="2" t="s">
        <v>570</v>
      </c>
      <c r="R15" s="2" t="s">
        <v>55</v>
      </c>
      <c r="S15" s="2" t="s">
        <v>288</v>
      </c>
      <c r="T15" s="1" t="s">
        <v>296</v>
      </c>
      <c r="U15" s="2" t="s">
        <v>570</v>
      </c>
      <c r="V15" s="1" t="s">
        <v>736</v>
      </c>
      <c r="W15" s="1" t="s">
        <v>569</v>
      </c>
      <c r="Z15" s="1" t="s">
        <v>131</v>
      </c>
      <c r="AA15" s="19" t="s">
        <v>973</v>
      </c>
      <c r="AB15" s="2" t="s">
        <v>570</v>
      </c>
      <c r="AC15" s="1" t="s">
        <v>297</v>
      </c>
      <c r="AD15" s="2" t="s">
        <v>570</v>
      </c>
      <c r="AE15" s="1">
        <f t="shared" si="1"/>
        <v>64</v>
      </c>
      <c r="AF15" s="1">
        <f t="shared" si="1"/>
        <v>64</v>
      </c>
      <c r="AG15" s="2" t="s">
        <v>221</v>
      </c>
      <c r="AH15" s="2" t="s">
        <v>570</v>
      </c>
      <c r="AI15" s="2" t="s">
        <v>570</v>
      </c>
      <c r="AJ15" s="2" t="s">
        <v>570</v>
      </c>
      <c r="AK15" s="2" t="s">
        <v>570</v>
      </c>
      <c r="AL15" s="2" t="s">
        <v>570</v>
      </c>
      <c r="AM15" s="2" t="s">
        <v>635</v>
      </c>
      <c r="AN15" s="2" t="s">
        <v>570</v>
      </c>
      <c r="AO15" s="2" t="s">
        <v>570</v>
      </c>
      <c r="AP15" s="2" t="s">
        <v>570</v>
      </c>
      <c r="AQ15" s="2" t="s">
        <v>570</v>
      </c>
      <c r="AR15" s="2" t="s">
        <v>570</v>
      </c>
      <c r="AS15" s="2" t="s">
        <v>570</v>
      </c>
      <c r="AT15" s="2" t="s">
        <v>570</v>
      </c>
      <c r="AU15" s="1">
        <v>3.556</v>
      </c>
      <c r="AV15" s="2" t="s">
        <v>570</v>
      </c>
      <c r="AW15" s="2">
        <v>1.6599866130651644</v>
      </c>
      <c r="AX15" s="1">
        <v>4.9790000000000001</v>
      </c>
      <c r="AY15" s="2" t="s">
        <v>570</v>
      </c>
      <c r="AZ15" s="2">
        <v>1.6599866130651644</v>
      </c>
      <c r="BA15" s="1" t="s">
        <v>785</v>
      </c>
      <c r="BB15" s="1">
        <v>4.3055555555555562E-2</v>
      </c>
      <c r="BC15" s="1">
        <f t="shared" si="0"/>
        <v>2.755555555555556</v>
      </c>
      <c r="BD15" s="1">
        <f t="shared" si="2"/>
        <v>1.6599866130651644</v>
      </c>
    </row>
    <row r="16" spans="1:195" ht="20.399999999999999">
      <c r="A16" s="1" t="s">
        <v>294</v>
      </c>
      <c r="B16" s="1" t="s">
        <v>604</v>
      </c>
      <c r="C16" s="1" t="s">
        <v>73</v>
      </c>
      <c r="D16" s="2" t="s">
        <v>570</v>
      </c>
      <c r="E16" s="2" t="s">
        <v>570</v>
      </c>
      <c r="F16" s="2" t="s">
        <v>570</v>
      </c>
      <c r="G16" s="2" t="s">
        <v>570</v>
      </c>
      <c r="H16" s="2" t="s">
        <v>570</v>
      </c>
      <c r="I16" s="2" t="s">
        <v>570</v>
      </c>
      <c r="J16" s="2" t="s">
        <v>570</v>
      </c>
      <c r="K16" s="2" t="s">
        <v>570</v>
      </c>
      <c r="L16" s="2" t="s">
        <v>570</v>
      </c>
      <c r="M16" s="2" t="s">
        <v>570</v>
      </c>
      <c r="N16" s="2" t="s">
        <v>570</v>
      </c>
      <c r="O16" s="1" t="s">
        <v>295</v>
      </c>
      <c r="P16" s="2" t="s">
        <v>570</v>
      </c>
      <c r="Q16" s="2" t="s">
        <v>570</v>
      </c>
      <c r="R16" s="2" t="s">
        <v>55</v>
      </c>
      <c r="S16" s="1" t="s">
        <v>463</v>
      </c>
      <c r="T16" s="1" t="s">
        <v>230</v>
      </c>
      <c r="U16" s="2" t="s">
        <v>570</v>
      </c>
      <c r="V16" s="1" t="s">
        <v>736</v>
      </c>
      <c r="W16" s="1" t="s">
        <v>569</v>
      </c>
      <c r="Z16" s="1" t="s">
        <v>131</v>
      </c>
      <c r="AA16" s="19" t="s">
        <v>973</v>
      </c>
      <c r="AB16" s="2" t="s">
        <v>570</v>
      </c>
      <c r="AC16" s="1" t="s">
        <v>300</v>
      </c>
      <c r="AD16" s="2" t="s">
        <v>570</v>
      </c>
      <c r="AE16" s="1">
        <f t="shared" si="1"/>
        <v>64</v>
      </c>
      <c r="AF16" s="1">
        <f t="shared" si="1"/>
        <v>64</v>
      </c>
      <c r="AG16" s="2" t="s">
        <v>221</v>
      </c>
      <c r="AH16" s="2" t="s">
        <v>570</v>
      </c>
      <c r="AI16" s="2" t="s">
        <v>570</v>
      </c>
      <c r="AJ16" s="2" t="s">
        <v>570</v>
      </c>
      <c r="AK16" s="2" t="s">
        <v>570</v>
      </c>
      <c r="AL16" s="2" t="s">
        <v>570</v>
      </c>
      <c r="AM16" s="2" t="s">
        <v>635</v>
      </c>
      <c r="AN16" s="2" t="s">
        <v>570</v>
      </c>
      <c r="AO16" s="2" t="s">
        <v>570</v>
      </c>
      <c r="AP16" s="2" t="s">
        <v>570</v>
      </c>
      <c r="AQ16" s="2" t="s">
        <v>570</v>
      </c>
      <c r="AR16" s="2" t="s">
        <v>570</v>
      </c>
      <c r="AS16" s="2" t="s">
        <v>570</v>
      </c>
      <c r="AT16" s="2" t="s">
        <v>570</v>
      </c>
      <c r="AU16" s="2">
        <v>3.9329999999999998</v>
      </c>
      <c r="AV16" s="2" t="s">
        <v>570</v>
      </c>
      <c r="AW16" s="2">
        <v>1.6599866130651644</v>
      </c>
      <c r="AX16" s="2">
        <v>6.0250000000000004</v>
      </c>
      <c r="AY16" s="2" t="s">
        <v>570</v>
      </c>
      <c r="AZ16" s="2">
        <v>1.6599866130651644</v>
      </c>
      <c r="BA16" s="1" t="s">
        <v>785</v>
      </c>
      <c r="BB16" s="1">
        <v>4.3055555555555562E-2</v>
      </c>
      <c r="BC16" s="1">
        <f t="shared" si="0"/>
        <v>2.755555555555556</v>
      </c>
      <c r="BD16" s="1">
        <f t="shared" si="2"/>
        <v>1.6599866130651644</v>
      </c>
    </row>
    <row r="17" spans="1:58" ht="20.399999999999999">
      <c r="A17" s="6" t="s">
        <v>294</v>
      </c>
      <c r="B17" s="6" t="s">
        <v>604</v>
      </c>
      <c r="C17" s="6" t="s">
        <v>73</v>
      </c>
      <c r="D17" s="6" t="s">
        <v>570</v>
      </c>
      <c r="E17" s="6" t="s">
        <v>570</v>
      </c>
      <c r="F17" s="6" t="s">
        <v>570</v>
      </c>
      <c r="G17" s="6" t="s">
        <v>570</v>
      </c>
      <c r="H17" s="6" t="s">
        <v>570</v>
      </c>
      <c r="I17" s="6" t="s">
        <v>570</v>
      </c>
      <c r="J17" s="6" t="s">
        <v>570</v>
      </c>
      <c r="K17" s="6" t="s">
        <v>570</v>
      </c>
      <c r="L17" s="6" t="s">
        <v>570</v>
      </c>
      <c r="M17" s="6" t="s">
        <v>570</v>
      </c>
      <c r="N17" s="6" t="s">
        <v>570</v>
      </c>
      <c r="O17" s="6" t="s">
        <v>295</v>
      </c>
      <c r="P17" s="6" t="s">
        <v>570</v>
      </c>
      <c r="Q17" s="6" t="s">
        <v>570</v>
      </c>
      <c r="R17" s="6" t="s">
        <v>55</v>
      </c>
      <c r="S17" s="6" t="s">
        <v>288</v>
      </c>
      <c r="T17" s="6" t="s">
        <v>894</v>
      </c>
      <c r="U17" s="6" t="s">
        <v>570</v>
      </c>
      <c r="V17" s="6" t="s">
        <v>736</v>
      </c>
      <c r="W17" s="6" t="s">
        <v>569</v>
      </c>
      <c r="X17" s="6"/>
      <c r="Y17" s="6"/>
      <c r="Z17" s="1" t="s">
        <v>131</v>
      </c>
      <c r="AA17" s="15" t="s">
        <v>973</v>
      </c>
      <c r="AB17" s="6" t="s">
        <v>570</v>
      </c>
      <c r="AC17" s="6" t="s">
        <v>298</v>
      </c>
      <c r="AD17" s="6" t="s">
        <v>570</v>
      </c>
      <c r="AE17" s="6">
        <f t="shared" si="1"/>
        <v>64</v>
      </c>
      <c r="AF17" s="6">
        <f t="shared" si="1"/>
        <v>64</v>
      </c>
      <c r="AG17" s="6" t="s">
        <v>221</v>
      </c>
      <c r="AH17" s="6" t="s">
        <v>570</v>
      </c>
      <c r="AI17" s="6" t="s">
        <v>570</v>
      </c>
      <c r="AJ17" s="6" t="s">
        <v>570</v>
      </c>
      <c r="AK17" s="6" t="s">
        <v>570</v>
      </c>
      <c r="AL17" s="6" t="s">
        <v>570</v>
      </c>
      <c r="AM17" s="6" t="s">
        <v>635</v>
      </c>
      <c r="AN17" s="6" t="s">
        <v>570</v>
      </c>
      <c r="AO17" s="6" t="s">
        <v>570</v>
      </c>
      <c r="AP17" s="6" t="s">
        <v>570</v>
      </c>
      <c r="AQ17" s="6" t="s">
        <v>570</v>
      </c>
      <c r="AR17" s="6" t="s">
        <v>570</v>
      </c>
      <c r="AS17" s="6" t="s">
        <v>570</v>
      </c>
      <c r="AT17" s="6" t="s">
        <v>570</v>
      </c>
      <c r="AU17" s="6">
        <v>6.0250000000000004</v>
      </c>
      <c r="AV17" s="6" t="s">
        <v>570</v>
      </c>
      <c r="AW17" s="6">
        <v>1.6599866130651644</v>
      </c>
      <c r="AX17" s="6">
        <v>9.2889999999999997</v>
      </c>
      <c r="AY17" s="6" t="s">
        <v>570</v>
      </c>
      <c r="AZ17" s="6">
        <v>1.6599866130651644</v>
      </c>
      <c r="BA17" s="6" t="s">
        <v>785</v>
      </c>
      <c r="BB17" s="6">
        <v>4.3055555555555562E-2</v>
      </c>
      <c r="BC17" s="6">
        <f t="shared" si="0"/>
        <v>2.755555555555556</v>
      </c>
      <c r="BD17" s="6">
        <f t="shared" si="2"/>
        <v>1.6599866130651644</v>
      </c>
      <c r="BE17" s="6"/>
    </row>
    <row r="18" spans="1:58" ht="20.399999999999999">
      <c r="A18" s="1" t="s">
        <v>709</v>
      </c>
      <c r="B18" s="1" t="s">
        <v>604</v>
      </c>
      <c r="C18" s="1" t="s">
        <v>710</v>
      </c>
      <c r="D18" s="1" t="s">
        <v>424</v>
      </c>
      <c r="E18" s="1" t="s">
        <v>423</v>
      </c>
      <c r="F18" s="1" t="s">
        <v>570</v>
      </c>
      <c r="G18" s="1" t="s">
        <v>570</v>
      </c>
      <c r="H18" s="1" t="s">
        <v>570</v>
      </c>
      <c r="I18" s="1" t="s">
        <v>570</v>
      </c>
      <c r="J18" s="1" t="s">
        <v>570</v>
      </c>
      <c r="K18" s="1" t="s">
        <v>570</v>
      </c>
      <c r="L18" s="1" t="s">
        <v>570</v>
      </c>
      <c r="M18" s="1" t="s">
        <v>570</v>
      </c>
      <c r="N18" s="1" t="s">
        <v>570</v>
      </c>
      <c r="O18" s="1">
        <v>2000</v>
      </c>
      <c r="P18" s="1" t="s">
        <v>570</v>
      </c>
      <c r="Q18" s="1" t="s">
        <v>570</v>
      </c>
      <c r="R18" s="2" t="s">
        <v>55</v>
      </c>
      <c r="S18" s="1" t="s">
        <v>272</v>
      </c>
      <c r="T18" s="1" t="s">
        <v>72</v>
      </c>
      <c r="U18" s="1" t="s">
        <v>570</v>
      </c>
      <c r="V18" s="1" t="s">
        <v>736</v>
      </c>
      <c r="W18" s="1" t="s">
        <v>569</v>
      </c>
      <c r="Z18" s="4" t="s">
        <v>131</v>
      </c>
      <c r="AA18" s="19" t="s">
        <v>973</v>
      </c>
      <c r="AB18" s="1" t="s">
        <v>570</v>
      </c>
      <c r="AC18" s="1" t="s">
        <v>962</v>
      </c>
      <c r="AD18" s="1" t="s">
        <v>570</v>
      </c>
      <c r="AE18" s="1">
        <v>5</v>
      </c>
      <c r="AF18" s="1">
        <v>5</v>
      </c>
      <c r="AG18" s="1" t="s">
        <v>570</v>
      </c>
      <c r="AH18" s="1" t="s">
        <v>570</v>
      </c>
      <c r="AI18" s="1" t="s">
        <v>570</v>
      </c>
      <c r="AJ18" s="1" t="s">
        <v>570</v>
      </c>
      <c r="AK18" s="1" t="s">
        <v>570</v>
      </c>
      <c r="AL18" s="1" t="s">
        <v>570</v>
      </c>
      <c r="AM18" s="1" t="s">
        <v>570</v>
      </c>
      <c r="AN18" s="1" t="s">
        <v>570</v>
      </c>
      <c r="AO18" s="1" t="s">
        <v>570</v>
      </c>
      <c r="AP18" s="1" t="s">
        <v>570</v>
      </c>
      <c r="AQ18" s="1" t="s">
        <v>570</v>
      </c>
      <c r="AR18" s="1" t="s">
        <v>570</v>
      </c>
      <c r="AS18" s="1" t="s">
        <v>570</v>
      </c>
      <c r="AT18" s="1" t="s">
        <v>570</v>
      </c>
      <c r="AU18" s="1">
        <v>1</v>
      </c>
      <c r="AV18" s="1" t="s">
        <v>570</v>
      </c>
      <c r="AW18" s="13">
        <v>0.04</v>
      </c>
      <c r="AX18" s="4">
        <v>1.3</v>
      </c>
      <c r="AY18" s="4" t="s">
        <v>570</v>
      </c>
      <c r="AZ18" s="13">
        <v>0.04</v>
      </c>
      <c r="BA18" s="4" t="s">
        <v>457</v>
      </c>
      <c r="BE18" s="13">
        <v>0.09</v>
      </c>
      <c r="BF18" s="36"/>
    </row>
    <row r="19" spans="1:58" ht="30.6">
      <c r="A19" s="1" t="s">
        <v>709</v>
      </c>
      <c r="B19" s="1" t="s">
        <v>604</v>
      </c>
      <c r="C19" s="1" t="s">
        <v>710</v>
      </c>
      <c r="D19" s="1" t="s">
        <v>424</v>
      </c>
      <c r="E19" s="1" t="s">
        <v>423</v>
      </c>
      <c r="F19" s="1" t="s">
        <v>570</v>
      </c>
      <c r="G19" s="1" t="s">
        <v>570</v>
      </c>
      <c r="H19" s="1" t="s">
        <v>570</v>
      </c>
      <c r="I19" s="1" t="s">
        <v>570</v>
      </c>
      <c r="J19" s="1" t="s">
        <v>570</v>
      </c>
      <c r="K19" s="1" t="s">
        <v>570</v>
      </c>
      <c r="L19" s="1" t="s">
        <v>570</v>
      </c>
      <c r="M19" s="1" t="s">
        <v>570</v>
      </c>
      <c r="N19" s="1" t="s">
        <v>570</v>
      </c>
      <c r="O19" s="1">
        <v>2000</v>
      </c>
      <c r="P19" s="1" t="s">
        <v>570</v>
      </c>
      <c r="Q19" s="1" t="s">
        <v>570</v>
      </c>
      <c r="R19" s="2" t="s">
        <v>55</v>
      </c>
      <c r="S19" s="1" t="s">
        <v>963</v>
      </c>
      <c r="T19" s="1" t="s">
        <v>637</v>
      </c>
      <c r="U19" s="1" t="s">
        <v>570</v>
      </c>
      <c r="V19" s="1" t="s">
        <v>862</v>
      </c>
      <c r="W19" s="1" t="s">
        <v>569</v>
      </c>
      <c r="Z19" s="1" t="s">
        <v>13</v>
      </c>
      <c r="AA19" s="19" t="s">
        <v>974</v>
      </c>
      <c r="AB19" s="1" t="s">
        <v>570</v>
      </c>
      <c r="AC19" s="1" t="s">
        <v>964</v>
      </c>
      <c r="AD19" s="1" t="s">
        <v>570</v>
      </c>
      <c r="AE19" s="1">
        <v>5</v>
      </c>
      <c r="AF19" s="1">
        <v>5</v>
      </c>
      <c r="AG19" s="1" t="s">
        <v>570</v>
      </c>
      <c r="AH19" s="1" t="s">
        <v>570</v>
      </c>
      <c r="AI19" s="1" t="s">
        <v>570</v>
      </c>
      <c r="AJ19" s="1" t="s">
        <v>570</v>
      </c>
      <c r="AK19" s="1" t="s">
        <v>570</v>
      </c>
      <c r="AL19" s="1" t="s">
        <v>570</v>
      </c>
      <c r="AM19" s="1" t="s">
        <v>570</v>
      </c>
      <c r="AN19" s="1" t="s">
        <v>570</v>
      </c>
      <c r="AO19" s="1" t="s">
        <v>570</v>
      </c>
      <c r="AP19" s="1" t="s">
        <v>570</v>
      </c>
      <c r="AQ19" s="1" t="s">
        <v>570</v>
      </c>
      <c r="AR19" s="1" t="s">
        <v>570</v>
      </c>
      <c r="AS19" s="1" t="s">
        <v>570</v>
      </c>
      <c r="AT19" s="1" t="s">
        <v>570</v>
      </c>
      <c r="AU19" s="1">
        <v>0.5</v>
      </c>
      <c r="AV19" s="1" t="s">
        <v>570</v>
      </c>
      <c r="AW19" s="13">
        <v>0.04</v>
      </c>
      <c r="AX19" s="2">
        <v>1</v>
      </c>
      <c r="AY19" s="2" t="s">
        <v>570</v>
      </c>
      <c r="AZ19" s="13">
        <v>0.04</v>
      </c>
      <c r="BA19" s="2" t="s">
        <v>457</v>
      </c>
      <c r="BE19" s="13">
        <v>0.09</v>
      </c>
      <c r="BF19" s="36"/>
    </row>
    <row r="20" spans="1:58" ht="20.399999999999999">
      <c r="A20" s="1" t="s">
        <v>709</v>
      </c>
      <c r="B20" s="1" t="s">
        <v>604</v>
      </c>
      <c r="C20" s="1" t="s">
        <v>710</v>
      </c>
      <c r="D20" s="1" t="s">
        <v>424</v>
      </c>
      <c r="E20" s="1" t="s">
        <v>423</v>
      </c>
      <c r="F20" s="1" t="s">
        <v>570</v>
      </c>
      <c r="G20" s="1" t="s">
        <v>570</v>
      </c>
      <c r="H20" s="1" t="s">
        <v>570</v>
      </c>
      <c r="I20" s="1" t="s">
        <v>570</v>
      </c>
      <c r="J20" s="1" t="s">
        <v>570</v>
      </c>
      <c r="K20" s="1" t="s">
        <v>570</v>
      </c>
      <c r="L20" s="1" t="s">
        <v>570</v>
      </c>
      <c r="M20" s="1" t="s">
        <v>570</v>
      </c>
      <c r="N20" s="1" t="s">
        <v>570</v>
      </c>
      <c r="O20" s="1">
        <v>2001</v>
      </c>
      <c r="P20" s="1" t="s">
        <v>570</v>
      </c>
      <c r="Q20" s="1" t="s">
        <v>570</v>
      </c>
      <c r="R20" s="2" t="s">
        <v>55</v>
      </c>
      <c r="S20" s="1" t="s">
        <v>272</v>
      </c>
      <c r="T20" s="1" t="s">
        <v>72</v>
      </c>
      <c r="U20" s="1" t="s">
        <v>570</v>
      </c>
      <c r="V20" s="1" t="s">
        <v>736</v>
      </c>
      <c r="W20" s="1" t="s">
        <v>569</v>
      </c>
      <c r="Z20" s="1" t="s">
        <v>131</v>
      </c>
      <c r="AA20" s="19" t="s">
        <v>973</v>
      </c>
      <c r="AB20" s="1" t="s">
        <v>570</v>
      </c>
      <c r="AC20" s="1" t="s">
        <v>962</v>
      </c>
      <c r="AD20" s="1" t="s">
        <v>570</v>
      </c>
      <c r="AE20" s="1">
        <v>5</v>
      </c>
      <c r="AF20" s="1">
        <v>5</v>
      </c>
      <c r="AG20" s="1" t="s">
        <v>570</v>
      </c>
      <c r="AH20" s="1" t="s">
        <v>570</v>
      </c>
      <c r="AI20" s="1" t="s">
        <v>570</v>
      </c>
      <c r="AJ20" s="1" t="s">
        <v>570</v>
      </c>
      <c r="AK20" s="1" t="s">
        <v>570</v>
      </c>
      <c r="AL20" s="1" t="s">
        <v>570</v>
      </c>
      <c r="AM20" s="1" t="s">
        <v>570</v>
      </c>
      <c r="AN20" s="1" t="s">
        <v>570</v>
      </c>
      <c r="AO20" s="1" t="s">
        <v>570</v>
      </c>
      <c r="AP20" s="1" t="s">
        <v>570</v>
      </c>
      <c r="AQ20" s="1" t="s">
        <v>570</v>
      </c>
      <c r="AR20" s="1" t="s">
        <v>570</v>
      </c>
      <c r="AS20" s="1" t="s">
        <v>570</v>
      </c>
      <c r="AT20" s="1" t="s">
        <v>570</v>
      </c>
      <c r="AU20" s="1">
        <v>6.2</v>
      </c>
      <c r="AV20" s="1" t="s">
        <v>570</v>
      </c>
      <c r="AW20" s="7">
        <v>0.04</v>
      </c>
      <c r="AX20" s="2">
        <v>6.3</v>
      </c>
      <c r="AY20" s="2" t="s">
        <v>570</v>
      </c>
      <c r="AZ20" s="7">
        <v>0.04</v>
      </c>
      <c r="BA20" s="2" t="s">
        <v>457</v>
      </c>
      <c r="BE20" s="13">
        <v>0.09</v>
      </c>
      <c r="BF20" s="36"/>
    </row>
    <row r="21" spans="1:58" ht="40.799999999999997">
      <c r="A21" s="6" t="s">
        <v>709</v>
      </c>
      <c r="B21" s="6" t="s">
        <v>604</v>
      </c>
      <c r="C21" s="6" t="s">
        <v>710</v>
      </c>
      <c r="D21" s="6" t="s">
        <v>424</v>
      </c>
      <c r="E21" s="6" t="s">
        <v>423</v>
      </c>
      <c r="F21" s="6" t="s">
        <v>570</v>
      </c>
      <c r="G21" s="6" t="s">
        <v>570</v>
      </c>
      <c r="H21" s="6" t="s">
        <v>570</v>
      </c>
      <c r="I21" s="6" t="s">
        <v>570</v>
      </c>
      <c r="J21" s="6" t="s">
        <v>570</v>
      </c>
      <c r="K21" s="6" t="s">
        <v>570</v>
      </c>
      <c r="L21" s="6" t="s">
        <v>570</v>
      </c>
      <c r="M21" s="6" t="s">
        <v>570</v>
      </c>
      <c r="N21" s="6" t="s">
        <v>570</v>
      </c>
      <c r="O21" s="6">
        <v>2001</v>
      </c>
      <c r="P21" s="6" t="s">
        <v>570</v>
      </c>
      <c r="Q21" s="6" t="s">
        <v>570</v>
      </c>
      <c r="R21" s="6" t="s">
        <v>55</v>
      </c>
      <c r="S21" s="6" t="s">
        <v>963</v>
      </c>
      <c r="T21" s="6" t="s">
        <v>637</v>
      </c>
      <c r="U21" s="6" t="s">
        <v>570</v>
      </c>
      <c r="V21" s="6" t="s">
        <v>862</v>
      </c>
      <c r="W21" s="6" t="s">
        <v>569</v>
      </c>
      <c r="X21" s="6"/>
      <c r="Y21" s="6"/>
      <c r="Z21" s="6" t="s">
        <v>131</v>
      </c>
      <c r="AA21" s="15" t="s">
        <v>975</v>
      </c>
      <c r="AB21" s="6" t="s">
        <v>570</v>
      </c>
      <c r="AC21" s="6" t="s">
        <v>964</v>
      </c>
      <c r="AD21" s="6" t="s">
        <v>570</v>
      </c>
      <c r="AE21" s="6">
        <v>5</v>
      </c>
      <c r="AF21" s="6">
        <v>5</v>
      </c>
      <c r="AG21" s="6" t="s">
        <v>570</v>
      </c>
      <c r="AH21" s="6" t="s">
        <v>570</v>
      </c>
      <c r="AI21" s="6" t="s">
        <v>570</v>
      </c>
      <c r="AJ21" s="6" t="s">
        <v>570</v>
      </c>
      <c r="AK21" s="6" t="s">
        <v>570</v>
      </c>
      <c r="AL21" s="6" t="s">
        <v>570</v>
      </c>
      <c r="AM21" s="6" t="s">
        <v>570</v>
      </c>
      <c r="AN21" s="6" t="s">
        <v>570</v>
      </c>
      <c r="AO21" s="6" t="s">
        <v>570</v>
      </c>
      <c r="AP21" s="6" t="s">
        <v>570</v>
      </c>
      <c r="AQ21" s="6" t="s">
        <v>570</v>
      </c>
      <c r="AR21" s="6" t="s">
        <v>570</v>
      </c>
      <c r="AS21" s="6" t="s">
        <v>570</v>
      </c>
      <c r="AT21" s="6" t="s">
        <v>570</v>
      </c>
      <c r="AU21" s="6">
        <v>5.7</v>
      </c>
      <c r="AV21" s="6" t="s">
        <v>570</v>
      </c>
      <c r="AW21" s="8">
        <v>0.04</v>
      </c>
      <c r="AX21" s="6">
        <v>7.9</v>
      </c>
      <c r="AY21" s="6" t="s">
        <v>570</v>
      </c>
      <c r="AZ21" s="8">
        <v>0.04</v>
      </c>
      <c r="BA21" s="6" t="s">
        <v>632</v>
      </c>
      <c r="BB21" s="6"/>
      <c r="BC21" s="6"/>
      <c r="BD21" s="6"/>
      <c r="BE21" s="8">
        <v>0.09</v>
      </c>
      <c r="BF21" s="36"/>
    </row>
    <row r="22" spans="1:58" ht="13.2">
      <c r="AR22" s="65"/>
      <c r="AS22" s="65"/>
    </row>
    <row r="23" spans="1:58" ht="13.2">
      <c r="AR23" s="65"/>
      <c r="AS23" s="65"/>
    </row>
    <row r="24" spans="1:58" ht="13.2">
      <c r="C24" s="65"/>
      <c r="AR24" s="65"/>
      <c r="AS24" s="65"/>
    </row>
    <row r="25" spans="1:58" ht="13.2">
      <c r="AR25" s="65"/>
      <c r="AS25" s="65"/>
    </row>
    <row r="26" spans="1:58" ht="13.2">
      <c r="AR26" s="65"/>
      <c r="AS26" s="65"/>
    </row>
    <row r="28" spans="1:58">
      <c r="R28" s="1">
        <f>16*4</f>
        <v>64</v>
      </c>
    </row>
  </sheetData>
  <phoneticPr fontId="1" type="noConversion"/>
  <pageMargins left="0.75" right="0.75" top="1" bottom="1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Article title and authors</vt:lpstr>
      <vt:lpstr>grain yield all</vt:lpstr>
      <vt:lpstr>Damaged ears all</vt:lpstr>
      <vt:lpstr>Proteins</vt:lpstr>
      <vt:lpstr>Lipids</vt:lpstr>
      <vt:lpstr>ADF</vt:lpstr>
      <vt:lpstr>NDF</vt:lpstr>
      <vt:lpstr>TDF</vt:lpstr>
      <vt:lpstr>Fumonisins single Cry1Ab</vt:lpstr>
      <vt:lpstr>Thricotecens single Cry1Ab</vt:lpstr>
      <vt:lpstr>Aflatoxin</vt:lpstr>
      <vt:lpstr>Mycotoxins</vt:lpstr>
    </vt:vector>
  </TitlesOfParts>
  <Company>Scuola Superiore Sant'Anna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Pellegrino</dc:creator>
  <cp:lastModifiedBy>Kevin Wright</cp:lastModifiedBy>
  <cp:lastPrinted>2017-03-06T14:05:35Z</cp:lastPrinted>
  <dcterms:created xsi:type="dcterms:W3CDTF">2015-09-17T07:39:14Z</dcterms:created>
  <dcterms:modified xsi:type="dcterms:W3CDTF">2018-10-30T02:49:10Z</dcterms:modified>
</cp:coreProperties>
</file>