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All My Stuff/TEACHING/EqFall16/"/>
    </mc:Choice>
  </mc:AlternateContent>
  <bookViews>
    <workbookView xWindow="880" yWindow="460" windowWidth="27840" windowHeight="17540" tabRatio="500"/>
  </bookViews>
  <sheets>
    <sheet name="Sheet1" sheetId="1" r:id="rId1"/>
  </sheets>
  <calcPr calcId="150001" iterate="1" iterateDelta="9.9999999999994494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50" i="1" l="1"/>
  <c r="B148" i="1"/>
  <c r="B147" i="1"/>
  <c r="B120" i="1"/>
  <c r="B121" i="1"/>
  <c r="B122" i="1"/>
  <c r="C120" i="1"/>
  <c r="C121" i="1"/>
  <c r="C122" i="1"/>
  <c r="B130" i="1"/>
  <c r="B132" i="1"/>
  <c r="B133" i="1"/>
  <c r="B84" i="1"/>
  <c r="B86" i="1"/>
  <c r="B87" i="1"/>
  <c r="B77" i="1"/>
  <c r="B78" i="1"/>
  <c r="B85" i="1"/>
  <c r="B88" i="1"/>
  <c r="C84" i="1"/>
  <c r="C86" i="1"/>
  <c r="C87" i="1"/>
  <c r="C77" i="1"/>
  <c r="C78" i="1"/>
  <c r="C85" i="1"/>
  <c r="C88" i="1"/>
  <c r="D88" i="1"/>
  <c r="D90" i="1"/>
  <c r="B96" i="1"/>
  <c r="B45" i="1"/>
  <c r="B46" i="1"/>
  <c r="B51" i="1"/>
  <c r="B58" i="1"/>
  <c r="B42" i="1"/>
  <c r="B48" i="1"/>
  <c r="B50" i="1"/>
  <c r="C48" i="1"/>
  <c r="C50" i="1"/>
  <c r="D48" i="1"/>
  <c r="D50" i="1"/>
  <c r="E48" i="1"/>
  <c r="E50" i="1"/>
  <c r="F48" i="1"/>
  <c r="F50" i="1"/>
  <c r="B52" i="1"/>
  <c r="B53" i="1"/>
  <c r="B100" i="1"/>
  <c r="B94" i="1"/>
  <c r="B101" i="1"/>
  <c r="B102" i="1"/>
  <c r="B103" i="1"/>
  <c r="B104" i="1"/>
  <c r="D139" i="1"/>
  <c r="B97" i="1"/>
  <c r="C158" i="1"/>
  <c r="C159" i="1"/>
  <c r="D158" i="1"/>
  <c r="D159" i="1"/>
  <c r="E158" i="1"/>
  <c r="E159" i="1"/>
  <c r="F158" i="1"/>
  <c r="F159" i="1"/>
  <c r="G158" i="1"/>
  <c r="G159" i="1"/>
  <c r="B160" i="1"/>
  <c r="B174" i="1"/>
  <c r="C123" i="1"/>
  <c r="C124" i="1"/>
  <c r="B146" i="1"/>
  <c r="B3" i="1"/>
  <c r="B4" i="1"/>
  <c r="B5" i="1"/>
  <c r="B12" i="1"/>
  <c r="C12" i="1"/>
  <c r="D12" i="1"/>
  <c r="B6" i="1"/>
  <c r="B7" i="1"/>
  <c r="B10" i="1"/>
  <c r="D13" i="1"/>
  <c r="D14" i="1"/>
  <c r="D27" i="1"/>
  <c r="C13" i="1"/>
  <c r="C14" i="1"/>
  <c r="C27" i="1"/>
  <c r="B13" i="1"/>
  <c r="B14" i="1"/>
  <c r="B27" i="1"/>
  <c r="B67" i="1"/>
  <c r="C67" i="1"/>
  <c r="D67" i="1"/>
  <c r="E67" i="1"/>
  <c r="F67" i="1"/>
  <c r="B68" i="1"/>
  <c r="B69" i="1"/>
  <c r="B55" i="1"/>
  <c r="B61" i="1"/>
  <c r="B59" i="1"/>
  <c r="B60" i="1"/>
  <c r="B62" i="1"/>
  <c r="B137" i="1"/>
  <c r="C137" i="1"/>
  <c r="D137" i="1"/>
  <c r="B136" i="1"/>
  <c r="B138" i="1"/>
  <c r="C136" i="1"/>
  <c r="C138" i="1"/>
  <c r="D138" i="1"/>
  <c r="D136" i="1"/>
  <c r="D140" i="1"/>
  <c r="D141" i="1"/>
  <c r="B142" i="1"/>
  <c r="B143" i="1"/>
  <c r="B70" i="1"/>
  <c r="B19" i="1"/>
  <c r="B18" i="1"/>
  <c r="B20" i="1"/>
  <c r="B21" i="1"/>
  <c r="B23" i="1"/>
  <c r="B163" i="1"/>
  <c r="B165" i="1"/>
  <c r="B123" i="1"/>
  <c r="B124" i="1"/>
  <c r="B125" i="1"/>
  <c r="B126" i="1"/>
  <c r="B151" i="1"/>
  <c r="B149" i="1"/>
  <c r="B152" i="1"/>
  <c r="C125" i="1"/>
  <c r="C126" i="1"/>
  <c r="C139" i="1"/>
  <c r="B139" i="1"/>
  <c r="C119" i="1"/>
  <c r="B119" i="1"/>
  <c r="B98" i="1"/>
  <c r="B105" i="1"/>
  <c r="B107" i="1"/>
  <c r="B108" i="1"/>
  <c r="B95" i="1"/>
  <c r="C83" i="1"/>
  <c r="B83" i="1"/>
  <c r="C43" i="1"/>
  <c r="D43" i="1"/>
  <c r="E43" i="1"/>
  <c r="F43" i="1"/>
  <c r="B26" i="1"/>
  <c r="B29" i="1"/>
  <c r="C26" i="1"/>
  <c r="C29" i="1"/>
  <c r="D28" i="1"/>
  <c r="D26" i="1"/>
  <c r="D29" i="1"/>
  <c r="B30" i="1"/>
  <c r="B31" i="1"/>
  <c r="B32" i="1"/>
  <c r="B33" i="1"/>
  <c r="B35" i="1"/>
</calcChain>
</file>

<file path=xl/sharedStrings.xml><?xml version="1.0" encoding="utf-8"?>
<sst xmlns="http://schemas.openxmlformats.org/spreadsheetml/2006/main" count="225" uniqueCount="185">
  <si>
    <t>Problem 1</t>
  </si>
  <si>
    <t>Normalized Revenue =</t>
  </si>
  <si>
    <t>Invested Capital =</t>
  </si>
  <si>
    <t>Return on invested capital =</t>
  </si>
  <si>
    <t>Growth in next five years =</t>
  </si>
  <si>
    <t>Reinvestment Rate =</t>
  </si>
  <si>
    <t>EBIT (1-t)</t>
  </si>
  <si>
    <t xml:space="preserve"> - Reinvestment </t>
  </si>
  <si>
    <t>FCFF</t>
  </si>
  <si>
    <t>Part a</t>
  </si>
  <si>
    <t>Normalized after-tax operating margin =</t>
  </si>
  <si>
    <t>Normalized EBIT(1-t) =</t>
  </si>
  <si>
    <t>Part b</t>
  </si>
  <si>
    <t>Expected growth rate forever =</t>
  </si>
  <si>
    <t>Terminal Value =</t>
  </si>
  <si>
    <t>EBIT (1-t) in year 4</t>
  </si>
  <si>
    <t>FCFF in year 4</t>
  </si>
  <si>
    <t>Part c</t>
  </si>
  <si>
    <t>Year</t>
  </si>
  <si>
    <t>Terminal Value</t>
  </si>
  <si>
    <t>Value of operating assets =</t>
  </si>
  <si>
    <t xml:space="preserve"> + Cash</t>
  </si>
  <si>
    <t xml:space="preserve"> - Debt</t>
  </si>
  <si>
    <t>Invested Capital</t>
  </si>
  <si>
    <t>BV of equity</t>
  </si>
  <si>
    <t>BV of debt</t>
  </si>
  <si>
    <t>Cash</t>
  </si>
  <si>
    <t xml:space="preserve">Value of equity </t>
  </si>
  <si>
    <t xml:space="preserve"> / Number of shares</t>
  </si>
  <si>
    <t>Value per share -</t>
  </si>
  <si>
    <t>Problem 2</t>
  </si>
  <si>
    <t>Revenues</t>
  </si>
  <si>
    <t>EBITDA</t>
  </si>
  <si>
    <t>a. Pricing</t>
  </si>
  <si>
    <t>Expected EV/EBITDA in year 5 =</t>
  </si>
  <si>
    <t>Expected EV in year 5 =</t>
  </si>
  <si>
    <t>Cost of capital</t>
  </si>
  <si>
    <t>PV</t>
  </si>
  <si>
    <t>Value of business today =</t>
  </si>
  <si>
    <t>Tax Rate</t>
  </si>
  <si>
    <t xml:space="preserve"> - Net Debt</t>
  </si>
  <si>
    <t>Value of equity today =</t>
  </si>
  <si>
    <t>Probability of default over next 5 years =</t>
  </si>
  <si>
    <t>Problem 3</t>
  </si>
  <si>
    <t>Pharmaceuticals</t>
  </si>
  <si>
    <t>Cosmetics</t>
  </si>
  <si>
    <t>Combined</t>
  </si>
  <si>
    <t>Return on capital =</t>
  </si>
  <si>
    <t>After-tax Operating Income next year</t>
  </si>
  <si>
    <t>FCFF next year</t>
  </si>
  <si>
    <t>Value of business</t>
  </si>
  <si>
    <t xml:space="preserve">Divest pharmaceutical business </t>
  </si>
  <si>
    <t xml:space="preserve">Divestiture proceeds </t>
  </si>
  <si>
    <t>Beta</t>
  </si>
  <si>
    <t>Cost of equity</t>
  </si>
  <si>
    <t>Debt repaid</t>
  </si>
  <si>
    <t>Debt outstanding after divestiture</t>
  </si>
  <si>
    <t>Unlevered beta for cosmetics</t>
  </si>
  <si>
    <t>Debt to Capital Ratio (Market)</t>
  </si>
  <si>
    <t>After-tax Cost of debt</t>
  </si>
  <si>
    <t>Cost of capital =</t>
  </si>
  <si>
    <t>Cost of equity (and capital) for cosmetics</t>
  </si>
  <si>
    <t>New after-tax operating income=</t>
  </si>
  <si>
    <t>New return on capital =</t>
  </si>
  <si>
    <t>New reinvestment rate =</t>
  </si>
  <si>
    <t>New FCFF =</t>
  </si>
  <si>
    <t>Value of business =</t>
  </si>
  <si>
    <t>Value of equity</t>
  </si>
  <si>
    <t>Change in value =</t>
  </si>
  <si>
    <t>Problem 4</t>
  </si>
  <si>
    <t>DirectCom</t>
  </si>
  <si>
    <t>Movie Magic</t>
  </si>
  <si>
    <t>Return on capital</t>
  </si>
  <si>
    <t>Reinvestment Rate</t>
  </si>
  <si>
    <t xml:space="preserve">Expected FCFF next year </t>
  </si>
  <si>
    <t>Value of operating assets</t>
  </si>
  <si>
    <t>After-tax operating income</t>
  </si>
  <si>
    <t>Cost of capital of combined firm =</t>
  </si>
  <si>
    <t>Value of synergy =</t>
  </si>
  <si>
    <t>Value of synergy today =</t>
  </si>
  <si>
    <t>Net Debt</t>
  </si>
  <si>
    <t>Value per share</t>
  </si>
  <si>
    <t>Old value per share</t>
  </si>
  <si>
    <t>Value per share after acquisition</t>
  </si>
  <si>
    <t>! 40% for acquiring firm</t>
  </si>
  <si>
    <t>Problem 5</t>
  </si>
  <si>
    <t>Initial investment</t>
  </si>
  <si>
    <t>Expected Cash Flow</t>
  </si>
  <si>
    <t>NPV @ cost of capital of 10%</t>
  </si>
  <si>
    <t>PV of continuation into phase 2 =</t>
  </si>
  <si>
    <t>Initial investment needed</t>
  </si>
  <si>
    <t>Life of option</t>
  </si>
  <si>
    <t>Riskless rate</t>
  </si>
  <si>
    <t>Standard deviation in value =</t>
  </si>
  <si>
    <t>Cost of delay =</t>
  </si>
  <si>
    <t>Number of shares (millions)</t>
  </si>
  <si>
    <t>Premium Paid on Movie Magic =</t>
  </si>
  <si>
    <t>PV of terminal value =</t>
  </si>
  <si>
    <t>Value of equity (no dilution) =</t>
  </si>
  <si>
    <t>Value of equity (with dilution) =</t>
  </si>
  <si>
    <t>Discount for dilution</t>
  </si>
  <si>
    <t>Probability of capital freeze</t>
  </si>
  <si>
    <t>Probability of capital raised</t>
  </si>
  <si>
    <t>Cumulative probability of survival</t>
  </si>
  <si>
    <t>PV @10%</t>
  </si>
  <si>
    <t>d1 =</t>
  </si>
  <si>
    <t>N(d1) =</t>
  </si>
  <si>
    <t>d2 =</t>
  </si>
  <si>
    <t>N(d2) =</t>
  </si>
  <si>
    <t>Value of option to invest in phase 2 =</t>
  </si>
  <si>
    <t>NPV of phase 1 =</t>
  </si>
  <si>
    <t>DO NOT INVEST. THE SUM OF THE TWO IS STILL NEGATIVE.</t>
  </si>
  <si>
    <t>! 270.61 (1.02)/(.10-.02)</t>
  </si>
  <si>
    <t>Okay to use (1+g) on first year's earnings</t>
  </si>
  <si>
    <t>Grading Template</t>
  </si>
  <si>
    <t>3. Math errors: -1/2 point each</t>
  </si>
  <si>
    <t xml:space="preserve">1. Did not discount terminal value: </t>
  </si>
  <si>
    <t>1. Did not normalize earnings correctly: 1 point</t>
  </si>
  <si>
    <t>2. Reinvestment rate wrong: -1 point</t>
  </si>
  <si>
    <t>2. Forgot debt: -1/2 point</t>
  </si>
  <si>
    <t>3. Forgot cash: -1/2 point</t>
  </si>
  <si>
    <t>3. Mistake in terminal value: -1/2 point</t>
  </si>
  <si>
    <t>1. Did not estimate EV/EBITDA in year 5 correctly: -1 point</t>
  </si>
  <si>
    <t>2. Did not discount price back to today: -1 point</t>
  </si>
  <si>
    <t>3. Did not discount FCFF for next 5 years: -1 point</t>
  </si>
  <si>
    <t>1. Did not compute PV of CF for next 5 years; -1 point</t>
  </si>
  <si>
    <t>2. Did not take a percentage of total value: -1 point</t>
  </si>
  <si>
    <t>2. Did not adjust value from part a for probability: -1/2 point to -1 point</t>
  </si>
  <si>
    <t>2. Did not compute value correctly: -1/2 to -1 point</t>
  </si>
  <si>
    <t>For each company</t>
  </si>
  <si>
    <t>3. Forgot debt: -1/2 point</t>
  </si>
  <si>
    <t>1. Reinvestment wrong or ignored: -1/2 to 1 point</t>
  </si>
  <si>
    <t>1. Did not unlever beta: -1 point</t>
  </si>
  <si>
    <t>1. Did not compute reinvestment rate: -1/2 point</t>
  </si>
  <si>
    <t>1. Did not compute new reinvestment rate: -1 point</t>
  </si>
  <si>
    <t>2. Did not compute new cost of capital: -1 point</t>
  </si>
  <si>
    <t>3. Did not discount synergy back to present: -1 point</t>
  </si>
  <si>
    <t>After-tax savings in year 4 =</t>
  </si>
  <si>
    <t>PV of savings in perpetuity (start of year 4)</t>
  </si>
  <si>
    <t>! I gave full credit if you assumed that premium was 40% of firm value (120)</t>
  </si>
  <si>
    <t>1. Error on cash flows: -1 point</t>
  </si>
  <si>
    <t>2. Any other input incorrect: -1/2 point</t>
  </si>
  <si>
    <t>2. Did ot not net out against NPV to make right decision: -1 point</t>
  </si>
  <si>
    <t>New Invested Capital =</t>
  </si>
  <si>
    <t>(900 +1000-1200)</t>
  </si>
  <si>
    <t>2. New operating income wrong: -1 point</t>
  </si>
  <si>
    <t>Computational details</t>
  </si>
  <si>
    <t xml:space="preserve">Since  the oil price is $70 now, you have to replace the current operating income with the normalized revenues &amp; operating income, which will also be used to compute the return on capital. </t>
  </si>
  <si>
    <t>When you have negative growth, your reinvestment will be a negative number, reflecting cash proceeeds from divestiture. If you make your reinvestment zero, your return on capital will decrease over time, which would be inconsistent with the problem.</t>
  </si>
  <si>
    <t>1. Left reinvestment at year 3 level : -1 point</t>
  </si>
  <si>
    <t>2. Made reinvestment zero in cash flow: -1 point</t>
  </si>
  <si>
    <t>4. Forgot to include PV of CF in yrs 1-3: -1/2 point</t>
  </si>
  <si>
    <t xml:space="preserve">You have to first estimate the terminal price and discount it back five years, then add on the PV of the negative cash flows for the next five years and then subtract it out debt (which is already in today's terms). </t>
  </si>
  <si>
    <t>4. Discounted debt back to today: -1/2 point</t>
  </si>
  <si>
    <t>5. Math errors: -1/2 point each</t>
  </si>
  <si>
    <t>PV of Terminal Price in year 5</t>
  </si>
  <si>
    <t>PV of cash flow s in first 5 years`</t>
  </si>
  <si>
    <t>The PV of the negative cash flows over the first 5 years is 308.87. Without it, the value would have been $403.94 million. In effect, you have discounted the value by 76.46% for cash burn.</t>
  </si>
  <si>
    <t>To get to year 5 (and the terminal price), you have to survive years 1, 2, 3 and 4. Consequently, your probability of surviving till year 5 is a cumulative probability.</t>
  </si>
  <si>
    <t>! (1-.15)(1-.10)(1-.10)(1-.05)(1-.05)</t>
  </si>
  <si>
    <t>You could value thie company as a consolidated company but you would then have to take a weighted average of the costs of capital of the two companies. That is tricky but If you tried and got close to $1,315 million (within $50 million), you got full credit</t>
  </si>
  <si>
    <t>1. Did not compute cumulative probability: -1 point</t>
  </si>
  <si>
    <t>There are two things that change in value. The first is that you have only one business left (cosmetics) and  its margins increase to 15% (increasing the cash flows and ROIC) for that business. The other is that the D/E ratio goes to zero. Therefore, you have to unlever the beta using your estimated value for equity.</t>
  </si>
  <si>
    <t>4. Used book value of equity in D/E ratio: -1/2 point</t>
  </si>
  <si>
    <t>3. Did not compute new  reinvestment rate: -1/2 to -1 point</t>
  </si>
  <si>
    <t xml:space="preserve">Old D/E Ratio </t>
  </si>
  <si>
    <t>! 1.92/(1+0.6*.9122)</t>
  </si>
  <si>
    <t>The Short Cut (Focus on what changes, which is just the cost savings of $18 million starting in year 3)</t>
  </si>
  <si>
    <t>Cost of capital of combined firm</t>
  </si>
  <si>
    <t>! Gave full credit If you used alternate weighing method</t>
  </si>
  <si>
    <t>! 3% growth in perpetuity, but full credit if you assumed no growth.</t>
  </si>
  <si>
    <t>The easy way to do this is to focus just on the savings and to compute the present value using the combined company's cost of capital. However, there is a longer way way of doing this as well which should yield the same answer.</t>
  </si>
  <si>
    <t>Here is the longer way</t>
  </si>
  <si>
    <t>! 1217.65-(600+300)</t>
  </si>
  <si>
    <t>4. Other errors  that yield a value of synergy vastly different: -1 point</t>
  </si>
  <si>
    <t>Again, the easiest way to do this is to focus on two variables: the premium paid on the acquisition and the synergy value.</t>
  </si>
  <si>
    <t>1. All or nothing: -1 point</t>
  </si>
  <si>
    <t>Net value added (destroyed) =</t>
  </si>
  <si>
    <t>Net value added/share</t>
  </si>
  <si>
    <t>2. Did not subtract out initial investment: -1/2 point</t>
  </si>
  <si>
    <t>1. S incorrect: -1 point each</t>
  </si>
  <si>
    <t>You have to use year 5's cash flow as the base for computing your PV as a growing perpetuity. You cannot exercise the option until the end of year 5. So, there is no cost of delay.</t>
  </si>
  <si>
    <t>Once you get option value, you have to net it out against the NPV that you got in part a. If you did not, you lost a point. It seems harsh but it otherwise the missed the whole reason for computing option value.</t>
  </si>
  <si>
    <t>1. Option value incorrect (within 10% of correct value given your inputs): -1 point</t>
  </si>
  <si>
    <t>I gave full credit, if you left the return on capital at 15% and the reinvestment rate at 80%. The value that you would get is $1,611 million.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</si>
</sst>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7" formatCode="&quot;$&quot;#,##0.00_);\(&quot;$&quot;#,##0.00\)"/>
    <numFmt numFmtId="44" formatCode="_(&quot;$&quot;* #,##0.00_);_(&quot;$&quot;* \(#,##0.00\);_(&quot;$&quot;* &quot;-&quot;??_);_(@_)"/>
    <numFmt numFmtId="164" formatCode="0.0%"/>
    <numFmt numFmtId="165" formatCode="_([$$-409]* #,##0.00_);_([$$-409]* \(#,##0.00\);_([$$-409]* &quot;-&quot;??_);_(@_)"/>
    <numFmt numFmtId="166" formatCode="0.000%"/>
    <numFmt numFmtId="167" formatCode="_(&quot;$&quot;* #,##0_);_(&quot;$&quot;* \(#,##0\);_(&quot;$&quot;* &quot;-&quot;??_);_(@_)"/>
    <numFmt numFmtId="168" formatCode="_(&quot;$&quot;* #,##0.0_);_(&quot;$&quot;* \(#,##0.0\);_(&quot;$&quot;* &quot;-&quot;?_);_(@_)"/>
  </numFmts>
  <fonts count="1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sz val="12"/>
      <name val="Times"/>
    </font>
    <font>
      <b/>
      <sz val="12"/>
      <name val="Times"/>
    </font>
    <font>
      <sz val="10"/>
      <name val="Geneva"/>
    </font>
    <font>
      <sz val="8"/>
      <name val="Calibri"/>
      <family val="2"/>
      <scheme val="minor"/>
    </font>
    <font>
      <sz val="12"/>
      <color rgb="FFFF0000"/>
      <name val="Calibri"/>
      <family val="2"/>
      <scheme val="minor"/>
    </font>
  </fonts>
  <fills count="3">
    <fill>
      <patternFill patternType="none"/>
    </fill>
    <fill>
      <patternFill patternType="gray125"/>
    </fill>
    <fill>
      <patternFill patternType="solid">
        <fgColor theme="2"/>
        <bgColor indexed="64"/>
      </patternFill>
    </fill>
  </fills>
  <borders count="2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03">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5">
    <xf numFmtId="0" fontId="0" fillId="0" borderId="0" xfId="0"/>
    <xf numFmtId="0" fontId="2" fillId="0" borderId="0" xfId="0" applyFont="1"/>
    <xf numFmtId="9" fontId="0" fillId="0" borderId="0" xfId="2" applyFont="1"/>
    <xf numFmtId="10" fontId="0" fillId="0" borderId="0" xfId="2" applyNumberFormat="1" applyFont="1"/>
    <xf numFmtId="9" fontId="0" fillId="0" borderId="0" xfId="0" applyNumberFormat="1"/>
    <xf numFmtId="44" fontId="0" fillId="0" borderId="0" xfId="1" applyFont="1"/>
    <xf numFmtId="44" fontId="0" fillId="0" borderId="0" xfId="1" applyNumberFormat="1" applyFont="1"/>
    <xf numFmtId="0" fontId="5" fillId="0" borderId="0" xfId="0" applyFont="1"/>
    <xf numFmtId="9" fontId="0" fillId="0" borderId="0" xfId="1" applyNumberFormat="1" applyFont="1"/>
    <xf numFmtId="44" fontId="0" fillId="0" borderId="0" xfId="0" applyNumberFormat="1"/>
    <xf numFmtId="10" fontId="0" fillId="0" borderId="0" xfId="0" applyNumberFormat="1"/>
    <xf numFmtId="164" fontId="0" fillId="0" borderId="0" xfId="0" applyNumberFormat="1"/>
    <xf numFmtId="166" fontId="0" fillId="0" borderId="0" xfId="0" applyNumberFormat="1"/>
    <xf numFmtId="2" fontId="0" fillId="0" borderId="0" xfId="0" applyNumberFormat="1"/>
    <xf numFmtId="167" fontId="0" fillId="0" borderId="0" xfId="1" applyNumberFormat="1" applyFont="1"/>
    <xf numFmtId="167" fontId="0" fillId="0" borderId="0" xfId="0" applyNumberFormat="1"/>
    <xf numFmtId="1" fontId="0" fillId="0" borderId="0" xfId="1" applyNumberFormat="1" applyFont="1"/>
    <xf numFmtId="168" fontId="0" fillId="0" borderId="0" xfId="0" applyNumberFormat="1"/>
    <xf numFmtId="0" fontId="0" fillId="0" borderId="0" xfId="0" applyFont="1"/>
    <xf numFmtId="10" fontId="0" fillId="0" borderId="1" xfId="2" applyNumberFormat="1" applyFont="1" applyBorder="1"/>
    <xf numFmtId="44" fontId="0" fillId="0" borderId="1" xfId="1" applyFont="1" applyBorder="1"/>
    <xf numFmtId="44" fontId="0" fillId="0" borderId="1" xfId="0" applyNumberFormat="1" applyBorder="1"/>
    <xf numFmtId="10" fontId="0" fillId="0" borderId="0" xfId="2" applyNumberFormat="1" applyFont="1" applyBorder="1"/>
    <xf numFmtId="0" fontId="0" fillId="0" borderId="2" xfId="0" applyBorder="1"/>
    <xf numFmtId="165" fontId="0" fillId="0" borderId="2" xfId="0" applyNumberFormat="1" applyBorder="1"/>
    <xf numFmtId="0" fontId="0" fillId="0" borderId="3" xfId="0" applyBorder="1"/>
    <xf numFmtId="165" fontId="0" fillId="0" borderId="3" xfId="0" applyNumberFormat="1" applyBorder="1"/>
    <xf numFmtId="0" fontId="0" fillId="0" borderId="4" xfId="0" applyBorder="1"/>
    <xf numFmtId="165" fontId="0" fillId="0" borderId="5" xfId="0" applyNumberFormat="1" applyBorder="1"/>
    <xf numFmtId="165" fontId="0" fillId="0" borderId="6" xfId="0" applyNumberFormat="1" applyBorder="1"/>
    <xf numFmtId="0" fontId="6" fillId="0" borderId="0" xfId="0" applyFont="1"/>
    <xf numFmtId="0" fontId="6" fillId="0" borderId="2" xfId="0" applyFont="1" applyBorder="1" applyAlignment="1">
      <alignment horizontal="center"/>
    </xf>
    <xf numFmtId="0" fontId="6" fillId="0" borderId="0" xfId="0" applyFont="1" applyAlignment="1">
      <alignment horizontal="center"/>
    </xf>
    <xf numFmtId="0" fontId="7" fillId="0" borderId="0" xfId="0" applyFont="1"/>
    <xf numFmtId="0" fontId="6" fillId="0" borderId="0" xfId="0" applyFont="1" applyBorder="1" applyAlignment="1">
      <alignment horizontal="center"/>
    </xf>
    <xf numFmtId="44" fontId="0" fillId="0" borderId="2" xfId="1" applyFont="1" applyBorder="1"/>
    <xf numFmtId="9" fontId="0" fillId="0" borderId="2" xfId="0" applyNumberFormat="1" applyBorder="1"/>
    <xf numFmtId="7" fontId="8" fillId="0" borderId="1" xfId="0" applyNumberFormat="1" applyFont="1" applyBorder="1" applyAlignment="1">
      <alignment horizontal="center"/>
    </xf>
    <xf numFmtId="44" fontId="0" fillId="0" borderId="1" xfId="1" applyNumberFormat="1" applyFont="1" applyBorder="1"/>
    <xf numFmtId="44" fontId="0" fillId="0" borderId="7" xfId="1" applyNumberFormat="1" applyFont="1" applyBorder="1"/>
    <xf numFmtId="0" fontId="5" fillId="0" borderId="11" xfId="0" applyFont="1" applyBorder="1"/>
    <xf numFmtId="0" fontId="0" fillId="0" borderId="0" xfId="0" applyBorder="1"/>
    <xf numFmtId="0" fontId="0" fillId="0" borderId="12" xfId="0" applyBorder="1"/>
    <xf numFmtId="0" fontId="0" fillId="2" borderId="11" xfId="0" applyFill="1" applyBorder="1" applyAlignment="1">
      <alignment horizontal="left" vertical="top" wrapText="1"/>
    </xf>
    <xf numFmtId="0" fontId="0" fillId="2" borderId="0" xfId="0" applyFill="1" applyBorder="1" applyAlignment="1">
      <alignment horizontal="left" vertical="top" wrapText="1"/>
    </xf>
    <xf numFmtId="0" fontId="0" fillId="0" borderId="11" xfId="0" applyBorder="1"/>
    <xf numFmtId="0" fontId="10" fillId="0" borderId="11" xfId="0" applyFont="1" applyBorder="1"/>
    <xf numFmtId="0" fontId="0" fillId="0" borderId="0" xfId="0" applyFont="1" applyBorder="1"/>
    <xf numFmtId="0" fontId="0" fillId="0" borderId="12" xfId="0" applyFont="1" applyBorder="1"/>
    <xf numFmtId="0" fontId="10" fillId="0" borderId="13" xfId="0" applyFont="1" applyBorder="1"/>
    <xf numFmtId="0" fontId="0" fillId="0" borderId="14" xfId="0" applyBorder="1"/>
    <xf numFmtId="0" fontId="0" fillId="0" borderId="15" xfId="0" applyBorder="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0" fillId="0" borderId="0" xfId="0" applyFont="1" applyBorder="1"/>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0"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cellXfs>
  <cellStyles count="103">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5"/>
  <sheetViews>
    <sheetView tabSelected="1" topLeftCell="A127" zoomScale="95" workbookViewId="0">
      <selection activeCell="D103" sqref="D103:G105"/>
    </sheetView>
  </sheetViews>
  <sheetFormatPr baseColWidth="10" defaultRowHeight="16" x14ac:dyDescent="0.2"/>
  <cols>
    <col min="1" max="1" width="32.83203125" customWidth="1"/>
    <col min="2" max="2" width="20.33203125" bestFit="1" customWidth="1"/>
    <col min="4" max="4" width="15" customWidth="1"/>
  </cols>
  <sheetData>
    <row r="1" spans="1:14" x14ac:dyDescent="0.2">
      <c r="A1" s="1" t="s">
        <v>0</v>
      </c>
      <c r="H1" s="52" t="s">
        <v>114</v>
      </c>
      <c r="I1" s="53"/>
      <c r="J1" s="53"/>
      <c r="K1" s="53"/>
      <c r="L1" s="53"/>
      <c r="M1" s="53"/>
      <c r="N1" s="54"/>
    </row>
    <row r="2" spans="1:14" x14ac:dyDescent="0.2">
      <c r="A2" s="1" t="s">
        <v>9</v>
      </c>
      <c r="D2" s="7" t="s">
        <v>23</v>
      </c>
      <c r="H2" s="40" t="s">
        <v>146</v>
      </c>
      <c r="I2" s="41"/>
      <c r="J2" s="41"/>
      <c r="K2" s="41"/>
      <c r="L2" s="41"/>
      <c r="M2" s="41"/>
      <c r="N2" s="42"/>
    </row>
    <row r="3" spans="1:14" x14ac:dyDescent="0.2">
      <c r="A3" t="s">
        <v>1</v>
      </c>
      <c r="B3">
        <f>100+50*70</f>
        <v>3600</v>
      </c>
      <c r="D3" t="s">
        <v>24</v>
      </c>
      <c r="E3">
        <v>1800</v>
      </c>
      <c r="H3" s="43" t="s">
        <v>147</v>
      </c>
      <c r="I3" s="44"/>
      <c r="J3" s="44"/>
      <c r="K3" s="44"/>
      <c r="L3" s="44"/>
      <c r="M3" s="41"/>
      <c r="N3" s="42"/>
    </row>
    <row r="4" spans="1:14" x14ac:dyDescent="0.2">
      <c r="A4" t="s">
        <v>10</v>
      </c>
      <c r="B4" s="3">
        <f>-0.25+0.005*70</f>
        <v>0.10000000000000003</v>
      </c>
      <c r="D4" t="s">
        <v>25</v>
      </c>
      <c r="E4">
        <v>1000</v>
      </c>
      <c r="H4" s="43"/>
      <c r="I4" s="44"/>
      <c r="J4" s="44"/>
      <c r="K4" s="44"/>
      <c r="L4" s="44"/>
      <c r="M4" s="41"/>
      <c r="N4" s="42"/>
    </row>
    <row r="5" spans="1:14" x14ac:dyDescent="0.2">
      <c r="A5" t="s">
        <v>11</v>
      </c>
      <c r="B5">
        <f>B3*B4</f>
        <v>360.00000000000011</v>
      </c>
      <c r="D5" t="s">
        <v>26</v>
      </c>
      <c r="E5">
        <v>800</v>
      </c>
      <c r="H5" s="43"/>
      <c r="I5" s="44"/>
      <c r="J5" s="44"/>
      <c r="K5" s="44"/>
      <c r="L5" s="44"/>
      <c r="M5" s="41"/>
      <c r="N5" s="42"/>
    </row>
    <row r="6" spans="1:14" x14ac:dyDescent="0.2">
      <c r="A6" t="s">
        <v>2</v>
      </c>
      <c r="B6">
        <f>E3+E4-E5</f>
        <v>2000</v>
      </c>
      <c r="H6" s="43"/>
      <c r="I6" s="44"/>
      <c r="J6" s="44"/>
      <c r="K6" s="44"/>
      <c r="L6" s="44"/>
      <c r="M6" s="41"/>
      <c r="N6" s="42"/>
    </row>
    <row r="7" spans="1:14" x14ac:dyDescent="0.2">
      <c r="A7" t="s">
        <v>3</v>
      </c>
      <c r="B7" s="2">
        <f>B5/B6</f>
        <v>0.18000000000000005</v>
      </c>
      <c r="H7" s="43"/>
      <c r="I7" s="44"/>
      <c r="J7" s="44"/>
      <c r="K7" s="44"/>
      <c r="L7" s="44"/>
      <c r="M7" s="41"/>
      <c r="N7" s="42"/>
    </row>
    <row r="8" spans="1:14" x14ac:dyDescent="0.2">
      <c r="H8" s="43"/>
      <c r="I8" s="44"/>
      <c r="J8" s="44"/>
      <c r="K8" s="44"/>
      <c r="L8" s="44"/>
      <c r="M8" s="41"/>
      <c r="N8" s="42"/>
    </row>
    <row r="9" spans="1:14" x14ac:dyDescent="0.2">
      <c r="A9" t="s">
        <v>4</v>
      </c>
      <c r="B9" s="4">
        <v>0.06</v>
      </c>
      <c r="H9" s="43"/>
      <c r="I9" s="44"/>
      <c r="J9" s="44"/>
      <c r="K9" s="44"/>
      <c r="L9" s="44"/>
      <c r="M9" s="41"/>
      <c r="N9" s="42"/>
    </row>
    <row r="10" spans="1:14" x14ac:dyDescent="0.2">
      <c r="A10" t="s">
        <v>5</v>
      </c>
      <c r="B10" s="3">
        <f>B9/B7</f>
        <v>0.3333333333333332</v>
      </c>
      <c r="H10" s="43"/>
      <c r="I10" s="44"/>
      <c r="J10" s="44"/>
      <c r="K10" s="44"/>
      <c r="L10" s="44"/>
      <c r="M10" s="41"/>
      <c r="N10" s="42"/>
    </row>
    <row r="11" spans="1:14" x14ac:dyDescent="0.2">
      <c r="B11" s="23">
        <v>1</v>
      </c>
      <c r="C11" s="23">
        <v>2</v>
      </c>
      <c r="D11" s="23">
        <v>3</v>
      </c>
      <c r="H11" s="45"/>
      <c r="I11" s="41"/>
      <c r="J11" s="41"/>
      <c r="K11" s="41"/>
      <c r="L11" s="41"/>
      <c r="M11" s="41"/>
      <c r="N11" s="42"/>
    </row>
    <row r="12" spans="1:14" x14ac:dyDescent="0.2">
      <c r="A12" s="23" t="s">
        <v>6</v>
      </c>
      <c r="B12" s="24">
        <f>B5</f>
        <v>360.00000000000011</v>
      </c>
      <c r="C12" s="24">
        <f>B12*(1+B9)</f>
        <v>381.60000000000014</v>
      </c>
      <c r="D12" s="24">
        <f>C12*(1+B9)</f>
        <v>404.49600000000015</v>
      </c>
      <c r="E12" t="s">
        <v>113</v>
      </c>
      <c r="H12" s="46" t="s">
        <v>117</v>
      </c>
      <c r="I12" s="41"/>
      <c r="J12" s="41"/>
      <c r="K12" s="41"/>
      <c r="L12" s="41"/>
      <c r="M12" s="41"/>
      <c r="N12" s="42"/>
    </row>
    <row r="13" spans="1:14" ht="17" thickBot="1" x14ac:dyDescent="0.25">
      <c r="A13" s="25" t="s">
        <v>7</v>
      </c>
      <c r="B13" s="26">
        <f>B12*$B$10</f>
        <v>119.99999999999999</v>
      </c>
      <c r="C13" s="26">
        <f>C12*$B$10</f>
        <v>127.2</v>
      </c>
      <c r="D13" s="26">
        <f>D12*$B$10</f>
        <v>134.83199999999999</v>
      </c>
      <c r="H13" s="46" t="s">
        <v>118</v>
      </c>
      <c r="I13" s="41"/>
      <c r="J13" s="41"/>
      <c r="K13" s="41"/>
      <c r="L13" s="41"/>
      <c r="M13" s="41"/>
      <c r="N13" s="42"/>
    </row>
    <row r="14" spans="1:14" ht="17" thickBot="1" x14ac:dyDescent="0.25">
      <c r="A14" s="27" t="s">
        <v>8</v>
      </c>
      <c r="B14" s="28">
        <f>B12-B13</f>
        <v>240.00000000000011</v>
      </c>
      <c r="C14" s="28">
        <f>C12-C13</f>
        <v>254.40000000000015</v>
      </c>
      <c r="D14" s="29">
        <f>D12-D13</f>
        <v>269.66400000000016</v>
      </c>
      <c r="H14" s="46" t="s">
        <v>115</v>
      </c>
      <c r="I14" s="41"/>
      <c r="J14" s="41"/>
      <c r="K14" s="41"/>
      <c r="L14" s="41"/>
      <c r="M14" s="41"/>
      <c r="N14" s="42"/>
    </row>
    <row r="15" spans="1:14" x14ac:dyDescent="0.2">
      <c r="H15" s="45"/>
      <c r="I15" s="41"/>
      <c r="J15" s="41"/>
      <c r="K15" s="41"/>
      <c r="L15" s="41"/>
      <c r="M15" s="41"/>
      <c r="N15" s="42"/>
    </row>
    <row r="16" spans="1:14" x14ac:dyDescent="0.2">
      <c r="A16" s="1" t="s">
        <v>12</v>
      </c>
      <c r="H16" s="43" t="s">
        <v>148</v>
      </c>
      <c r="I16" s="44"/>
      <c r="J16" s="44"/>
      <c r="K16" s="44"/>
      <c r="L16" s="44"/>
      <c r="M16" s="41"/>
      <c r="N16" s="42"/>
    </row>
    <row r="17" spans="1:14" ht="16" customHeight="1" x14ac:dyDescent="0.2">
      <c r="A17" t="s">
        <v>13</v>
      </c>
      <c r="B17" s="4">
        <v>-0.03</v>
      </c>
      <c r="H17" s="43"/>
      <c r="I17" s="44"/>
      <c r="J17" s="44"/>
      <c r="K17" s="44"/>
      <c r="L17" s="44"/>
      <c r="M17" s="41"/>
      <c r="N17" s="42"/>
    </row>
    <row r="18" spans="1:14" x14ac:dyDescent="0.2">
      <c r="A18" t="s">
        <v>5</v>
      </c>
      <c r="B18" s="3">
        <f>B17/B7</f>
        <v>-0.1666666666666666</v>
      </c>
      <c r="H18" s="43"/>
      <c r="I18" s="44"/>
      <c r="J18" s="44"/>
      <c r="K18" s="44"/>
      <c r="L18" s="44"/>
      <c r="M18" s="41"/>
      <c r="N18" s="42"/>
    </row>
    <row r="19" spans="1:14" x14ac:dyDescent="0.2">
      <c r="A19" t="s">
        <v>15</v>
      </c>
      <c r="B19" s="6">
        <f>D12*(1+B17)</f>
        <v>392.36112000000014</v>
      </c>
      <c r="H19" s="43"/>
      <c r="I19" s="44"/>
      <c r="J19" s="44"/>
      <c r="K19" s="44"/>
      <c r="L19" s="44"/>
      <c r="M19" s="41"/>
      <c r="N19" s="42"/>
    </row>
    <row r="20" spans="1:14" x14ac:dyDescent="0.2">
      <c r="A20" t="s">
        <v>7</v>
      </c>
      <c r="B20" s="6">
        <f>B19*B18</f>
        <v>-65.393519999999995</v>
      </c>
      <c r="H20" s="46" t="s">
        <v>149</v>
      </c>
      <c r="I20" s="41"/>
      <c r="J20" s="41"/>
      <c r="K20" s="41"/>
      <c r="L20" s="41"/>
      <c r="M20" s="41"/>
      <c r="N20" s="42"/>
    </row>
    <row r="21" spans="1:14" x14ac:dyDescent="0.2">
      <c r="A21" t="s">
        <v>16</v>
      </c>
      <c r="B21" s="6">
        <f>B19-B20</f>
        <v>457.75464000000011</v>
      </c>
      <c r="H21" s="46" t="s">
        <v>150</v>
      </c>
      <c r="I21" s="41"/>
      <c r="J21" s="41"/>
      <c r="K21" s="41"/>
      <c r="L21" s="41"/>
      <c r="M21" s="41"/>
      <c r="N21" s="42"/>
    </row>
    <row r="22" spans="1:14" ht="17" thickBot="1" x14ac:dyDescent="0.25">
      <c r="H22" s="46" t="s">
        <v>121</v>
      </c>
      <c r="I22" s="41"/>
      <c r="J22" s="41"/>
      <c r="K22" s="41"/>
      <c r="L22" s="41"/>
      <c r="M22" s="41"/>
      <c r="N22" s="42"/>
    </row>
    <row r="23" spans="1:14" ht="17" thickBot="1" x14ac:dyDescent="0.25">
      <c r="A23" t="s">
        <v>14</v>
      </c>
      <c r="B23" s="20">
        <f>B21/(0.1-B17)</f>
        <v>3521.1895384615391</v>
      </c>
      <c r="H23" s="45"/>
      <c r="I23" s="41"/>
      <c r="J23" s="41"/>
      <c r="K23" s="41"/>
      <c r="L23" s="41"/>
      <c r="M23" s="41"/>
      <c r="N23" s="42"/>
    </row>
    <row r="24" spans="1:14" x14ac:dyDescent="0.2">
      <c r="H24" s="45"/>
      <c r="I24" s="41"/>
      <c r="J24" s="41"/>
      <c r="K24" s="41"/>
      <c r="L24" s="41"/>
      <c r="M24" s="41"/>
      <c r="N24" s="42"/>
    </row>
    <row r="25" spans="1:14" x14ac:dyDescent="0.2">
      <c r="A25" s="1" t="s">
        <v>17</v>
      </c>
      <c r="H25" s="45"/>
      <c r="I25" s="41"/>
      <c r="J25" s="41"/>
      <c r="K25" s="41"/>
      <c r="L25" s="41"/>
      <c r="M25" s="41"/>
      <c r="N25" s="42"/>
    </row>
    <row r="26" spans="1:14" x14ac:dyDescent="0.2">
      <c r="A26" t="s">
        <v>18</v>
      </c>
      <c r="B26">
        <f>B11</f>
        <v>1</v>
      </c>
      <c r="C26">
        <f>C11</f>
        <v>2</v>
      </c>
      <c r="D26">
        <f>D11</f>
        <v>3</v>
      </c>
      <c r="H26" s="45"/>
      <c r="I26" s="41"/>
      <c r="J26" s="41"/>
      <c r="K26" s="41"/>
      <c r="L26" s="41"/>
      <c r="M26" s="41"/>
      <c r="N26" s="42"/>
    </row>
    <row r="27" spans="1:14" x14ac:dyDescent="0.2">
      <c r="A27" t="s">
        <v>8</v>
      </c>
      <c r="B27" s="5">
        <f>B14</f>
        <v>240.00000000000011</v>
      </c>
      <c r="C27" s="5">
        <f>C14</f>
        <v>254.40000000000015</v>
      </c>
      <c r="D27" s="5">
        <f>D14</f>
        <v>269.66400000000016</v>
      </c>
      <c r="H27" s="46" t="s">
        <v>116</v>
      </c>
      <c r="I27" s="41"/>
      <c r="J27" s="41"/>
      <c r="K27" s="41"/>
      <c r="L27" s="41"/>
      <c r="M27" s="41"/>
      <c r="N27" s="42"/>
    </row>
    <row r="28" spans="1:14" x14ac:dyDescent="0.2">
      <c r="A28" t="s">
        <v>19</v>
      </c>
      <c r="B28" s="5"/>
      <c r="C28" s="5"/>
      <c r="D28" s="5">
        <f>B23</f>
        <v>3521.1895384615391</v>
      </c>
      <c r="H28" s="46" t="s">
        <v>119</v>
      </c>
      <c r="I28" s="41"/>
      <c r="J28" s="41"/>
      <c r="K28" s="41"/>
      <c r="L28" s="41"/>
      <c r="M28" s="41"/>
      <c r="N28" s="42"/>
    </row>
    <row r="29" spans="1:14" x14ac:dyDescent="0.2">
      <c r="A29" t="s">
        <v>104</v>
      </c>
      <c r="B29" s="5">
        <f>B27/(1.1)^B26</f>
        <v>218.18181818181827</v>
      </c>
      <c r="C29" s="5">
        <f>C27/(1.1)^C26</f>
        <v>210.24793388429762</v>
      </c>
      <c r="D29" s="5">
        <f>(D27+D28)/(1.1)^D26</f>
        <v>2848.124371496272</v>
      </c>
      <c r="H29" s="46" t="s">
        <v>120</v>
      </c>
      <c r="I29" s="41"/>
      <c r="J29" s="41"/>
      <c r="K29" s="41"/>
      <c r="L29" s="41"/>
      <c r="M29" s="41"/>
      <c r="N29" s="42"/>
    </row>
    <row r="30" spans="1:14" x14ac:dyDescent="0.2">
      <c r="A30" t="s">
        <v>20</v>
      </c>
      <c r="B30" s="5">
        <f>SUM(B29:D29)</f>
        <v>3276.5541235623878</v>
      </c>
      <c r="C30" s="5"/>
      <c r="D30" s="5"/>
      <c r="H30" s="46" t="s">
        <v>151</v>
      </c>
      <c r="I30" s="41"/>
      <c r="J30" s="41"/>
      <c r="K30" s="41"/>
      <c r="L30" s="41"/>
      <c r="M30" s="41"/>
      <c r="N30" s="42"/>
    </row>
    <row r="31" spans="1:14" x14ac:dyDescent="0.2">
      <c r="A31" t="s">
        <v>21</v>
      </c>
      <c r="B31" s="5">
        <f>E5</f>
        <v>800</v>
      </c>
      <c r="C31" s="5"/>
      <c r="D31" s="5"/>
      <c r="H31" s="45"/>
      <c r="I31" s="41"/>
      <c r="J31" s="41"/>
      <c r="K31" s="41"/>
      <c r="L31" s="41"/>
      <c r="M31" s="41"/>
      <c r="N31" s="42"/>
    </row>
    <row r="32" spans="1:14" x14ac:dyDescent="0.2">
      <c r="A32" t="s">
        <v>22</v>
      </c>
      <c r="B32" s="5">
        <f>E4</f>
        <v>1000</v>
      </c>
      <c r="C32" s="5"/>
      <c r="D32" s="5"/>
      <c r="H32" s="45"/>
      <c r="I32" s="41"/>
      <c r="J32" s="41"/>
      <c r="K32" s="41"/>
      <c r="L32" s="41"/>
      <c r="M32" s="41"/>
      <c r="N32" s="42"/>
    </row>
    <row r="33" spans="1:14" x14ac:dyDescent="0.2">
      <c r="A33" t="s">
        <v>27</v>
      </c>
      <c r="B33" s="5">
        <f>B30+B31-B32</f>
        <v>3076.5541235623878</v>
      </c>
      <c r="C33" s="5"/>
      <c r="D33" s="5"/>
      <c r="H33" s="45"/>
      <c r="I33" s="41"/>
      <c r="J33" s="41"/>
      <c r="K33" s="41"/>
      <c r="L33" s="41"/>
      <c r="M33" s="41"/>
      <c r="N33" s="42"/>
    </row>
    <row r="34" spans="1:14" ht="17" thickBot="1" x14ac:dyDescent="0.25">
      <c r="A34" t="s">
        <v>28</v>
      </c>
      <c r="B34" s="5">
        <v>100</v>
      </c>
      <c r="C34" s="5"/>
      <c r="D34" s="5"/>
      <c r="H34" s="45"/>
      <c r="I34" s="41"/>
      <c r="J34" s="41"/>
      <c r="K34" s="41"/>
      <c r="L34" s="41"/>
      <c r="M34" s="41"/>
      <c r="N34" s="42"/>
    </row>
    <row r="35" spans="1:14" ht="17" thickBot="1" x14ac:dyDescent="0.25">
      <c r="A35" t="s">
        <v>29</v>
      </c>
      <c r="B35" s="20">
        <f>B33/B34</f>
        <v>30.765541235623878</v>
      </c>
      <c r="C35" s="5"/>
      <c r="D35" s="5"/>
      <c r="H35" s="45"/>
      <c r="I35" s="41"/>
      <c r="J35" s="41"/>
      <c r="K35" s="41"/>
      <c r="L35" s="41"/>
      <c r="M35" s="41"/>
      <c r="N35" s="42"/>
    </row>
    <row r="36" spans="1:14" x14ac:dyDescent="0.2">
      <c r="H36" s="45"/>
      <c r="I36" s="41"/>
      <c r="J36" s="41"/>
      <c r="K36" s="41"/>
      <c r="L36" s="41"/>
      <c r="M36" s="41"/>
      <c r="N36" s="42"/>
    </row>
    <row r="37" spans="1:14" x14ac:dyDescent="0.2">
      <c r="A37" s="1" t="s">
        <v>30</v>
      </c>
      <c r="H37" s="45"/>
      <c r="I37" s="41"/>
      <c r="J37" s="41"/>
      <c r="K37" s="41"/>
      <c r="L37" s="41"/>
      <c r="M37" s="41"/>
      <c r="N37" s="42"/>
    </row>
    <row r="38" spans="1:14" x14ac:dyDescent="0.2">
      <c r="B38">
        <v>1</v>
      </c>
      <c r="C38">
        <v>2</v>
      </c>
      <c r="D38">
        <v>3</v>
      </c>
      <c r="E38">
        <v>4</v>
      </c>
      <c r="F38">
        <v>5</v>
      </c>
      <c r="H38" s="43" t="s">
        <v>152</v>
      </c>
      <c r="I38" s="44"/>
      <c r="J38" s="44"/>
      <c r="K38" s="44"/>
      <c r="L38" s="44"/>
      <c r="M38" s="41"/>
      <c r="N38" s="42"/>
    </row>
    <row r="39" spans="1:14" x14ac:dyDescent="0.2">
      <c r="A39" t="s">
        <v>31</v>
      </c>
      <c r="B39" s="5">
        <v>10</v>
      </c>
      <c r="C39" s="5">
        <v>50</v>
      </c>
      <c r="D39" s="5">
        <v>100</v>
      </c>
      <c r="E39" s="5">
        <v>250</v>
      </c>
      <c r="F39" s="5">
        <v>500</v>
      </c>
      <c r="H39" s="43"/>
      <c r="I39" s="44"/>
      <c r="J39" s="44"/>
      <c r="K39" s="44"/>
      <c r="L39" s="44"/>
      <c r="M39" s="41"/>
      <c r="N39" s="42"/>
    </row>
    <row r="40" spans="1:14" x14ac:dyDescent="0.2">
      <c r="A40" t="s">
        <v>32</v>
      </c>
      <c r="B40" s="5">
        <v>-25</v>
      </c>
      <c r="C40" s="5">
        <v>-40</v>
      </c>
      <c r="D40" s="5">
        <v>-50</v>
      </c>
      <c r="E40" s="5">
        <v>-20</v>
      </c>
      <c r="F40" s="5">
        <v>50</v>
      </c>
      <c r="H40" s="43"/>
      <c r="I40" s="44"/>
      <c r="J40" s="44"/>
      <c r="K40" s="44"/>
      <c r="L40" s="44"/>
      <c r="M40" s="41"/>
      <c r="N40" s="42"/>
    </row>
    <row r="41" spans="1:14" x14ac:dyDescent="0.2">
      <c r="A41" t="s">
        <v>39</v>
      </c>
      <c r="B41" s="8">
        <v>0</v>
      </c>
      <c r="C41" s="8">
        <v>0</v>
      </c>
      <c r="D41" s="8">
        <v>0</v>
      </c>
      <c r="E41" s="8">
        <v>0</v>
      </c>
      <c r="F41" s="8">
        <v>0.3</v>
      </c>
      <c r="H41" s="43"/>
      <c r="I41" s="44"/>
      <c r="J41" s="44"/>
      <c r="K41" s="44"/>
      <c r="L41" s="44"/>
      <c r="M41" s="41"/>
      <c r="N41" s="42"/>
    </row>
    <row r="42" spans="1:14" x14ac:dyDescent="0.2">
      <c r="A42" t="s">
        <v>8</v>
      </c>
      <c r="B42" s="5">
        <f>-50</f>
        <v>-50</v>
      </c>
      <c r="C42" s="5">
        <v>-100</v>
      </c>
      <c r="D42" s="5">
        <v>-150</v>
      </c>
      <c r="E42" s="5">
        <v>-100</v>
      </c>
      <c r="F42" s="5">
        <v>-25</v>
      </c>
      <c r="H42" s="43"/>
      <c r="I42" s="44"/>
      <c r="J42" s="44"/>
      <c r="K42" s="44"/>
      <c r="L42" s="44"/>
      <c r="M42" s="41"/>
      <c r="N42" s="42"/>
    </row>
    <row r="43" spans="1:14" x14ac:dyDescent="0.2">
      <c r="A43" t="s">
        <v>36</v>
      </c>
      <c r="B43" s="4">
        <v>0.12</v>
      </c>
      <c r="C43" s="4">
        <f>B43</f>
        <v>0.12</v>
      </c>
      <c r="D43" s="4">
        <f>C43</f>
        <v>0.12</v>
      </c>
      <c r="E43" s="4">
        <f>D43</f>
        <v>0.12</v>
      </c>
      <c r="F43" s="4">
        <f>E43</f>
        <v>0.12</v>
      </c>
      <c r="H43" s="45"/>
      <c r="I43" s="41"/>
      <c r="J43" s="41"/>
      <c r="K43" s="41"/>
      <c r="L43" s="41"/>
      <c r="M43" s="41"/>
      <c r="N43" s="42"/>
    </row>
    <row r="44" spans="1:14" x14ac:dyDescent="0.2">
      <c r="A44" s="7" t="s">
        <v>33</v>
      </c>
      <c r="H44" s="45"/>
      <c r="I44" s="41"/>
      <c r="J44" s="41"/>
      <c r="K44" s="41"/>
      <c r="L44" s="41"/>
      <c r="M44" s="41"/>
      <c r="N44" s="42"/>
    </row>
    <row r="45" spans="1:14" x14ac:dyDescent="0.2">
      <c r="A45" t="s">
        <v>34</v>
      </c>
      <c r="B45">
        <f>10+90*(F40/F39)-10*F41</f>
        <v>16</v>
      </c>
      <c r="H45" s="46" t="s">
        <v>122</v>
      </c>
      <c r="I45" s="41"/>
      <c r="J45" s="41"/>
      <c r="K45" s="41"/>
      <c r="L45" s="41"/>
      <c r="M45" s="41"/>
      <c r="N45" s="42"/>
    </row>
    <row r="46" spans="1:14" x14ac:dyDescent="0.2">
      <c r="A46" t="s">
        <v>35</v>
      </c>
      <c r="B46">
        <f>B45*F40</f>
        <v>800</v>
      </c>
      <c r="H46" s="46" t="s">
        <v>123</v>
      </c>
      <c r="I46" s="41"/>
      <c r="J46" s="41"/>
      <c r="K46" s="41"/>
      <c r="L46" s="41"/>
      <c r="M46" s="41"/>
      <c r="N46" s="42"/>
    </row>
    <row r="47" spans="1:14" x14ac:dyDescent="0.2">
      <c r="B47">
        <v>1</v>
      </c>
      <c r="C47">
        <v>2</v>
      </c>
      <c r="D47">
        <v>3</v>
      </c>
      <c r="E47">
        <v>4</v>
      </c>
      <c r="F47">
        <v>5</v>
      </c>
      <c r="H47" s="46" t="s">
        <v>124</v>
      </c>
      <c r="I47" s="41"/>
      <c r="J47" s="41"/>
      <c r="K47" s="41"/>
      <c r="L47" s="41"/>
      <c r="M47" s="41"/>
      <c r="N47" s="42"/>
    </row>
    <row r="48" spans="1:14" x14ac:dyDescent="0.2">
      <c r="A48" t="s">
        <v>8</v>
      </c>
      <c r="B48" s="5">
        <f>B42</f>
        <v>-50</v>
      </c>
      <c r="C48" s="5">
        <f>C42</f>
        <v>-100</v>
      </c>
      <c r="D48" s="5">
        <f>D42</f>
        <v>-150</v>
      </c>
      <c r="E48" s="5">
        <f>E42</f>
        <v>-100</v>
      </c>
      <c r="F48" s="5">
        <f>F42</f>
        <v>-25</v>
      </c>
      <c r="H48" s="46" t="s">
        <v>153</v>
      </c>
      <c r="I48" s="41"/>
      <c r="J48" s="41"/>
      <c r="K48" s="41"/>
      <c r="L48" s="41"/>
      <c r="M48" s="41"/>
      <c r="N48" s="42"/>
    </row>
    <row r="49" spans="1:14" x14ac:dyDescent="0.2">
      <c r="B49" s="5"/>
      <c r="C49" s="5"/>
      <c r="D49" s="5"/>
      <c r="E49" s="5"/>
      <c r="F49" s="5"/>
      <c r="H49" s="46" t="s">
        <v>154</v>
      </c>
      <c r="I49" s="41"/>
      <c r="J49" s="41"/>
      <c r="K49" s="41"/>
      <c r="L49" s="41"/>
      <c r="M49" s="41"/>
      <c r="N49" s="42"/>
    </row>
    <row r="50" spans="1:14" x14ac:dyDescent="0.2">
      <c r="A50" t="s">
        <v>37</v>
      </c>
      <c r="B50" s="5">
        <f>B48/1.12^B47</f>
        <v>-44.642857142857139</v>
      </c>
      <c r="C50" s="5">
        <f>C48/1.12^C47</f>
        <v>-79.719387755102034</v>
      </c>
      <c r="D50" s="5">
        <f>D48/1.12^D47</f>
        <v>-106.76703717201163</v>
      </c>
      <c r="E50" s="5">
        <f>E48/1.12^E47</f>
        <v>-63.551807840483114</v>
      </c>
      <c r="F50" s="5">
        <f>(F48+F49)/1.12^F47</f>
        <v>-14.185671392964981</v>
      </c>
      <c r="H50" s="45"/>
      <c r="I50" s="41"/>
      <c r="J50" s="41"/>
      <c r="K50" s="41"/>
      <c r="L50" s="41"/>
      <c r="M50" s="41"/>
      <c r="N50" s="42"/>
    </row>
    <row r="51" spans="1:14" x14ac:dyDescent="0.2">
      <c r="A51" t="s">
        <v>155</v>
      </c>
      <c r="B51" s="5">
        <f>B46/1.12^5</f>
        <v>453.94148457487938</v>
      </c>
      <c r="C51" s="5"/>
      <c r="D51" s="5"/>
      <c r="E51" s="5"/>
      <c r="F51" s="5"/>
      <c r="H51" s="45"/>
      <c r="I51" s="41"/>
      <c r="J51" s="41"/>
      <c r="K51" s="41"/>
      <c r="L51" s="41"/>
      <c r="M51" s="41"/>
      <c r="N51" s="42"/>
    </row>
    <row r="52" spans="1:14" x14ac:dyDescent="0.2">
      <c r="A52" t="s">
        <v>156</v>
      </c>
      <c r="B52" s="5">
        <f>SUM(B50:F50)</f>
        <v>-308.86676130341891</v>
      </c>
      <c r="C52" s="5"/>
      <c r="D52" s="5"/>
      <c r="E52" s="5"/>
      <c r="F52" s="5"/>
      <c r="H52" s="45"/>
      <c r="I52" s="41"/>
      <c r="J52" s="41"/>
      <c r="K52" s="41"/>
      <c r="L52" s="41"/>
      <c r="M52" s="41"/>
      <c r="N52" s="42"/>
    </row>
    <row r="53" spans="1:14" x14ac:dyDescent="0.2">
      <c r="A53" t="s">
        <v>38</v>
      </c>
      <c r="B53" s="5">
        <f>B51+B52</f>
        <v>145.07472327146047</v>
      </c>
      <c r="H53" s="45"/>
      <c r="I53" s="41"/>
      <c r="J53" s="41"/>
      <c r="K53" s="41"/>
      <c r="L53" s="41"/>
      <c r="M53" s="41"/>
      <c r="N53" s="42"/>
    </row>
    <row r="54" spans="1:14" ht="17" thickBot="1" x14ac:dyDescent="0.25">
      <c r="A54" t="s">
        <v>40</v>
      </c>
      <c r="B54">
        <v>50</v>
      </c>
      <c r="H54" s="45"/>
      <c r="I54" s="41"/>
      <c r="J54" s="41"/>
      <c r="K54" s="41"/>
      <c r="L54" s="41"/>
      <c r="M54" s="41"/>
      <c r="N54" s="42"/>
    </row>
    <row r="55" spans="1:14" ht="17" thickBot="1" x14ac:dyDescent="0.25">
      <c r="A55" t="s">
        <v>41</v>
      </c>
      <c r="B55" s="21">
        <f>B53-B54</f>
        <v>95.074723271460471</v>
      </c>
      <c r="H55" s="45"/>
      <c r="I55" s="41"/>
      <c r="J55" s="41"/>
      <c r="K55" s="41"/>
      <c r="L55" s="41"/>
      <c r="M55" s="41"/>
      <c r="N55" s="42"/>
    </row>
    <row r="56" spans="1:14" x14ac:dyDescent="0.2">
      <c r="H56" s="45"/>
      <c r="I56" s="41"/>
      <c r="J56" s="41"/>
      <c r="K56" s="41"/>
      <c r="L56" s="41"/>
      <c r="M56" s="41"/>
      <c r="N56" s="42"/>
    </row>
    <row r="57" spans="1:14" x14ac:dyDescent="0.2">
      <c r="A57" s="1" t="s">
        <v>12</v>
      </c>
      <c r="B57" s="5"/>
      <c r="H57" s="45"/>
      <c r="I57" s="41"/>
      <c r="J57" s="41"/>
      <c r="K57" s="41"/>
      <c r="L57" s="41"/>
      <c r="M57" s="41"/>
      <c r="N57" s="42"/>
    </row>
    <row r="58" spans="1:14" x14ac:dyDescent="0.2">
      <c r="A58" t="s">
        <v>97</v>
      </c>
      <c r="B58" s="5">
        <f>B51</f>
        <v>453.94148457487938</v>
      </c>
      <c r="H58" s="43" t="s">
        <v>157</v>
      </c>
      <c r="I58" s="44"/>
      <c r="J58" s="44"/>
      <c r="K58" s="44"/>
      <c r="L58" s="44"/>
      <c r="M58" s="41"/>
      <c r="N58" s="42"/>
    </row>
    <row r="59" spans="1:14" x14ac:dyDescent="0.2">
      <c r="A59" t="s">
        <v>22</v>
      </c>
      <c r="B59" s="5">
        <f>B54</f>
        <v>50</v>
      </c>
      <c r="H59" s="43"/>
      <c r="I59" s="44"/>
      <c r="J59" s="44"/>
      <c r="K59" s="44"/>
      <c r="L59" s="44"/>
      <c r="M59" s="41"/>
      <c r="N59" s="42"/>
    </row>
    <row r="60" spans="1:14" x14ac:dyDescent="0.2">
      <c r="A60" t="s">
        <v>98</v>
      </c>
      <c r="B60" s="5">
        <f>B58-B59</f>
        <v>403.94148457487938</v>
      </c>
      <c r="H60" s="43"/>
      <c r="I60" s="44"/>
      <c r="J60" s="44"/>
      <c r="K60" s="44"/>
      <c r="L60" s="44"/>
      <c r="M60" s="41"/>
      <c r="N60" s="42"/>
    </row>
    <row r="61" spans="1:14" ht="17" thickBot="1" x14ac:dyDescent="0.25">
      <c r="A61" t="s">
        <v>99</v>
      </c>
      <c r="B61" s="5">
        <f>B55</f>
        <v>95.074723271460471</v>
      </c>
      <c r="H61" s="45" t="s">
        <v>125</v>
      </c>
      <c r="I61" s="41"/>
      <c r="J61" s="41"/>
      <c r="K61" s="41"/>
      <c r="L61" s="41"/>
      <c r="M61" s="41"/>
      <c r="N61" s="42"/>
    </row>
    <row r="62" spans="1:14" ht="17" thickBot="1" x14ac:dyDescent="0.25">
      <c r="A62" t="s">
        <v>100</v>
      </c>
      <c r="B62" s="19">
        <f>1-B61/B60</f>
        <v>0.76463243587986496</v>
      </c>
      <c r="H62" s="45" t="s">
        <v>126</v>
      </c>
      <c r="I62" s="41"/>
      <c r="J62" s="41"/>
      <c r="K62" s="41"/>
      <c r="L62" s="41"/>
      <c r="M62" s="41"/>
      <c r="N62" s="42"/>
    </row>
    <row r="63" spans="1:14" x14ac:dyDescent="0.2">
      <c r="B63" s="22"/>
      <c r="H63" s="45"/>
      <c r="I63" s="41"/>
      <c r="J63" s="41"/>
      <c r="K63" s="41"/>
      <c r="L63" s="41"/>
      <c r="M63" s="41"/>
      <c r="N63" s="42"/>
    </row>
    <row r="64" spans="1:14" x14ac:dyDescent="0.2">
      <c r="A64" s="1" t="s">
        <v>17</v>
      </c>
      <c r="H64" s="45"/>
      <c r="I64" s="41"/>
      <c r="J64" s="41"/>
      <c r="K64" s="41"/>
      <c r="L64" s="41"/>
      <c r="M64" s="41"/>
      <c r="N64" s="42"/>
    </row>
    <row r="65" spans="1:14" x14ac:dyDescent="0.2">
      <c r="A65" s="1"/>
      <c r="B65">
        <v>1</v>
      </c>
      <c r="C65">
        <v>2</v>
      </c>
      <c r="D65">
        <v>3</v>
      </c>
      <c r="E65">
        <v>4</v>
      </c>
      <c r="F65">
        <v>5</v>
      </c>
      <c r="H65" s="45"/>
      <c r="I65" s="41"/>
      <c r="J65" s="41"/>
      <c r="K65" s="41"/>
      <c r="L65" s="41"/>
      <c r="M65" s="41"/>
      <c r="N65" s="42"/>
    </row>
    <row r="66" spans="1:14" x14ac:dyDescent="0.2">
      <c r="A66" s="18" t="s">
        <v>101</v>
      </c>
      <c r="B66" s="4">
        <v>0.15</v>
      </c>
      <c r="C66" s="4">
        <v>0.1</v>
      </c>
      <c r="D66" s="4">
        <v>0.1</v>
      </c>
      <c r="E66" s="4">
        <v>0.05</v>
      </c>
      <c r="F66" s="4">
        <v>0.05</v>
      </c>
      <c r="H66" s="43" t="s">
        <v>158</v>
      </c>
      <c r="I66" s="44"/>
      <c r="J66" s="44"/>
      <c r="K66" s="44"/>
      <c r="L66" s="44"/>
      <c r="M66" s="41"/>
      <c r="N66" s="42"/>
    </row>
    <row r="67" spans="1:14" ht="19" customHeight="1" x14ac:dyDescent="0.2">
      <c r="A67" s="18" t="s">
        <v>102</v>
      </c>
      <c r="B67" s="4">
        <f>1-B66</f>
        <v>0.85</v>
      </c>
      <c r="C67" s="4">
        <f>1-C66</f>
        <v>0.9</v>
      </c>
      <c r="D67" s="4">
        <f>1-D66</f>
        <v>0.9</v>
      </c>
      <c r="E67" s="4">
        <f>1-E66</f>
        <v>0.95</v>
      </c>
      <c r="F67" s="4">
        <f>1-F66</f>
        <v>0.95</v>
      </c>
      <c r="H67" s="43"/>
      <c r="I67" s="44"/>
      <c r="J67" s="44"/>
      <c r="K67" s="44"/>
      <c r="L67" s="44"/>
      <c r="M67" s="41"/>
      <c r="N67" s="42"/>
    </row>
    <row r="68" spans="1:14" x14ac:dyDescent="0.2">
      <c r="A68" t="s">
        <v>103</v>
      </c>
      <c r="B68" s="3">
        <f>B67*C67*D67*E67*F67</f>
        <v>0.62137124999999993</v>
      </c>
      <c r="C68" t="s">
        <v>159</v>
      </c>
      <c r="H68" s="43"/>
      <c r="I68" s="44"/>
      <c r="J68" s="44"/>
      <c r="K68" s="44"/>
      <c r="L68" s="44"/>
      <c r="M68" s="41"/>
      <c r="N68" s="42"/>
    </row>
    <row r="69" spans="1:14" ht="17" thickBot="1" x14ac:dyDescent="0.25">
      <c r="A69" t="s">
        <v>42</v>
      </c>
      <c r="B69" s="3">
        <f>1-B68</f>
        <v>0.37862875000000007</v>
      </c>
      <c r="H69" s="46" t="s">
        <v>161</v>
      </c>
      <c r="I69" s="41"/>
      <c r="J69" s="41"/>
      <c r="K69" s="41"/>
      <c r="L69" s="41"/>
      <c r="M69" s="41"/>
      <c r="N69" s="42"/>
    </row>
    <row r="70" spans="1:14" ht="17" thickBot="1" x14ac:dyDescent="0.25">
      <c r="A70" t="s">
        <v>41</v>
      </c>
      <c r="B70" s="20">
        <f>B55*(1-B69)</f>
        <v>59.076699642591478</v>
      </c>
      <c r="H70" s="46" t="s">
        <v>127</v>
      </c>
      <c r="I70" s="41"/>
      <c r="J70" s="41"/>
      <c r="K70" s="41"/>
      <c r="L70" s="41"/>
      <c r="M70" s="41"/>
      <c r="N70" s="42"/>
    </row>
    <row r="71" spans="1:14" x14ac:dyDescent="0.2">
      <c r="B71" s="5"/>
      <c r="H71" s="45"/>
      <c r="I71" s="41"/>
      <c r="J71" s="41"/>
      <c r="K71" s="41"/>
      <c r="L71" s="41"/>
      <c r="M71" s="41"/>
      <c r="N71" s="42"/>
    </row>
    <row r="72" spans="1:14" x14ac:dyDescent="0.2">
      <c r="A72" s="1" t="s">
        <v>43</v>
      </c>
      <c r="H72" s="45"/>
      <c r="I72" s="41"/>
      <c r="J72" s="41"/>
      <c r="K72" s="41"/>
      <c r="L72" s="41"/>
      <c r="M72" s="41"/>
      <c r="N72" s="42"/>
    </row>
    <row r="73" spans="1:14" x14ac:dyDescent="0.2">
      <c r="B73" t="s">
        <v>44</v>
      </c>
      <c r="C73" t="s">
        <v>45</v>
      </c>
      <c r="H73" s="45"/>
      <c r="I73" s="41"/>
      <c r="J73" s="41"/>
      <c r="K73" s="41"/>
      <c r="L73" s="41"/>
      <c r="M73" s="41"/>
      <c r="N73" s="42"/>
    </row>
    <row r="74" spans="1:14" x14ac:dyDescent="0.2">
      <c r="A74" t="s">
        <v>31</v>
      </c>
      <c r="B74">
        <v>1500</v>
      </c>
      <c r="C74">
        <v>1000</v>
      </c>
      <c r="H74" s="45"/>
      <c r="I74" s="41"/>
      <c r="J74" s="41"/>
      <c r="K74" s="41"/>
      <c r="L74" s="41"/>
      <c r="M74" s="41"/>
      <c r="N74" s="42"/>
    </row>
    <row r="75" spans="1:14" x14ac:dyDescent="0.2">
      <c r="A75" t="s">
        <v>48</v>
      </c>
      <c r="B75">
        <v>90</v>
      </c>
      <c r="C75">
        <v>120</v>
      </c>
      <c r="H75" s="45"/>
      <c r="I75" s="41"/>
      <c r="J75" s="41"/>
      <c r="K75" s="41"/>
      <c r="L75" s="41"/>
      <c r="M75" s="41"/>
      <c r="N75" s="42"/>
    </row>
    <row r="76" spans="1:14" x14ac:dyDescent="0.2">
      <c r="A76" t="s">
        <v>23</v>
      </c>
      <c r="B76">
        <v>900</v>
      </c>
      <c r="C76">
        <v>1000</v>
      </c>
      <c r="H76" s="45"/>
      <c r="I76" s="41"/>
      <c r="J76" s="41"/>
      <c r="K76" s="41"/>
      <c r="L76" s="41"/>
      <c r="M76" s="41"/>
      <c r="N76" s="42"/>
    </row>
    <row r="77" spans="1:14" x14ac:dyDescent="0.2">
      <c r="A77" t="s">
        <v>53</v>
      </c>
      <c r="B77">
        <f>0.9*(1+0.6*1)</f>
        <v>1.4400000000000002</v>
      </c>
      <c r="C77">
        <f>1.2*(1+0.6*1)</f>
        <v>1.92</v>
      </c>
      <c r="H77" s="45"/>
      <c r="I77" s="41"/>
      <c r="J77" s="41"/>
      <c r="K77" s="41"/>
      <c r="L77" s="41"/>
      <c r="M77" s="41"/>
      <c r="N77" s="42"/>
    </row>
    <row r="78" spans="1:14" x14ac:dyDescent="0.2">
      <c r="A78" t="s">
        <v>54</v>
      </c>
      <c r="B78" s="10">
        <f>3%+B77*6%</f>
        <v>0.1164</v>
      </c>
      <c r="C78" s="10">
        <f>3%+C77*6%</f>
        <v>0.1452</v>
      </c>
      <c r="H78" s="45"/>
      <c r="I78" s="41"/>
      <c r="J78" s="41"/>
      <c r="K78" s="41"/>
      <c r="L78" s="41"/>
      <c r="M78" s="41"/>
      <c r="N78" s="42"/>
    </row>
    <row r="79" spans="1:14" x14ac:dyDescent="0.2">
      <c r="A79" t="s">
        <v>58</v>
      </c>
      <c r="B79" s="4">
        <v>0.5</v>
      </c>
      <c r="C79" s="4">
        <v>0.5</v>
      </c>
      <c r="H79" s="45"/>
      <c r="I79" s="41"/>
      <c r="J79" s="41"/>
      <c r="K79" s="41"/>
      <c r="L79" s="41"/>
      <c r="M79" s="41"/>
      <c r="N79" s="42"/>
    </row>
    <row r="80" spans="1:14" x14ac:dyDescent="0.2">
      <c r="A80" t="s">
        <v>59</v>
      </c>
      <c r="B80" s="4">
        <v>0.05</v>
      </c>
      <c r="C80" s="4">
        <v>0.05</v>
      </c>
      <c r="H80" s="45"/>
      <c r="I80" s="41"/>
      <c r="J80" s="41"/>
      <c r="K80" s="41"/>
      <c r="L80" s="41"/>
      <c r="M80" s="41"/>
      <c r="N80" s="42"/>
    </row>
    <row r="81" spans="1:14" x14ac:dyDescent="0.2">
      <c r="H81" s="45"/>
      <c r="I81" s="41"/>
      <c r="J81" s="41"/>
      <c r="K81" s="41"/>
      <c r="L81" s="41"/>
      <c r="M81" s="41"/>
      <c r="N81" s="42"/>
    </row>
    <row r="82" spans="1:14" x14ac:dyDescent="0.2">
      <c r="A82" s="1" t="s">
        <v>9</v>
      </c>
      <c r="H82" s="45"/>
      <c r="I82" s="41"/>
      <c r="J82" s="41"/>
      <c r="K82" s="41"/>
      <c r="L82" s="41"/>
      <c r="M82" s="41"/>
      <c r="N82" s="42"/>
    </row>
    <row r="83" spans="1:14" x14ac:dyDescent="0.2">
      <c r="B83" t="str">
        <f>B73</f>
        <v>Pharmaceuticals</v>
      </c>
      <c r="C83" t="str">
        <f>C73</f>
        <v>Cosmetics</v>
      </c>
      <c r="D83" t="s">
        <v>46</v>
      </c>
      <c r="H83" s="43" t="s">
        <v>160</v>
      </c>
      <c r="I83" s="44"/>
      <c r="J83" s="44"/>
      <c r="K83" s="44"/>
      <c r="L83" s="44"/>
      <c r="M83" s="41"/>
      <c r="N83" s="42"/>
    </row>
    <row r="84" spans="1:14" x14ac:dyDescent="0.2">
      <c r="A84" t="s">
        <v>47</v>
      </c>
      <c r="B84" s="3">
        <f>B75/B76</f>
        <v>0.1</v>
      </c>
      <c r="C84" s="3">
        <f>C75/C76</f>
        <v>0.12</v>
      </c>
      <c r="H84" s="43"/>
      <c r="I84" s="44"/>
      <c r="J84" s="44"/>
      <c r="K84" s="44"/>
      <c r="L84" s="44"/>
      <c r="M84" s="41"/>
      <c r="N84" s="42"/>
    </row>
    <row r="85" spans="1:14" x14ac:dyDescent="0.2">
      <c r="A85" t="s">
        <v>60</v>
      </c>
      <c r="B85" s="3">
        <f>B78*(1-B79)+B80*B79</f>
        <v>8.3199999999999996E-2</v>
      </c>
      <c r="C85" s="3">
        <f>C78*(1-C79)+C80*C79</f>
        <v>9.7599999999999992E-2</v>
      </c>
      <c r="H85" s="43"/>
      <c r="I85" s="44"/>
      <c r="J85" s="44"/>
      <c r="K85" s="44"/>
      <c r="L85" s="44"/>
      <c r="M85" s="41"/>
      <c r="N85" s="42"/>
    </row>
    <row r="86" spans="1:14" x14ac:dyDescent="0.2">
      <c r="A86" t="s">
        <v>5</v>
      </c>
      <c r="B86" s="11">
        <f>3%/B84</f>
        <v>0.3</v>
      </c>
      <c r="C86" s="11">
        <f>3%/C84</f>
        <v>0.25</v>
      </c>
      <c r="H86" s="43"/>
      <c r="I86" s="44"/>
      <c r="J86" s="44"/>
      <c r="K86" s="44"/>
      <c r="L86" s="44"/>
      <c r="M86" s="41"/>
      <c r="N86" s="42"/>
    </row>
    <row r="87" spans="1:14" x14ac:dyDescent="0.2">
      <c r="A87" t="s">
        <v>49</v>
      </c>
      <c r="B87">
        <f>B75*(1-B86)</f>
        <v>62.999999999999993</v>
      </c>
      <c r="C87">
        <f>C75*(1-C86)</f>
        <v>90</v>
      </c>
      <c r="H87" s="46" t="s">
        <v>129</v>
      </c>
      <c r="I87" s="41"/>
      <c r="J87" s="41"/>
      <c r="K87" s="41"/>
      <c r="L87" s="41"/>
      <c r="M87" s="41"/>
      <c r="N87" s="42"/>
    </row>
    <row r="88" spans="1:14" x14ac:dyDescent="0.2">
      <c r="A88" t="s">
        <v>50</v>
      </c>
      <c r="B88" s="5">
        <f>B87/(B85-0.03)</f>
        <v>1184.2105263157894</v>
      </c>
      <c r="C88" s="5">
        <f>C87/(C85-0.03)</f>
        <v>1331.3609467455622</v>
      </c>
      <c r="D88" s="5">
        <f>B88+C88</f>
        <v>2515.5714730613518</v>
      </c>
      <c r="H88" s="46" t="s">
        <v>131</v>
      </c>
      <c r="I88" s="41"/>
      <c r="J88" s="41"/>
      <c r="K88" s="41"/>
      <c r="L88" s="41"/>
      <c r="M88" s="41"/>
      <c r="N88" s="42"/>
    </row>
    <row r="89" spans="1:14" ht="17" thickBot="1" x14ac:dyDescent="0.25">
      <c r="A89" t="s">
        <v>22</v>
      </c>
      <c r="B89" s="5"/>
      <c r="C89" s="5"/>
      <c r="D89" s="5">
        <v>1200</v>
      </c>
      <c r="H89" s="46" t="s">
        <v>128</v>
      </c>
      <c r="I89" s="41"/>
      <c r="J89" s="41"/>
      <c r="K89" s="41"/>
      <c r="L89" s="41"/>
      <c r="M89" s="41"/>
      <c r="N89" s="42"/>
    </row>
    <row r="90" spans="1:14" ht="17" thickBot="1" x14ac:dyDescent="0.25">
      <c r="A90" t="s">
        <v>67</v>
      </c>
      <c r="B90" s="5"/>
      <c r="C90" s="5"/>
      <c r="D90" s="20">
        <f>D88-D89</f>
        <v>1315.5714730613518</v>
      </c>
      <c r="H90" s="46" t="s">
        <v>130</v>
      </c>
      <c r="I90" s="41"/>
      <c r="J90" s="41"/>
      <c r="K90" s="41"/>
      <c r="L90" s="41"/>
      <c r="M90" s="41"/>
      <c r="N90" s="42"/>
    </row>
    <row r="91" spans="1:14" x14ac:dyDescent="0.2">
      <c r="A91" s="1" t="s">
        <v>12</v>
      </c>
      <c r="H91" s="45"/>
      <c r="I91" s="41"/>
      <c r="J91" s="41"/>
      <c r="K91" s="41"/>
      <c r="L91" s="41"/>
      <c r="M91" s="41"/>
      <c r="N91" s="42"/>
    </row>
    <row r="92" spans="1:14" x14ac:dyDescent="0.2">
      <c r="A92" t="s">
        <v>51</v>
      </c>
      <c r="H92" s="45"/>
      <c r="I92" s="41"/>
      <c r="J92" s="41"/>
      <c r="K92" s="41"/>
      <c r="L92" s="41"/>
      <c r="M92" s="41"/>
      <c r="N92" s="42"/>
    </row>
    <row r="93" spans="1:14" x14ac:dyDescent="0.2">
      <c r="A93" t="s">
        <v>52</v>
      </c>
      <c r="B93" s="5">
        <v>1200</v>
      </c>
      <c r="H93" s="43" t="s">
        <v>162</v>
      </c>
      <c r="I93" s="44"/>
      <c r="J93" s="44"/>
      <c r="K93" s="44"/>
      <c r="L93" s="44"/>
      <c r="M93" s="41"/>
      <c r="N93" s="42"/>
    </row>
    <row r="94" spans="1:14" x14ac:dyDescent="0.2">
      <c r="A94" t="s">
        <v>55</v>
      </c>
      <c r="B94" s="5">
        <f>B93</f>
        <v>1200</v>
      </c>
      <c r="H94" s="43"/>
      <c r="I94" s="44"/>
      <c r="J94" s="44"/>
      <c r="K94" s="44"/>
      <c r="L94" s="44"/>
      <c r="M94" s="41"/>
      <c r="N94" s="42"/>
    </row>
    <row r="95" spans="1:14" x14ac:dyDescent="0.2">
      <c r="A95" t="s">
        <v>56</v>
      </c>
      <c r="B95" s="5">
        <f>D89-B94</f>
        <v>0</v>
      </c>
      <c r="H95" s="43"/>
      <c r="I95" s="44"/>
      <c r="J95" s="44"/>
      <c r="K95" s="44"/>
      <c r="L95" s="44"/>
      <c r="M95" s="41"/>
      <c r="N95" s="42"/>
    </row>
    <row r="96" spans="1:14" x14ac:dyDescent="0.2">
      <c r="A96" t="s">
        <v>165</v>
      </c>
      <c r="B96">
        <f>D89/D90</f>
        <v>0.91215112563028189</v>
      </c>
      <c r="H96" s="43"/>
      <c r="I96" s="44"/>
      <c r="J96" s="44"/>
      <c r="K96" s="44"/>
      <c r="L96" s="44"/>
      <c r="M96" s="41"/>
      <c r="N96" s="42"/>
    </row>
    <row r="97" spans="1:14" x14ac:dyDescent="0.2">
      <c r="A97" t="s">
        <v>57</v>
      </c>
      <c r="B97">
        <f>C77/(1+0.6*D89/D90)</f>
        <v>1.240878672994483</v>
      </c>
      <c r="C97" t="s">
        <v>166</v>
      </c>
      <c r="H97" s="43"/>
      <c r="I97" s="44"/>
      <c r="J97" s="44"/>
      <c r="K97" s="44"/>
      <c r="L97" s="44"/>
      <c r="M97" s="41"/>
      <c r="N97" s="42"/>
    </row>
    <row r="98" spans="1:14" x14ac:dyDescent="0.2">
      <c r="A98" t="s">
        <v>61</v>
      </c>
      <c r="B98" s="12">
        <f>3%+B97*6%</f>
        <v>0.10445272037966898</v>
      </c>
      <c r="H98" s="43"/>
      <c r="I98" s="44"/>
      <c r="J98" s="44"/>
      <c r="K98" s="44"/>
      <c r="L98" s="44"/>
      <c r="M98" s="41"/>
      <c r="N98" s="42"/>
    </row>
    <row r="99" spans="1:14" x14ac:dyDescent="0.2">
      <c r="H99" s="45"/>
      <c r="I99" s="41"/>
      <c r="J99" s="41"/>
      <c r="K99" s="41"/>
      <c r="L99" s="41"/>
      <c r="M99" s="41"/>
      <c r="N99" s="42"/>
    </row>
    <row r="100" spans="1:14" x14ac:dyDescent="0.2">
      <c r="A100" t="s">
        <v>62</v>
      </c>
      <c r="B100">
        <f>C74*0.15</f>
        <v>150</v>
      </c>
      <c r="H100" s="45"/>
      <c r="I100" s="41"/>
      <c r="J100" s="41"/>
      <c r="K100" s="41"/>
      <c r="L100" s="41"/>
      <c r="M100" s="41"/>
      <c r="N100" s="42"/>
    </row>
    <row r="101" spans="1:14" x14ac:dyDescent="0.2">
      <c r="A101" t="s">
        <v>143</v>
      </c>
      <c r="B101" s="9">
        <f>B76+C76-B94</f>
        <v>700</v>
      </c>
      <c r="C101" t="s">
        <v>144</v>
      </c>
      <c r="H101" s="46" t="s">
        <v>132</v>
      </c>
      <c r="I101" s="41"/>
      <c r="J101" s="41"/>
      <c r="K101" s="41"/>
      <c r="L101" s="41"/>
      <c r="M101" s="41"/>
      <c r="N101" s="42"/>
    </row>
    <row r="102" spans="1:14" x14ac:dyDescent="0.2">
      <c r="A102" t="s">
        <v>63</v>
      </c>
      <c r="B102" s="3">
        <f>B100/B101</f>
        <v>0.21428571428571427</v>
      </c>
      <c r="H102" s="46" t="s">
        <v>145</v>
      </c>
      <c r="I102" s="41"/>
      <c r="J102" s="41"/>
      <c r="K102" s="41"/>
      <c r="L102" s="41"/>
      <c r="M102" s="41"/>
      <c r="N102" s="42"/>
    </row>
    <row r="103" spans="1:14" x14ac:dyDescent="0.2">
      <c r="A103" t="s">
        <v>64</v>
      </c>
      <c r="B103" s="3">
        <f>0.03/B102</f>
        <v>0.14000000000000001</v>
      </c>
      <c r="D103" s="56" t="s">
        <v>184</v>
      </c>
      <c r="E103" s="57"/>
      <c r="F103" s="57"/>
      <c r="G103" s="58"/>
      <c r="H103" s="55" t="s">
        <v>164</v>
      </c>
      <c r="I103" s="41"/>
      <c r="J103" s="41"/>
      <c r="K103" s="41"/>
      <c r="L103" s="41"/>
      <c r="M103" s="41"/>
      <c r="N103" s="42"/>
    </row>
    <row r="104" spans="1:14" x14ac:dyDescent="0.2">
      <c r="A104" t="s">
        <v>65</v>
      </c>
      <c r="B104">
        <f>B100*(1-B103)</f>
        <v>129</v>
      </c>
      <c r="D104" s="59"/>
      <c r="E104" s="60"/>
      <c r="F104" s="60"/>
      <c r="G104" s="61"/>
      <c r="H104" s="55" t="s">
        <v>163</v>
      </c>
      <c r="I104" s="41"/>
      <c r="J104" s="41"/>
      <c r="K104" s="41"/>
      <c r="L104" s="41"/>
      <c r="M104" s="41"/>
      <c r="N104" s="42"/>
    </row>
    <row r="105" spans="1:14" x14ac:dyDescent="0.2">
      <c r="A105" t="s">
        <v>66</v>
      </c>
      <c r="B105" s="5">
        <f>B104/(B98-0.03)</f>
        <v>1732.6432041995124</v>
      </c>
      <c r="D105" s="62"/>
      <c r="E105" s="63"/>
      <c r="F105" s="63"/>
      <c r="G105" s="64"/>
      <c r="H105" s="41"/>
      <c r="I105" s="41"/>
      <c r="J105" s="41"/>
      <c r="K105" s="41"/>
      <c r="L105" s="41"/>
      <c r="M105" s="41"/>
      <c r="N105" s="42"/>
    </row>
    <row r="106" spans="1:14" x14ac:dyDescent="0.2">
      <c r="A106" t="s">
        <v>22</v>
      </c>
      <c r="B106" s="5">
        <v>0</v>
      </c>
      <c r="H106" s="45"/>
      <c r="I106" s="41"/>
      <c r="J106" s="41"/>
      <c r="K106" s="41"/>
      <c r="L106" s="41"/>
      <c r="M106" s="41"/>
      <c r="N106" s="42"/>
    </row>
    <row r="107" spans="1:14" ht="17" thickBot="1" x14ac:dyDescent="0.25">
      <c r="A107" t="s">
        <v>27</v>
      </c>
      <c r="B107" s="5">
        <f>B105-B106</f>
        <v>1732.6432041995124</v>
      </c>
      <c r="H107" s="45"/>
      <c r="I107" s="41"/>
      <c r="J107" s="41"/>
      <c r="K107" s="41"/>
      <c r="L107" s="41"/>
      <c r="M107" s="41"/>
      <c r="N107" s="42"/>
    </row>
    <row r="108" spans="1:14" ht="17" thickBot="1" x14ac:dyDescent="0.25">
      <c r="A108" t="s">
        <v>68</v>
      </c>
      <c r="B108" s="20">
        <f>B107-D90</f>
        <v>417.07173113816066</v>
      </c>
      <c r="H108" s="45"/>
      <c r="I108" s="41"/>
      <c r="J108" s="41"/>
      <c r="K108" s="41"/>
      <c r="L108" s="41"/>
      <c r="M108" s="41"/>
      <c r="N108" s="42"/>
    </row>
    <row r="109" spans="1:14" x14ac:dyDescent="0.2">
      <c r="H109" s="45"/>
      <c r="I109" s="41"/>
      <c r="J109" s="41"/>
      <c r="K109" s="41"/>
      <c r="L109" s="41"/>
      <c r="M109" s="41"/>
      <c r="N109" s="42"/>
    </row>
    <row r="110" spans="1:14" x14ac:dyDescent="0.2">
      <c r="A110" s="1" t="s">
        <v>69</v>
      </c>
      <c r="H110" s="45"/>
      <c r="I110" s="41"/>
      <c r="J110" s="41"/>
      <c r="K110" s="41"/>
      <c r="L110" s="41"/>
      <c r="M110" s="41"/>
      <c r="N110" s="42"/>
    </row>
    <row r="111" spans="1:14" x14ac:dyDescent="0.2">
      <c r="B111" t="s">
        <v>70</v>
      </c>
      <c r="C111" t="s">
        <v>71</v>
      </c>
      <c r="H111" s="45"/>
      <c r="I111" s="41"/>
      <c r="J111" s="41"/>
      <c r="K111" s="41"/>
      <c r="L111" s="41"/>
      <c r="M111" s="41"/>
      <c r="N111" s="42"/>
    </row>
    <row r="112" spans="1:14" x14ac:dyDescent="0.2">
      <c r="A112" t="s">
        <v>31</v>
      </c>
      <c r="B112" s="5">
        <v>750</v>
      </c>
      <c r="C112" s="5">
        <v>250</v>
      </c>
      <c r="H112" s="45"/>
      <c r="I112" s="41"/>
      <c r="J112" s="41"/>
      <c r="K112" s="41"/>
      <c r="L112" s="41"/>
      <c r="M112" s="41"/>
      <c r="N112" s="42"/>
    </row>
    <row r="113" spans="1:14" x14ac:dyDescent="0.2">
      <c r="A113" t="s">
        <v>48</v>
      </c>
      <c r="B113" s="5">
        <v>60</v>
      </c>
      <c r="C113" s="5">
        <v>30</v>
      </c>
      <c r="H113" s="45"/>
      <c r="I113" s="41"/>
      <c r="J113" s="41"/>
      <c r="K113" s="41"/>
      <c r="L113" s="41"/>
      <c r="M113" s="41"/>
      <c r="N113" s="42"/>
    </row>
    <row r="114" spans="1:14" x14ac:dyDescent="0.2">
      <c r="A114" t="s">
        <v>36</v>
      </c>
      <c r="B114" s="10">
        <v>0.09</v>
      </c>
      <c r="C114" s="10">
        <v>0.08</v>
      </c>
      <c r="H114" s="45"/>
      <c r="I114" s="41"/>
      <c r="J114" s="41"/>
      <c r="K114" s="41"/>
      <c r="L114" s="41"/>
      <c r="M114" s="41"/>
      <c r="N114" s="42"/>
    </row>
    <row r="115" spans="1:14" x14ac:dyDescent="0.2">
      <c r="A115" t="s">
        <v>72</v>
      </c>
      <c r="B115" s="3">
        <v>7.4999999999999997E-2</v>
      </c>
      <c r="C115" s="3">
        <v>0.06</v>
      </c>
      <c r="H115" s="45"/>
      <c r="I115" s="41"/>
      <c r="J115" s="41"/>
      <c r="K115" s="41"/>
      <c r="L115" s="41"/>
      <c r="M115" s="41"/>
      <c r="N115" s="42"/>
    </row>
    <row r="116" spans="1:14" x14ac:dyDescent="0.2">
      <c r="A116" t="s">
        <v>80</v>
      </c>
      <c r="B116" s="5">
        <v>100</v>
      </c>
      <c r="C116" s="5">
        <v>50</v>
      </c>
      <c r="H116" s="45"/>
      <c r="I116" s="41"/>
      <c r="J116" s="41"/>
      <c r="K116" s="41"/>
      <c r="L116" s="41"/>
      <c r="M116" s="41"/>
      <c r="N116" s="42"/>
    </row>
    <row r="117" spans="1:14" x14ac:dyDescent="0.2">
      <c r="A117" t="s">
        <v>95</v>
      </c>
      <c r="B117" s="16">
        <v>125</v>
      </c>
      <c r="C117" s="16">
        <v>50</v>
      </c>
      <c r="H117" s="45"/>
      <c r="I117" s="41"/>
      <c r="J117" s="41"/>
      <c r="K117" s="41"/>
      <c r="L117" s="41"/>
      <c r="M117" s="41"/>
      <c r="N117" s="42"/>
    </row>
    <row r="118" spans="1:14" x14ac:dyDescent="0.2">
      <c r="A118" s="1" t="s">
        <v>9</v>
      </c>
      <c r="H118" s="45"/>
      <c r="I118" s="41"/>
      <c r="J118" s="41"/>
      <c r="K118" s="41"/>
      <c r="L118" s="41"/>
      <c r="M118" s="41"/>
      <c r="N118" s="42"/>
    </row>
    <row r="119" spans="1:14" x14ac:dyDescent="0.2">
      <c r="B119" t="str">
        <f>B111</f>
        <v>DirectCom</v>
      </c>
      <c r="C119" t="str">
        <f>C111</f>
        <v>Movie Magic</v>
      </c>
      <c r="H119" s="45"/>
      <c r="I119" s="41"/>
      <c r="J119" s="41"/>
      <c r="K119" s="41"/>
      <c r="L119" s="41"/>
      <c r="M119" s="41"/>
      <c r="N119" s="42"/>
    </row>
    <row r="120" spans="1:14" x14ac:dyDescent="0.2">
      <c r="A120" t="s">
        <v>73</v>
      </c>
      <c r="B120" s="11">
        <f>3%/B115</f>
        <v>0.4</v>
      </c>
      <c r="C120" s="11">
        <f>3%/C115</f>
        <v>0.5</v>
      </c>
      <c r="H120" s="45"/>
      <c r="I120" s="41"/>
      <c r="J120" s="41"/>
      <c r="K120" s="41"/>
      <c r="L120" s="41"/>
      <c r="M120" s="41"/>
      <c r="N120" s="42"/>
    </row>
    <row r="121" spans="1:14" x14ac:dyDescent="0.2">
      <c r="A121" t="s">
        <v>74</v>
      </c>
      <c r="B121" s="14">
        <f>B113*(1-B120)</f>
        <v>36</v>
      </c>
      <c r="C121" s="14">
        <f>C113*(1-C120)</f>
        <v>15</v>
      </c>
      <c r="H121" s="46" t="s">
        <v>133</v>
      </c>
      <c r="I121" s="41"/>
      <c r="J121" s="41"/>
      <c r="K121" s="41"/>
      <c r="L121" s="41"/>
      <c r="M121" s="41"/>
      <c r="N121" s="42"/>
    </row>
    <row r="122" spans="1:14" x14ac:dyDescent="0.2">
      <c r="A122" t="s">
        <v>75</v>
      </c>
      <c r="B122" s="14">
        <f>B121/(B114-0.03)</f>
        <v>600</v>
      </c>
      <c r="C122" s="14">
        <f>C121/(C114-0.03)</f>
        <v>300</v>
      </c>
      <c r="H122" s="46" t="s">
        <v>119</v>
      </c>
      <c r="I122" s="41"/>
      <c r="J122" s="41"/>
      <c r="K122" s="41"/>
      <c r="L122" s="41"/>
      <c r="M122" s="41"/>
      <c r="N122" s="42"/>
    </row>
    <row r="123" spans="1:14" x14ac:dyDescent="0.2">
      <c r="A123" t="s">
        <v>40</v>
      </c>
      <c r="B123" s="14">
        <f>B116</f>
        <v>100</v>
      </c>
      <c r="C123" s="14">
        <f>C116</f>
        <v>50</v>
      </c>
      <c r="H123" s="45"/>
      <c r="I123" s="41"/>
      <c r="J123" s="41"/>
      <c r="K123" s="41"/>
      <c r="L123" s="41"/>
      <c r="M123" s="41"/>
      <c r="N123" s="42"/>
    </row>
    <row r="124" spans="1:14" x14ac:dyDescent="0.2">
      <c r="A124" t="s">
        <v>67</v>
      </c>
      <c r="B124" s="14">
        <f>B122-B123</f>
        <v>500</v>
      </c>
      <c r="C124" s="14">
        <f>C122-C123</f>
        <v>250</v>
      </c>
      <c r="H124" s="45"/>
      <c r="I124" s="41"/>
      <c r="J124" s="41"/>
      <c r="K124" s="41"/>
      <c r="L124" s="41"/>
      <c r="M124" s="41"/>
      <c r="N124" s="42"/>
    </row>
    <row r="125" spans="1:14" ht="17" thickBot="1" x14ac:dyDescent="0.25">
      <c r="A125" t="s">
        <v>28</v>
      </c>
      <c r="B125" s="16">
        <f>B117</f>
        <v>125</v>
      </c>
      <c r="C125" s="16">
        <f>C117</f>
        <v>50</v>
      </c>
      <c r="H125" s="45"/>
      <c r="I125" s="41"/>
      <c r="J125" s="41"/>
      <c r="K125" s="41"/>
      <c r="L125" s="41"/>
      <c r="M125" s="41"/>
      <c r="N125" s="42"/>
    </row>
    <row r="126" spans="1:14" ht="17" thickBot="1" x14ac:dyDescent="0.25">
      <c r="A126" t="s">
        <v>81</v>
      </c>
      <c r="B126" s="38">
        <f>B124/B125</f>
        <v>4</v>
      </c>
      <c r="C126" s="39">
        <f>C124/C125</f>
        <v>5</v>
      </c>
      <c r="H126" s="45"/>
      <c r="I126" s="41"/>
      <c r="J126" s="41"/>
      <c r="K126" s="41"/>
      <c r="L126" s="41"/>
      <c r="M126" s="41"/>
      <c r="N126" s="42"/>
    </row>
    <row r="127" spans="1:14" x14ac:dyDescent="0.2">
      <c r="H127" s="45"/>
      <c r="I127" s="41"/>
      <c r="J127" s="41"/>
      <c r="K127" s="41"/>
      <c r="L127" s="41"/>
      <c r="M127" s="41"/>
      <c r="N127" s="42"/>
    </row>
    <row r="128" spans="1:14" x14ac:dyDescent="0.2">
      <c r="A128" s="1" t="s">
        <v>12</v>
      </c>
      <c r="H128" s="45"/>
      <c r="I128" s="41"/>
      <c r="J128" s="41"/>
      <c r="K128" s="41"/>
      <c r="L128" s="41"/>
      <c r="M128" s="41"/>
      <c r="N128" s="42"/>
    </row>
    <row r="129" spans="1:14" x14ac:dyDescent="0.2">
      <c r="A129" s="7" t="s">
        <v>167</v>
      </c>
      <c r="H129" s="45"/>
      <c r="I129" s="41"/>
      <c r="J129" s="41"/>
      <c r="K129" s="41"/>
      <c r="L129" s="41"/>
      <c r="M129" s="41"/>
      <c r="N129" s="42"/>
    </row>
    <row r="130" spans="1:14" x14ac:dyDescent="0.2">
      <c r="A130" s="18" t="s">
        <v>168</v>
      </c>
      <c r="B130" s="3">
        <f>B114*(B122/(B122+C122))+C114*(C122/(B122+C122))</f>
        <v>8.666666666666667E-2</v>
      </c>
      <c r="C130" t="s">
        <v>169</v>
      </c>
      <c r="H130" s="43" t="s">
        <v>171</v>
      </c>
      <c r="I130" s="44"/>
      <c r="J130" s="44"/>
      <c r="K130" s="44"/>
      <c r="L130" s="44"/>
      <c r="M130" s="41"/>
      <c r="N130" s="42"/>
    </row>
    <row r="131" spans="1:14" x14ac:dyDescent="0.2">
      <c r="A131" t="s">
        <v>137</v>
      </c>
      <c r="B131" s="5">
        <v>18</v>
      </c>
      <c r="H131" s="43"/>
      <c r="I131" s="44"/>
      <c r="J131" s="44"/>
      <c r="K131" s="44"/>
      <c r="L131" s="44"/>
      <c r="M131" s="41"/>
      <c r="N131" s="42"/>
    </row>
    <row r="132" spans="1:14" ht="17" thickBot="1" x14ac:dyDescent="0.25">
      <c r="A132" t="s">
        <v>138</v>
      </c>
      <c r="B132" s="5">
        <f>B131/(B130-0.03)</f>
        <v>317.64705882352939</v>
      </c>
      <c r="C132" t="s">
        <v>170</v>
      </c>
      <c r="H132" s="43"/>
      <c r="I132" s="44"/>
      <c r="J132" s="44"/>
      <c r="K132" s="44"/>
      <c r="L132" s="44"/>
      <c r="M132" s="41"/>
      <c r="N132" s="42"/>
    </row>
    <row r="133" spans="1:14" ht="17" thickBot="1" x14ac:dyDescent="0.25">
      <c r="A133" t="s">
        <v>79</v>
      </c>
      <c r="B133" s="20">
        <f>B132/(1+B130)^3</f>
        <v>247.54593688557927</v>
      </c>
      <c r="H133" s="43"/>
      <c r="I133" s="44"/>
      <c r="J133" s="44"/>
      <c r="K133" s="44"/>
      <c r="L133" s="44"/>
      <c r="M133" s="41"/>
      <c r="N133" s="42"/>
    </row>
    <row r="134" spans="1:14" x14ac:dyDescent="0.2">
      <c r="A134" s="7" t="s">
        <v>172</v>
      </c>
      <c r="H134" s="45"/>
      <c r="I134" s="41"/>
      <c r="J134" s="41"/>
      <c r="K134" s="41"/>
      <c r="L134" s="41"/>
      <c r="M134" s="41"/>
      <c r="N134" s="42"/>
    </row>
    <row r="135" spans="1:14" x14ac:dyDescent="0.2">
      <c r="B135" t="s">
        <v>70</v>
      </c>
      <c r="C135" t="s">
        <v>71</v>
      </c>
      <c r="D135" t="s">
        <v>46</v>
      </c>
      <c r="H135" s="45"/>
      <c r="I135" s="41"/>
      <c r="J135" s="41"/>
      <c r="K135" s="41"/>
      <c r="L135" s="41"/>
      <c r="M135" s="41"/>
      <c r="N135" s="42"/>
    </row>
    <row r="136" spans="1:14" x14ac:dyDescent="0.2">
      <c r="A136" t="s">
        <v>47</v>
      </c>
      <c r="B136" s="10">
        <f>B115</f>
        <v>7.4999999999999997E-2</v>
      </c>
      <c r="C136" s="10">
        <f>C115</f>
        <v>0.06</v>
      </c>
      <c r="D136" s="3">
        <f>D137/D138</f>
        <v>8.3076923076923076E-2</v>
      </c>
      <c r="H136" s="46" t="s">
        <v>134</v>
      </c>
      <c r="I136" s="41"/>
      <c r="J136" s="41"/>
      <c r="K136" s="41"/>
      <c r="L136" s="41"/>
      <c r="M136" s="41"/>
      <c r="N136" s="42"/>
    </row>
    <row r="137" spans="1:14" x14ac:dyDescent="0.2">
      <c r="A137" t="s">
        <v>76</v>
      </c>
      <c r="B137" s="5">
        <f>B113</f>
        <v>60</v>
      </c>
      <c r="C137" s="5">
        <f>C113</f>
        <v>30</v>
      </c>
      <c r="D137" s="5">
        <f>B137+C137+30*0.6</f>
        <v>108</v>
      </c>
      <c r="H137" s="46" t="s">
        <v>135</v>
      </c>
      <c r="I137" s="41"/>
      <c r="J137" s="41"/>
      <c r="K137" s="41"/>
      <c r="L137" s="41"/>
      <c r="M137" s="41"/>
      <c r="N137" s="42"/>
    </row>
    <row r="138" spans="1:14" x14ac:dyDescent="0.2">
      <c r="A138" t="s">
        <v>23</v>
      </c>
      <c r="B138" s="5">
        <f>B137/B136</f>
        <v>800</v>
      </c>
      <c r="C138" s="5">
        <f>C137/C136</f>
        <v>500</v>
      </c>
      <c r="D138" s="5">
        <f>B138+C138</f>
        <v>1300</v>
      </c>
      <c r="H138" s="46" t="s">
        <v>136</v>
      </c>
      <c r="I138" s="41"/>
      <c r="J138" s="41"/>
      <c r="K138" s="41"/>
      <c r="L138" s="41"/>
      <c r="M138" s="41"/>
      <c r="N138" s="42"/>
    </row>
    <row r="139" spans="1:14" x14ac:dyDescent="0.2">
      <c r="A139" t="s">
        <v>77</v>
      </c>
      <c r="B139" s="4">
        <f>B114</f>
        <v>0.09</v>
      </c>
      <c r="C139" s="4">
        <f>C114</f>
        <v>0.08</v>
      </c>
      <c r="D139" s="3">
        <f>B114*(B122/(B122+C122))+C114*(C122/(B122+C122))</f>
        <v>8.666666666666667E-2</v>
      </c>
      <c r="H139" s="46" t="s">
        <v>174</v>
      </c>
      <c r="I139" s="41"/>
      <c r="J139" s="41"/>
      <c r="K139" s="41"/>
      <c r="L139" s="41"/>
      <c r="M139" s="41"/>
      <c r="N139" s="42"/>
    </row>
    <row r="140" spans="1:14" x14ac:dyDescent="0.2">
      <c r="A140" t="s">
        <v>5</v>
      </c>
      <c r="B140" s="3"/>
      <c r="D140" s="3">
        <f>3%/D136</f>
        <v>0.3611111111111111</v>
      </c>
      <c r="H140" s="45"/>
      <c r="I140" s="41"/>
      <c r="J140" s="41"/>
      <c r="K140" s="41"/>
      <c r="L140" s="41"/>
      <c r="M140" s="41"/>
      <c r="N140" s="42"/>
    </row>
    <row r="141" spans="1:14" x14ac:dyDescent="0.2">
      <c r="A141" t="s">
        <v>20</v>
      </c>
      <c r="D141" s="5">
        <f>D137*(1-D140)/(D139-0.03)</f>
        <v>1217.6470588235293</v>
      </c>
      <c r="H141" s="45"/>
      <c r="I141" s="41"/>
      <c r="J141" s="41"/>
      <c r="K141" s="41"/>
      <c r="L141" s="41"/>
      <c r="M141" s="41"/>
      <c r="N141" s="42"/>
    </row>
    <row r="142" spans="1:14" ht="17" thickBot="1" x14ac:dyDescent="0.25">
      <c r="A142" t="s">
        <v>78</v>
      </c>
      <c r="B142" s="5">
        <f>D141-(B122+C122)</f>
        <v>317.64705882352928</v>
      </c>
      <c r="C142" t="s">
        <v>173</v>
      </c>
      <c r="H142" s="45"/>
      <c r="I142" s="41"/>
      <c r="J142" s="41"/>
      <c r="K142" s="41"/>
      <c r="L142" s="41"/>
      <c r="M142" s="41"/>
      <c r="N142" s="42"/>
    </row>
    <row r="143" spans="1:14" ht="17" thickBot="1" x14ac:dyDescent="0.25">
      <c r="A143" t="s">
        <v>79</v>
      </c>
      <c r="B143" s="20">
        <f>B142/(1+D139)^3</f>
        <v>247.54593688557918</v>
      </c>
      <c r="H143" s="45"/>
      <c r="I143" s="41"/>
      <c r="J143" s="41"/>
      <c r="K143" s="41"/>
      <c r="L143" s="41"/>
      <c r="M143" s="41"/>
      <c r="N143" s="42"/>
    </row>
    <row r="144" spans="1:14" x14ac:dyDescent="0.2">
      <c r="H144" s="45"/>
      <c r="I144" s="41"/>
      <c r="J144" s="41"/>
      <c r="K144" s="41"/>
      <c r="L144" s="41"/>
      <c r="M144" s="41"/>
      <c r="N144" s="42"/>
    </row>
    <row r="145" spans="1:14" x14ac:dyDescent="0.2">
      <c r="A145" s="1" t="s">
        <v>17</v>
      </c>
      <c r="H145" s="45"/>
      <c r="I145" s="41"/>
      <c r="J145" s="41"/>
      <c r="K145" s="41"/>
      <c r="L145" s="41"/>
      <c r="M145" s="41"/>
      <c r="N145" s="42"/>
    </row>
    <row r="146" spans="1:14" x14ac:dyDescent="0.2">
      <c r="A146" s="18" t="s">
        <v>96</v>
      </c>
      <c r="B146" s="17">
        <f>C124*0.4</f>
        <v>100</v>
      </c>
      <c r="C146" t="s">
        <v>139</v>
      </c>
      <c r="H146" s="43" t="s">
        <v>175</v>
      </c>
      <c r="I146" s="44"/>
      <c r="J146" s="44"/>
      <c r="K146" s="44"/>
      <c r="L146" s="44"/>
      <c r="M146" s="41"/>
      <c r="N146" s="42"/>
    </row>
    <row r="147" spans="1:14" x14ac:dyDescent="0.2">
      <c r="A147" s="18" t="s">
        <v>78</v>
      </c>
      <c r="B147" s="9">
        <f>B143</f>
        <v>247.54593688557918</v>
      </c>
      <c r="H147" s="43"/>
      <c r="I147" s="44"/>
      <c r="J147" s="44"/>
      <c r="K147" s="44"/>
      <c r="L147" s="44"/>
      <c r="M147" s="41"/>
      <c r="N147" s="42"/>
    </row>
    <row r="148" spans="1:14" x14ac:dyDescent="0.2">
      <c r="A148" s="18" t="s">
        <v>177</v>
      </c>
      <c r="B148" s="9">
        <f>B147-B146</f>
        <v>147.54593688557918</v>
      </c>
      <c r="H148" s="43"/>
      <c r="I148" s="44"/>
      <c r="J148" s="44"/>
      <c r="K148" s="44"/>
      <c r="L148" s="44"/>
      <c r="M148" s="41"/>
      <c r="N148" s="42"/>
    </row>
    <row r="149" spans="1:14" x14ac:dyDescent="0.2">
      <c r="A149" t="s">
        <v>28</v>
      </c>
      <c r="B149" s="13">
        <f>B125</f>
        <v>125</v>
      </c>
      <c r="H149" s="43"/>
      <c r="I149" s="44"/>
      <c r="J149" s="44"/>
      <c r="K149" s="44"/>
      <c r="L149" s="44"/>
      <c r="M149" s="41"/>
      <c r="N149" s="42"/>
    </row>
    <row r="150" spans="1:14" x14ac:dyDescent="0.2">
      <c r="A150" t="s">
        <v>178</v>
      </c>
      <c r="B150" s="9">
        <f>B148/B149</f>
        <v>1.1803674950846335</v>
      </c>
      <c r="C150" t="s">
        <v>84</v>
      </c>
      <c r="H150" s="46" t="s">
        <v>176</v>
      </c>
      <c r="I150" s="41"/>
      <c r="J150" s="41"/>
      <c r="K150" s="41"/>
      <c r="L150" s="41"/>
      <c r="M150" s="41"/>
      <c r="N150" s="42"/>
    </row>
    <row r="151" spans="1:14" ht="17" thickBot="1" x14ac:dyDescent="0.25">
      <c r="A151" t="s">
        <v>82</v>
      </c>
      <c r="B151" s="15">
        <f>B126</f>
        <v>4</v>
      </c>
      <c r="H151" s="45"/>
      <c r="I151" s="41"/>
      <c r="J151" s="41"/>
      <c r="K151" s="41"/>
      <c r="L151" s="41"/>
      <c r="M151" s="41"/>
      <c r="N151" s="42"/>
    </row>
    <row r="152" spans="1:14" ht="17" thickBot="1" x14ac:dyDescent="0.25">
      <c r="A152" t="s">
        <v>83</v>
      </c>
      <c r="B152" s="21">
        <f>B151+B150</f>
        <v>5.1803674950846332</v>
      </c>
      <c r="H152" s="45"/>
      <c r="I152" s="41"/>
      <c r="J152" s="41"/>
      <c r="K152" s="41"/>
      <c r="L152" s="41"/>
      <c r="M152" s="41"/>
      <c r="N152" s="42"/>
    </row>
    <row r="153" spans="1:14" x14ac:dyDescent="0.2">
      <c r="H153" s="45"/>
      <c r="I153" s="41"/>
      <c r="J153" s="41"/>
      <c r="K153" s="41"/>
      <c r="L153" s="41"/>
      <c r="M153" s="41"/>
      <c r="N153" s="42"/>
    </row>
    <row r="154" spans="1:14" x14ac:dyDescent="0.2">
      <c r="A154" s="1" t="s">
        <v>85</v>
      </c>
      <c r="H154" s="45"/>
      <c r="I154" s="41"/>
      <c r="J154" s="41"/>
      <c r="K154" s="41"/>
      <c r="L154" s="41"/>
      <c r="M154" s="41"/>
      <c r="N154" s="42"/>
    </row>
    <row r="155" spans="1:14" x14ac:dyDescent="0.2">
      <c r="A155" s="1" t="s">
        <v>9</v>
      </c>
      <c r="H155" s="45"/>
      <c r="I155" s="41"/>
      <c r="J155" s="41"/>
      <c r="K155" s="41"/>
      <c r="L155" s="41"/>
      <c r="M155" s="41"/>
      <c r="N155" s="42"/>
    </row>
    <row r="156" spans="1:14" x14ac:dyDescent="0.2">
      <c r="B156">
        <v>0</v>
      </c>
      <c r="C156">
        <v>1</v>
      </c>
      <c r="D156">
        <v>2</v>
      </c>
      <c r="E156">
        <v>3</v>
      </c>
      <c r="F156">
        <v>4</v>
      </c>
      <c r="G156">
        <v>5</v>
      </c>
      <c r="H156" s="45"/>
      <c r="I156" s="41"/>
      <c r="J156" s="41"/>
      <c r="K156" s="41"/>
      <c r="L156" s="41"/>
      <c r="M156" s="41"/>
      <c r="N156" s="42"/>
    </row>
    <row r="157" spans="1:14" x14ac:dyDescent="0.2">
      <c r="A157" t="s">
        <v>86</v>
      </c>
      <c r="B157" s="5">
        <v>-1500</v>
      </c>
      <c r="C157" s="5"/>
      <c r="D157" s="5"/>
      <c r="E157" s="5"/>
      <c r="F157" s="5"/>
      <c r="G157" s="5"/>
      <c r="H157" s="46" t="s">
        <v>140</v>
      </c>
      <c r="I157" s="41"/>
      <c r="J157" s="41"/>
      <c r="K157" s="41"/>
      <c r="L157" s="41"/>
      <c r="M157" s="41"/>
      <c r="N157" s="42"/>
    </row>
    <row r="158" spans="1:14" x14ac:dyDescent="0.2">
      <c r="A158" t="s">
        <v>87</v>
      </c>
      <c r="B158" s="5"/>
      <c r="C158" s="5">
        <f>250</f>
        <v>250</v>
      </c>
      <c r="D158" s="5">
        <f>C158*1.02</f>
        <v>255</v>
      </c>
      <c r="E158" s="5">
        <f>D158*1.02</f>
        <v>260.10000000000002</v>
      </c>
      <c r="F158" s="5">
        <f>E158*1.02</f>
        <v>265.30200000000002</v>
      </c>
      <c r="G158" s="5">
        <f>F158*1.02</f>
        <v>270.60804000000002</v>
      </c>
      <c r="H158" s="46" t="s">
        <v>179</v>
      </c>
      <c r="I158" s="41"/>
      <c r="J158" s="41"/>
      <c r="K158" s="41"/>
      <c r="L158" s="41"/>
      <c r="M158" s="41"/>
      <c r="N158" s="42"/>
    </row>
    <row r="159" spans="1:14" ht="17" thickBot="1" x14ac:dyDescent="0.25">
      <c r="B159" s="5"/>
      <c r="C159" s="5">
        <f>C158/1.1^C156</f>
        <v>227.27272727272725</v>
      </c>
      <c r="D159" s="5">
        <f>D158/1.1^D156</f>
        <v>210.74380165289253</v>
      </c>
      <c r="E159" s="5">
        <f>E158/1.1^E156</f>
        <v>195.41697971450034</v>
      </c>
      <c r="F159" s="5">
        <f>F158/1.1^F156</f>
        <v>181.20483573526394</v>
      </c>
      <c r="G159" s="5">
        <f>G158/1.1^G156</f>
        <v>168.02630222724474</v>
      </c>
      <c r="H159" s="45"/>
      <c r="I159" s="41"/>
      <c r="J159" s="41"/>
      <c r="K159" s="41"/>
      <c r="L159" s="41"/>
      <c r="M159" s="41"/>
      <c r="N159" s="42"/>
    </row>
    <row r="160" spans="1:14" ht="17" thickBot="1" x14ac:dyDescent="0.25">
      <c r="A160" t="s">
        <v>88</v>
      </c>
      <c r="B160" s="20">
        <f>B157+SUM(C159:G159)</f>
        <v>-517.33535339737114</v>
      </c>
      <c r="C160" s="5"/>
      <c r="D160" s="5"/>
      <c r="E160" s="5"/>
      <c r="F160" s="5"/>
      <c r="G160" s="5"/>
      <c r="H160" s="45"/>
      <c r="I160" s="41"/>
      <c r="J160" s="41"/>
      <c r="K160" s="41"/>
      <c r="L160" s="41"/>
      <c r="M160" s="41"/>
      <c r="N160" s="42"/>
    </row>
    <row r="161" spans="1:14" x14ac:dyDescent="0.2">
      <c r="H161" s="45"/>
      <c r="I161" s="41"/>
      <c r="J161" s="41"/>
      <c r="K161" s="41"/>
      <c r="L161" s="41"/>
      <c r="M161" s="41"/>
      <c r="N161" s="42"/>
    </row>
    <row r="162" spans="1:14" x14ac:dyDescent="0.2">
      <c r="A162" s="1" t="s">
        <v>12</v>
      </c>
      <c r="H162" s="43" t="s">
        <v>181</v>
      </c>
      <c r="I162" s="44"/>
      <c r="J162" s="44"/>
      <c r="K162" s="44"/>
      <c r="L162" s="44"/>
      <c r="M162" s="41"/>
      <c r="N162" s="42"/>
    </row>
    <row r="163" spans="1:14" x14ac:dyDescent="0.2">
      <c r="A163" t="s">
        <v>89</v>
      </c>
      <c r="B163" s="35">
        <f>G158*1.02/(0.1-0.02)</f>
        <v>3450.2525099999998</v>
      </c>
      <c r="C163" t="s">
        <v>112</v>
      </c>
      <c r="H163" s="43"/>
      <c r="I163" s="44"/>
      <c r="J163" s="44"/>
      <c r="K163" s="44"/>
      <c r="L163" s="44"/>
      <c r="M163" s="41"/>
      <c r="N163" s="42"/>
    </row>
    <row r="164" spans="1:14" x14ac:dyDescent="0.2">
      <c r="A164" t="s">
        <v>90</v>
      </c>
      <c r="B164" s="35">
        <v>4500</v>
      </c>
      <c r="H164" s="43"/>
      <c r="I164" s="44"/>
      <c r="J164" s="44"/>
      <c r="K164" s="44"/>
      <c r="L164" s="44"/>
      <c r="M164" s="41"/>
      <c r="N164" s="42"/>
    </row>
    <row r="165" spans="1:14" x14ac:dyDescent="0.2">
      <c r="A165" t="s">
        <v>91</v>
      </c>
      <c r="B165" s="23">
        <f>G156</f>
        <v>5</v>
      </c>
      <c r="H165" s="46" t="s">
        <v>180</v>
      </c>
      <c r="I165" s="41"/>
      <c r="J165" s="41"/>
      <c r="K165" s="41"/>
      <c r="L165" s="41"/>
      <c r="M165" s="41"/>
      <c r="N165" s="42"/>
    </row>
    <row r="166" spans="1:14" x14ac:dyDescent="0.2">
      <c r="A166" t="s">
        <v>92</v>
      </c>
      <c r="B166" s="36">
        <v>0.02</v>
      </c>
      <c r="H166" s="46" t="s">
        <v>141</v>
      </c>
      <c r="I166" s="41"/>
      <c r="J166" s="41"/>
      <c r="K166" s="41"/>
      <c r="L166" s="41"/>
      <c r="M166" s="41"/>
      <c r="N166" s="42"/>
    </row>
    <row r="167" spans="1:14" x14ac:dyDescent="0.2">
      <c r="A167" t="s">
        <v>93</v>
      </c>
      <c r="B167" s="36">
        <v>0.2</v>
      </c>
      <c r="H167" s="45"/>
      <c r="I167" s="41"/>
      <c r="J167" s="41"/>
      <c r="K167" s="41"/>
      <c r="L167" s="41"/>
      <c r="M167" s="41"/>
      <c r="N167" s="42"/>
    </row>
    <row r="168" spans="1:14" x14ac:dyDescent="0.2">
      <c r="A168" t="s">
        <v>94</v>
      </c>
      <c r="B168" s="23">
        <v>0</v>
      </c>
      <c r="H168" s="45"/>
      <c r="I168" s="41"/>
      <c r="J168" s="41"/>
      <c r="K168" s="41"/>
      <c r="L168" s="41"/>
      <c r="M168" s="41"/>
      <c r="N168" s="42"/>
    </row>
    <row r="169" spans="1:14" x14ac:dyDescent="0.2">
      <c r="A169" s="1" t="s">
        <v>17</v>
      </c>
      <c r="H169" s="45"/>
      <c r="I169" s="41"/>
      <c r="J169" s="41"/>
      <c r="K169" s="41"/>
      <c r="L169" s="41"/>
      <c r="M169" s="41"/>
      <c r="N169" s="42"/>
    </row>
    <row r="170" spans="1:14" ht="20" customHeight="1" x14ac:dyDescent="0.2">
      <c r="A170" s="30" t="s">
        <v>105</v>
      </c>
      <c r="B170" s="31">
        <v>-0.14691674491593532</v>
      </c>
      <c r="C170" s="32"/>
      <c r="D170" s="30" t="s">
        <v>107</v>
      </c>
      <c r="E170" s="31">
        <v>-0.5941303404158933</v>
      </c>
      <c r="H170" s="43" t="s">
        <v>182</v>
      </c>
      <c r="I170" s="44"/>
      <c r="J170" s="44"/>
      <c r="K170" s="44"/>
      <c r="L170" s="44"/>
      <c r="M170" s="41"/>
      <c r="N170" s="42"/>
    </row>
    <row r="171" spans="1:14" ht="20" customHeight="1" x14ac:dyDescent="0.2">
      <c r="A171" s="30" t="s">
        <v>106</v>
      </c>
      <c r="B171" s="31">
        <v>0.44159886740565424</v>
      </c>
      <c r="D171" s="30" t="s">
        <v>108</v>
      </c>
      <c r="E171" s="31">
        <v>0.27621246968660906</v>
      </c>
      <c r="H171" s="43"/>
      <c r="I171" s="44"/>
      <c r="J171" s="44"/>
      <c r="K171" s="44"/>
      <c r="L171" s="44"/>
      <c r="M171" s="41"/>
      <c r="N171" s="42"/>
    </row>
    <row r="172" spans="1:14" ht="20" customHeight="1" thickBot="1" x14ac:dyDescent="0.25">
      <c r="A172" s="30"/>
      <c r="B172" s="34"/>
      <c r="D172" s="30"/>
      <c r="E172" s="34"/>
      <c r="H172" s="43"/>
      <c r="I172" s="44"/>
      <c r="J172" s="44"/>
      <c r="K172" s="44"/>
      <c r="L172" s="44"/>
      <c r="M172" s="41"/>
      <c r="N172" s="42"/>
    </row>
    <row r="173" spans="1:14" s="18" customFormat="1" ht="20" customHeight="1" thickBot="1" x14ac:dyDescent="0.25">
      <c r="A173" s="30" t="s">
        <v>109</v>
      </c>
      <c r="B173" s="37">
        <v>398.84289199695536</v>
      </c>
      <c r="H173" s="46" t="s">
        <v>183</v>
      </c>
      <c r="I173" s="47"/>
      <c r="J173" s="47"/>
      <c r="K173" s="47"/>
      <c r="L173" s="47"/>
      <c r="M173" s="47"/>
      <c r="N173" s="48"/>
    </row>
    <row r="174" spans="1:14" ht="17" thickBot="1" x14ac:dyDescent="0.25">
      <c r="A174" s="30" t="s">
        <v>110</v>
      </c>
      <c r="B174" s="9">
        <f>B160</f>
        <v>-517.33535339737114</v>
      </c>
      <c r="H174" s="49" t="s">
        <v>142</v>
      </c>
      <c r="I174" s="50"/>
      <c r="J174" s="50"/>
      <c r="K174" s="50"/>
      <c r="L174" s="50"/>
      <c r="M174" s="50"/>
      <c r="N174" s="51"/>
    </row>
    <row r="175" spans="1:14" s="1" customFormat="1" x14ac:dyDescent="0.2">
      <c r="A175" s="33" t="s">
        <v>111</v>
      </c>
    </row>
  </sheetData>
  <mergeCells count="13">
    <mergeCell ref="H170:L172"/>
    <mergeCell ref="H1:N1"/>
    <mergeCell ref="D103:G105"/>
    <mergeCell ref="H83:L86"/>
    <mergeCell ref="H93:L98"/>
    <mergeCell ref="H130:L133"/>
    <mergeCell ref="H146:L149"/>
    <mergeCell ref="H162:L164"/>
    <mergeCell ref="H3:L10"/>
    <mergeCell ref="H16:L19"/>
    <mergeCell ref="H38:L42"/>
    <mergeCell ref="H58:L60"/>
    <mergeCell ref="H66:L68"/>
  </mergeCells>
  <phoneticPr fontId="9" type="noConversion"/>
  <pageMargins left="0.7" right="0.7" top="0.75" bottom="0.75" header="0.3" footer="0.3"/>
  <pageSetup scale="75"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Aswath Damodaran</cp:lastModifiedBy>
  <cp:lastPrinted>2016-12-16T23:47:31Z</cp:lastPrinted>
  <dcterms:created xsi:type="dcterms:W3CDTF">2016-12-07T12:43:05Z</dcterms:created>
  <dcterms:modified xsi:type="dcterms:W3CDTF">2016-12-19T14:31:19Z</dcterms:modified>
</cp:coreProperties>
</file>