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micha\Documents\R-code and more\Antonis-Margonis\First meta-analysis\"/>
    </mc:Choice>
  </mc:AlternateContent>
  <xr:revisionPtr revIDLastSave="0" documentId="13_ncr:1_{F5B3000B-1EE1-4730-865B-7191FFB0EE11}" xr6:coauthVersionLast="47" xr6:coauthVersionMax="47" xr10:uidLastSave="{00000000-0000-0000-0000-000000000000}"/>
  <bookViews>
    <workbookView xWindow="14364" yWindow="1476" windowWidth="17280" windowHeight="129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X21" i="1" l="1"/>
  <c r="AX22" i="1" s="1"/>
  <c r="AX30" i="1"/>
  <c r="AX8" i="1"/>
  <c r="AX4" i="1"/>
  <c r="AW4" i="1"/>
  <c r="AV4" i="1"/>
  <c r="BA8" i="1"/>
  <c r="BA4" i="1"/>
  <c r="AU16" i="1"/>
  <c r="AU18" i="1" s="1"/>
  <c r="AU7" i="1"/>
  <c r="AU6" i="1"/>
  <c r="AU8" i="1" s="1"/>
  <c r="AT4" i="1"/>
  <c r="AS4" i="1"/>
  <c r="AU4" i="1" s="1"/>
  <c r="AR8" i="1"/>
  <c r="AP8" i="1"/>
  <c r="AQ8" i="1"/>
  <c r="AO16" i="1"/>
  <c r="AO18" i="1" s="1"/>
  <c r="AR16" i="1"/>
  <c r="AR4" i="1"/>
  <c r="AN60" i="1"/>
  <c r="AM60" i="1"/>
  <c r="AO56" i="1"/>
  <c r="AO60" i="1" s="1"/>
  <c r="AN101" i="1"/>
  <c r="AM101" i="1"/>
  <c r="AO100" i="1"/>
  <c r="AO101" i="1" s="1"/>
  <c r="AO99" i="1"/>
  <c r="AO79" i="1"/>
  <c r="AO78" i="1"/>
  <c r="AO81" i="1"/>
  <c r="AN81" i="1"/>
  <c r="AM81" i="1"/>
  <c r="AO8" i="1"/>
  <c r="AN8" i="1"/>
  <c r="AM8" i="1"/>
  <c r="AO7" i="1"/>
  <c r="AO6" i="1"/>
  <c r="AO4" i="1"/>
  <c r="AL59" i="1"/>
  <c r="AL56" i="1"/>
  <c r="AL60" i="1" s="1"/>
  <c r="AK60" i="1"/>
  <c r="AJ60" i="1"/>
  <c r="AK101" i="1"/>
  <c r="AL99" i="1"/>
  <c r="AK100" i="1"/>
  <c r="AL100" i="1" s="1"/>
  <c r="AL101" i="1" s="1"/>
  <c r="AJ100" i="1"/>
  <c r="AJ101" i="1" s="1"/>
  <c r="AK99" i="1"/>
  <c r="AJ99" i="1"/>
  <c r="AL29" i="1"/>
  <c r="AL28" i="1"/>
  <c r="AL30" i="1" s="1"/>
  <c r="AK29" i="1"/>
  <c r="AJ29" i="1"/>
  <c r="AK28" i="1"/>
  <c r="AK30" i="1" s="1"/>
  <c r="AJ28" i="1"/>
  <c r="AJ30" i="1" s="1"/>
  <c r="AK79" i="1"/>
  <c r="AL79" i="1" s="1"/>
  <c r="AL81" i="1" s="1"/>
  <c r="AK78" i="1"/>
  <c r="AL78" i="1" s="1"/>
  <c r="AJ79" i="1"/>
  <c r="AJ81" i="1" s="1"/>
  <c r="AJ78" i="1"/>
  <c r="AL16" i="1"/>
  <c r="AI14" i="1"/>
  <c r="AI18" i="1" s="1"/>
  <c r="AC15" i="1"/>
  <c r="AC18" i="1" s="1"/>
  <c r="AK8" i="1"/>
  <c r="AJ8" i="1"/>
  <c r="AK7" i="1"/>
  <c r="AJ7" i="1"/>
  <c r="AK6" i="1"/>
  <c r="AJ6" i="1"/>
  <c r="AL6" i="1" s="1"/>
  <c r="AK4" i="1"/>
  <c r="AL4" i="1" s="1"/>
  <c r="AJ4" i="1"/>
  <c r="AG26" i="1"/>
  <c r="AI25" i="1"/>
  <c r="AH24" i="1"/>
  <c r="AH26" i="1" s="1"/>
  <c r="AG24" i="1"/>
  <c r="AI20" i="1"/>
  <c r="AH21" i="1"/>
  <c r="AI21" i="1" s="1"/>
  <c r="AG21" i="1"/>
  <c r="AG22" i="1" s="1"/>
  <c r="AH81" i="1"/>
  <c r="AG81" i="1"/>
  <c r="AI79" i="1"/>
  <c r="AI81" i="1" s="1"/>
  <c r="AI78" i="1"/>
  <c r="AG79" i="1"/>
  <c r="AH78" i="1"/>
  <c r="AG78" i="1"/>
  <c r="AF4" i="1"/>
  <c r="AD8" i="1"/>
  <c r="AE8" i="1"/>
  <c r="AF8" i="1"/>
  <c r="AG8" i="1"/>
  <c r="AH8" i="1"/>
  <c r="AI8" i="1"/>
  <c r="AI6" i="1"/>
  <c r="AI7" i="1"/>
  <c r="AI4" i="1"/>
  <c r="AF15" i="1"/>
  <c r="AF18" i="1"/>
  <c r="AD97" i="1"/>
  <c r="AE97" i="1"/>
  <c r="AF97" i="1"/>
  <c r="AF96" i="1"/>
  <c r="AF95" i="1"/>
  <c r="AD81" i="1"/>
  <c r="AE81" i="1"/>
  <c r="AF81" i="1"/>
  <c r="AF79" i="1"/>
  <c r="AF78" i="1"/>
  <c r="AF7" i="1"/>
  <c r="AF6" i="1"/>
  <c r="AB60" i="1"/>
  <c r="AA59" i="1"/>
  <c r="AC59" i="1" s="1"/>
  <c r="AB59" i="1"/>
  <c r="AC58" i="1"/>
  <c r="AC57" i="1"/>
  <c r="AC56" i="1"/>
  <c r="AA56" i="1"/>
  <c r="AB56" i="1"/>
  <c r="AB101" i="1"/>
  <c r="AA101" i="1"/>
  <c r="AB100" i="1"/>
  <c r="AC100" i="1" s="1"/>
  <c r="AB99" i="1"/>
  <c r="AC99" i="1" s="1"/>
  <c r="AA100" i="1"/>
  <c r="AA99" i="1"/>
  <c r="AB28" i="1"/>
  <c r="AB30" i="1" s="1"/>
  <c r="AA29" i="1"/>
  <c r="AA30" i="1" s="1"/>
  <c r="AB97" i="1"/>
  <c r="AA95" i="1"/>
  <c r="AA97" i="1" s="1"/>
  <c r="AC96" i="1"/>
  <c r="AA96" i="1"/>
  <c r="AB95" i="1"/>
  <c r="AA79" i="1"/>
  <c r="AA81" i="1"/>
  <c r="AC79" i="1"/>
  <c r="AB78" i="1"/>
  <c r="AC78" i="1" s="1"/>
  <c r="AA78" i="1"/>
  <c r="AA7" i="1"/>
  <c r="AB7" i="1"/>
  <c r="AC7" i="1" s="1"/>
  <c r="AB6" i="1"/>
  <c r="AB8" i="1" s="1"/>
  <c r="AA6" i="1"/>
  <c r="AA8" i="1" s="1"/>
  <c r="AA4" i="1"/>
  <c r="AB4" i="1"/>
  <c r="AC4" i="1" s="1"/>
  <c r="W15" i="1"/>
  <c r="W18" i="1" s="1"/>
  <c r="I18" i="1"/>
  <c r="J18" i="1"/>
  <c r="L18" i="1"/>
  <c r="M18" i="1"/>
  <c r="N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L18" i="1"/>
  <c r="AM18" i="1"/>
  <c r="AN18" i="1"/>
  <c r="AP18" i="1"/>
  <c r="AQ18" i="1"/>
  <c r="AR18" i="1"/>
  <c r="AS18" i="1"/>
  <c r="AT18" i="1"/>
  <c r="AV18" i="1"/>
  <c r="AW18" i="1"/>
  <c r="AX18" i="1"/>
  <c r="AY18" i="1"/>
  <c r="AZ18" i="1"/>
  <c r="BA18" i="1"/>
  <c r="BB18" i="1"/>
  <c r="BC18" i="1"/>
  <c r="BD18" i="1"/>
  <c r="G18" i="1"/>
  <c r="F18" i="1"/>
  <c r="N14" i="1"/>
  <c r="N15" i="1"/>
  <c r="K15" i="1"/>
  <c r="K14" i="1"/>
  <c r="K18" i="1" s="1"/>
  <c r="H13" i="1"/>
  <c r="H18" i="1" s="1"/>
  <c r="H14" i="1"/>
  <c r="N80" i="1"/>
  <c r="M81" i="1"/>
  <c r="L81" i="1"/>
  <c r="N78" i="1"/>
  <c r="N79" i="1"/>
  <c r="K78" i="1"/>
  <c r="I81" i="1"/>
  <c r="J81" i="1"/>
  <c r="H79" i="1"/>
  <c r="H78" i="1"/>
  <c r="F81" i="1"/>
  <c r="G81" i="1"/>
  <c r="BD53" i="1"/>
  <c r="BD52" i="1"/>
  <c r="W29" i="1"/>
  <c r="W28" i="1"/>
  <c r="U59" i="1"/>
  <c r="V101" i="1"/>
  <c r="U101" i="1"/>
  <c r="W99" i="1"/>
  <c r="W100" i="1"/>
  <c r="U97" i="1"/>
  <c r="V97" i="1"/>
  <c r="W97" i="1" s="1"/>
  <c r="W96" i="1"/>
  <c r="W95" i="1"/>
  <c r="W79" i="1"/>
  <c r="W78" i="1"/>
  <c r="W6" i="1"/>
  <c r="W7" i="1"/>
  <c r="U8" i="1"/>
  <c r="V8" i="1"/>
  <c r="W4" i="1"/>
  <c r="C13" i="1"/>
  <c r="D13" i="1"/>
  <c r="N6" i="1"/>
  <c r="K6" i="1"/>
  <c r="H6" i="1"/>
  <c r="M4" i="1"/>
  <c r="L4" i="1"/>
  <c r="L7" i="1" s="1"/>
  <c r="L8" i="1" s="1"/>
  <c r="J4" i="1"/>
  <c r="J7" i="1" s="1"/>
  <c r="J8" i="1" s="1"/>
  <c r="I4" i="1"/>
  <c r="I7" i="1" s="1"/>
  <c r="I8" i="1" s="1"/>
  <c r="G4" i="1"/>
  <c r="G7" i="1" s="1"/>
  <c r="G8" i="1" s="1"/>
  <c r="F4" i="1"/>
  <c r="F7" i="1" s="1"/>
  <c r="F8" i="1" s="1"/>
  <c r="D4" i="1"/>
  <c r="BD104" i="1"/>
  <c r="BD103" i="1"/>
  <c r="BC101" i="1"/>
  <c r="BB101" i="1"/>
  <c r="BD100" i="1"/>
  <c r="BD99" i="1"/>
  <c r="BC93" i="1"/>
  <c r="BB93" i="1"/>
  <c r="BD91" i="1"/>
  <c r="BD90" i="1"/>
  <c r="BD89" i="1"/>
  <c r="BD88" i="1"/>
  <c r="BD87" i="1"/>
  <c r="BC85" i="1"/>
  <c r="BB85" i="1"/>
  <c r="BD84" i="1"/>
  <c r="BD83" i="1"/>
  <c r="BC81" i="1"/>
  <c r="BB81" i="1"/>
  <c r="BD80" i="1"/>
  <c r="BD79" i="1"/>
  <c r="BD78" i="1"/>
  <c r="BC60" i="1"/>
  <c r="BC58" i="1"/>
  <c r="BC59" i="1" s="1"/>
  <c r="BB58" i="1"/>
  <c r="BD57" i="1"/>
  <c r="BD56" i="1"/>
  <c r="BD55" i="1"/>
  <c r="BD54" i="1"/>
  <c r="BC30" i="1"/>
  <c r="BB30" i="1"/>
  <c r="BD29" i="1"/>
  <c r="BD28" i="1"/>
  <c r="BC8" i="1"/>
  <c r="BB8" i="1"/>
  <c r="BD7" i="1"/>
  <c r="BD6" i="1"/>
  <c r="BD4" i="1"/>
  <c r="Y118" i="1"/>
  <c r="X118" i="1"/>
  <c r="Y114" i="1"/>
  <c r="X114" i="1"/>
  <c r="Y109" i="1"/>
  <c r="X109" i="1"/>
  <c r="X93" i="1"/>
  <c r="Y93" i="1"/>
  <c r="Y60" i="1"/>
  <c r="X60" i="1"/>
  <c r="Y8" i="1"/>
  <c r="X8" i="1"/>
  <c r="S7" i="1"/>
  <c r="S4" i="1"/>
  <c r="P79" i="1"/>
  <c r="AC101" i="1" l="1"/>
  <c r="AB81" i="1"/>
  <c r="AC28" i="1"/>
  <c r="AC30" i="1" s="1"/>
  <c r="AH22" i="1"/>
  <c r="AC29" i="1"/>
  <c r="AI22" i="1"/>
  <c r="AK81" i="1"/>
  <c r="AC6" i="1"/>
  <c r="AC8" i="1" s="1"/>
  <c r="AC81" i="1"/>
  <c r="AL7" i="1"/>
  <c r="AC95" i="1"/>
  <c r="AC97" i="1" s="1"/>
  <c r="AI24" i="1"/>
  <c r="AI26" i="1" s="1"/>
  <c r="AA60" i="1"/>
  <c r="AC60" i="1" s="1"/>
  <c r="AL8" i="1"/>
  <c r="H81" i="1"/>
  <c r="N81" i="1"/>
  <c r="K79" i="1"/>
  <c r="K81" i="1" s="1"/>
  <c r="BB60" i="1"/>
  <c r="W101" i="1"/>
  <c r="W8" i="1"/>
  <c r="E13" i="1"/>
  <c r="BD8" i="1"/>
  <c r="BD30" i="1"/>
  <c r="K4" i="1"/>
  <c r="K7" i="1" s="1"/>
  <c r="K8" i="1" s="1"/>
  <c r="BD85" i="1"/>
  <c r="N4" i="1"/>
  <c r="N7" i="1" s="1"/>
  <c r="N8" i="1" s="1"/>
  <c r="H4" i="1"/>
  <c r="H7" i="1" s="1"/>
  <c r="H8" i="1" s="1"/>
  <c r="M7" i="1"/>
  <c r="M8" i="1" s="1"/>
  <c r="BD58" i="1"/>
  <c r="BD93" i="1"/>
  <c r="BD60" i="1"/>
  <c r="BD101" i="1"/>
  <c r="BD81" i="1"/>
  <c r="BB59" i="1"/>
  <c r="BD59" i="1" s="1"/>
  <c r="D96" i="1"/>
  <c r="C96" i="1"/>
  <c r="D95" i="1"/>
  <c r="C95" i="1"/>
  <c r="S95" i="1"/>
  <c r="R95" i="1"/>
  <c r="S96" i="1"/>
  <c r="R96" i="1"/>
  <c r="P95" i="1"/>
  <c r="O95" i="1"/>
  <c r="P96" i="1"/>
  <c r="O96" i="1"/>
  <c r="Z117" i="1"/>
  <c r="Z116" i="1"/>
  <c r="Z113" i="1"/>
  <c r="Z112" i="1"/>
  <c r="Z111" i="1"/>
  <c r="Z108" i="1"/>
  <c r="Z107" i="1"/>
  <c r="D59" i="1"/>
  <c r="C59" i="1"/>
  <c r="S59" i="1"/>
  <c r="S60" i="1" s="1"/>
  <c r="R59" i="1"/>
  <c r="R60" i="1" s="1"/>
  <c r="P59" i="1"/>
  <c r="P60" i="1" s="1"/>
  <c r="O59" i="1"/>
  <c r="O60" i="1" s="1"/>
  <c r="Z58" i="1"/>
  <c r="Z56" i="1"/>
  <c r="D56" i="1"/>
  <c r="C56" i="1"/>
  <c r="D92" i="1"/>
  <c r="C92" i="1"/>
  <c r="S92" i="1"/>
  <c r="R92" i="1"/>
  <c r="P92" i="1"/>
  <c r="O92" i="1"/>
  <c r="D91" i="1"/>
  <c r="C91" i="1"/>
  <c r="S91" i="1"/>
  <c r="R91" i="1"/>
  <c r="P91" i="1"/>
  <c r="O91" i="1"/>
  <c r="Z90" i="1"/>
  <c r="Z89" i="1"/>
  <c r="Z88" i="1"/>
  <c r="Z87" i="1"/>
  <c r="D87" i="1"/>
  <c r="C87" i="1"/>
  <c r="S87" i="1"/>
  <c r="R87" i="1"/>
  <c r="P87" i="1"/>
  <c r="O87" i="1"/>
  <c r="D79" i="1"/>
  <c r="C79" i="1"/>
  <c r="C81" i="1" s="1"/>
  <c r="S79" i="1"/>
  <c r="R79" i="1"/>
  <c r="O79" i="1"/>
  <c r="D78" i="1"/>
  <c r="C78" i="1"/>
  <c r="S78" i="1"/>
  <c r="R78" i="1"/>
  <c r="P78" i="1"/>
  <c r="P81" i="1" s="1"/>
  <c r="O78" i="1"/>
  <c r="D14" i="1"/>
  <c r="D18" i="1" s="1"/>
  <c r="C14" i="1"/>
  <c r="C18" i="1" s="1"/>
  <c r="T15" i="1"/>
  <c r="Q13" i="1"/>
  <c r="Q18" i="1" s="1"/>
  <c r="T14" i="1"/>
  <c r="Q14" i="1"/>
  <c r="Z14" i="1"/>
  <c r="Z18" i="1" s="1"/>
  <c r="Z7" i="1"/>
  <c r="D7" i="1"/>
  <c r="C7" i="1"/>
  <c r="R7" i="1"/>
  <c r="T7" i="1" s="1"/>
  <c r="P7" i="1"/>
  <c r="O7" i="1"/>
  <c r="Z6" i="1"/>
  <c r="D6" i="1"/>
  <c r="C6" i="1"/>
  <c r="S6" i="1"/>
  <c r="S8" i="1" s="1"/>
  <c r="R6" i="1"/>
  <c r="P6" i="1"/>
  <c r="O6" i="1"/>
  <c r="Z4" i="1"/>
  <c r="C4" i="1"/>
  <c r="E4" i="1" s="1"/>
  <c r="R4" i="1"/>
  <c r="P4" i="1"/>
  <c r="O4" i="1"/>
  <c r="T18" i="1" l="1"/>
  <c r="E78" i="1"/>
  <c r="E79" i="1"/>
  <c r="E81" i="1" s="1"/>
  <c r="D81" i="1"/>
  <c r="Z118" i="1"/>
  <c r="P8" i="1"/>
  <c r="O81" i="1"/>
  <c r="Q81" i="1" s="1"/>
  <c r="Z114" i="1"/>
  <c r="Z60" i="1"/>
  <c r="Z109" i="1"/>
  <c r="Z8" i="1"/>
  <c r="Z93" i="1"/>
  <c r="R8" i="1"/>
  <c r="R97" i="1"/>
  <c r="T79" i="1"/>
  <c r="O8" i="1"/>
  <c r="D60" i="1"/>
  <c r="Q7" i="1"/>
  <c r="T96" i="1"/>
  <c r="Q91" i="1"/>
  <c r="D93" i="1"/>
  <c r="Q79" i="1"/>
  <c r="E87" i="1"/>
  <c r="T91" i="1"/>
  <c r="S97" i="1"/>
  <c r="E91" i="1"/>
  <c r="T95" i="1"/>
  <c r="C8" i="1"/>
  <c r="Q92" i="1"/>
  <c r="C97" i="1"/>
  <c r="O97" i="1"/>
  <c r="D97" i="1"/>
  <c r="E7" i="1"/>
  <c r="P97" i="1"/>
  <c r="Q4" i="1"/>
  <c r="E56" i="1"/>
  <c r="T78" i="1"/>
  <c r="E95" i="1"/>
  <c r="T6" i="1"/>
  <c r="T8" i="1" s="1"/>
  <c r="Q59" i="1"/>
  <c r="Q60" i="1" s="1"/>
  <c r="Q95" i="1"/>
  <c r="O93" i="1"/>
  <c r="Q96" i="1"/>
  <c r="P93" i="1"/>
  <c r="T92" i="1"/>
  <c r="E6" i="1"/>
  <c r="T59" i="1"/>
  <c r="T60" i="1" s="1"/>
  <c r="T87" i="1"/>
  <c r="E92" i="1"/>
  <c r="E59" i="1"/>
  <c r="E96" i="1"/>
  <c r="Q87" i="1"/>
  <c r="Q78" i="1"/>
  <c r="S93" i="1"/>
  <c r="R93" i="1"/>
  <c r="Q6" i="1"/>
  <c r="D8" i="1"/>
  <c r="C93" i="1"/>
  <c r="C60" i="1"/>
  <c r="E14" i="1"/>
  <c r="E18" i="1" s="1"/>
  <c r="T4" i="1" l="1"/>
  <c r="Q8" i="1"/>
  <c r="E93" i="1"/>
  <c r="E8" i="1"/>
  <c r="Q97" i="1"/>
  <c r="T97" i="1"/>
  <c r="T93" i="1"/>
  <c r="E60" i="1"/>
  <c r="E97" i="1"/>
  <c r="Q93" i="1"/>
</calcChain>
</file>

<file path=xl/sharedStrings.xml><?xml version="1.0" encoding="utf-8"?>
<sst xmlns="http://schemas.openxmlformats.org/spreadsheetml/2006/main" count="1487" uniqueCount="114">
  <si>
    <t>PRIME</t>
  </si>
  <si>
    <t>PEAK</t>
  </si>
  <si>
    <t>Left</t>
  </si>
  <si>
    <t>Right</t>
  </si>
  <si>
    <t>Total</t>
  </si>
  <si>
    <t>Number of participants</t>
  </si>
  <si>
    <t>Sex</t>
  </si>
  <si>
    <t>Male</t>
  </si>
  <si>
    <t>Female</t>
  </si>
  <si>
    <t>Age (median [range])</t>
  </si>
  <si>
    <t>62(27-82)</t>
  </si>
  <si>
    <t>64(33-83)</t>
  </si>
  <si>
    <t>61(32-78)</t>
  </si>
  <si>
    <t>64.5(40-80)</t>
  </si>
  <si>
    <t>62(29-86)</t>
  </si>
  <si>
    <t>64(34-86)</t>
  </si>
  <si>
    <t>63(32-77)</t>
  </si>
  <si>
    <t>61(47-74)</t>
  </si>
  <si>
    <t>Treatment arm</t>
  </si>
  <si>
    <t>-</t>
  </si>
  <si>
    <t xml:space="preserve">Unclear </t>
  </si>
  <si>
    <t>Baseline ECOG PS</t>
  </si>
  <si>
    <t>&lt;=1</t>
  </si>
  <si>
    <t>&gt;=2</t>
  </si>
  <si>
    <t>NA</t>
  </si>
  <si>
    <t>Primary tumor resected</t>
  </si>
  <si>
    <t>Yes</t>
  </si>
  <si>
    <t>No</t>
  </si>
  <si>
    <t>Presentation of metastasis</t>
  </si>
  <si>
    <t>Synchronous</t>
  </si>
  <si>
    <t>Metachronous</t>
  </si>
  <si>
    <t>Site of metastasis (at diagnosis)</t>
  </si>
  <si>
    <t>Liver</t>
  </si>
  <si>
    <t>Lung</t>
  </si>
  <si>
    <t>Distant nodes</t>
  </si>
  <si>
    <t>Peritoneum</t>
  </si>
  <si>
    <t>Other</t>
  </si>
  <si>
    <t>Liver+ other</t>
  </si>
  <si>
    <t>Metastatic sites</t>
  </si>
  <si>
    <t>KRAS mutation</t>
  </si>
  <si>
    <t>Code 12</t>
  </si>
  <si>
    <t>Code 13</t>
  </si>
  <si>
    <t>Other codons</t>
  </si>
  <si>
    <t>Double mutation</t>
  </si>
  <si>
    <t>Wild type</t>
  </si>
  <si>
    <t>Code 12/13</t>
  </si>
  <si>
    <t xml:space="preserve">All Codes </t>
  </si>
  <si>
    <t>NRAS mutation</t>
  </si>
  <si>
    <t>BRAF mutation</t>
  </si>
  <si>
    <t>Performance status Karnofsky</t>
  </si>
  <si>
    <t>100+90</t>
  </si>
  <si>
    <t>80+70</t>
  </si>
  <si>
    <t>Prior therapy</t>
  </si>
  <si>
    <t>WHO Performance Status</t>
  </si>
  <si>
    <t>Histopathology grading</t>
  </si>
  <si>
    <t xml:space="preserve">PN Classification </t>
  </si>
  <si>
    <t>PT Classification</t>
  </si>
  <si>
    <t>T1 - T2</t>
  </si>
  <si>
    <t>T3-T4</t>
  </si>
  <si>
    <t>Bowel obstruction and perforation</t>
  </si>
  <si>
    <t>VELI</t>
  </si>
  <si>
    <t>MMR Status</t>
  </si>
  <si>
    <t>Previous adjuvant therapy</t>
  </si>
  <si>
    <t>CEA &gt;100 ng/mL</t>
  </si>
  <si>
    <t>Colon cancer liver metastases size &gt;3 cm</t>
  </si>
  <si>
    <t>Colon cancer liver metastases number &gt;3</t>
  </si>
  <si>
    <t>Bilobar liver disease</t>
  </si>
  <si>
    <t>Extrahepatic disease</t>
  </si>
  <si>
    <t>R0 resection</t>
  </si>
  <si>
    <t>Prehepatic resection chemotherapy</t>
  </si>
  <si>
    <t>Posthepatic resection chemotherapy</t>
  </si>
  <si>
    <t>Anti-EGFR</t>
  </si>
  <si>
    <t>Missing</t>
  </si>
  <si>
    <t>Well differentiated</t>
  </si>
  <si>
    <t xml:space="preserve">Moderately
differentiated </t>
  </si>
  <si>
    <t>Poorly differentiated</t>
  </si>
  <si>
    <t>Undifferentiated</t>
  </si>
  <si>
    <t>Vascular Invasion or
Lymphatic infiltration</t>
  </si>
  <si>
    <t>Bowel obstruction
and/or perforation</t>
  </si>
  <si>
    <t>No bowel obstruction
and no perforation</t>
  </si>
  <si>
    <t>No Vascular Invasion
and no Lymphatic
infiltration</t>
  </si>
  <si>
    <t xml:space="preserve">pMMR
(MSI-low) </t>
  </si>
  <si>
    <t>dMMR
(MSI-high)</t>
  </si>
  <si>
    <t>CRYSTAL</t>
  </si>
  <si>
    <t>FIRE-3</t>
  </si>
  <si>
    <t>CALGB 80405</t>
  </si>
  <si>
    <t>AIO KRK0207</t>
  </si>
  <si>
    <t>TRIBE</t>
  </si>
  <si>
    <t>AIO KRK‑0104</t>
  </si>
  <si>
    <t>JACCRO CC−05/06</t>
  </si>
  <si>
    <t>MACRO−2+PLANET</t>
  </si>
  <si>
    <t>OPTIMOX3 DREAM</t>
  </si>
  <si>
    <t>Demurtas</t>
  </si>
  <si>
    <t>Kamran</t>
  </si>
  <si>
    <t>Uhlyarik</t>
  </si>
  <si>
    <t>Loupakis</t>
  </si>
  <si>
    <t>63(22-85)</t>
  </si>
  <si>
    <t>63(24-90)</t>
  </si>
  <si>
    <t>Chemotherapy</t>
  </si>
  <si>
    <t>Chemotherapy + anti-EGFR</t>
  </si>
  <si>
    <t>Chemotherapy + anti-VEGF</t>
  </si>
  <si>
    <r>
      <t xml:space="preserve">63.4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charset val="134"/>
        <scheme val="minor"/>
      </rPr>
      <t xml:space="preserve"> 10.1</t>
    </r>
  </si>
  <si>
    <t>64.2 ± 10.5</t>
  </si>
  <si>
    <t>63.7 ± 10.2</t>
  </si>
  <si>
    <t>61.5 (34-83)</t>
  </si>
  <si>
    <t>61 (32–83)</t>
  </si>
  <si>
    <t>62 (37–79)</t>
  </si>
  <si>
    <t>Mixed therapies</t>
  </si>
  <si>
    <t>64 (34–81)</t>
  </si>
  <si>
    <t>63 (33–79)</t>
  </si>
  <si>
    <t>57.0 (24-89)</t>
  </si>
  <si>
    <t>Fiala (Information not available for left vs right)</t>
  </si>
  <si>
    <t>CAIRO−3  (same problem with Fiala)</t>
  </si>
  <si>
    <t>62.6 (24-79)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</si>
</sst>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2" borderId="0" xfId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44"/>
  <sheetViews>
    <sheetView tabSelected="1" topLeftCell="AX1" zoomScale="70" zoomScaleNormal="70" workbookViewId="0">
      <pane ySplit="1" topLeftCell="A2" activePane="bottomLeft" state="frozen"/>
      <selection pane="bottomLeft" activeCell="BD7" sqref="BD7"/>
    </sheetView>
  </sheetViews>
  <sheetFormatPr defaultColWidth="9" defaultRowHeight="14.4"/>
  <cols>
    <col min="1" max="1" width="34.6640625" style="1" customWidth="1"/>
    <col min="2" max="2" width="28.33203125" style="1" bestFit="1" customWidth="1"/>
    <col min="3" max="4" width="20" style="1" customWidth="1"/>
    <col min="5" max="14" width="20" style="2" customWidth="1"/>
    <col min="15" max="16" width="20" style="1" customWidth="1"/>
    <col min="17" max="17" width="20" style="2" customWidth="1"/>
    <col min="18" max="19" width="20" style="1" customWidth="1"/>
    <col min="20" max="23" width="20" style="2" customWidth="1"/>
    <col min="24" max="26" width="9" style="1"/>
    <col min="27" max="53" width="20" style="2" customWidth="1"/>
    <col min="54" max="56" width="9" style="9"/>
    <col min="57" max="16384" width="9" style="1"/>
  </cols>
  <sheetData>
    <row r="1" spans="1:56">
      <c r="C1" s="12">
        <v>20050181</v>
      </c>
      <c r="D1" s="12"/>
      <c r="E1" s="12"/>
      <c r="F1" s="13" t="s">
        <v>83</v>
      </c>
      <c r="G1" s="13"/>
      <c r="H1" s="13"/>
      <c r="I1" s="13" t="s">
        <v>84</v>
      </c>
      <c r="J1" s="13"/>
      <c r="K1" s="13"/>
      <c r="L1" s="13" t="s">
        <v>85</v>
      </c>
      <c r="M1" s="13"/>
      <c r="N1" s="13"/>
      <c r="O1" s="12" t="s">
        <v>0</v>
      </c>
      <c r="P1" s="12"/>
      <c r="Q1" s="12"/>
      <c r="R1" s="12" t="s">
        <v>1</v>
      </c>
      <c r="S1" s="12"/>
      <c r="T1" s="12"/>
      <c r="U1" s="18" t="s">
        <v>86</v>
      </c>
      <c r="V1" s="12"/>
      <c r="W1" s="12"/>
      <c r="X1" s="17" t="s">
        <v>88</v>
      </c>
      <c r="Y1" s="14"/>
      <c r="Z1" s="14"/>
      <c r="AA1" s="12" t="s">
        <v>87</v>
      </c>
      <c r="AB1" s="12"/>
      <c r="AC1" s="12"/>
      <c r="AD1" s="19" t="s">
        <v>89</v>
      </c>
      <c r="AE1" s="13"/>
      <c r="AF1" s="13"/>
      <c r="AG1" s="19" t="s">
        <v>90</v>
      </c>
      <c r="AH1" s="13"/>
      <c r="AI1" s="13"/>
      <c r="AJ1" s="12" t="s">
        <v>91</v>
      </c>
      <c r="AK1" s="12"/>
      <c r="AL1" s="12"/>
      <c r="AM1" s="19" t="s">
        <v>92</v>
      </c>
      <c r="AN1" s="13"/>
      <c r="AO1" s="13"/>
      <c r="AP1" s="19" t="s">
        <v>93</v>
      </c>
      <c r="AQ1" s="13"/>
      <c r="AR1" s="13"/>
      <c r="AS1" s="19" t="s">
        <v>111</v>
      </c>
      <c r="AT1" s="13"/>
      <c r="AU1" s="13"/>
      <c r="AV1" s="19" t="s">
        <v>94</v>
      </c>
      <c r="AW1" s="13"/>
      <c r="AX1" s="13"/>
      <c r="AY1" s="18" t="s">
        <v>112</v>
      </c>
      <c r="AZ1" s="12"/>
      <c r="BA1" s="12"/>
      <c r="BB1" s="11" t="s">
        <v>95</v>
      </c>
      <c r="BC1" s="11"/>
      <c r="BD1" s="11"/>
    </row>
    <row r="2" spans="1:56">
      <c r="C2" s="1" t="s">
        <v>2</v>
      </c>
      <c r="D2" s="1" t="s">
        <v>3</v>
      </c>
      <c r="E2" s="2" t="s">
        <v>4</v>
      </c>
      <c r="F2" s="5" t="s">
        <v>2</v>
      </c>
      <c r="G2" s="5" t="s">
        <v>3</v>
      </c>
      <c r="H2" s="2" t="s">
        <v>4</v>
      </c>
      <c r="I2" s="5" t="s">
        <v>2</v>
      </c>
      <c r="J2" s="5" t="s">
        <v>3</v>
      </c>
      <c r="K2" s="2" t="s">
        <v>4</v>
      </c>
      <c r="L2" s="5" t="s">
        <v>2</v>
      </c>
      <c r="M2" s="5" t="s">
        <v>3</v>
      </c>
      <c r="N2" s="2" t="s">
        <v>4</v>
      </c>
      <c r="O2" s="1" t="s">
        <v>2</v>
      </c>
      <c r="P2" s="1" t="s">
        <v>3</v>
      </c>
      <c r="Q2" s="2" t="s">
        <v>4</v>
      </c>
      <c r="R2" s="1" t="s">
        <v>2</v>
      </c>
      <c r="S2" s="1" t="s">
        <v>3</v>
      </c>
      <c r="T2" s="2" t="s">
        <v>4</v>
      </c>
      <c r="U2" s="5" t="s">
        <v>2</v>
      </c>
      <c r="V2" s="5" t="s">
        <v>3</v>
      </c>
      <c r="W2" s="2" t="s">
        <v>4</v>
      </c>
      <c r="X2" s="1" t="s">
        <v>2</v>
      </c>
      <c r="Y2" s="1" t="s">
        <v>3</v>
      </c>
      <c r="Z2" s="8" t="s">
        <v>4</v>
      </c>
      <c r="AA2" s="5" t="s">
        <v>2</v>
      </c>
      <c r="AB2" s="5" t="s">
        <v>3</v>
      </c>
      <c r="AC2" s="2" t="s">
        <v>4</v>
      </c>
      <c r="AD2" s="5" t="s">
        <v>2</v>
      </c>
      <c r="AE2" s="5" t="s">
        <v>3</v>
      </c>
      <c r="AF2" s="2" t="s">
        <v>4</v>
      </c>
      <c r="AG2" s="5" t="s">
        <v>2</v>
      </c>
      <c r="AH2" s="5" t="s">
        <v>3</v>
      </c>
      <c r="AI2" s="2" t="s">
        <v>4</v>
      </c>
      <c r="AJ2" s="5" t="s">
        <v>2</v>
      </c>
      <c r="AK2" s="5" t="s">
        <v>3</v>
      </c>
      <c r="AL2" s="2" t="s">
        <v>4</v>
      </c>
      <c r="AM2" s="5" t="s">
        <v>2</v>
      </c>
      <c r="AN2" s="5" t="s">
        <v>3</v>
      </c>
      <c r="AO2" s="2" t="s">
        <v>4</v>
      </c>
      <c r="AP2" s="5" t="s">
        <v>2</v>
      </c>
      <c r="AQ2" s="5" t="s">
        <v>3</v>
      </c>
      <c r="AR2" s="2" t="s">
        <v>4</v>
      </c>
      <c r="AS2" s="5" t="s">
        <v>2</v>
      </c>
      <c r="AT2" s="5" t="s">
        <v>3</v>
      </c>
      <c r="AU2" s="2" t="s">
        <v>4</v>
      </c>
      <c r="AV2" s="5" t="s">
        <v>2</v>
      </c>
      <c r="AW2" s="5" t="s">
        <v>3</v>
      </c>
      <c r="AX2" s="2" t="s">
        <v>4</v>
      </c>
      <c r="AY2" s="5" t="s">
        <v>2</v>
      </c>
      <c r="AZ2" s="5" t="s">
        <v>3</v>
      </c>
      <c r="BA2" s="2" t="s">
        <v>4</v>
      </c>
      <c r="BB2" s="9" t="s">
        <v>2</v>
      </c>
      <c r="BC2" s="9" t="s">
        <v>3</v>
      </c>
      <c r="BD2" s="9" t="s">
        <v>4</v>
      </c>
    </row>
    <row r="4" spans="1:56">
      <c r="A4" s="1" t="s">
        <v>5</v>
      </c>
      <c r="C4" s="1">
        <f>183+194+150+148</f>
        <v>675</v>
      </c>
      <c r="D4" s="1">
        <f>76+65+31+39</f>
        <v>211</v>
      </c>
      <c r="E4" s="2">
        <f>C4+D4</f>
        <v>886</v>
      </c>
      <c r="F4" s="2">
        <f>138+142</f>
        <v>280</v>
      </c>
      <c r="G4" s="2">
        <f>51+33</f>
        <v>84</v>
      </c>
      <c r="H4" s="2">
        <f>G4+F4</f>
        <v>364</v>
      </c>
      <c r="I4" s="2">
        <f>149+157</f>
        <v>306</v>
      </c>
      <c r="J4" s="2">
        <f>50+38</f>
        <v>88</v>
      </c>
      <c r="K4" s="2">
        <f>J4+I4</f>
        <v>394</v>
      </c>
      <c r="L4" s="2">
        <f>152+173</f>
        <v>325</v>
      </c>
      <c r="M4" s="2">
        <f>71+78</f>
        <v>149</v>
      </c>
      <c r="N4" s="2">
        <f>M4+L4</f>
        <v>474</v>
      </c>
      <c r="O4" s="1">
        <f>166+158</f>
        <v>324</v>
      </c>
      <c r="P4" s="1">
        <f>64+70</f>
        <v>134</v>
      </c>
      <c r="Q4" s="2">
        <f>O4+P4</f>
        <v>458</v>
      </c>
      <c r="R4" s="1">
        <f>14+19</f>
        <v>33</v>
      </c>
      <c r="S4" s="1">
        <f>11+10</f>
        <v>21</v>
      </c>
      <c r="T4" s="2">
        <f>SUM(O4:S4)</f>
        <v>970</v>
      </c>
      <c r="U4" s="2">
        <v>525</v>
      </c>
      <c r="V4" s="2">
        <v>229</v>
      </c>
      <c r="W4" s="2">
        <f>V4+U4</f>
        <v>754</v>
      </c>
      <c r="X4" s="1">
        <v>100</v>
      </c>
      <c r="Y4" s="1">
        <v>46</v>
      </c>
      <c r="Z4" s="1">
        <f>X4+Y4</f>
        <v>146</v>
      </c>
      <c r="AA4" s="2">
        <f>129+113</f>
        <v>242</v>
      </c>
      <c r="AB4" s="2">
        <f>44+72</f>
        <v>116</v>
      </c>
      <c r="AC4" s="2">
        <f>AB4+AA4</f>
        <v>358</v>
      </c>
      <c r="AD4" s="2">
        <v>90</v>
      </c>
      <c r="AE4" s="2">
        <v>20</v>
      </c>
      <c r="AF4" s="2">
        <f>AE4+AD4</f>
        <v>110</v>
      </c>
      <c r="AG4" s="2">
        <v>209</v>
      </c>
      <c r="AH4" s="2">
        <v>52</v>
      </c>
      <c r="AI4" s="2">
        <f>AH4+AG4</f>
        <v>261</v>
      </c>
      <c r="AJ4" s="2">
        <f>227+155</f>
        <v>382</v>
      </c>
      <c r="AK4" s="2">
        <f>70+84</f>
        <v>154</v>
      </c>
      <c r="AL4" s="2">
        <f>AK4+AJ4</f>
        <v>536</v>
      </c>
      <c r="AM4" s="2">
        <v>64</v>
      </c>
      <c r="AN4" s="2">
        <v>24</v>
      </c>
      <c r="AO4" s="2">
        <f>AN4+AM4</f>
        <v>88</v>
      </c>
      <c r="AP4" s="2">
        <v>234</v>
      </c>
      <c r="AQ4" s="2">
        <v>133</v>
      </c>
      <c r="AR4" s="2">
        <f>AQ4+AP4</f>
        <v>367</v>
      </c>
      <c r="AS4" s="2">
        <f>90+56</f>
        <v>146</v>
      </c>
      <c r="AT4" s="2">
        <f>19+13</f>
        <v>32</v>
      </c>
      <c r="AU4" s="2">
        <f>AS4+AT4</f>
        <v>178</v>
      </c>
      <c r="AV4" s="2">
        <f>28+6+32+7+2</f>
        <v>75</v>
      </c>
      <c r="AW4" s="2">
        <f>4+1+9+8</f>
        <v>22</v>
      </c>
      <c r="AX4" s="2">
        <f>AW4+AV4</f>
        <v>97</v>
      </c>
      <c r="AY4" s="2">
        <v>406</v>
      </c>
      <c r="AZ4" s="2">
        <v>122</v>
      </c>
      <c r="BA4" s="2">
        <f>AZ4+AY4</f>
        <v>528</v>
      </c>
      <c r="BB4" s="9">
        <v>365</v>
      </c>
      <c r="BC4" s="9">
        <v>199</v>
      </c>
      <c r="BD4" s="9">
        <f>BB4+BC4</f>
        <v>564</v>
      </c>
    </row>
    <row r="6" spans="1:56">
      <c r="A6" s="1" t="s">
        <v>6</v>
      </c>
      <c r="B6" s="1" t="s">
        <v>7</v>
      </c>
      <c r="C6" s="1">
        <f>100+121+102+102</f>
        <v>425</v>
      </c>
      <c r="D6" s="1">
        <f>44+37+16+20</f>
        <v>117</v>
      </c>
      <c r="E6" s="2">
        <f>D6+C6</f>
        <v>542</v>
      </c>
      <c r="F6" s="2">
        <v>190</v>
      </c>
      <c r="G6" s="2">
        <v>40</v>
      </c>
      <c r="H6" s="2">
        <f t="shared" ref="H6" si="0">G6+F6</f>
        <v>230</v>
      </c>
      <c r="I6" s="2">
        <v>224</v>
      </c>
      <c r="J6" s="2">
        <v>52</v>
      </c>
      <c r="K6" s="2">
        <f t="shared" ref="K6" si="1">J6+I6</f>
        <v>276</v>
      </c>
      <c r="L6" s="2">
        <v>228</v>
      </c>
      <c r="M6" s="2">
        <v>73</v>
      </c>
      <c r="N6" s="2">
        <f t="shared" ref="N6" si="2">M6+L6</f>
        <v>301</v>
      </c>
      <c r="O6" s="1">
        <f>107+90</f>
        <v>197</v>
      </c>
      <c r="P6" s="1">
        <f>45+42</f>
        <v>87</v>
      </c>
      <c r="Q6" s="2">
        <f>O6+P6</f>
        <v>284</v>
      </c>
      <c r="R6" s="1">
        <f>6+11</f>
        <v>17</v>
      </c>
      <c r="S6" s="1">
        <f>7+7</f>
        <v>14</v>
      </c>
      <c r="T6" s="2">
        <f>R6+S6</f>
        <v>31</v>
      </c>
      <c r="U6" s="2">
        <v>353</v>
      </c>
      <c r="V6" s="2">
        <v>129</v>
      </c>
      <c r="W6" s="2">
        <f t="shared" ref="W6:W7" si="3">V6+U6</f>
        <v>482</v>
      </c>
      <c r="X6" s="1">
        <v>77</v>
      </c>
      <c r="Y6" s="1">
        <v>28</v>
      </c>
      <c r="Z6" s="1">
        <f>X6+Y6</f>
        <v>105</v>
      </c>
      <c r="AA6" s="2">
        <f>67+75</f>
        <v>142</v>
      </c>
      <c r="AB6" s="2">
        <f>31+45</f>
        <v>76</v>
      </c>
      <c r="AC6" s="2">
        <f t="shared" ref="AC5:AC7" si="4">AB6+AA6</f>
        <v>218</v>
      </c>
      <c r="AD6" s="2">
        <v>54</v>
      </c>
      <c r="AE6" s="2">
        <v>9</v>
      </c>
      <c r="AF6" s="2">
        <f t="shared" ref="AF6:AF7" si="5">AE6+AD6</f>
        <v>63</v>
      </c>
      <c r="AG6" s="2">
        <v>148</v>
      </c>
      <c r="AH6" s="2">
        <v>29</v>
      </c>
      <c r="AI6" s="2">
        <f t="shared" ref="AI5:AI7" si="6">AH6+AG6</f>
        <v>177</v>
      </c>
      <c r="AJ6" s="2">
        <f>140+91</f>
        <v>231</v>
      </c>
      <c r="AK6" s="2">
        <f>48+51</f>
        <v>99</v>
      </c>
      <c r="AL6" s="2">
        <f t="shared" ref="AL6:AL7" si="7">AK6+AJ6</f>
        <v>330</v>
      </c>
      <c r="AM6" s="2">
        <v>47</v>
      </c>
      <c r="AN6" s="2">
        <v>8</v>
      </c>
      <c r="AO6" s="2">
        <f>AN6+AM6</f>
        <v>55</v>
      </c>
      <c r="AP6" s="15" t="s">
        <v>19</v>
      </c>
      <c r="AQ6" s="15" t="s">
        <v>19</v>
      </c>
      <c r="AR6" s="2">
        <v>204</v>
      </c>
      <c r="AU6" s="2">
        <f>72+45</f>
        <v>117</v>
      </c>
      <c r="AX6" s="2">
        <v>65</v>
      </c>
      <c r="BA6" s="2">
        <v>361</v>
      </c>
      <c r="BB6" s="9">
        <v>222</v>
      </c>
      <c r="BC6" s="9">
        <v>119</v>
      </c>
      <c r="BD6" s="9">
        <f>BB6+BC6</f>
        <v>341</v>
      </c>
    </row>
    <row r="7" spans="1:56">
      <c r="B7" s="1" t="s">
        <v>8</v>
      </c>
      <c r="C7" s="1">
        <f>83+73+48+46</f>
        <v>250</v>
      </c>
      <c r="D7" s="1">
        <f>32+28+15+19</f>
        <v>94</v>
      </c>
      <c r="E7" s="2">
        <f>D7+C7</f>
        <v>344</v>
      </c>
      <c r="F7" s="2">
        <f>F4-F6</f>
        <v>90</v>
      </c>
      <c r="G7" s="2">
        <f>G4-G6</f>
        <v>44</v>
      </c>
      <c r="H7" s="2">
        <f t="shared" ref="H7:K7" si="8">H4-H6</f>
        <v>134</v>
      </c>
      <c r="I7" s="2">
        <f t="shared" si="8"/>
        <v>82</v>
      </c>
      <c r="J7" s="2">
        <f t="shared" si="8"/>
        <v>36</v>
      </c>
      <c r="K7" s="2">
        <f t="shared" si="8"/>
        <v>118</v>
      </c>
      <c r="L7" s="2">
        <f t="shared" ref="L7" si="9">L4-L6</f>
        <v>97</v>
      </c>
      <c r="M7" s="2">
        <f t="shared" ref="M7" si="10">M4-M6</f>
        <v>76</v>
      </c>
      <c r="N7" s="2">
        <f t="shared" ref="N7" si="11">N4-N6</f>
        <v>173</v>
      </c>
      <c r="O7" s="1">
        <f>59+68</f>
        <v>127</v>
      </c>
      <c r="P7" s="1">
        <f>19+28</f>
        <v>47</v>
      </c>
      <c r="Q7" s="2">
        <f>O7+P7</f>
        <v>174</v>
      </c>
      <c r="R7" s="1">
        <f>8+8</f>
        <v>16</v>
      </c>
      <c r="S7" s="1">
        <f>4+3</f>
        <v>7</v>
      </c>
      <c r="T7" s="2">
        <f>R7+S7</f>
        <v>23</v>
      </c>
      <c r="U7" s="2">
        <v>172</v>
      </c>
      <c r="V7" s="2">
        <v>100</v>
      </c>
      <c r="W7" s="2">
        <f t="shared" si="3"/>
        <v>272</v>
      </c>
      <c r="X7" s="1">
        <v>23</v>
      </c>
      <c r="Y7" s="1">
        <v>18</v>
      </c>
      <c r="Z7" s="1">
        <f>X7+Y7</f>
        <v>41</v>
      </c>
      <c r="AA7" s="2">
        <f>62+38</f>
        <v>100</v>
      </c>
      <c r="AB7" s="2">
        <f>13+27</f>
        <v>40</v>
      </c>
      <c r="AC7" s="2">
        <f t="shared" si="4"/>
        <v>140</v>
      </c>
      <c r="AD7" s="2">
        <v>36</v>
      </c>
      <c r="AE7" s="2">
        <v>11</v>
      </c>
      <c r="AF7" s="2">
        <f t="shared" si="5"/>
        <v>47</v>
      </c>
      <c r="AG7" s="2">
        <v>61</v>
      </c>
      <c r="AH7" s="2">
        <v>23</v>
      </c>
      <c r="AI7" s="2">
        <f t="shared" si="6"/>
        <v>84</v>
      </c>
      <c r="AJ7" s="2">
        <f>87+64</f>
        <v>151</v>
      </c>
      <c r="AK7" s="2">
        <f>22+33</f>
        <v>55</v>
      </c>
      <c r="AL7" s="2">
        <f t="shared" si="7"/>
        <v>206</v>
      </c>
      <c r="AM7" s="2">
        <v>17</v>
      </c>
      <c r="AN7" s="2">
        <v>16</v>
      </c>
      <c r="AO7" s="2">
        <f>AN7+AM7</f>
        <v>33</v>
      </c>
      <c r="AP7" s="15" t="s">
        <v>19</v>
      </c>
      <c r="AQ7" s="15" t="s">
        <v>19</v>
      </c>
      <c r="AR7" s="2">
        <v>163</v>
      </c>
      <c r="AU7" s="2">
        <f>37+24</f>
        <v>61</v>
      </c>
      <c r="AX7" s="2">
        <v>32</v>
      </c>
      <c r="BA7" s="2">
        <v>196</v>
      </c>
      <c r="BB7" s="9">
        <v>143</v>
      </c>
      <c r="BC7" s="9">
        <v>80</v>
      </c>
      <c r="BD7" s="9">
        <f>BB7+BC7</f>
        <v>223</v>
      </c>
    </row>
    <row r="8" spans="1:56">
      <c r="C8" s="2">
        <f>SUM(C6:C7)</f>
        <v>675</v>
      </c>
      <c r="D8" s="2">
        <f>SUM(D6:D7)</f>
        <v>211</v>
      </c>
      <c r="E8" s="2">
        <f>SUM(E6:E7)</f>
        <v>886</v>
      </c>
      <c r="F8" s="2">
        <f>SUM(F6:F7)</f>
        <v>280</v>
      </c>
      <c r="G8" s="2">
        <f t="shared" ref="G8:K8" si="12">SUM(G6:G7)</f>
        <v>84</v>
      </c>
      <c r="H8" s="2">
        <f t="shared" si="12"/>
        <v>364</v>
      </c>
      <c r="I8" s="2">
        <f t="shared" si="12"/>
        <v>306</v>
      </c>
      <c r="J8" s="2">
        <f t="shared" si="12"/>
        <v>88</v>
      </c>
      <c r="K8" s="2">
        <f t="shared" si="12"/>
        <v>394</v>
      </c>
      <c r="L8" s="2">
        <f t="shared" ref="L8" si="13">SUM(L6:L7)</f>
        <v>325</v>
      </c>
      <c r="M8" s="2">
        <f t="shared" ref="M8" si="14">SUM(M6:M7)</f>
        <v>149</v>
      </c>
      <c r="N8" s="2">
        <f t="shared" ref="N8" si="15">SUM(N6:N7)</f>
        <v>474</v>
      </c>
      <c r="O8" s="1">
        <f t="shared" ref="O8:W8" si="16">SUM(O6:O7)</f>
        <v>324</v>
      </c>
      <c r="P8" s="1">
        <f t="shared" si="16"/>
        <v>134</v>
      </c>
      <c r="Q8" s="2">
        <f t="shared" si="16"/>
        <v>458</v>
      </c>
      <c r="R8" s="1">
        <f t="shared" si="16"/>
        <v>33</v>
      </c>
      <c r="S8" s="1">
        <f t="shared" si="16"/>
        <v>21</v>
      </c>
      <c r="T8" s="2">
        <f t="shared" si="16"/>
        <v>54</v>
      </c>
      <c r="U8" s="2">
        <f t="shared" si="16"/>
        <v>525</v>
      </c>
      <c r="V8" s="2">
        <f t="shared" si="16"/>
        <v>229</v>
      </c>
      <c r="W8" s="2">
        <f t="shared" si="16"/>
        <v>754</v>
      </c>
      <c r="X8" s="1">
        <f>SUM(X6:X7)</f>
        <v>100</v>
      </c>
      <c r="Y8" s="1">
        <f>SUM(Y6:Y7)</f>
        <v>46</v>
      </c>
      <c r="Z8" s="1">
        <f>SUM(Z6:Z7)</f>
        <v>146</v>
      </c>
      <c r="AA8" s="10">
        <f t="shared" ref="AA8:AC8" si="17">SUM(AA6:AA7)</f>
        <v>242</v>
      </c>
      <c r="AB8" s="10">
        <f t="shared" si="17"/>
        <v>116</v>
      </c>
      <c r="AC8" s="10">
        <f>SUM(AC6:AC7)</f>
        <v>358</v>
      </c>
      <c r="AD8" s="10">
        <f t="shared" ref="AD8:AH8" si="18">SUM(AD6:AD7)</f>
        <v>90</v>
      </c>
      <c r="AE8" s="10">
        <f t="shared" si="18"/>
        <v>20</v>
      </c>
      <c r="AF8" s="10">
        <f t="shared" si="18"/>
        <v>110</v>
      </c>
      <c r="AG8" s="10">
        <f t="shared" si="18"/>
        <v>209</v>
      </c>
      <c r="AH8" s="10">
        <f t="shared" si="18"/>
        <v>52</v>
      </c>
      <c r="AI8" s="10">
        <f t="shared" ref="AI8" si="19">SUM(AI6:AI7)</f>
        <v>261</v>
      </c>
      <c r="AJ8" s="10">
        <f t="shared" ref="AJ8" si="20">SUM(AJ6:AJ7)</f>
        <v>382</v>
      </c>
      <c r="AK8" s="10">
        <f t="shared" ref="AK8" si="21">SUM(AK6:AK7)</f>
        <v>154</v>
      </c>
      <c r="AL8" s="10">
        <f t="shared" ref="AL8:AO8" si="22">SUM(AL6:AL7)</f>
        <v>536</v>
      </c>
      <c r="AM8" s="10">
        <f t="shared" si="22"/>
        <v>64</v>
      </c>
      <c r="AN8" s="10">
        <f t="shared" si="22"/>
        <v>24</v>
      </c>
      <c r="AO8" s="10">
        <f t="shared" si="22"/>
        <v>88</v>
      </c>
      <c r="AP8" s="10">
        <f>SUM(AP6:AP7)</f>
        <v>0</v>
      </c>
      <c r="AQ8" s="10">
        <f t="shared" ref="AQ8:AR8" si="23">SUM(AQ6:AQ7)</f>
        <v>0</v>
      </c>
      <c r="AR8" s="10">
        <f t="shared" si="23"/>
        <v>367</v>
      </c>
      <c r="AU8" s="10">
        <f t="shared" ref="AU8" si="24">SUM(AU6:AU7)</f>
        <v>178</v>
      </c>
      <c r="AX8" s="10">
        <f t="shared" ref="AX8" si="25">SUM(AX6:AX7)</f>
        <v>97</v>
      </c>
      <c r="BA8" s="2">
        <f>BA6+BA7</f>
        <v>557</v>
      </c>
      <c r="BB8" s="9">
        <f t="shared" ref="BB8:BD8" si="26">SUM(BB6:BB7)</f>
        <v>365</v>
      </c>
      <c r="BC8" s="9">
        <f t="shared" si="26"/>
        <v>199</v>
      </c>
      <c r="BD8" s="9">
        <f t="shared" si="26"/>
        <v>564</v>
      </c>
    </row>
    <row r="9" spans="1:56" s="4" customFormat="1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  <c r="T9" s="2"/>
      <c r="U9" s="2"/>
      <c r="V9" s="2"/>
      <c r="W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9"/>
      <c r="BC9" s="9"/>
      <c r="BD9" s="9"/>
    </row>
    <row r="10" spans="1:56">
      <c r="A10" s="1" t="s">
        <v>9</v>
      </c>
      <c r="C10" s="1" t="s">
        <v>14</v>
      </c>
      <c r="D10" s="1" t="s">
        <v>15</v>
      </c>
      <c r="E10" s="2" t="s">
        <v>19</v>
      </c>
      <c r="F10" s="2">
        <v>59</v>
      </c>
      <c r="G10" s="2">
        <v>60</v>
      </c>
      <c r="H10" s="2" t="s">
        <v>19</v>
      </c>
      <c r="I10" s="2">
        <v>73</v>
      </c>
      <c r="J10" s="2">
        <v>60</v>
      </c>
      <c r="K10" s="2" t="s">
        <v>19</v>
      </c>
      <c r="L10" s="2">
        <v>57.1</v>
      </c>
      <c r="M10" s="2">
        <v>61.7</v>
      </c>
      <c r="N10" s="2" t="s">
        <v>19</v>
      </c>
      <c r="O10" s="1" t="s">
        <v>10</v>
      </c>
      <c r="P10" s="1" t="s">
        <v>11</v>
      </c>
      <c r="Q10" s="2" t="s">
        <v>19</v>
      </c>
      <c r="R10" s="1" t="s">
        <v>12</v>
      </c>
      <c r="S10" s="1" t="s">
        <v>13</v>
      </c>
      <c r="T10" s="2" t="s">
        <v>19</v>
      </c>
      <c r="U10" s="15" t="s">
        <v>101</v>
      </c>
      <c r="V10" s="15" t="s">
        <v>102</v>
      </c>
      <c r="W10" s="15" t="s">
        <v>103</v>
      </c>
      <c r="X10" s="1" t="s">
        <v>16</v>
      </c>
      <c r="Y10" s="1" t="s">
        <v>17</v>
      </c>
      <c r="Z10" s="2" t="s">
        <v>19</v>
      </c>
      <c r="AA10" s="2">
        <v>59</v>
      </c>
      <c r="AB10" s="15">
        <v>61</v>
      </c>
      <c r="AC10" s="15" t="s">
        <v>19</v>
      </c>
      <c r="AD10" s="2">
        <v>61.5</v>
      </c>
      <c r="AE10" s="2">
        <v>61.5</v>
      </c>
      <c r="AF10" s="15" t="s">
        <v>104</v>
      </c>
      <c r="AG10" s="2" t="s">
        <v>105</v>
      </c>
      <c r="AH10" s="2" t="s">
        <v>106</v>
      </c>
      <c r="AI10" s="15" t="s">
        <v>19</v>
      </c>
      <c r="AJ10" s="15" t="s">
        <v>19</v>
      </c>
      <c r="AK10" s="15" t="s">
        <v>19</v>
      </c>
      <c r="AL10" s="15" t="s">
        <v>19</v>
      </c>
      <c r="AM10" s="15" t="s">
        <v>108</v>
      </c>
      <c r="AN10" s="15" t="s">
        <v>109</v>
      </c>
      <c r="AO10" s="15" t="s">
        <v>108</v>
      </c>
      <c r="AP10" s="15" t="s">
        <v>19</v>
      </c>
      <c r="AQ10" s="15" t="s">
        <v>19</v>
      </c>
      <c r="AR10" s="15" t="s">
        <v>110</v>
      </c>
      <c r="AS10" s="15" t="s">
        <v>19</v>
      </c>
      <c r="AT10" s="15" t="s">
        <v>19</v>
      </c>
      <c r="AU10" s="15" t="s">
        <v>19</v>
      </c>
      <c r="AX10" s="15" t="s">
        <v>113</v>
      </c>
      <c r="BB10" s="9" t="s">
        <v>96</v>
      </c>
      <c r="BC10" s="9" t="s">
        <v>97</v>
      </c>
      <c r="BD10" s="9" t="s">
        <v>19</v>
      </c>
    </row>
    <row r="12" spans="1:56" s="10" customFormat="1">
      <c r="A12" s="1" t="s">
        <v>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Q12" s="2"/>
      <c r="T12" s="2"/>
      <c r="U12" s="2"/>
      <c r="V12" s="2"/>
      <c r="W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6">
      <c r="B13" s="10" t="s">
        <v>98</v>
      </c>
      <c r="C13" s="1">
        <f>194+148</f>
        <v>342</v>
      </c>
      <c r="D13" s="1">
        <f>39+65</f>
        <v>104</v>
      </c>
      <c r="E13" s="2">
        <f>C13+D13</f>
        <v>446</v>
      </c>
      <c r="F13" s="2">
        <v>138</v>
      </c>
      <c r="G13" s="2">
        <v>51</v>
      </c>
      <c r="H13" s="2">
        <f>G13+F13</f>
        <v>189</v>
      </c>
      <c r="O13" s="1">
        <v>158</v>
      </c>
      <c r="P13" s="1">
        <v>70</v>
      </c>
      <c r="Q13" s="2">
        <f>O13+P13</f>
        <v>228</v>
      </c>
      <c r="R13" s="2" t="s">
        <v>19</v>
      </c>
      <c r="S13" s="2" t="s">
        <v>19</v>
      </c>
      <c r="T13" s="2" t="s">
        <v>19</v>
      </c>
      <c r="U13" s="2" t="s">
        <v>19</v>
      </c>
      <c r="V13" s="2" t="s">
        <v>19</v>
      </c>
      <c r="W13" s="2" t="s">
        <v>19</v>
      </c>
      <c r="X13" s="2" t="s">
        <v>19</v>
      </c>
      <c r="Y13" s="2" t="s">
        <v>19</v>
      </c>
      <c r="Z13" s="2" t="s">
        <v>19</v>
      </c>
      <c r="BB13" s="9" t="s">
        <v>19</v>
      </c>
      <c r="BC13" s="9" t="s">
        <v>19</v>
      </c>
      <c r="BD13" s="9" t="s">
        <v>19</v>
      </c>
    </row>
    <row r="14" spans="1:56">
      <c r="B14" s="1" t="s">
        <v>99</v>
      </c>
      <c r="C14" s="1">
        <f>183+150</f>
        <v>333</v>
      </c>
      <c r="D14" s="1">
        <f>31+76</f>
        <v>107</v>
      </c>
      <c r="E14" s="2">
        <f>C14+D14</f>
        <v>440</v>
      </c>
      <c r="F14" s="2">
        <v>142</v>
      </c>
      <c r="G14" s="2">
        <v>33</v>
      </c>
      <c r="H14" s="2">
        <f>G14+F14</f>
        <v>175</v>
      </c>
      <c r="I14" s="2">
        <v>157</v>
      </c>
      <c r="J14" s="2">
        <v>38</v>
      </c>
      <c r="K14" s="2">
        <f>J14+I14</f>
        <v>195</v>
      </c>
      <c r="L14" s="2">
        <v>173</v>
      </c>
      <c r="M14" s="2">
        <v>71</v>
      </c>
      <c r="N14" s="2">
        <f>M14+L14</f>
        <v>244</v>
      </c>
      <c r="O14" s="1">
        <v>166</v>
      </c>
      <c r="P14" s="1">
        <v>64</v>
      </c>
      <c r="Q14" s="2">
        <f>O14+P14</f>
        <v>230</v>
      </c>
      <c r="R14" s="1">
        <v>14</v>
      </c>
      <c r="S14" s="1">
        <v>11</v>
      </c>
      <c r="T14" s="2">
        <f>R14+S14</f>
        <v>25</v>
      </c>
      <c r="U14" s="2" t="s">
        <v>19</v>
      </c>
      <c r="V14" s="2" t="s">
        <v>19</v>
      </c>
      <c r="W14" s="2" t="s">
        <v>19</v>
      </c>
      <c r="X14" s="10">
        <v>100</v>
      </c>
      <c r="Y14" s="10">
        <v>46</v>
      </c>
      <c r="Z14" s="1">
        <f>X14+Y14</f>
        <v>146</v>
      </c>
      <c r="AG14" s="2">
        <v>209</v>
      </c>
      <c r="AH14" s="2">
        <v>52</v>
      </c>
      <c r="AI14" s="2">
        <f t="shared" ref="AI14" si="27">AH14+AG14</f>
        <v>261</v>
      </c>
      <c r="AU14" s="2">
        <v>109</v>
      </c>
      <c r="BB14" s="9" t="s">
        <v>19</v>
      </c>
      <c r="BC14" s="9" t="s">
        <v>19</v>
      </c>
      <c r="BD14" s="9" t="s">
        <v>19</v>
      </c>
    </row>
    <row r="15" spans="1:56">
      <c r="B15" s="1" t="s">
        <v>100</v>
      </c>
      <c r="C15" s="2"/>
      <c r="D15" s="2"/>
      <c r="I15" s="2">
        <v>149</v>
      </c>
      <c r="J15" s="2">
        <v>50</v>
      </c>
      <c r="K15" s="2">
        <f>J15+I15</f>
        <v>199</v>
      </c>
      <c r="L15" s="2">
        <v>152</v>
      </c>
      <c r="M15" s="2">
        <v>78</v>
      </c>
      <c r="N15" s="2">
        <f>M15+L15</f>
        <v>230</v>
      </c>
      <c r="O15" s="2" t="s">
        <v>19</v>
      </c>
      <c r="P15" s="2" t="s">
        <v>19</v>
      </c>
      <c r="Q15" s="2" t="s">
        <v>19</v>
      </c>
      <c r="R15" s="1">
        <v>19</v>
      </c>
      <c r="S15" s="1">
        <v>10</v>
      </c>
      <c r="T15" s="2">
        <f>R15+S15</f>
        <v>29</v>
      </c>
      <c r="U15" s="2">
        <v>525</v>
      </c>
      <c r="V15" s="2">
        <v>229</v>
      </c>
      <c r="W15" s="2">
        <f>U15+V15</f>
        <v>754</v>
      </c>
      <c r="X15" s="2" t="s">
        <v>19</v>
      </c>
      <c r="Y15" s="2" t="s">
        <v>19</v>
      </c>
      <c r="Z15" s="2" t="s">
        <v>19</v>
      </c>
      <c r="AA15" s="2">
        <v>242</v>
      </c>
      <c r="AB15" s="2">
        <v>116</v>
      </c>
      <c r="AC15" s="2">
        <f t="shared" ref="AC15" si="28">AB15+AA15</f>
        <v>358</v>
      </c>
      <c r="AD15" s="2">
        <v>90</v>
      </c>
      <c r="AE15" s="2">
        <v>20</v>
      </c>
      <c r="AF15" s="2">
        <f>AE15+AD15</f>
        <v>110</v>
      </c>
      <c r="AU15" s="2">
        <v>69</v>
      </c>
      <c r="BB15" s="9" t="s">
        <v>19</v>
      </c>
      <c r="BC15" s="9" t="s">
        <v>19</v>
      </c>
      <c r="BD15" s="9" t="s">
        <v>19</v>
      </c>
    </row>
    <row r="16" spans="1:56">
      <c r="B16" s="16" t="s">
        <v>107</v>
      </c>
      <c r="C16" s="2"/>
      <c r="D16" s="2"/>
      <c r="O16" s="2" t="s">
        <v>19</v>
      </c>
      <c r="P16" s="2" t="s">
        <v>19</v>
      </c>
      <c r="Q16" s="2" t="s">
        <v>19</v>
      </c>
      <c r="R16" s="2" t="s">
        <v>19</v>
      </c>
      <c r="S16" s="2" t="s">
        <v>19</v>
      </c>
      <c r="T16" s="2" t="s">
        <v>19</v>
      </c>
      <c r="U16" s="2" t="s">
        <v>19</v>
      </c>
      <c r="V16" s="2" t="s">
        <v>19</v>
      </c>
      <c r="W16" s="2" t="s">
        <v>19</v>
      </c>
      <c r="X16" s="2" t="s">
        <v>19</v>
      </c>
      <c r="Y16" s="2" t="s">
        <v>19</v>
      </c>
      <c r="Z16" s="2" t="s">
        <v>19</v>
      </c>
      <c r="AJ16" s="2">
        <v>382</v>
      </c>
      <c r="AK16" s="2">
        <v>154</v>
      </c>
      <c r="AL16" s="2">
        <f>AK16+AJ16</f>
        <v>536</v>
      </c>
      <c r="AM16" s="2">
        <v>64</v>
      </c>
      <c r="AN16" s="2">
        <v>24</v>
      </c>
      <c r="AO16" s="2">
        <f>AN16+AM16</f>
        <v>88</v>
      </c>
      <c r="AP16" s="2">
        <v>234</v>
      </c>
      <c r="AQ16" s="2">
        <v>133</v>
      </c>
      <c r="AR16" s="2">
        <f>AQ16+AP16</f>
        <v>367</v>
      </c>
      <c r="AU16" s="2">
        <f>AU14+AU15</f>
        <v>178</v>
      </c>
      <c r="BB16" s="9" t="s">
        <v>19</v>
      </c>
      <c r="BC16" s="9" t="s">
        <v>19</v>
      </c>
      <c r="BD16" s="9" t="s">
        <v>19</v>
      </c>
    </row>
    <row r="17" spans="1:56">
      <c r="B17" s="1" t="s">
        <v>20</v>
      </c>
      <c r="C17" s="2"/>
      <c r="D17" s="2"/>
      <c r="O17" s="2" t="s">
        <v>19</v>
      </c>
      <c r="P17" s="2" t="s">
        <v>19</v>
      </c>
      <c r="Q17" s="2" t="s">
        <v>19</v>
      </c>
      <c r="R17" s="2" t="s">
        <v>19</v>
      </c>
      <c r="S17" s="2" t="s">
        <v>19</v>
      </c>
      <c r="T17" s="2" t="s">
        <v>19</v>
      </c>
      <c r="U17" s="2" t="s">
        <v>19</v>
      </c>
      <c r="V17" s="2" t="s">
        <v>19</v>
      </c>
      <c r="W17" s="2" t="s">
        <v>19</v>
      </c>
      <c r="X17" s="2" t="s">
        <v>19</v>
      </c>
      <c r="Y17" s="2" t="s">
        <v>19</v>
      </c>
      <c r="Z17" s="2" t="s">
        <v>19</v>
      </c>
      <c r="BB17" s="9" t="s">
        <v>19</v>
      </c>
      <c r="BC17" s="9" t="s">
        <v>19</v>
      </c>
      <c r="BD17" s="9" t="s">
        <v>19</v>
      </c>
    </row>
    <row r="18" spans="1:56">
      <c r="B18" s="1" t="s">
        <v>4</v>
      </c>
      <c r="C18" s="10">
        <f t="shared" ref="C18:D18" si="29">SUM(C13:C17)</f>
        <v>675</v>
      </c>
      <c r="D18" s="10">
        <f t="shared" si="29"/>
        <v>211</v>
      </c>
      <c r="E18" s="4">
        <f>SUM(E13:E17)</f>
        <v>886</v>
      </c>
      <c r="F18" s="10">
        <f>SUM(F13:F17)</f>
        <v>280</v>
      </c>
      <c r="G18" s="10">
        <f>SUM(G13:G17)</f>
        <v>84</v>
      </c>
      <c r="H18" s="10">
        <f t="shared" ref="H18:BD18" si="30">SUM(H13:H17)</f>
        <v>364</v>
      </c>
      <c r="I18" s="10">
        <f t="shared" si="30"/>
        <v>306</v>
      </c>
      <c r="J18" s="10">
        <f t="shared" si="30"/>
        <v>88</v>
      </c>
      <c r="K18" s="10">
        <f t="shared" si="30"/>
        <v>394</v>
      </c>
      <c r="L18" s="10">
        <f t="shared" si="30"/>
        <v>325</v>
      </c>
      <c r="M18" s="10">
        <f t="shared" si="30"/>
        <v>149</v>
      </c>
      <c r="N18" s="10">
        <f t="shared" si="30"/>
        <v>474</v>
      </c>
      <c r="O18" s="10">
        <f t="shared" si="30"/>
        <v>324</v>
      </c>
      <c r="P18" s="10">
        <f t="shared" si="30"/>
        <v>134</v>
      </c>
      <c r="Q18" s="10">
        <f t="shared" si="30"/>
        <v>458</v>
      </c>
      <c r="R18" s="10">
        <f t="shared" si="30"/>
        <v>33</v>
      </c>
      <c r="S18" s="10">
        <f t="shared" si="30"/>
        <v>21</v>
      </c>
      <c r="T18" s="10">
        <f t="shared" si="30"/>
        <v>54</v>
      </c>
      <c r="U18" s="10">
        <f t="shared" si="30"/>
        <v>525</v>
      </c>
      <c r="V18" s="10">
        <f t="shared" si="30"/>
        <v>229</v>
      </c>
      <c r="W18" s="10">
        <f t="shared" si="30"/>
        <v>754</v>
      </c>
      <c r="X18" s="10">
        <f t="shared" si="30"/>
        <v>100</v>
      </c>
      <c r="Y18" s="10">
        <f t="shared" si="30"/>
        <v>46</v>
      </c>
      <c r="Z18" s="10">
        <f t="shared" si="30"/>
        <v>146</v>
      </c>
      <c r="AA18" s="10">
        <f t="shared" si="30"/>
        <v>242</v>
      </c>
      <c r="AB18" s="10">
        <f t="shared" si="30"/>
        <v>116</v>
      </c>
      <c r="AC18" s="10">
        <f t="shared" si="30"/>
        <v>358</v>
      </c>
      <c r="AD18" s="10">
        <f t="shared" si="30"/>
        <v>90</v>
      </c>
      <c r="AE18" s="10">
        <f t="shared" si="30"/>
        <v>20</v>
      </c>
      <c r="AF18" s="10">
        <f>SUM(AF13:AF17)</f>
        <v>110</v>
      </c>
      <c r="AG18" s="10">
        <f t="shared" si="30"/>
        <v>209</v>
      </c>
      <c r="AH18" s="10">
        <f t="shared" si="30"/>
        <v>52</v>
      </c>
      <c r="AI18" s="10">
        <f t="shared" si="30"/>
        <v>261</v>
      </c>
      <c r="AJ18" s="10">
        <f t="shared" si="30"/>
        <v>382</v>
      </c>
      <c r="AK18" s="10">
        <f t="shared" si="30"/>
        <v>154</v>
      </c>
      <c r="AL18" s="10">
        <f t="shared" si="30"/>
        <v>536</v>
      </c>
      <c r="AM18" s="10">
        <f t="shared" si="30"/>
        <v>64</v>
      </c>
      <c r="AN18" s="10">
        <f t="shared" si="30"/>
        <v>24</v>
      </c>
      <c r="AO18" s="10">
        <f t="shared" si="30"/>
        <v>88</v>
      </c>
      <c r="AP18" s="10">
        <f t="shared" si="30"/>
        <v>234</v>
      </c>
      <c r="AQ18" s="10">
        <f t="shared" si="30"/>
        <v>133</v>
      </c>
      <c r="AR18" s="10">
        <f t="shared" si="30"/>
        <v>367</v>
      </c>
      <c r="AS18" s="10">
        <f t="shared" si="30"/>
        <v>0</v>
      </c>
      <c r="AT18" s="10">
        <f t="shared" si="30"/>
        <v>0</v>
      </c>
      <c r="AU18" s="10">
        <f t="shared" si="30"/>
        <v>356</v>
      </c>
      <c r="AV18" s="10">
        <f t="shared" si="30"/>
        <v>0</v>
      </c>
      <c r="AW18" s="10">
        <f t="shared" si="30"/>
        <v>0</v>
      </c>
      <c r="AX18" s="10">
        <f t="shared" si="30"/>
        <v>0</v>
      </c>
      <c r="AY18" s="10">
        <f t="shared" si="30"/>
        <v>0</v>
      </c>
      <c r="AZ18" s="10">
        <f t="shared" si="30"/>
        <v>0</v>
      </c>
      <c r="BA18" s="10">
        <f t="shared" si="30"/>
        <v>0</v>
      </c>
      <c r="BB18" s="10">
        <f t="shared" si="30"/>
        <v>0</v>
      </c>
      <c r="BC18" s="10">
        <f t="shared" si="30"/>
        <v>0</v>
      </c>
      <c r="BD18" s="10">
        <f t="shared" si="30"/>
        <v>0</v>
      </c>
    </row>
    <row r="19" spans="1:56" s="4" customFormat="1">
      <c r="F19" s="5"/>
      <c r="G19" s="5"/>
      <c r="H19" s="5"/>
      <c r="I19" s="5"/>
      <c r="J19" s="5"/>
      <c r="K19" s="5"/>
      <c r="L19" s="5"/>
      <c r="M19" s="5"/>
      <c r="N19" s="5"/>
      <c r="U19" s="5"/>
      <c r="V19" s="5"/>
      <c r="W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9"/>
      <c r="BC19" s="9"/>
      <c r="BD19" s="9"/>
    </row>
    <row r="20" spans="1:56">
      <c r="A20" s="1" t="s">
        <v>56</v>
      </c>
      <c r="B20" s="1" t="s">
        <v>57</v>
      </c>
      <c r="C20" s="2" t="s">
        <v>19</v>
      </c>
      <c r="D20" s="2" t="s">
        <v>19</v>
      </c>
      <c r="E20" s="2" t="s">
        <v>19</v>
      </c>
      <c r="O20" s="2" t="s">
        <v>19</v>
      </c>
      <c r="P20" s="2" t="s">
        <v>19</v>
      </c>
      <c r="Q20" s="2" t="s">
        <v>19</v>
      </c>
      <c r="R20" s="2" t="s">
        <v>19</v>
      </c>
      <c r="S20" s="2" t="s">
        <v>19</v>
      </c>
      <c r="T20" s="2" t="s">
        <v>19</v>
      </c>
      <c r="X20" s="2" t="s">
        <v>19</v>
      </c>
      <c r="Y20" s="2" t="s">
        <v>19</v>
      </c>
      <c r="Z20" s="2" t="s">
        <v>19</v>
      </c>
      <c r="AG20" s="2">
        <v>5</v>
      </c>
      <c r="AH20" s="2">
        <v>2</v>
      </c>
      <c r="AI20" s="2">
        <f t="shared" ref="AI20:AI21" si="31">AH20+AG20</f>
        <v>7</v>
      </c>
      <c r="AX20" s="2">
        <v>7</v>
      </c>
      <c r="BB20" s="9" t="s">
        <v>19</v>
      </c>
      <c r="BC20" s="9" t="s">
        <v>19</v>
      </c>
      <c r="BD20" s="9" t="s">
        <v>19</v>
      </c>
    </row>
    <row r="21" spans="1:56">
      <c r="B21" s="1" t="s">
        <v>58</v>
      </c>
      <c r="C21" s="2" t="s">
        <v>19</v>
      </c>
      <c r="D21" s="2" t="s">
        <v>19</v>
      </c>
      <c r="E21" s="2" t="s">
        <v>19</v>
      </c>
      <c r="O21" s="2" t="s">
        <v>19</v>
      </c>
      <c r="P21" s="2" t="s">
        <v>19</v>
      </c>
      <c r="Q21" s="2" t="s">
        <v>19</v>
      </c>
      <c r="R21" s="2" t="s">
        <v>19</v>
      </c>
      <c r="S21" s="2" t="s">
        <v>19</v>
      </c>
      <c r="T21" s="2" t="s">
        <v>19</v>
      </c>
      <c r="X21" s="2" t="s">
        <v>19</v>
      </c>
      <c r="Y21" s="2" t="s">
        <v>19</v>
      </c>
      <c r="Z21" s="2" t="s">
        <v>19</v>
      </c>
      <c r="AG21" s="2">
        <f>84+51</f>
        <v>135</v>
      </c>
      <c r="AH21" s="2">
        <f>19+15</f>
        <v>34</v>
      </c>
      <c r="AI21" s="2">
        <f t="shared" si="31"/>
        <v>169</v>
      </c>
      <c r="AX21" s="2">
        <f>59+19</f>
        <v>78</v>
      </c>
      <c r="BB21" s="9" t="s">
        <v>19</v>
      </c>
      <c r="BC21" s="9" t="s">
        <v>19</v>
      </c>
      <c r="BD21" s="9" t="s">
        <v>19</v>
      </c>
    </row>
    <row r="22" spans="1:56" s="4" customFormat="1">
      <c r="B22" s="4" t="s">
        <v>4</v>
      </c>
      <c r="C22" s="2" t="s">
        <v>19</v>
      </c>
      <c r="D22" s="2" t="s">
        <v>19</v>
      </c>
      <c r="E22" s="2" t="s">
        <v>19</v>
      </c>
      <c r="F22" s="2"/>
      <c r="G22" s="2"/>
      <c r="H22" s="2"/>
      <c r="I22" s="2"/>
      <c r="J22" s="2"/>
      <c r="K22" s="2"/>
      <c r="L22" s="2"/>
      <c r="M22" s="2"/>
      <c r="N22" s="2"/>
      <c r="O22" s="2" t="s">
        <v>19</v>
      </c>
      <c r="P22" s="2" t="s">
        <v>19</v>
      </c>
      <c r="Q22" s="2" t="s">
        <v>19</v>
      </c>
      <c r="R22" s="2" t="s">
        <v>19</v>
      </c>
      <c r="S22" s="2" t="s">
        <v>19</v>
      </c>
      <c r="T22" s="2" t="s">
        <v>19</v>
      </c>
      <c r="U22" s="2"/>
      <c r="V22" s="2"/>
      <c r="W22" s="2"/>
      <c r="X22" s="2" t="s">
        <v>19</v>
      </c>
      <c r="Y22" s="2" t="s">
        <v>19</v>
      </c>
      <c r="Z22" s="2" t="s">
        <v>19</v>
      </c>
      <c r="AA22" s="2"/>
      <c r="AB22" s="2"/>
      <c r="AC22" s="2"/>
      <c r="AD22" s="2"/>
      <c r="AE22" s="2"/>
      <c r="AF22" s="2"/>
      <c r="AG22" s="2">
        <f>AG21+AG20</f>
        <v>140</v>
      </c>
      <c r="AH22" s="2">
        <f>AH21+AH20</f>
        <v>36</v>
      </c>
      <c r="AI22" s="10">
        <f t="shared" ref="AI22" si="32">SUM(AI20:AI21)</f>
        <v>176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>
        <f>AX21+AX20</f>
        <v>85</v>
      </c>
      <c r="AY22" s="2"/>
      <c r="AZ22" s="2"/>
      <c r="BA22" s="2"/>
      <c r="BB22" s="9" t="s">
        <v>19</v>
      </c>
      <c r="BC22" s="9" t="s">
        <v>19</v>
      </c>
      <c r="BD22" s="9" t="s">
        <v>19</v>
      </c>
    </row>
    <row r="24" spans="1:56">
      <c r="A24" s="1" t="s">
        <v>55</v>
      </c>
      <c r="B24" s="1" t="s">
        <v>26</v>
      </c>
      <c r="C24" s="2" t="s">
        <v>19</v>
      </c>
      <c r="D24" s="2" t="s">
        <v>19</v>
      </c>
      <c r="E24" s="2" t="s">
        <v>19</v>
      </c>
      <c r="O24" s="2" t="s">
        <v>19</v>
      </c>
      <c r="P24" s="2" t="s">
        <v>19</v>
      </c>
      <c r="Q24" s="2" t="s">
        <v>19</v>
      </c>
      <c r="R24" s="2" t="s">
        <v>19</v>
      </c>
      <c r="S24" s="2" t="s">
        <v>19</v>
      </c>
      <c r="T24" s="2" t="s">
        <v>19</v>
      </c>
      <c r="X24" s="2" t="s">
        <v>19</v>
      </c>
      <c r="Y24" s="2" t="s">
        <v>19</v>
      </c>
      <c r="Z24" s="2" t="s">
        <v>19</v>
      </c>
      <c r="AG24" s="2">
        <f>42+1+61+72</f>
        <v>176</v>
      </c>
      <c r="AH24" s="2">
        <f>8+18+17</f>
        <v>43</v>
      </c>
      <c r="AI24" s="2">
        <f t="shared" ref="AI24:AI25" si="33">AH24+AG24</f>
        <v>219</v>
      </c>
      <c r="BB24" s="9" t="s">
        <v>19</v>
      </c>
      <c r="BC24" s="9" t="s">
        <v>19</v>
      </c>
      <c r="BD24" s="9" t="s">
        <v>19</v>
      </c>
    </row>
    <row r="25" spans="1:56">
      <c r="B25" s="1" t="s">
        <v>27</v>
      </c>
      <c r="C25" s="2" t="s">
        <v>19</v>
      </c>
      <c r="D25" s="2" t="s">
        <v>19</v>
      </c>
      <c r="E25" s="2" t="s">
        <v>19</v>
      </c>
      <c r="O25" s="2" t="s">
        <v>19</v>
      </c>
      <c r="P25" s="2" t="s">
        <v>19</v>
      </c>
      <c r="Q25" s="2" t="s">
        <v>19</v>
      </c>
      <c r="R25" s="2" t="s">
        <v>19</v>
      </c>
      <c r="S25" s="2" t="s">
        <v>19</v>
      </c>
      <c r="T25" s="2" t="s">
        <v>19</v>
      </c>
      <c r="X25" s="2" t="s">
        <v>19</v>
      </c>
      <c r="Y25" s="2" t="s">
        <v>19</v>
      </c>
      <c r="Z25" s="2" t="s">
        <v>19</v>
      </c>
      <c r="AG25" s="2">
        <v>33</v>
      </c>
      <c r="AH25" s="2">
        <v>8</v>
      </c>
      <c r="AI25" s="2">
        <f t="shared" si="33"/>
        <v>41</v>
      </c>
      <c r="BB25" s="9" t="s">
        <v>19</v>
      </c>
      <c r="BC25" s="9" t="s">
        <v>19</v>
      </c>
      <c r="BD25" s="9" t="s">
        <v>19</v>
      </c>
    </row>
    <row r="26" spans="1:56">
      <c r="B26" s="4" t="s">
        <v>4</v>
      </c>
      <c r="C26" s="2" t="s">
        <v>19</v>
      </c>
      <c r="D26" s="2" t="s">
        <v>19</v>
      </c>
      <c r="E26" s="2" t="s">
        <v>19</v>
      </c>
      <c r="O26" s="2" t="s">
        <v>19</v>
      </c>
      <c r="P26" s="2" t="s">
        <v>19</v>
      </c>
      <c r="Q26" s="2" t="s">
        <v>19</v>
      </c>
      <c r="R26" s="2" t="s">
        <v>19</v>
      </c>
      <c r="S26" s="2" t="s">
        <v>19</v>
      </c>
      <c r="T26" s="2" t="s">
        <v>19</v>
      </c>
      <c r="X26" s="2" t="s">
        <v>19</v>
      </c>
      <c r="Y26" s="2" t="s">
        <v>19</v>
      </c>
      <c r="Z26" s="2" t="s">
        <v>19</v>
      </c>
      <c r="AG26" s="10">
        <f t="shared" ref="AG26" si="34">SUM(AG24:AG25)</f>
        <v>209</v>
      </c>
      <c r="AH26" s="10">
        <f t="shared" ref="AH26" si="35">SUM(AH24:AH25)</f>
        <v>51</v>
      </c>
      <c r="AI26" s="10">
        <f t="shared" ref="AI26" si="36">SUM(AI24:AI25)</f>
        <v>260</v>
      </c>
      <c r="BB26" s="9" t="s">
        <v>19</v>
      </c>
      <c r="BC26" s="9" t="s">
        <v>19</v>
      </c>
      <c r="BD26" s="9" t="s">
        <v>19</v>
      </c>
    </row>
    <row r="27" spans="1:56" s="4" customFormat="1">
      <c r="E27" s="2"/>
      <c r="F27" s="2"/>
      <c r="G27" s="2"/>
      <c r="H27" s="2"/>
      <c r="I27" s="2"/>
      <c r="J27" s="2"/>
      <c r="K27" s="2"/>
      <c r="L27" s="2"/>
      <c r="M27" s="2"/>
      <c r="N27" s="2"/>
      <c r="Q27" s="2"/>
      <c r="T27" s="2"/>
      <c r="U27" s="2"/>
      <c r="V27" s="2"/>
      <c r="W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9"/>
      <c r="BC27" s="9"/>
      <c r="BD27" s="9"/>
    </row>
    <row r="28" spans="1:56">
      <c r="A28" s="1" t="s">
        <v>28</v>
      </c>
      <c r="B28" s="16" t="s">
        <v>29</v>
      </c>
      <c r="C28" s="2" t="s">
        <v>19</v>
      </c>
      <c r="D28" s="2" t="s">
        <v>19</v>
      </c>
      <c r="E28" s="2" t="s">
        <v>19</v>
      </c>
      <c r="O28" s="2" t="s">
        <v>19</v>
      </c>
      <c r="P28" s="2" t="s">
        <v>19</v>
      </c>
      <c r="Q28" s="2" t="s">
        <v>19</v>
      </c>
      <c r="R28" s="2" t="s">
        <v>19</v>
      </c>
      <c r="S28" s="2" t="s">
        <v>19</v>
      </c>
      <c r="T28" s="2" t="s">
        <v>19</v>
      </c>
      <c r="U28" s="2">
        <v>418</v>
      </c>
      <c r="V28" s="2">
        <v>199</v>
      </c>
      <c r="W28" s="2">
        <f>V28+U28</f>
        <v>617</v>
      </c>
      <c r="X28" s="2" t="s">
        <v>19</v>
      </c>
      <c r="Y28" s="2" t="s">
        <v>19</v>
      </c>
      <c r="Z28" s="2" t="s">
        <v>19</v>
      </c>
      <c r="AA28" s="2">
        <v>191</v>
      </c>
      <c r="AB28" s="2">
        <f>38+58</f>
        <v>96</v>
      </c>
      <c r="AC28" s="2">
        <f t="shared" ref="AC28:AC29" si="37">AB28+AA28</f>
        <v>287</v>
      </c>
      <c r="AJ28" s="2">
        <f>191+130</f>
        <v>321</v>
      </c>
      <c r="AK28" s="2">
        <f>62+77</f>
        <v>139</v>
      </c>
      <c r="AL28" s="2">
        <f>AK28+AJ28</f>
        <v>460</v>
      </c>
      <c r="AX28" s="2">
        <v>66</v>
      </c>
      <c r="BB28" s="9">
        <v>243</v>
      </c>
      <c r="BC28" s="9">
        <v>150</v>
      </c>
      <c r="BD28" s="9">
        <f>BB28+BC28</f>
        <v>393</v>
      </c>
    </row>
    <row r="29" spans="1:56">
      <c r="B29" s="1" t="s">
        <v>30</v>
      </c>
      <c r="C29" s="2" t="s">
        <v>19</v>
      </c>
      <c r="D29" s="2" t="s">
        <v>19</v>
      </c>
      <c r="E29" s="2" t="s">
        <v>19</v>
      </c>
      <c r="O29" s="2" t="s">
        <v>19</v>
      </c>
      <c r="P29" s="2" t="s">
        <v>19</v>
      </c>
      <c r="Q29" s="2" t="s">
        <v>19</v>
      </c>
      <c r="R29" s="2" t="s">
        <v>19</v>
      </c>
      <c r="S29" s="2" t="s">
        <v>19</v>
      </c>
      <c r="T29" s="2" t="s">
        <v>19</v>
      </c>
      <c r="U29" s="2">
        <v>107</v>
      </c>
      <c r="V29" s="2">
        <v>30</v>
      </c>
      <c r="W29" s="2">
        <f>V29+U29</f>
        <v>137</v>
      </c>
      <c r="X29" s="2" t="s">
        <v>19</v>
      </c>
      <c r="Y29" s="2" t="s">
        <v>19</v>
      </c>
      <c r="Z29" s="2" t="s">
        <v>19</v>
      </c>
      <c r="AA29" s="2">
        <f>28+23</f>
        <v>51</v>
      </c>
      <c r="AB29" s="2">
        <v>20</v>
      </c>
      <c r="AC29" s="2">
        <f t="shared" si="37"/>
        <v>71</v>
      </c>
      <c r="AJ29" s="2">
        <f>36+25</f>
        <v>61</v>
      </c>
      <c r="AK29" s="2">
        <f>8+7</f>
        <v>15</v>
      </c>
      <c r="AL29" s="2">
        <f>AK29+AJ29</f>
        <v>76</v>
      </c>
      <c r="AX29" s="2">
        <v>31</v>
      </c>
      <c r="BB29" s="9">
        <v>122</v>
      </c>
      <c r="BC29" s="9">
        <v>49</v>
      </c>
      <c r="BD29" s="9">
        <f>BB29+BC29</f>
        <v>171</v>
      </c>
    </row>
    <row r="30" spans="1:56">
      <c r="B30" s="4" t="s">
        <v>4</v>
      </c>
      <c r="C30" s="2" t="s">
        <v>19</v>
      </c>
      <c r="D30" s="2" t="s">
        <v>19</v>
      </c>
      <c r="E30" s="2" t="s">
        <v>19</v>
      </c>
      <c r="O30" s="2" t="s">
        <v>19</v>
      </c>
      <c r="P30" s="2" t="s">
        <v>19</v>
      </c>
      <c r="Q30" s="2" t="s">
        <v>19</v>
      </c>
      <c r="R30" s="2" t="s">
        <v>19</v>
      </c>
      <c r="S30" s="2" t="s">
        <v>19</v>
      </c>
      <c r="T30" s="2" t="s">
        <v>19</v>
      </c>
      <c r="X30" s="2" t="s">
        <v>19</v>
      </c>
      <c r="Y30" s="2" t="s">
        <v>19</v>
      </c>
      <c r="Z30" s="2" t="s">
        <v>19</v>
      </c>
      <c r="AA30" s="10">
        <f>SUM(AA28:AA29)</f>
        <v>242</v>
      </c>
      <c r="AB30" s="10">
        <f t="shared" ref="AB30" si="38">SUM(AB28:AB29)</f>
        <v>116</v>
      </c>
      <c r="AC30" s="10">
        <f>SUM(AC28:AC29)</f>
        <v>358</v>
      </c>
      <c r="AJ30" s="10">
        <f>SUM(AJ28:AJ29)</f>
        <v>382</v>
      </c>
      <c r="AK30" s="10">
        <f>SUM(AK28:AK29)</f>
        <v>154</v>
      </c>
      <c r="AL30" s="10">
        <f>SUM(AL28:AL29)</f>
        <v>536</v>
      </c>
      <c r="AX30" s="10">
        <f>SUM(AX28:AX29)</f>
        <v>97</v>
      </c>
      <c r="BB30" s="9">
        <f>SUM(BB28:BB29)</f>
        <v>365</v>
      </c>
      <c r="BC30" s="9">
        <f>SUM(BC28:BC29)</f>
        <v>199</v>
      </c>
      <c r="BD30" s="9">
        <f>SUM(BD28:BD29)</f>
        <v>564</v>
      </c>
    </row>
    <row r="32" spans="1:56" s="4" customFormat="1">
      <c r="A32" s="4" t="s">
        <v>63</v>
      </c>
      <c r="B32" s="4" t="s">
        <v>26</v>
      </c>
      <c r="C32" s="2" t="s">
        <v>19</v>
      </c>
      <c r="D32" s="2" t="s">
        <v>19</v>
      </c>
      <c r="E32" s="2" t="s">
        <v>19</v>
      </c>
      <c r="F32" s="2"/>
      <c r="G32" s="2"/>
      <c r="H32" s="2"/>
      <c r="I32" s="2"/>
      <c r="J32" s="2"/>
      <c r="K32" s="2"/>
      <c r="L32" s="2"/>
      <c r="M32" s="2"/>
      <c r="N32" s="2"/>
      <c r="O32" s="2" t="s">
        <v>19</v>
      </c>
      <c r="P32" s="2" t="s">
        <v>19</v>
      </c>
      <c r="Q32" s="2" t="s">
        <v>19</v>
      </c>
      <c r="R32" s="2" t="s">
        <v>19</v>
      </c>
      <c r="S32" s="2" t="s">
        <v>19</v>
      </c>
      <c r="T32" s="2" t="s">
        <v>19</v>
      </c>
      <c r="U32" s="2"/>
      <c r="V32" s="2"/>
      <c r="W32" s="2"/>
      <c r="X32" s="2" t="s">
        <v>19</v>
      </c>
      <c r="Y32" s="2" t="s">
        <v>19</v>
      </c>
      <c r="Z32" s="2" t="s">
        <v>19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9" t="s">
        <v>19</v>
      </c>
      <c r="BC32" s="9" t="s">
        <v>19</v>
      </c>
      <c r="BD32" s="9" t="s">
        <v>19</v>
      </c>
    </row>
    <row r="33" spans="1:56" s="4" customFormat="1">
      <c r="B33" s="4" t="s">
        <v>27</v>
      </c>
      <c r="C33" s="2" t="s">
        <v>19</v>
      </c>
      <c r="D33" s="2" t="s">
        <v>19</v>
      </c>
      <c r="E33" s="2" t="s">
        <v>19</v>
      </c>
      <c r="F33" s="2"/>
      <c r="G33" s="2"/>
      <c r="H33" s="2"/>
      <c r="I33" s="2"/>
      <c r="J33" s="2"/>
      <c r="K33" s="2"/>
      <c r="L33" s="2"/>
      <c r="M33" s="2"/>
      <c r="N33" s="2"/>
      <c r="O33" s="2" t="s">
        <v>19</v>
      </c>
      <c r="P33" s="2" t="s">
        <v>19</v>
      </c>
      <c r="Q33" s="2" t="s">
        <v>19</v>
      </c>
      <c r="R33" s="2" t="s">
        <v>19</v>
      </c>
      <c r="S33" s="2" t="s">
        <v>19</v>
      </c>
      <c r="T33" s="2" t="s">
        <v>19</v>
      </c>
      <c r="U33" s="2"/>
      <c r="V33" s="2"/>
      <c r="W33" s="2"/>
      <c r="X33" s="2" t="s">
        <v>19</v>
      </c>
      <c r="Y33" s="2" t="s">
        <v>19</v>
      </c>
      <c r="Z33" s="2" t="s">
        <v>19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9" t="s">
        <v>19</v>
      </c>
      <c r="BC33" s="9" t="s">
        <v>19</v>
      </c>
      <c r="BD33" s="9" t="s">
        <v>19</v>
      </c>
    </row>
    <row r="34" spans="1:56" s="4" customFormat="1">
      <c r="B34" s="4" t="s">
        <v>4</v>
      </c>
      <c r="C34" s="2" t="s">
        <v>19</v>
      </c>
      <c r="D34" s="2" t="s">
        <v>19</v>
      </c>
      <c r="E34" s="2" t="s">
        <v>19</v>
      </c>
      <c r="F34" s="2"/>
      <c r="G34" s="2"/>
      <c r="H34" s="2"/>
      <c r="I34" s="2"/>
      <c r="J34" s="2"/>
      <c r="K34" s="2"/>
      <c r="L34" s="2"/>
      <c r="M34" s="2"/>
      <c r="N34" s="2"/>
      <c r="O34" s="2" t="s">
        <v>19</v>
      </c>
      <c r="P34" s="2" t="s">
        <v>19</v>
      </c>
      <c r="Q34" s="2" t="s">
        <v>19</v>
      </c>
      <c r="R34" s="2" t="s">
        <v>19</v>
      </c>
      <c r="S34" s="2" t="s">
        <v>19</v>
      </c>
      <c r="T34" s="2" t="s">
        <v>19</v>
      </c>
      <c r="U34" s="2"/>
      <c r="V34" s="2"/>
      <c r="W34" s="2"/>
      <c r="X34" s="2" t="s">
        <v>19</v>
      </c>
      <c r="Y34" s="2" t="s">
        <v>19</v>
      </c>
      <c r="Z34" s="2" t="s">
        <v>19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9" t="s">
        <v>19</v>
      </c>
      <c r="BC34" s="9" t="s">
        <v>19</v>
      </c>
      <c r="BD34" s="9" t="s">
        <v>19</v>
      </c>
    </row>
    <row r="35" spans="1:56" s="4" customFormat="1"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T35" s="2"/>
      <c r="U35" s="2"/>
      <c r="V35" s="2"/>
      <c r="W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9"/>
      <c r="BC35" s="9"/>
      <c r="BD35" s="9"/>
    </row>
    <row r="36" spans="1:56" s="4" customFormat="1" ht="33.75" customHeight="1">
      <c r="A36" s="7" t="s">
        <v>65</v>
      </c>
      <c r="B36" s="4" t="s">
        <v>26</v>
      </c>
      <c r="C36" s="2" t="s">
        <v>19</v>
      </c>
      <c r="D36" s="2" t="s">
        <v>19</v>
      </c>
      <c r="E36" s="2" t="s">
        <v>19</v>
      </c>
      <c r="F36" s="2"/>
      <c r="G36" s="2"/>
      <c r="H36" s="2"/>
      <c r="I36" s="2"/>
      <c r="J36" s="2"/>
      <c r="K36" s="2"/>
      <c r="L36" s="2"/>
      <c r="M36" s="2"/>
      <c r="N36" s="2"/>
      <c r="O36" s="2" t="s">
        <v>19</v>
      </c>
      <c r="P36" s="2" t="s">
        <v>19</v>
      </c>
      <c r="Q36" s="2" t="s">
        <v>19</v>
      </c>
      <c r="R36" s="2" t="s">
        <v>19</v>
      </c>
      <c r="S36" s="2" t="s">
        <v>19</v>
      </c>
      <c r="T36" s="2" t="s">
        <v>19</v>
      </c>
      <c r="U36" s="2"/>
      <c r="V36" s="2"/>
      <c r="W36" s="2"/>
      <c r="X36" s="2" t="s">
        <v>19</v>
      </c>
      <c r="Y36" s="2" t="s">
        <v>19</v>
      </c>
      <c r="Z36" s="2" t="s">
        <v>19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9" t="s">
        <v>19</v>
      </c>
      <c r="BC36" s="9" t="s">
        <v>19</v>
      </c>
      <c r="BD36" s="9" t="s">
        <v>19</v>
      </c>
    </row>
    <row r="37" spans="1:56" s="4" customFormat="1">
      <c r="A37" s="7"/>
      <c r="B37" s="4" t="s">
        <v>27</v>
      </c>
      <c r="C37" s="2" t="s">
        <v>19</v>
      </c>
      <c r="D37" s="2" t="s">
        <v>19</v>
      </c>
      <c r="E37" s="2" t="s">
        <v>19</v>
      </c>
      <c r="F37" s="2"/>
      <c r="G37" s="2"/>
      <c r="H37" s="2"/>
      <c r="I37" s="2"/>
      <c r="J37" s="2"/>
      <c r="K37" s="2"/>
      <c r="L37" s="2"/>
      <c r="M37" s="2"/>
      <c r="N37" s="2"/>
      <c r="O37" s="2" t="s">
        <v>19</v>
      </c>
      <c r="P37" s="2" t="s">
        <v>19</v>
      </c>
      <c r="Q37" s="2" t="s">
        <v>19</v>
      </c>
      <c r="R37" s="2" t="s">
        <v>19</v>
      </c>
      <c r="S37" s="2" t="s">
        <v>19</v>
      </c>
      <c r="T37" s="2" t="s">
        <v>19</v>
      </c>
      <c r="U37" s="2"/>
      <c r="V37" s="2"/>
      <c r="W37" s="2"/>
      <c r="X37" s="2" t="s">
        <v>19</v>
      </c>
      <c r="Y37" s="2" t="s">
        <v>19</v>
      </c>
      <c r="Z37" s="2" t="s">
        <v>19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9" t="s">
        <v>19</v>
      </c>
      <c r="BC37" s="9" t="s">
        <v>19</v>
      </c>
      <c r="BD37" s="9" t="s">
        <v>19</v>
      </c>
    </row>
    <row r="38" spans="1:56" s="4" customFormat="1">
      <c r="A38" s="7"/>
      <c r="B38" s="8" t="s">
        <v>4</v>
      </c>
      <c r="C38" s="2" t="s">
        <v>19</v>
      </c>
      <c r="D38" s="2" t="s">
        <v>19</v>
      </c>
      <c r="E38" s="2" t="s">
        <v>19</v>
      </c>
      <c r="F38" s="2"/>
      <c r="G38" s="2"/>
      <c r="H38" s="2"/>
      <c r="I38" s="2"/>
      <c r="J38" s="2"/>
      <c r="K38" s="2"/>
      <c r="L38" s="2"/>
      <c r="M38" s="2"/>
      <c r="N38" s="2"/>
      <c r="O38" s="2" t="s">
        <v>19</v>
      </c>
      <c r="P38" s="2" t="s">
        <v>19</v>
      </c>
      <c r="Q38" s="2" t="s">
        <v>19</v>
      </c>
      <c r="R38" s="2" t="s">
        <v>19</v>
      </c>
      <c r="S38" s="2" t="s">
        <v>19</v>
      </c>
      <c r="T38" s="2" t="s">
        <v>19</v>
      </c>
      <c r="U38" s="2"/>
      <c r="V38" s="2"/>
      <c r="W38" s="2"/>
      <c r="X38" s="2" t="s">
        <v>19</v>
      </c>
      <c r="Y38" s="2" t="s">
        <v>19</v>
      </c>
      <c r="Z38" s="2" t="s">
        <v>19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9" t="s">
        <v>19</v>
      </c>
      <c r="BC38" s="9" t="s">
        <v>19</v>
      </c>
      <c r="BD38" s="9" t="s">
        <v>19</v>
      </c>
    </row>
    <row r="39" spans="1:56" s="4" customFormat="1">
      <c r="A39" s="7"/>
      <c r="E39" s="2"/>
      <c r="F39" s="2"/>
      <c r="G39" s="2"/>
      <c r="H39" s="2"/>
      <c r="I39" s="2"/>
      <c r="J39" s="2"/>
      <c r="K39" s="2"/>
      <c r="L39" s="2"/>
      <c r="M39" s="2"/>
      <c r="N39" s="2"/>
      <c r="Q39" s="2"/>
      <c r="T39" s="2"/>
      <c r="U39" s="2"/>
      <c r="V39" s="2"/>
      <c r="W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9"/>
      <c r="BC39" s="9"/>
      <c r="BD39" s="9"/>
    </row>
    <row r="40" spans="1:56" s="4" customFormat="1" ht="28.8">
      <c r="A40" s="7" t="s">
        <v>64</v>
      </c>
      <c r="B40" s="4" t="s">
        <v>26</v>
      </c>
      <c r="C40" s="2" t="s">
        <v>19</v>
      </c>
      <c r="D40" s="2" t="s">
        <v>19</v>
      </c>
      <c r="E40" s="2" t="s">
        <v>19</v>
      </c>
      <c r="F40" s="2"/>
      <c r="G40" s="2"/>
      <c r="H40" s="2"/>
      <c r="I40" s="2"/>
      <c r="J40" s="2"/>
      <c r="K40" s="2"/>
      <c r="L40" s="2"/>
      <c r="M40" s="2"/>
      <c r="N40" s="2"/>
      <c r="O40" s="2" t="s">
        <v>19</v>
      </c>
      <c r="P40" s="2" t="s">
        <v>19</v>
      </c>
      <c r="Q40" s="2" t="s">
        <v>19</v>
      </c>
      <c r="R40" s="2" t="s">
        <v>19</v>
      </c>
      <c r="S40" s="2" t="s">
        <v>19</v>
      </c>
      <c r="T40" s="2" t="s">
        <v>19</v>
      </c>
      <c r="U40" s="2"/>
      <c r="V40" s="2"/>
      <c r="W40" s="2"/>
      <c r="X40" s="2" t="s">
        <v>19</v>
      </c>
      <c r="Y40" s="2" t="s">
        <v>19</v>
      </c>
      <c r="Z40" s="2" t="s">
        <v>19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9" t="s">
        <v>19</v>
      </c>
      <c r="BC40" s="9" t="s">
        <v>19</v>
      </c>
      <c r="BD40" s="9" t="s">
        <v>19</v>
      </c>
    </row>
    <row r="41" spans="1:56" s="4" customFormat="1">
      <c r="A41" s="7"/>
      <c r="B41" s="4" t="s">
        <v>27</v>
      </c>
      <c r="C41" s="2" t="s">
        <v>19</v>
      </c>
      <c r="D41" s="2" t="s">
        <v>19</v>
      </c>
      <c r="E41" s="2" t="s">
        <v>19</v>
      </c>
      <c r="F41" s="2"/>
      <c r="G41" s="2"/>
      <c r="H41" s="2"/>
      <c r="I41" s="2"/>
      <c r="J41" s="2"/>
      <c r="K41" s="2"/>
      <c r="L41" s="2"/>
      <c r="M41" s="2"/>
      <c r="N41" s="2"/>
      <c r="O41" s="2" t="s">
        <v>19</v>
      </c>
      <c r="P41" s="2" t="s">
        <v>19</v>
      </c>
      <c r="Q41" s="2" t="s">
        <v>19</v>
      </c>
      <c r="R41" s="2" t="s">
        <v>19</v>
      </c>
      <c r="S41" s="2" t="s">
        <v>19</v>
      </c>
      <c r="T41" s="2" t="s">
        <v>19</v>
      </c>
      <c r="U41" s="2"/>
      <c r="V41" s="2"/>
      <c r="W41" s="2"/>
      <c r="X41" s="2" t="s">
        <v>19</v>
      </c>
      <c r="Y41" s="2" t="s">
        <v>19</v>
      </c>
      <c r="Z41" s="2" t="s">
        <v>19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9" t="s">
        <v>19</v>
      </c>
      <c r="BC41" s="9" t="s">
        <v>19</v>
      </c>
      <c r="BD41" s="9" t="s">
        <v>19</v>
      </c>
    </row>
    <row r="42" spans="1:56" s="4" customFormat="1">
      <c r="A42" s="7"/>
      <c r="B42" s="8" t="s">
        <v>4</v>
      </c>
      <c r="C42" s="2" t="s">
        <v>19</v>
      </c>
      <c r="D42" s="2" t="s">
        <v>19</v>
      </c>
      <c r="E42" s="2" t="s">
        <v>19</v>
      </c>
      <c r="F42" s="2"/>
      <c r="G42" s="2"/>
      <c r="H42" s="2"/>
      <c r="I42" s="2"/>
      <c r="J42" s="2"/>
      <c r="K42" s="2"/>
      <c r="L42" s="2"/>
      <c r="M42" s="2"/>
      <c r="N42" s="2"/>
      <c r="O42" s="2" t="s">
        <v>19</v>
      </c>
      <c r="P42" s="2" t="s">
        <v>19</v>
      </c>
      <c r="Q42" s="2" t="s">
        <v>19</v>
      </c>
      <c r="R42" s="2" t="s">
        <v>19</v>
      </c>
      <c r="S42" s="2" t="s">
        <v>19</v>
      </c>
      <c r="T42" s="2" t="s">
        <v>19</v>
      </c>
      <c r="U42" s="2"/>
      <c r="V42" s="2"/>
      <c r="W42" s="2"/>
      <c r="X42" s="2" t="s">
        <v>19</v>
      </c>
      <c r="Y42" s="2" t="s">
        <v>19</v>
      </c>
      <c r="Z42" s="2" t="s">
        <v>19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9" t="s">
        <v>19</v>
      </c>
      <c r="BC42" s="9" t="s">
        <v>19</v>
      </c>
      <c r="BD42" s="9" t="s">
        <v>19</v>
      </c>
    </row>
    <row r="43" spans="1:56">
      <c r="A43" s="7"/>
    </row>
    <row r="44" spans="1:56" s="4" customFormat="1">
      <c r="A44" s="7" t="s">
        <v>66</v>
      </c>
      <c r="B44" s="4" t="s">
        <v>26</v>
      </c>
      <c r="C44" s="2" t="s">
        <v>19</v>
      </c>
      <c r="D44" s="2" t="s">
        <v>19</v>
      </c>
      <c r="E44" s="2" t="s">
        <v>19</v>
      </c>
      <c r="F44" s="2"/>
      <c r="G44" s="2"/>
      <c r="H44" s="2"/>
      <c r="I44" s="2"/>
      <c r="J44" s="2"/>
      <c r="K44" s="2"/>
      <c r="L44" s="2"/>
      <c r="M44" s="2"/>
      <c r="N44" s="2"/>
      <c r="O44" s="2" t="s">
        <v>19</v>
      </c>
      <c r="P44" s="2" t="s">
        <v>19</v>
      </c>
      <c r="Q44" s="2" t="s">
        <v>19</v>
      </c>
      <c r="R44" s="2" t="s">
        <v>19</v>
      </c>
      <c r="S44" s="2" t="s">
        <v>19</v>
      </c>
      <c r="T44" s="2" t="s">
        <v>19</v>
      </c>
      <c r="U44" s="2"/>
      <c r="V44" s="2"/>
      <c r="W44" s="2"/>
      <c r="X44" s="2" t="s">
        <v>19</v>
      </c>
      <c r="Y44" s="2" t="s">
        <v>19</v>
      </c>
      <c r="Z44" s="2" t="s">
        <v>19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9" t="s">
        <v>19</v>
      </c>
      <c r="BC44" s="9" t="s">
        <v>19</v>
      </c>
      <c r="BD44" s="9" t="s">
        <v>19</v>
      </c>
    </row>
    <row r="45" spans="1:56" s="4" customFormat="1">
      <c r="A45" s="7"/>
      <c r="B45" s="4" t="s">
        <v>27</v>
      </c>
      <c r="C45" s="2" t="s">
        <v>19</v>
      </c>
      <c r="D45" s="2" t="s">
        <v>19</v>
      </c>
      <c r="E45" s="2" t="s">
        <v>19</v>
      </c>
      <c r="F45" s="2"/>
      <c r="G45" s="2"/>
      <c r="H45" s="2"/>
      <c r="I45" s="2"/>
      <c r="J45" s="2"/>
      <c r="K45" s="2"/>
      <c r="L45" s="2"/>
      <c r="M45" s="2"/>
      <c r="N45" s="2"/>
      <c r="O45" s="2" t="s">
        <v>19</v>
      </c>
      <c r="P45" s="2" t="s">
        <v>19</v>
      </c>
      <c r="Q45" s="2" t="s">
        <v>19</v>
      </c>
      <c r="R45" s="2" t="s">
        <v>19</v>
      </c>
      <c r="S45" s="2" t="s">
        <v>19</v>
      </c>
      <c r="T45" s="2" t="s">
        <v>19</v>
      </c>
      <c r="U45" s="2"/>
      <c r="V45" s="2"/>
      <c r="W45" s="2"/>
      <c r="X45" s="2" t="s">
        <v>19</v>
      </c>
      <c r="Y45" s="2" t="s">
        <v>19</v>
      </c>
      <c r="Z45" s="2" t="s">
        <v>19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9" t="s">
        <v>19</v>
      </c>
      <c r="BC45" s="9" t="s">
        <v>19</v>
      </c>
      <c r="BD45" s="9" t="s">
        <v>19</v>
      </c>
    </row>
    <row r="46" spans="1:56" s="4" customFormat="1">
      <c r="A46" s="7"/>
      <c r="B46" s="8" t="s">
        <v>4</v>
      </c>
      <c r="C46" s="2" t="s">
        <v>19</v>
      </c>
      <c r="D46" s="2" t="s">
        <v>19</v>
      </c>
      <c r="E46" s="2" t="s">
        <v>19</v>
      </c>
      <c r="F46" s="2"/>
      <c r="G46" s="2"/>
      <c r="H46" s="2"/>
      <c r="I46" s="2"/>
      <c r="J46" s="2"/>
      <c r="K46" s="2"/>
      <c r="L46" s="2"/>
      <c r="M46" s="2"/>
      <c r="N46" s="2"/>
      <c r="O46" s="2" t="s">
        <v>19</v>
      </c>
      <c r="P46" s="2" t="s">
        <v>19</v>
      </c>
      <c r="Q46" s="2" t="s">
        <v>19</v>
      </c>
      <c r="R46" s="2" t="s">
        <v>19</v>
      </c>
      <c r="S46" s="2" t="s">
        <v>19</v>
      </c>
      <c r="T46" s="2" t="s">
        <v>19</v>
      </c>
      <c r="U46" s="2"/>
      <c r="V46" s="2"/>
      <c r="W46" s="2"/>
      <c r="X46" s="2" t="s">
        <v>19</v>
      </c>
      <c r="Y46" s="2" t="s">
        <v>19</v>
      </c>
      <c r="Z46" s="2" t="s">
        <v>19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9" t="s">
        <v>19</v>
      </c>
      <c r="BC46" s="9" t="s">
        <v>19</v>
      </c>
      <c r="BD46" s="9" t="s">
        <v>19</v>
      </c>
    </row>
    <row r="47" spans="1:56" s="4" customFormat="1">
      <c r="A47" s="7"/>
      <c r="E47" s="2"/>
      <c r="F47" s="2"/>
      <c r="G47" s="2"/>
      <c r="H47" s="2"/>
      <c r="I47" s="2"/>
      <c r="J47" s="2"/>
      <c r="K47" s="2"/>
      <c r="L47" s="2"/>
      <c r="M47" s="2"/>
      <c r="N47" s="2"/>
      <c r="Q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9"/>
      <c r="BC47" s="9"/>
      <c r="BD47" s="9"/>
    </row>
    <row r="48" spans="1:56" s="4" customFormat="1">
      <c r="A48" s="7" t="s">
        <v>67</v>
      </c>
      <c r="B48" s="4" t="s">
        <v>26</v>
      </c>
      <c r="C48" s="2" t="s">
        <v>19</v>
      </c>
      <c r="D48" s="2" t="s">
        <v>19</v>
      </c>
      <c r="E48" s="2" t="s">
        <v>19</v>
      </c>
      <c r="F48" s="2"/>
      <c r="G48" s="2"/>
      <c r="H48" s="2"/>
      <c r="I48" s="2"/>
      <c r="J48" s="2"/>
      <c r="K48" s="2"/>
      <c r="L48" s="2"/>
      <c r="M48" s="2"/>
      <c r="N48" s="2"/>
      <c r="O48" s="2" t="s">
        <v>19</v>
      </c>
      <c r="P48" s="2" t="s">
        <v>19</v>
      </c>
      <c r="Q48" s="2" t="s">
        <v>19</v>
      </c>
      <c r="R48" s="2" t="s">
        <v>19</v>
      </c>
      <c r="S48" s="2" t="s">
        <v>19</v>
      </c>
      <c r="T48" s="2" t="s">
        <v>19</v>
      </c>
      <c r="U48" s="2"/>
      <c r="V48" s="2"/>
      <c r="W48" s="2"/>
      <c r="X48" s="2" t="s">
        <v>19</v>
      </c>
      <c r="Y48" s="2" t="s">
        <v>19</v>
      </c>
      <c r="Z48" s="2" t="s">
        <v>19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9" t="s">
        <v>19</v>
      </c>
      <c r="BC48" s="9" t="s">
        <v>19</v>
      </c>
      <c r="BD48" s="9" t="s">
        <v>19</v>
      </c>
    </row>
    <row r="49" spans="1:56" s="4" customFormat="1">
      <c r="A49" s="7"/>
      <c r="B49" s="4" t="s">
        <v>27</v>
      </c>
      <c r="C49" s="2" t="s">
        <v>19</v>
      </c>
      <c r="D49" s="2" t="s">
        <v>19</v>
      </c>
      <c r="E49" s="2" t="s">
        <v>19</v>
      </c>
      <c r="F49" s="2"/>
      <c r="G49" s="2"/>
      <c r="H49" s="2"/>
      <c r="I49" s="2"/>
      <c r="J49" s="2"/>
      <c r="K49" s="2"/>
      <c r="L49" s="2"/>
      <c r="M49" s="2"/>
      <c r="N49" s="2"/>
      <c r="O49" s="2" t="s">
        <v>19</v>
      </c>
      <c r="P49" s="2" t="s">
        <v>19</v>
      </c>
      <c r="Q49" s="2" t="s">
        <v>19</v>
      </c>
      <c r="R49" s="2" t="s">
        <v>19</v>
      </c>
      <c r="S49" s="2" t="s">
        <v>19</v>
      </c>
      <c r="T49" s="2" t="s">
        <v>19</v>
      </c>
      <c r="U49" s="2"/>
      <c r="V49" s="2"/>
      <c r="W49" s="2"/>
      <c r="X49" s="2" t="s">
        <v>19</v>
      </c>
      <c r="Y49" s="2" t="s">
        <v>19</v>
      </c>
      <c r="Z49" s="2" t="s">
        <v>19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9" t="s">
        <v>19</v>
      </c>
      <c r="BC49" s="9" t="s">
        <v>19</v>
      </c>
      <c r="BD49" s="9" t="s">
        <v>19</v>
      </c>
    </row>
    <row r="50" spans="1:56" s="4" customFormat="1">
      <c r="A50" s="7"/>
      <c r="B50" s="8" t="s">
        <v>4</v>
      </c>
      <c r="C50" s="2" t="s">
        <v>19</v>
      </c>
      <c r="D50" s="2" t="s">
        <v>19</v>
      </c>
      <c r="E50" s="2" t="s">
        <v>19</v>
      </c>
      <c r="F50" s="2"/>
      <c r="G50" s="2"/>
      <c r="H50" s="2"/>
      <c r="I50" s="2"/>
      <c r="J50" s="2"/>
      <c r="K50" s="2"/>
      <c r="L50" s="2"/>
      <c r="M50" s="2"/>
      <c r="N50" s="2"/>
      <c r="O50" s="2" t="s">
        <v>19</v>
      </c>
      <c r="P50" s="2" t="s">
        <v>19</v>
      </c>
      <c r="Q50" s="2" t="s">
        <v>19</v>
      </c>
      <c r="R50" s="2" t="s">
        <v>19</v>
      </c>
      <c r="S50" s="2" t="s">
        <v>19</v>
      </c>
      <c r="T50" s="2" t="s">
        <v>19</v>
      </c>
      <c r="U50" s="2"/>
      <c r="V50" s="2"/>
      <c r="W50" s="2"/>
      <c r="X50" s="2" t="s">
        <v>19</v>
      </c>
      <c r="Y50" s="2" t="s">
        <v>19</v>
      </c>
      <c r="Z50" s="2" t="s">
        <v>19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9" t="s">
        <v>19</v>
      </c>
      <c r="BC50" s="9" t="s">
        <v>19</v>
      </c>
      <c r="BD50" s="9" t="s">
        <v>19</v>
      </c>
    </row>
    <row r="51" spans="1:56" s="4" customFormat="1">
      <c r="A51" s="7"/>
      <c r="B51" s="8"/>
      <c r="E51" s="2"/>
      <c r="F51" s="2"/>
      <c r="G51" s="2"/>
      <c r="H51" s="2"/>
      <c r="I51" s="2"/>
      <c r="J51" s="2"/>
      <c r="K51" s="2"/>
      <c r="L51" s="2"/>
      <c r="M51" s="2"/>
      <c r="N51" s="2"/>
      <c r="Q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9"/>
      <c r="BC51" s="9"/>
      <c r="BD51" s="9"/>
    </row>
    <row r="52" spans="1:56">
      <c r="A52" s="1" t="s">
        <v>39</v>
      </c>
      <c r="B52" s="1" t="s">
        <v>40</v>
      </c>
      <c r="C52" s="2" t="s">
        <v>19</v>
      </c>
      <c r="D52" s="2" t="s">
        <v>19</v>
      </c>
      <c r="E52" s="2" t="s">
        <v>19</v>
      </c>
      <c r="O52" s="2" t="s">
        <v>19</v>
      </c>
      <c r="P52" s="2" t="s">
        <v>19</v>
      </c>
      <c r="Q52" s="2" t="s">
        <v>19</v>
      </c>
      <c r="R52" s="2" t="s">
        <v>19</v>
      </c>
      <c r="S52" s="2" t="s">
        <v>19</v>
      </c>
      <c r="T52" s="2" t="s">
        <v>19</v>
      </c>
      <c r="X52" s="2" t="s">
        <v>19</v>
      </c>
      <c r="Y52" s="2" t="s">
        <v>19</v>
      </c>
      <c r="Z52" s="2" t="s">
        <v>19</v>
      </c>
      <c r="BB52" s="9">
        <v>216</v>
      </c>
      <c r="BC52" s="9">
        <v>124</v>
      </c>
      <c r="BD52" s="9">
        <f t="shared" ref="BD52:BD59" si="39">BB52+BC52</f>
        <v>340</v>
      </c>
    </row>
    <row r="53" spans="1:56">
      <c r="B53" s="1" t="s">
        <v>41</v>
      </c>
      <c r="C53" s="2" t="s">
        <v>19</v>
      </c>
      <c r="D53" s="2" t="s">
        <v>19</v>
      </c>
      <c r="E53" s="2" t="s">
        <v>19</v>
      </c>
      <c r="O53" s="2" t="s">
        <v>19</v>
      </c>
      <c r="P53" s="2" t="s">
        <v>19</v>
      </c>
      <c r="Q53" s="2" t="s">
        <v>19</v>
      </c>
      <c r="R53" s="2" t="s">
        <v>19</v>
      </c>
      <c r="S53" s="2" t="s">
        <v>19</v>
      </c>
      <c r="T53" s="2" t="s">
        <v>19</v>
      </c>
      <c r="X53" s="2" t="s">
        <v>19</v>
      </c>
      <c r="Y53" s="2" t="s">
        <v>19</v>
      </c>
      <c r="Z53" s="2" t="s">
        <v>19</v>
      </c>
      <c r="BB53" s="9">
        <v>57</v>
      </c>
      <c r="BC53" s="9">
        <v>29</v>
      </c>
      <c r="BD53" s="9">
        <f t="shared" si="39"/>
        <v>86</v>
      </c>
    </row>
    <row r="54" spans="1:56">
      <c r="B54" s="1" t="s">
        <v>42</v>
      </c>
      <c r="C54" s="2" t="s">
        <v>19</v>
      </c>
      <c r="D54" s="2" t="s">
        <v>19</v>
      </c>
      <c r="E54" s="2" t="s">
        <v>19</v>
      </c>
      <c r="O54" s="2" t="s">
        <v>19</v>
      </c>
      <c r="P54" s="2" t="s">
        <v>19</v>
      </c>
      <c r="Q54" s="2" t="s">
        <v>19</v>
      </c>
      <c r="R54" s="2" t="s">
        <v>19</v>
      </c>
      <c r="S54" s="2" t="s">
        <v>19</v>
      </c>
      <c r="T54" s="2" t="s">
        <v>19</v>
      </c>
      <c r="X54" s="2" t="s">
        <v>19</v>
      </c>
      <c r="Y54" s="2" t="s">
        <v>19</v>
      </c>
      <c r="Z54" s="2" t="s">
        <v>19</v>
      </c>
      <c r="BB54" s="9">
        <v>35</v>
      </c>
      <c r="BC54" s="9">
        <v>21</v>
      </c>
      <c r="BD54" s="9">
        <f t="shared" si="39"/>
        <v>56</v>
      </c>
    </row>
    <row r="55" spans="1:56">
      <c r="B55" s="1" t="s">
        <v>43</v>
      </c>
      <c r="C55" s="2" t="s">
        <v>19</v>
      </c>
      <c r="D55" s="2" t="s">
        <v>19</v>
      </c>
      <c r="E55" s="2" t="s">
        <v>19</v>
      </c>
      <c r="O55" s="2" t="s">
        <v>19</v>
      </c>
      <c r="P55" s="2" t="s">
        <v>19</v>
      </c>
      <c r="Q55" s="2" t="s">
        <v>19</v>
      </c>
      <c r="R55" s="2" t="s">
        <v>19</v>
      </c>
      <c r="S55" s="2" t="s">
        <v>19</v>
      </c>
      <c r="T55" s="2" t="s">
        <v>19</v>
      </c>
      <c r="X55" s="2" t="s">
        <v>19</v>
      </c>
      <c r="Y55" s="2" t="s">
        <v>19</v>
      </c>
      <c r="Z55" s="2" t="s">
        <v>19</v>
      </c>
      <c r="BB55" s="9">
        <v>2</v>
      </c>
      <c r="BC55" s="9">
        <v>1</v>
      </c>
      <c r="BD55" s="9">
        <f t="shared" si="39"/>
        <v>3</v>
      </c>
    </row>
    <row r="56" spans="1:56">
      <c r="B56" s="16" t="s">
        <v>44</v>
      </c>
      <c r="C56" s="1">
        <f>150+148</f>
        <v>298</v>
      </c>
      <c r="D56" s="1">
        <f>31+39</f>
        <v>70</v>
      </c>
      <c r="E56" s="2">
        <f>SUM(C56:D56)</f>
        <v>368</v>
      </c>
      <c r="O56" s="2" t="s">
        <v>19</v>
      </c>
      <c r="P56" s="2" t="s">
        <v>19</v>
      </c>
      <c r="Q56" s="2" t="s">
        <v>19</v>
      </c>
      <c r="R56" s="2" t="s">
        <v>19</v>
      </c>
      <c r="S56" s="2" t="s">
        <v>19</v>
      </c>
      <c r="T56" s="2" t="s">
        <v>19</v>
      </c>
      <c r="U56" s="2">
        <v>175</v>
      </c>
      <c r="V56" s="2">
        <v>34</v>
      </c>
      <c r="X56" s="1">
        <v>68</v>
      </c>
      <c r="Y56" s="1">
        <v>27</v>
      </c>
      <c r="Z56" s="1">
        <f>X56+Y56</f>
        <v>95</v>
      </c>
      <c r="AA56" s="2">
        <f>52+47</f>
        <v>99</v>
      </c>
      <c r="AB56" s="2">
        <f>9+16</f>
        <v>25</v>
      </c>
      <c r="AC56" s="2">
        <f>AB56+AA56</f>
        <v>124</v>
      </c>
      <c r="AJ56" s="2">
        <v>227</v>
      </c>
      <c r="AK56" s="2">
        <v>70</v>
      </c>
      <c r="AL56" s="2">
        <f>AK56+AJ56</f>
        <v>297</v>
      </c>
      <c r="AM56" s="2">
        <v>64</v>
      </c>
      <c r="AN56" s="2">
        <v>24</v>
      </c>
      <c r="AO56" s="2">
        <f>AN56+AM56</f>
        <v>88</v>
      </c>
      <c r="AR56" s="2">
        <v>109</v>
      </c>
      <c r="BB56" s="9">
        <v>28</v>
      </c>
      <c r="BC56" s="9">
        <v>7</v>
      </c>
      <c r="BD56" s="9">
        <f>BB56+BC56</f>
        <v>35</v>
      </c>
    </row>
    <row r="57" spans="1:56">
      <c r="B57" s="1" t="s">
        <v>24</v>
      </c>
      <c r="C57" s="2" t="s">
        <v>19</v>
      </c>
      <c r="D57" s="2" t="s">
        <v>19</v>
      </c>
      <c r="E57" s="2" t="s">
        <v>19</v>
      </c>
      <c r="O57" s="2" t="s">
        <v>19</v>
      </c>
      <c r="P57" s="2" t="s">
        <v>19</v>
      </c>
      <c r="Q57" s="2" t="s">
        <v>19</v>
      </c>
      <c r="R57" s="2" t="s">
        <v>19</v>
      </c>
      <c r="S57" s="2" t="s">
        <v>19</v>
      </c>
      <c r="T57" s="2" t="s">
        <v>19</v>
      </c>
      <c r="X57" s="2" t="s">
        <v>19</v>
      </c>
      <c r="Y57" s="2" t="s">
        <v>19</v>
      </c>
      <c r="Z57" s="2" t="s">
        <v>19</v>
      </c>
      <c r="AC57" s="2">
        <f>AB57+AA57</f>
        <v>0</v>
      </c>
      <c r="BB57" s="9">
        <v>27</v>
      </c>
      <c r="BC57" s="9">
        <v>17</v>
      </c>
      <c r="BD57" s="9">
        <f t="shared" si="39"/>
        <v>44</v>
      </c>
    </row>
    <row r="58" spans="1:56">
      <c r="B58" s="1" t="s">
        <v>45</v>
      </c>
      <c r="C58" s="2" t="s">
        <v>19</v>
      </c>
      <c r="D58" s="2" t="s">
        <v>19</v>
      </c>
      <c r="E58" s="2" t="s">
        <v>19</v>
      </c>
      <c r="O58" s="2" t="s">
        <v>19</v>
      </c>
      <c r="P58" s="2" t="s">
        <v>19</v>
      </c>
      <c r="Q58" s="2" t="s">
        <v>19</v>
      </c>
      <c r="R58" s="2" t="s">
        <v>19</v>
      </c>
      <c r="S58" s="2" t="s">
        <v>19</v>
      </c>
      <c r="T58" s="2" t="s">
        <v>19</v>
      </c>
      <c r="X58" s="1">
        <v>32</v>
      </c>
      <c r="Y58" s="1">
        <v>19</v>
      </c>
      <c r="Z58" s="1">
        <f>X58+Y58</f>
        <v>51</v>
      </c>
      <c r="AC58" s="2">
        <f t="shared" ref="AC58:AC60" si="40">AB58+AA58</f>
        <v>0</v>
      </c>
      <c r="BB58" s="9">
        <f>BB52+BB53</f>
        <v>273</v>
      </c>
      <c r="BC58" s="9">
        <f>BC52+BC53</f>
        <v>153</v>
      </c>
      <c r="BD58" s="9">
        <f t="shared" si="39"/>
        <v>426</v>
      </c>
    </row>
    <row r="59" spans="1:56">
      <c r="B59" s="1" t="s">
        <v>46</v>
      </c>
      <c r="C59" s="1">
        <f>183+194</f>
        <v>377</v>
      </c>
      <c r="D59" s="1">
        <f>76+65</f>
        <v>141</v>
      </c>
      <c r="E59" s="2">
        <f>SUM(C59:D59)</f>
        <v>518</v>
      </c>
      <c r="O59" s="1">
        <f>166+158</f>
        <v>324</v>
      </c>
      <c r="P59" s="1">
        <f>64+70</f>
        <v>134</v>
      </c>
      <c r="Q59" s="2">
        <f>SUM(O59:P59)</f>
        <v>458</v>
      </c>
      <c r="R59" s="1">
        <f>14+19</f>
        <v>33</v>
      </c>
      <c r="S59" s="1">
        <f>11+10</f>
        <v>21</v>
      </c>
      <c r="T59" s="2">
        <f>SUM(R59:S59)</f>
        <v>54</v>
      </c>
      <c r="U59" s="2">
        <f>191+12</f>
        <v>203</v>
      </c>
      <c r="V59" s="2">
        <v>124</v>
      </c>
      <c r="X59" s="2" t="s">
        <v>19</v>
      </c>
      <c r="Y59" s="2" t="s">
        <v>19</v>
      </c>
      <c r="Z59" s="2" t="s">
        <v>19</v>
      </c>
      <c r="AA59" s="2">
        <f>73+60+4+6</f>
        <v>143</v>
      </c>
      <c r="AB59" s="2">
        <f>28+48+7+8</f>
        <v>91</v>
      </c>
      <c r="AC59" s="2">
        <f t="shared" si="40"/>
        <v>234</v>
      </c>
      <c r="AJ59" s="2">
        <v>156</v>
      </c>
      <c r="AK59" s="2">
        <v>84</v>
      </c>
      <c r="AL59" s="2">
        <f>AK59+AJ59</f>
        <v>240</v>
      </c>
      <c r="BB59" s="9">
        <f>BB54+BB58</f>
        <v>308</v>
      </c>
      <c r="BC59" s="9">
        <f>BC54+BC58</f>
        <v>174</v>
      </c>
      <c r="BD59" s="9">
        <f t="shared" si="39"/>
        <v>482</v>
      </c>
    </row>
    <row r="60" spans="1:56">
      <c r="C60" s="1">
        <f>SUM(C56:C59)</f>
        <v>675</v>
      </c>
      <c r="D60" s="1">
        <f>SUM(D56:D59)</f>
        <v>211</v>
      </c>
      <c r="E60" s="1">
        <f>SUM(E56:E59)</f>
        <v>886</v>
      </c>
      <c r="F60" s="5"/>
      <c r="G60" s="5"/>
      <c r="H60" s="5"/>
      <c r="I60" s="5"/>
      <c r="J60" s="5"/>
      <c r="K60" s="5"/>
      <c r="L60" s="5"/>
      <c r="M60" s="5"/>
      <c r="N60" s="5"/>
      <c r="O60" s="1">
        <f>SUM(O56:O59)</f>
        <v>324</v>
      </c>
      <c r="P60" s="1">
        <f>SUM(P56:P59)</f>
        <v>134</v>
      </c>
      <c r="Q60" s="1">
        <f>SUM(Q56:Q59)</f>
        <v>458</v>
      </c>
      <c r="R60" s="1">
        <f>SUM(R56:R59)</f>
        <v>33</v>
      </c>
      <c r="S60" s="1">
        <f>SUM(S56:S59)</f>
        <v>21</v>
      </c>
      <c r="T60" s="1">
        <f>SUM(T56:T59)</f>
        <v>54</v>
      </c>
      <c r="U60" s="5"/>
      <c r="V60" s="5"/>
      <c r="W60" s="5"/>
      <c r="X60" s="1">
        <f>SUM(X56:X59)</f>
        <v>100</v>
      </c>
      <c r="Y60" s="4">
        <f>SUM(Y56:Y59)</f>
        <v>46</v>
      </c>
      <c r="Z60" s="4">
        <f>SUM(Z56:Z59)</f>
        <v>146</v>
      </c>
      <c r="AA60" s="10">
        <f>SUM(AA56:AA59)</f>
        <v>242</v>
      </c>
      <c r="AB60" s="10">
        <f>SUM(AB56:AB59)</f>
        <v>116</v>
      </c>
      <c r="AC60" s="2">
        <f>AB60+AA60</f>
        <v>358</v>
      </c>
      <c r="AD60" s="5"/>
      <c r="AE60" s="5"/>
      <c r="AF60" s="5"/>
      <c r="AG60" s="5"/>
      <c r="AH60" s="5"/>
      <c r="AI60" s="5"/>
      <c r="AJ60" s="10">
        <f>SUM(AJ56:AJ59)</f>
        <v>383</v>
      </c>
      <c r="AK60" s="10">
        <f>SUM(AK56:AK59)</f>
        <v>154</v>
      </c>
      <c r="AL60" s="10">
        <f>SUM(AL56:AL59)</f>
        <v>537</v>
      </c>
      <c r="AM60" s="10">
        <f>SUM(AM56:AM59)</f>
        <v>64</v>
      </c>
      <c r="AN60" s="10">
        <f>SUM(AN56:AN59)</f>
        <v>24</v>
      </c>
      <c r="AO60" s="10">
        <f>SUM(AO56:AO59)</f>
        <v>88</v>
      </c>
      <c r="AP60" s="5"/>
      <c r="AQ60" s="5"/>
      <c r="AR60" s="5">
        <v>258</v>
      </c>
      <c r="AS60" s="5"/>
      <c r="AT60" s="5"/>
      <c r="AU60" s="5"/>
      <c r="AV60" s="5"/>
      <c r="AW60" s="5"/>
      <c r="AX60" s="5"/>
      <c r="AY60" s="5"/>
      <c r="AZ60" s="5"/>
      <c r="BA60" s="5"/>
      <c r="BB60" s="9">
        <f>SUM(BB52:BB57)</f>
        <v>365</v>
      </c>
      <c r="BC60" s="9">
        <f>SUM(BC52:BC57)</f>
        <v>199</v>
      </c>
      <c r="BD60" s="9">
        <f>SUM(BD52:BD57)</f>
        <v>564</v>
      </c>
    </row>
    <row r="61" spans="1:56" s="4" customFormat="1">
      <c r="F61" s="5"/>
      <c r="G61" s="5"/>
      <c r="H61" s="5"/>
      <c r="I61" s="5"/>
      <c r="J61" s="5"/>
      <c r="K61" s="5"/>
      <c r="L61" s="5"/>
      <c r="M61" s="5"/>
      <c r="N61" s="5"/>
      <c r="U61" s="5"/>
      <c r="V61" s="5"/>
      <c r="W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9"/>
      <c r="BC61" s="9"/>
      <c r="BD61" s="9"/>
    </row>
    <row r="62" spans="1:56" s="4" customFormat="1">
      <c r="A62" s="4" t="s">
        <v>68</v>
      </c>
      <c r="B62" s="4" t="s">
        <v>26</v>
      </c>
      <c r="C62" s="2" t="s">
        <v>19</v>
      </c>
      <c r="D62" s="2" t="s">
        <v>19</v>
      </c>
      <c r="E62" s="2" t="s">
        <v>19</v>
      </c>
      <c r="F62" s="2"/>
      <c r="G62" s="2"/>
      <c r="H62" s="2"/>
      <c r="I62" s="2"/>
      <c r="J62" s="2"/>
      <c r="K62" s="2"/>
      <c r="L62" s="2"/>
      <c r="M62" s="2"/>
      <c r="N62" s="2"/>
      <c r="O62" s="2" t="s">
        <v>19</v>
      </c>
      <c r="P62" s="2" t="s">
        <v>19</v>
      </c>
      <c r="Q62" s="2" t="s">
        <v>19</v>
      </c>
      <c r="R62" s="2" t="s">
        <v>19</v>
      </c>
      <c r="S62" s="2" t="s">
        <v>19</v>
      </c>
      <c r="T62" s="2" t="s">
        <v>19</v>
      </c>
      <c r="U62" s="2"/>
      <c r="V62" s="2"/>
      <c r="W62" s="2"/>
      <c r="X62" s="2" t="s">
        <v>19</v>
      </c>
      <c r="Y62" s="2" t="s">
        <v>19</v>
      </c>
      <c r="Z62" s="2" t="s">
        <v>19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9" t="s">
        <v>19</v>
      </c>
      <c r="BC62" s="9" t="s">
        <v>19</v>
      </c>
      <c r="BD62" s="9" t="s">
        <v>19</v>
      </c>
    </row>
    <row r="63" spans="1:56" s="4" customFormat="1">
      <c r="B63" s="4" t="s">
        <v>27</v>
      </c>
      <c r="C63" s="2" t="s">
        <v>19</v>
      </c>
      <c r="D63" s="2" t="s">
        <v>19</v>
      </c>
      <c r="E63" s="2" t="s">
        <v>19</v>
      </c>
      <c r="F63" s="2"/>
      <c r="G63" s="2"/>
      <c r="H63" s="2"/>
      <c r="I63" s="2"/>
      <c r="J63" s="2"/>
      <c r="K63" s="2"/>
      <c r="L63" s="2"/>
      <c r="M63" s="2"/>
      <c r="N63" s="2"/>
      <c r="O63" s="2" t="s">
        <v>19</v>
      </c>
      <c r="P63" s="2" t="s">
        <v>19</v>
      </c>
      <c r="Q63" s="2" t="s">
        <v>19</v>
      </c>
      <c r="R63" s="2" t="s">
        <v>19</v>
      </c>
      <c r="S63" s="2" t="s">
        <v>19</v>
      </c>
      <c r="T63" s="2" t="s">
        <v>19</v>
      </c>
      <c r="U63" s="2"/>
      <c r="V63" s="2"/>
      <c r="W63" s="2"/>
      <c r="X63" s="2" t="s">
        <v>19</v>
      </c>
      <c r="Y63" s="2" t="s">
        <v>19</v>
      </c>
      <c r="Z63" s="2" t="s">
        <v>19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9" t="s">
        <v>19</v>
      </c>
      <c r="BC63" s="9" t="s">
        <v>19</v>
      </c>
      <c r="BD63" s="9" t="s">
        <v>19</v>
      </c>
    </row>
    <row r="64" spans="1:56" s="4" customFormat="1">
      <c r="B64" s="8" t="s">
        <v>4</v>
      </c>
      <c r="C64" s="2" t="s">
        <v>19</v>
      </c>
      <c r="D64" s="2" t="s">
        <v>19</v>
      </c>
      <c r="E64" s="2" t="s">
        <v>19</v>
      </c>
      <c r="F64" s="2"/>
      <c r="G64" s="2"/>
      <c r="H64" s="2"/>
      <c r="I64" s="2"/>
      <c r="J64" s="2"/>
      <c r="K64" s="2"/>
      <c r="L64" s="2"/>
      <c r="M64" s="2"/>
      <c r="N64" s="2"/>
      <c r="O64" s="2" t="s">
        <v>19</v>
      </c>
      <c r="P64" s="2" t="s">
        <v>19</v>
      </c>
      <c r="Q64" s="2" t="s">
        <v>19</v>
      </c>
      <c r="R64" s="2" t="s">
        <v>19</v>
      </c>
      <c r="S64" s="2" t="s">
        <v>19</v>
      </c>
      <c r="T64" s="2" t="s">
        <v>19</v>
      </c>
      <c r="U64" s="2"/>
      <c r="V64" s="2"/>
      <c r="W64" s="2"/>
      <c r="X64" s="2" t="s">
        <v>19</v>
      </c>
      <c r="Y64" s="2" t="s">
        <v>19</v>
      </c>
      <c r="Z64" s="2" t="s">
        <v>19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9" t="s">
        <v>19</v>
      </c>
      <c r="BC64" s="9" t="s">
        <v>19</v>
      </c>
      <c r="BD64" s="9" t="s">
        <v>19</v>
      </c>
    </row>
    <row r="65" spans="1:56" s="4" customFormat="1">
      <c r="B65" s="8"/>
      <c r="F65" s="5"/>
      <c r="G65" s="5"/>
      <c r="H65" s="5"/>
      <c r="I65" s="5"/>
      <c r="J65" s="5"/>
      <c r="K65" s="5"/>
      <c r="L65" s="5"/>
      <c r="M65" s="5"/>
      <c r="N65" s="5"/>
      <c r="U65" s="5"/>
      <c r="V65" s="5"/>
      <c r="W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9"/>
      <c r="BC65" s="9"/>
      <c r="BD65" s="9"/>
    </row>
    <row r="66" spans="1:56" s="4" customFormat="1">
      <c r="A66" s="4" t="s">
        <v>69</v>
      </c>
      <c r="B66" s="4" t="s">
        <v>26</v>
      </c>
      <c r="C66" s="2" t="s">
        <v>19</v>
      </c>
      <c r="D66" s="2" t="s">
        <v>19</v>
      </c>
      <c r="E66" s="2" t="s">
        <v>19</v>
      </c>
      <c r="F66" s="2"/>
      <c r="G66" s="2"/>
      <c r="H66" s="2"/>
      <c r="I66" s="2"/>
      <c r="J66" s="2"/>
      <c r="K66" s="2"/>
      <c r="L66" s="2"/>
      <c r="M66" s="2"/>
      <c r="N66" s="2"/>
      <c r="O66" s="2" t="s">
        <v>19</v>
      </c>
      <c r="P66" s="2" t="s">
        <v>19</v>
      </c>
      <c r="Q66" s="2" t="s">
        <v>19</v>
      </c>
      <c r="R66" s="2" t="s">
        <v>19</v>
      </c>
      <c r="S66" s="2" t="s">
        <v>19</v>
      </c>
      <c r="T66" s="2" t="s">
        <v>19</v>
      </c>
      <c r="U66" s="2"/>
      <c r="V66" s="2"/>
      <c r="W66" s="2"/>
      <c r="X66" s="2" t="s">
        <v>19</v>
      </c>
      <c r="Y66" s="2" t="s">
        <v>19</v>
      </c>
      <c r="Z66" s="2" t="s">
        <v>19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9" t="s">
        <v>19</v>
      </c>
      <c r="BC66" s="9" t="s">
        <v>19</v>
      </c>
      <c r="BD66" s="9" t="s">
        <v>19</v>
      </c>
    </row>
    <row r="67" spans="1:56" s="4" customFormat="1">
      <c r="B67" s="4" t="s">
        <v>27</v>
      </c>
      <c r="C67" s="2" t="s">
        <v>19</v>
      </c>
      <c r="D67" s="2" t="s">
        <v>19</v>
      </c>
      <c r="E67" s="2" t="s">
        <v>19</v>
      </c>
      <c r="F67" s="2"/>
      <c r="G67" s="2"/>
      <c r="H67" s="2"/>
      <c r="I67" s="2"/>
      <c r="J67" s="2"/>
      <c r="K67" s="2"/>
      <c r="L67" s="2"/>
      <c r="M67" s="2"/>
      <c r="N67" s="2"/>
      <c r="O67" s="2" t="s">
        <v>19</v>
      </c>
      <c r="P67" s="2" t="s">
        <v>19</v>
      </c>
      <c r="Q67" s="2" t="s">
        <v>19</v>
      </c>
      <c r="R67" s="2" t="s">
        <v>19</v>
      </c>
      <c r="S67" s="2" t="s">
        <v>19</v>
      </c>
      <c r="T67" s="2" t="s">
        <v>19</v>
      </c>
      <c r="U67" s="2"/>
      <c r="V67" s="2"/>
      <c r="W67" s="2"/>
      <c r="X67" s="2" t="s">
        <v>19</v>
      </c>
      <c r="Y67" s="2" t="s">
        <v>19</v>
      </c>
      <c r="Z67" s="2" t="s">
        <v>19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9" t="s">
        <v>19</v>
      </c>
      <c r="BC67" s="9" t="s">
        <v>19</v>
      </c>
      <c r="BD67" s="9" t="s">
        <v>19</v>
      </c>
    </row>
    <row r="68" spans="1:56" s="4" customFormat="1">
      <c r="B68" s="8" t="s">
        <v>4</v>
      </c>
      <c r="C68" s="2" t="s">
        <v>19</v>
      </c>
      <c r="D68" s="2" t="s">
        <v>19</v>
      </c>
      <c r="E68" s="2" t="s">
        <v>19</v>
      </c>
      <c r="F68" s="2"/>
      <c r="G68" s="2"/>
      <c r="H68" s="2"/>
      <c r="I68" s="2"/>
      <c r="J68" s="2"/>
      <c r="K68" s="2"/>
      <c r="L68" s="2"/>
      <c r="M68" s="2"/>
      <c r="N68" s="2"/>
      <c r="O68" s="2" t="s">
        <v>19</v>
      </c>
      <c r="P68" s="2" t="s">
        <v>19</v>
      </c>
      <c r="Q68" s="2" t="s">
        <v>19</v>
      </c>
      <c r="R68" s="2" t="s">
        <v>19</v>
      </c>
      <c r="S68" s="2" t="s">
        <v>19</v>
      </c>
      <c r="T68" s="2" t="s">
        <v>19</v>
      </c>
      <c r="U68" s="2"/>
      <c r="V68" s="2"/>
      <c r="W68" s="2"/>
      <c r="X68" s="2" t="s">
        <v>19</v>
      </c>
      <c r="Y68" s="2" t="s">
        <v>19</v>
      </c>
      <c r="Z68" s="2" t="s">
        <v>19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9" t="s">
        <v>19</v>
      </c>
      <c r="BC68" s="9" t="s">
        <v>19</v>
      </c>
      <c r="BD68" s="9" t="s">
        <v>19</v>
      </c>
    </row>
    <row r="69" spans="1:56" s="4" customFormat="1">
      <c r="B69" s="8"/>
      <c r="F69" s="5"/>
      <c r="G69" s="5"/>
      <c r="H69" s="5"/>
      <c r="I69" s="5"/>
      <c r="J69" s="5"/>
      <c r="K69" s="5"/>
      <c r="L69" s="5"/>
      <c r="M69" s="5"/>
      <c r="N69" s="5"/>
      <c r="U69" s="5"/>
      <c r="V69" s="5"/>
      <c r="W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9"/>
      <c r="BC69" s="9"/>
      <c r="BD69" s="9"/>
    </row>
    <row r="70" spans="1:56" s="4" customFormat="1">
      <c r="A70" s="4" t="s">
        <v>70</v>
      </c>
      <c r="B70" s="4" t="s">
        <v>26</v>
      </c>
      <c r="C70" s="2" t="s">
        <v>19</v>
      </c>
      <c r="D70" s="2" t="s">
        <v>19</v>
      </c>
      <c r="E70" s="2" t="s">
        <v>19</v>
      </c>
      <c r="F70" s="2"/>
      <c r="G70" s="2"/>
      <c r="H70" s="2"/>
      <c r="I70" s="2"/>
      <c r="J70" s="2"/>
      <c r="K70" s="2"/>
      <c r="L70" s="2"/>
      <c r="M70" s="2"/>
      <c r="N70" s="2"/>
      <c r="O70" s="2" t="s">
        <v>19</v>
      </c>
      <c r="P70" s="2" t="s">
        <v>19</v>
      </c>
      <c r="Q70" s="2" t="s">
        <v>19</v>
      </c>
      <c r="R70" s="2" t="s">
        <v>19</v>
      </c>
      <c r="S70" s="2" t="s">
        <v>19</v>
      </c>
      <c r="T70" s="2" t="s">
        <v>19</v>
      </c>
      <c r="U70" s="2"/>
      <c r="V70" s="2"/>
      <c r="W70" s="2"/>
      <c r="X70" s="2" t="s">
        <v>19</v>
      </c>
      <c r="Y70" s="2" t="s">
        <v>19</v>
      </c>
      <c r="Z70" s="2" t="s">
        <v>19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9" t="s">
        <v>19</v>
      </c>
      <c r="BC70" s="9" t="s">
        <v>19</v>
      </c>
      <c r="BD70" s="9" t="s">
        <v>19</v>
      </c>
    </row>
    <row r="71" spans="1:56" s="4" customFormat="1">
      <c r="B71" s="4" t="s">
        <v>27</v>
      </c>
      <c r="C71" s="2" t="s">
        <v>19</v>
      </c>
      <c r="D71" s="2" t="s">
        <v>19</v>
      </c>
      <c r="E71" s="2" t="s">
        <v>19</v>
      </c>
      <c r="F71" s="2"/>
      <c r="G71" s="2"/>
      <c r="H71" s="2"/>
      <c r="I71" s="2"/>
      <c r="J71" s="2"/>
      <c r="K71" s="2"/>
      <c r="L71" s="2"/>
      <c r="M71" s="2"/>
      <c r="N71" s="2"/>
      <c r="O71" s="2" t="s">
        <v>19</v>
      </c>
      <c r="P71" s="2" t="s">
        <v>19</v>
      </c>
      <c r="Q71" s="2" t="s">
        <v>19</v>
      </c>
      <c r="R71" s="2" t="s">
        <v>19</v>
      </c>
      <c r="S71" s="2" t="s">
        <v>19</v>
      </c>
      <c r="T71" s="2" t="s">
        <v>19</v>
      </c>
      <c r="U71" s="2"/>
      <c r="V71" s="2"/>
      <c r="W71" s="2"/>
      <c r="X71" s="2" t="s">
        <v>19</v>
      </c>
      <c r="Y71" s="2" t="s">
        <v>19</v>
      </c>
      <c r="Z71" s="2" t="s">
        <v>19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9" t="s">
        <v>19</v>
      </c>
      <c r="BC71" s="9" t="s">
        <v>19</v>
      </c>
      <c r="BD71" s="9" t="s">
        <v>19</v>
      </c>
    </row>
    <row r="72" spans="1:56" s="4" customFormat="1">
      <c r="B72" s="8" t="s">
        <v>4</v>
      </c>
      <c r="C72" s="2" t="s">
        <v>19</v>
      </c>
      <c r="D72" s="2" t="s">
        <v>19</v>
      </c>
      <c r="E72" s="2" t="s">
        <v>19</v>
      </c>
      <c r="F72" s="2"/>
      <c r="G72" s="2"/>
      <c r="H72" s="2"/>
      <c r="I72" s="2"/>
      <c r="J72" s="2"/>
      <c r="K72" s="2"/>
      <c r="L72" s="2"/>
      <c r="M72" s="2"/>
      <c r="N72" s="2"/>
      <c r="O72" s="2" t="s">
        <v>19</v>
      </c>
      <c r="P72" s="2" t="s">
        <v>19</v>
      </c>
      <c r="Q72" s="2" t="s">
        <v>19</v>
      </c>
      <c r="R72" s="2" t="s">
        <v>19</v>
      </c>
      <c r="S72" s="2" t="s">
        <v>19</v>
      </c>
      <c r="T72" s="2" t="s">
        <v>19</v>
      </c>
      <c r="U72" s="2"/>
      <c r="V72" s="2"/>
      <c r="W72" s="2"/>
      <c r="X72" s="2" t="s">
        <v>19</v>
      </c>
      <c r="Y72" s="2" t="s">
        <v>19</v>
      </c>
      <c r="Z72" s="2" t="s">
        <v>19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9" t="s">
        <v>19</v>
      </c>
      <c r="BC72" s="9" t="s">
        <v>19</v>
      </c>
      <c r="BD72" s="9" t="s">
        <v>19</v>
      </c>
    </row>
    <row r="73" spans="1:56" s="4" customFormat="1">
      <c r="B73" s="8"/>
      <c r="F73" s="5"/>
      <c r="G73" s="5"/>
      <c r="H73" s="5"/>
      <c r="I73" s="5"/>
      <c r="J73" s="5"/>
      <c r="K73" s="5"/>
      <c r="L73" s="5"/>
      <c r="M73" s="5"/>
      <c r="N73" s="5"/>
      <c r="U73" s="5"/>
      <c r="V73" s="5"/>
      <c r="W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9"/>
      <c r="BC73" s="9"/>
      <c r="BD73" s="9"/>
    </row>
    <row r="74" spans="1:56" s="4" customFormat="1">
      <c r="A74" s="4" t="s">
        <v>71</v>
      </c>
      <c r="B74" s="4" t="s">
        <v>26</v>
      </c>
      <c r="C74" s="2" t="s">
        <v>19</v>
      </c>
      <c r="D74" s="2" t="s">
        <v>19</v>
      </c>
      <c r="E74" s="2" t="s">
        <v>19</v>
      </c>
      <c r="F74" s="2"/>
      <c r="G74" s="2"/>
      <c r="H74" s="2"/>
      <c r="I74" s="2"/>
      <c r="J74" s="2"/>
      <c r="K74" s="2"/>
      <c r="L74" s="2"/>
      <c r="M74" s="2"/>
      <c r="N74" s="2"/>
      <c r="O74" s="2" t="s">
        <v>19</v>
      </c>
      <c r="P74" s="2" t="s">
        <v>19</v>
      </c>
      <c r="Q74" s="2" t="s">
        <v>19</v>
      </c>
      <c r="R74" s="2" t="s">
        <v>19</v>
      </c>
      <c r="S74" s="2" t="s">
        <v>19</v>
      </c>
      <c r="T74" s="2" t="s">
        <v>19</v>
      </c>
      <c r="U74" s="2"/>
      <c r="V74" s="2"/>
      <c r="W74" s="2"/>
      <c r="X74" s="2" t="s">
        <v>19</v>
      </c>
      <c r="Y74" s="2" t="s">
        <v>19</v>
      </c>
      <c r="Z74" s="2" t="s">
        <v>19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9" t="s">
        <v>19</v>
      </c>
      <c r="BC74" s="9" t="s">
        <v>19</v>
      </c>
      <c r="BD74" s="9" t="s">
        <v>19</v>
      </c>
    </row>
    <row r="75" spans="1:56" s="4" customFormat="1">
      <c r="B75" s="4" t="s">
        <v>27</v>
      </c>
      <c r="C75" s="2" t="s">
        <v>19</v>
      </c>
      <c r="D75" s="2" t="s">
        <v>19</v>
      </c>
      <c r="E75" s="2" t="s">
        <v>19</v>
      </c>
      <c r="F75" s="2"/>
      <c r="G75" s="2"/>
      <c r="H75" s="2"/>
      <c r="I75" s="2"/>
      <c r="J75" s="2"/>
      <c r="K75" s="2"/>
      <c r="L75" s="2"/>
      <c r="M75" s="2"/>
      <c r="N75" s="2"/>
      <c r="O75" s="2" t="s">
        <v>19</v>
      </c>
      <c r="P75" s="2" t="s">
        <v>19</v>
      </c>
      <c r="Q75" s="2" t="s">
        <v>19</v>
      </c>
      <c r="R75" s="2" t="s">
        <v>19</v>
      </c>
      <c r="S75" s="2" t="s">
        <v>19</v>
      </c>
      <c r="T75" s="2" t="s">
        <v>19</v>
      </c>
      <c r="U75" s="2"/>
      <c r="V75" s="2"/>
      <c r="W75" s="2"/>
      <c r="X75" s="2" t="s">
        <v>19</v>
      </c>
      <c r="Y75" s="2" t="s">
        <v>19</v>
      </c>
      <c r="Z75" s="2" t="s">
        <v>19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9" t="s">
        <v>19</v>
      </c>
      <c r="BC75" s="9" t="s">
        <v>19</v>
      </c>
      <c r="BD75" s="9" t="s">
        <v>19</v>
      </c>
    </row>
    <row r="76" spans="1:56" s="4" customFormat="1">
      <c r="B76" s="8" t="s">
        <v>4</v>
      </c>
      <c r="C76" s="2" t="s">
        <v>19</v>
      </c>
      <c r="D76" s="2" t="s">
        <v>19</v>
      </c>
      <c r="E76" s="2" t="s">
        <v>19</v>
      </c>
      <c r="F76" s="2"/>
      <c r="G76" s="2"/>
      <c r="H76" s="2"/>
      <c r="I76" s="2"/>
      <c r="J76" s="2"/>
      <c r="K76" s="2"/>
      <c r="L76" s="2"/>
      <c r="M76" s="2"/>
      <c r="N76" s="2"/>
      <c r="O76" s="2" t="s">
        <v>19</v>
      </c>
      <c r="P76" s="2" t="s">
        <v>19</v>
      </c>
      <c r="Q76" s="2" t="s">
        <v>19</v>
      </c>
      <c r="R76" s="2" t="s">
        <v>19</v>
      </c>
      <c r="S76" s="2" t="s">
        <v>19</v>
      </c>
      <c r="T76" s="2" t="s">
        <v>19</v>
      </c>
      <c r="U76" s="2"/>
      <c r="V76" s="2"/>
      <c r="W76" s="2"/>
      <c r="X76" s="2" t="s">
        <v>19</v>
      </c>
      <c r="Y76" s="2" t="s">
        <v>19</v>
      </c>
      <c r="Z76" s="2" t="s">
        <v>19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9" t="s">
        <v>19</v>
      </c>
      <c r="BC76" s="9" t="s">
        <v>19</v>
      </c>
      <c r="BD76" s="9" t="s">
        <v>19</v>
      </c>
    </row>
    <row r="77" spans="1:56" s="4" customFormat="1" ht="11.25" customHeight="1">
      <c r="A77" s="7"/>
      <c r="E77" s="2"/>
      <c r="F77" s="2"/>
      <c r="G77" s="2"/>
      <c r="H77" s="2"/>
      <c r="I77" s="2"/>
      <c r="J77" s="2"/>
      <c r="K77" s="2"/>
      <c r="L77" s="2"/>
      <c r="M77" s="2"/>
      <c r="N77" s="2"/>
      <c r="Q77" s="2"/>
      <c r="T77" s="2"/>
      <c r="U77" s="2"/>
      <c r="V77" s="2"/>
      <c r="W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9"/>
      <c r="BC77" s="9"/>
      <c r="BD77" s="9"/>
    </row>
    <row r="78" spans="1:56">
      <c r="A78" s="1" t="s">
        <v>21</v>
      </c>
      <c r="B78" s="1" t="s">
        <v>22</v>
      </c>
      <c r="C78" s="1">
        <f>85+88+97+84+78+66+77+61</f>
        <v>636</v>
      </c>
      <c r="D78" s="1">
        <f>43+31+31+30+11+17+19+17</f>
        <v>199</v>
      </c>
      <c r="E78" s="2">
        <f>D78+C78</f>
        <v>835</v>
      </c>
      <c r="F78" s="2">
        <v>269</v>
      </c>
      <c r="G78" s="2">
        <v>82</v>
      </c>
      <c r="H78" s="2">
        <f>G78+F78</f>
        <v>351</v>
      </c>
      <c r="I78" s="2">
        <v>303</v>
      </c>
      <c r="J78" s="2">
        <v>86</v>
      </c>
      <c r="K78" s="2">
        <f>J78+I78</f>
        <v>389</v>
      </c>
      <c r="L78" s="15">
        <v>0</v>
      </c>
      <c r="M78" s="15">
        <v>0</v>
      </c>
      <c r="N78" s="2">
        <f>M78+L78</f>
        <v>0</v>
      </c>
      <c r="O78" s="1">
        <f>89+71+87+65</f>
        <v>312</v>
      </c>
      <c r="P78" s="1">
        <f>39+20+36+30</f>
        <v>125</v>
      </c>
      <c r="Q78" s="2">
        <f>O78+P78</f>
        <v>437</v>
      </c>
      <c r="R78" s="1">
        <f>8+6+9+10</f>
        <v>33</v>
      </c>
      <c r="S78" s="1">
        <f>6+5+7+3</f>
        <v>21</v>
      </c>
      <c r="T78" s="2">
        <f>R78+S78</f>
        <v>54</v>
      </c>
      <c r="U78" s="2">
        <v>301</v>
      </c>
      <c r="V78" s="2">
        <v>108</v>
      </c>
      <c r="W78" s="2">
        <f>V78+U78</f>
        <v>409</v>
      </c>
      <c r="X78" s="2" t="s">
        <v>19</v>
      </c>
      <c r="Y78" s="2" t="s">
        <v>19</v>
      </c>
      <c r="Z78" s="2" t="s">
        <v>19</v>
      </c>
      <c r="AA78" s="2">
        <f>116+101</f>
        <v>217</v>
      </c>
      <c r="AB78" s="2">
        <f>38+63</f>
        <v>101</v>
      </c>
      <c r="AC78" s="2">
        <f>AB78+AA78</f>
        <v>318</v>
      </c>
      <c r="AD78" s="2">
        <v>43</v>
      </c>
      <c r="AE78" s="2">
        <v>6</v>
      </c>
      <c r="AF78" s="2">
        <f>AE78+AD78</f>
        <v>49</v>
      </c>
      <c r="AG78" s="2">
        <f>73+62</f>
        <v>135</v>
      </c>
      <c r="AH78" s="2">
        <f>19+20</f>
        <v>39</v>
      </c>
      <c r="AI78" s="2">
        <f>AH78+AG78</f>
        <v>174</v>
      </c>
      <c r="AJ78" s="2">
        <f>132+83+98+50</f>
        <v>363</v>
      </c>
      <c r="AK78" s="2">
        <f>34+35+38+43</f>
        <v>150</v>
      </c>
      <c r="AL78" s="2">
        <f>AK78+AJ78</f>
        <v>513</v>
      </c>
      <c r="AM78" s="2">
        <v>45</v>
      </c>
      <c r="AN78" s="2">
        <v>16</v>
      </c>
      <c r="AO78" s="2">
        <f>AN78+AM78</f>
        <v>61</v>
      </c>
      <c r="BB78" s="9">
        <v>286</v>
      </c>
      <c r="BC78" s="9">
        <v>166</v>
      </c>
      <c r="BD78" s="9">
        <f t="shared" ref="BD78:BD91" si="41">BB78+BC78</f>
        <v>452</v>
      </c>
    </row>
    <row r="79" spans="1:56">
      <c r="B79" s="1" t="s">
        <v>23</v>
      </c>
      <c r="C79" s="1">
        <f>10+0+13+0+6+0+10+0</f>
        <v>39</v>
      </c>
      <c r="D79" s="1">
        <f>2+0+3+1+3+0+3+0</f>
        <v>12</v>
      </c>
      <c r="E79" s="2">
        <f t="shared" ref="E79" si="42">D79+C79</f>
        <v>51</v>
      </c>
      <c r="F79" s="2">
        <v>11</v>
      </c>
      <c r="G79" s="2">
        <v>2</v>
      </c>
      <c r="H79" s="2">
        <f t="shared" ref="H79:K79" si="43">G79+F79</f>
        <v>13</v>
      </c>
      <c r="I79" s="2">
        <v>3</v>
      </c>
      <c r="J79" s="2">
        <v>2</v>
      </c>
      <c r="K79" s="2">
        <f t="shared" si="43"/>
        <v>5</v>
      </c>
      <c r="L79" s="15">
        <v>0</v>
      </c>
      <c r="M79" s="15">
        <v>0</v>
      </c>
      <c r="N79" s="2">
        <f t="shared" ref="N79" si="44">M79+L79</f>
        <v>0</v>
      </c>
      <c r="O79" s="1">
        <f>6+0+6+0</f>
        <v>12</v>
      </c>
      <c r="P79" s="1">
        <f>5+0+6+0</f>
        <v>11</v>
      </c>
      <c r="Q79" s="2">
        <f>O79+P79</f>
        <v>23</v>
      </c>
      <c r="R79" s="1">
        <f>0</f>
        <v>0</v>
      </c>
      <c r="S79" s="1">
        <f>0+0+0+0</f>
        <v>0</v>
      </c>
      <c r="T79" s="2">
        <f>R79+S79</f>
        <v>0</v>
      </c>
      <c r="U79" s="2">
        <v>207</v>
      </c>
      <c r="V79" s="2">
        <v>111</v>
      </c>
      <c r="W79" s="2">
        <f>V79+U79</f>
        <v>318</v>
      </c>
      <c r="X79" s="2" t="s">
        <v>19</v>
      </c>
      <c r="Y79" s="2" t="s">
        <v>19</v>
      </c>
      <c r="Z79" s="2" t="s">
        <v>19</v>
      </c>
      <c r="AA79" s="2">
        <f>25</f>
        <v>25</v>
      </c>
      <c r="AB79" s="2">
        <v>15</v>
      </c>
      <c r="AC79" s="2">
        <f>AB79+AA79</f>
        <v>40</v>
      </c>
      <c r="AD79" s="2">
        <v>47</v>
      </c>
      <c r="AE79" s="2">
        <v>14</v>
      </c>
      <c r="AF79" s="2">
        <f>AE79+AD79</f>
        <v>61</v>
      </c>
      <c r="AG79" s="2">
        <f>6</f>
        <v>6</v>
      </c>
      <c r="AH79" s="2">
        <v>3</v>
      </c>
      <c r="AI79" s="2">
        <f>AH79+AG79</f>
        <v>9</v>
      </c>
      <c r="AJ79" s="2">
        <f>12+7</f>
        <v>19</v>
      </c>
      <c r="AK79" s="2">
        <f>3+1</f>
        <v>4</v>
      </c>
      <c r="AL79" s="2">
        <f>AK79+AJ79</f>
        <v>23</v>
      </c>
      <c r="AM79" s="2">
        <v>19</v>
      </c>
      <c r="AN79" s="2">
        <v>8</v>
      </c>
      <c r="AO79" s="2">
        <f>AN79+AM79</f>
        <v>27</v>
      </c>
      <c r="BB79" s="9">
        <v>21</v>
      </c>
      <c r="BC79" s="9">
        <v>12</v>
      </c>
      <c r="BD79" s="9">
        <f t="shared" si="41"/>
        <v>33</v>
      </c>
    </row>
    <row r="80" spans="1:56" ht="14.25" customHeight="1">
      <c r="B80" s="1" t="s">
        <v>24</v>
      </c>
      <c r="C80" s="16">
        <v>0</v>
      </c>
      <c r="D80" s="16">
        <v>0</v>
      </c>
      <c r="E80" s="15">
        <v>0</v>
      </c>
      <c r="F80" s="2">
        <v>0</v>
      </c>
      <c r="G80" s="2">
        <v>0</v>
      </c>
      <c r="H80" s="15">
        <v>0</v>
      </c>
      <c r="I80" s="15">
        <v>0</v>
      </c>
      <c r="J80" s="15">
        <v>0</v>
      </c>
      <c r="K80" s="15">
        <v>0</v>
      </c>
      <c r="L80" s="15">
        <v>325</v>
      </c>
      <c r="M80" s="15">
        <v>149</v>
      </c>
      <c r="N80" s="2">
        <f>M80+L80</f>
        <v>474</v>
      </c>
      <c r="O80" s="8" t="s">
        <v>19</v>
      </c>
      <c r="P80" s="8" t="s">
        <v>19</v>
      </c>
      <c r="Q80" s="8" t="s">
        <v>19</v>
      </c>
      <c r="R80" s="8" t="s">
        <v>19</v>
      </c>
      <c r="S80" s="8" t="s">
        <v>19</v>
      </c>
      <c r="T80" s="8" t="s">
        <v>19</v>
      </c>
      <c r="U80" s="8"/>
      <c r="V80" s="8"/>
      <c r="W80" s="8"/>
      <c r="X80" s="2" t="s">
        <v>19</v>
      </c>
      <c r="Y80" s="2" t="s">
        <v>19</v>
      </c>
      <c r="Z80" s="2" t="s">
        <v>19</v>
      </c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9">
        <v>58</v>
      </c>
      <c r="BC80" s="9">
        <v>21</v>
      </c>
      <c r="BD80" s="9">
        <f t="shared" si="41"/>
        <v>79</v>
      </c>
    </row>
    <row r="81" spans="1:56" s="4" customFormat="1" ht="14.25" customHeight="1">
      <c r="B81" s="8" t="s">
        <v>4</v>
      </c>
      <c r="C81" s="4">
        <f>C80+C79+C78</f>
        <v>675</v>
      </c>
      <c r="D81" s="10">
        <f t="shared" ref="D81:E81" si="45">D80+D79+D78</f>
        <v>211</v>
      </c>
      <c r="E81" s="10">
        <f t="shared" si="45"/>
        <v>886</v>
      </c>
      <c r="F81" s="10">
        <f t="shared" ref="F81" si="46">F80+F79+F78</f>
        <v>280</v>
      </c>
      <c r="G81" s="10">
        <f t="shared" ref="G81:H81" si="47">G80+G79+G78</f>
        <v>84</v>
      </c>
      <c r="H81" s="10">
        <f t="shared" si="47"/>
        <v>364</v>
      </c>
      <c r="I81" s="10">
        <f t="shared" ref="I81" si="48">I80+I79+I78</f>
        <v>306</v>
      </c>
      <c r="J81" s="10">
        <f t="shared" ref="J81" si="49">J80+J79+J78</f>
        <v>88</v>
      </c>
      <c r="K81" s="10">
        <f>K80+K79+K78</f>
        <v>394</v>
      </c>
      <c r="L81" s="10">
        <f>L80+L79+L78</f>
        <v>325</v>
      </c>
      <c r="M81" s="10">
        <f>M80+M79+M78</f>
        <v>149</v>
      </c>
      <c r="N81" s="10">
        <f>N80+N79+N78</f>
        <v>474</v>
      </c>
      <c r="O81" s="8">
        <f>SUM(O78:O80)</f>
        <v>324</v>
      </c>
      <c r="P81" s="8">
        <f>SUM(P78:P80)</f>
        <v>136</v>
      </c>
      <c r="Q81" s="6">
        <f>SUM(O81:P81)</f>
        <v>460</v>
      </c>
      <c r="R81" s="8" t="s">
        <v>19</v>
      </c>
      <c r="S81" s="8" t="s">
        <v>19</v>
      </c>
      <c r="T81" s="8" t="s">
        <v>19</v>
      </c>
      <c r="U81" s="8"/>
      <c r="V81" s="8"/>
      <c r="W81" s="8"/>
      <c r="AA81" s="10">
        <f>AA80+AA79+AA78</f>
        <v>242</v>
      </c>
      <c r="AB81" s="10">
        <f t="shared" ref="AB81" si="50">AB80+AB79+AB78</f>
        <v>116</v>
      </c>
      <c r="AC81" s="10">
        <f t="shared" ref="AC81" si="51">AC80+AC79+AC78</f>
        <v>358</v>
      </c>
      <c r="AD81" s="10">
        <f t="shared" ref="AD81" si="52">AD80+AD79+AD78</f>
        <v>90</v>
      </c>
      <c r="AE81" s="10">
        <f t="shared" ref="AE81" si="53">AE80+AE79+AE78</f>
        <v>20</v>
      </c>
      <c r="AF81" s="10">
        <f t="shared" ref="AF81" si="54">AF80+AF79+AF78</f>
        <v>110</v>
      </c>
      <c r="AG81" s="10">
        <f t="shared" ref="AG81" si="55">AG80+AG79+AG78</f>
        <v>141</v>
      </c>
      <c r="AH81" s="10">
        <f t="shared" ref="AH81" si="56">AH80+AH79+AH78</f>
        <v>42</v>
      </c>
      <c r="AI81" s="10">
        <f t="shared" ref="AI81" si="57">AI80+AI79+AI78</f>
        <v>183</v>
      </c>
      <c r="AJ81" s="10">
        <f t="shared" ref="AJ81" si="58">AJ80+AJ79+AJ78</f>
        <v>382</v>
      </c>
      <c r="AK81" s="10">
        <f t="shared" ref="AK81" si="59">AK80+AK79+AK78</f>
        <v>154</v>
      </c>
      <c r="AL81" s="10">
        <f t="shared" ref="AL81" si="60">AL80+AL79+AL78</f>
        <v>536</v>
      </c>
      <c r="AM81" s="10">
        <f t="shared" ref="AM81" si="61">AM80+AM79+AM78</f>
        <v>64</v>
      </c>
      <c r="AN81" s="10">
        <f t="shared" ref="AN81" si="62">AN80+AN79+AN78</f>
        <v>24</v>
      </c>
      <c r="AO81" s="10">
        <f t="shared" ref="AO81" si="63">AO80+AO79+AO78</f>
        <v>88</v>
      </c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9">
        <f>SUM(BB78:BB80)</f>
        <v>365</v>
      </c>
      <c r="BC81" s="9">
        <f>SUM(BC78:BC80)</f>
        <v>199</v>
      </c>
      <c r="BD81" s="9">
        <f>SUM(BD78:BD80)</f>
        <v>564</v>
      </c>
    </row>
    <row r="83" spans="1:56">
      <c r="A83" s="1" t="s">
        <v>25</v>
      </c>
      <c r="B83" s="1" t="s">
        <v>26</v>
      </c>
      <c r="O83" s="8" t="s">
        <v>19</v>
      </c>
      <c r="P83" s="8" t="s">
        <v>19</v>
      </c>
      <c r="Q83" s="8" t="s">
        <v>19</v>
      </c>
      <c r="R83" s="8" t="s">
        <v>19</v>
      </c>
      <c r="S83" s="8" t="s">
        <v>19</v>
      </c>
      <c r="T83" s="8" t="s">
        <v>19</v>
      </c>
      <c r="U83" s="8"/>
      <c r="V83" s="8"/>
      <c r="W83" s="8"/>
      <c r="X83" s="2" t="s">
        <v>19</v>
      </c>
      <c r="Y83" s="2" t="s">
        <v>19</v>
      </c>
      <c r="Z83" s="2" t="s">
        <v>19</v>
      </c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9">
        <v>296</v>
      </c>
      <c r="BC83" s="9">
        <v>166</v>
      </c>
      <c r="BD83" s="9">
        <f t="shared" si="41"/>
        <v>462</v>
      </c>
    </row>
    <row r="84" spans="1:56">
      <c r="B84" s="1" t="s">
        <v>27</v>
      </c>
      <c r="O84" s="8" t="s">
        <v>19</v>
      </c>
      <c r="P84" s="8" t="s">
        <v>19</v>
      </c>
      <c r="Q84" s="8" t="s">
        <v>19</v>
      </c>
      <c r="R84" s="8" t="s">
        <v>19</v>
      </c>
      <c r="S84" s="8" t="s">
        <v>19</v>
      </c>
      <c r="T84" s="8" t="s">
        <v>19</v>
      </c>
      <c r="U84" s="8"/>
      <c r="V84" s="8"/>
      <c r="W84" s="8"/>
      <c r="X84" s="2" t="s">
        <v>19</v>
      </c>
      <c r="Y84" s="2" t="s">
        <v>19</v>
      </c>
      <c r="Z84" s="2" t="s">
        <v>19</v>
      </c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9">
        <v>69</v>
      </c>
      <c r="BC84" s="9">
        <v>33</v>
      </c>
      <c r="BD84" s="9">
        <f t="shared" si="41"/>
        <v>102</v>
      </c>
    </row>
    <row r="85" spans="1:56">
      <c r="B85" s="8" t="s">
        <v>4</v>
      </c>
      <c r="O85" s="8" t="s">
        <v>19</v>
      </c>
      <c r="P85" s="8" t="s">
        <v>19</v>
      </c>
      <c r="Q85" s="8" t="s">
        <v>19</v>
      </c>
      <c r="R85" s="8" t="s">
        <v>19</v>
      </c>
      <c r="S85" s="8" t="s">
        <v>19</v>
      </c>
      <c r="T85" s="8" t="s">
        <v>19</v>
      </c>
      <c r="U85" s="8"/>
      <c r="V85" s="8"/>
      <c r="W85" s="8"/>
      <c r="X85" s="2" t="s">
        <v>19</v>
      </c>
      <c r="Y85" s="2" t="s">
        <v>19</v>
      </c>
      <c r="Z85" s="2" t="s">
        <v>19</v>
      </c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9">
        <f>SUM(BB83:BB84)</f>
        <v>365</v>
      </c>
      <c r="BC85" s="9">
        <f>SUM(BC83:BC84)</f>
        <v>199</v>
      </c>
      <c r="BD85" s="9">
        <f>SUM(BD83:BD84)</f>
        <v>564</v>
      </c>
    </row>
    <row r="87" spans="1:56">
      <c r="A87" s="1" t="s">
        <v>31</v>
      </c>
      <c r="B87" s="1" t="s">
        <v>32</v>
      </c>
      <c r="C87" s="1">
        <f>24+88+29+36</f>
        <v>177</v>
      </c>
      <c r="D87" s="1">
        <f>14+31+3+5</f>
        <v>53</v>
      </c>
      <c r="E87" s="2">
        <f t="shared" ref="E87:E93" si="64">C87+D87</f>
        <v>230</v>
      </c>
      <c r="O87" s="1">
        <f>31+26</f>
        <v>57</v>
      </c>
      <c r="P87" s="1">
        <f>6+10</f>
        <v>16</v>
      </c>
      <c r="Q87" s="2">
        <f>O87+P87</f>
        <v>73</v>
      </c>
      <c r="R87" s="1">
        <f>7+3</f>
        <v>10</v>
      </c>
      <c r="S87" s="1">
        <f>0+2</f>
        <v>2</v>
      </c>
      <c r="T87" s="2">
        <f>R87+S87</f>
        <v>12</v>
      </c>
      <c r="X87" s="1">
        <v>84</v>
      </c>
      <c r="Y87" s="1">
        <v>42</v>
      </c>
      <c r="Z87" s="1">
        <f>X87+Y87</f>
        <v>126</v>
      </c>
      <c r="BB87" s="9">
        <v>254</v>
      </c>
      <c r="BC87" s="9">
        <v>151</v>
      </c>
      <c r="BD87" s="9">
        <f t="shared" si="41"/>
        <v>405</v>
      </c>
    </row>
    <row r="88" spans="1:56">
      <c r="B88" s="1" t="s">
        <v>33</v>
      </c>
      <c r="C88" s="2" t="s">
        <v>19</v>
      </c>
      <c r="D88" s="2" t="s">
        <v>19</v>
      </c>
      <c r="E88" s="2" t="s">
        <v>19</v>
      </c>
      <c r="O88" s="8" t="s">
        <v>19</v>
      </c>
      <c r="P88" s="8" t="s">
        <v>19</v>
      </c>
      <c r="Q88" s="8" t="s">
        <v>19</v>
      </c>
      <c r="R88" s="8" t="s">
        <v>19</v>
      </c>
      <c r="S88" s="8" t="s">
        <v>19</v>
      </c>
      <c r="T88" s="8" t="s">
        <v>19</v>
      </c>
      <c r="U88" s="8"/>
      <c r="V88" s="8"/>
      <c r="W88" s="8"/>
      <c r="X88" s="1">
        <v>32</v>
      </c>
      <c r="Y88" s="1">
        <v>19</v>
      </c>
      <c r="Z88" s="1">
        <f>X88+Y88</f>
        <v>51</v>
      </c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9">
        <v>106</v>
      </c>
      <c r="BC88" s="9">
        <v>38</v>
      </c>
      <c r="BD88" s="9">
        <f t="shared" si="41"/>
        <v>144</v>
      </c>
    </row>
    <row r="89" spans="1:56">
      <c r="B89" s="1" t="s">
        <v>34</v>
      </c>
      <c r="C89" s="2" t="s">
        <v>19</v>
      </c>
      <c r="D89" s="2" t="s">
        <v>19</v>
      </c>
      <c r="E89" s="2" t="s">
        <v>19</v>
      </c>
      <c r="O89" s="8" t="s">
        <v>19</v>
      </c>
      <c r="P89" s="8" t="s">
        <v>19</v>
      </c>
      <c r="Q89" s="8" t="s">
        <v>19</v>
      </c>
      <c r="R89" s="8" t="s">
        <v>19</v>
      </c>
      <c r="S89" s="8" t="s">
        <v>19</v>
      </c>
      <c r="T89" s="8" t="s">
        <v>19</v>
      </c>
      <c r="U89" s="8"/>
      <c r="V89" s="8"/>
      <c r="W89" s="8"/>
      <c r="X89" s="1">
        <v>30</v>
      </c>
      <c r="Y89" s="1">
        <v>20</v>
      </c>
      <c r="Z89" s="1">
        <f>X89+Y89</f>
        <v>50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9">
        <v>55</v>
      </c>
      <c r="BC89" s="9">
        <v>45</v>
      </c>
      <c r="BD89" s="9">
        <f t="shared" si="41"/>
        <v>100</v>
      </c>
    </row>
    <row r="90" spans="1:56">
      <c r="B90" s="1" t="s">
        <v>35</v>
      </c>
      <c r="C90" s="2" t="s">
        <v>19</v>
      </c>
      <c r="D90" s="2" t="s">
        <v>19</v>
      </c>
      <c r="E90" s="2" t="s">
        <v>19</v>
      </c>
      <c r="O90" s="8" t="s">
        <v>19</v>
      </c>
      <c r="P90" s="8" t="s">
        <v>19</v>
      </c>
      <c r="Q90" s="8" t="s">
        <v>19</v>
      </c>
      <c r="R90" s="8" t="s">
        <v>19</v>
      </c>
      <c r="S90" s="8" t="s">
        <v>19</v>
      </c>
      <c r="T90" s="8" t="s">
        <v>19</v>
      </c>
      <c r="U90" s="8"/>
      <c r="V90" s="8"/>
      <c r="W90" s="8"/>
      <c r="X90" s="1">
        <v>12</v>
      </c>
      <c r="Y90" s="1">
        <v>3</v>
      </c>
      <c r="Z90" s="1">
        <f>X90+Y90</f>
        <v>15</v>
      </c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9">
        <v>52</v>
      </c>
      <c r="BC90" s="9">
        <v>42</v>
      </c>
      <c r="BD90" s="9">
        <f t="shared" si="41"/>
        <v>94</v>
      </c>
    </row>
    <row r="91" spans="1:56">
      <c r="B91" s="1" t="s">
        <v>36</v>
      </c>
      <c r="C91" s="1">
        <f>16+10+19+22</f>
        <v>67</v>
      </c>
      <c r="D91" s="1">
        <f>17+2+8+7</f>
        <v>34</v>
      </c>
      <c r="E91" s="2">
        <f t="shared" si="64"/>
        <v>101</v>
      </c>
      <c r="O91" s="1">
        <f>31+20</f>
        <v>51</v>
      </c>
      <c r="P91" s="1">
        <f>9+6</f>
        <v>15</v>
      </c>
      <c r="Q91" s="2">
        <f>O91+P91</f>
        <v>66</v>
      </c>
      <c r="R91" s="1">
        <f>3+9</f>
        <v>12</v>
      </c>
      <c r="S91" s="1">
        <f>3+2</f>
        <v>5</v>
      </c>
      <c r="T91" s="2">
        <f>R91+S91</f>
        <v>17</v>
      </c>
      <c r="X91" s="8" t="s">
        <v>19</v>
      </c>
      <c r="Y91" s="8" t="s">
        <v>19</v>
      </c>
      <c r="Z91" s="8" t="s">
        <v>19</v>
      </c>
      <c r="BB91" s="9">
        <v>27</v>
      </c>
      <c r="BC91" s="9">
        <v>17</v>
      </c>
      <c r="BD91" s="9">
        <f t="shared" si="41"/>
        <v>44</v>
      </c>
    </row>
    <row r="92" spans="1:56">
      <c r="B92" s="1" t="s">
        <v>37</v>
      </c>
      <c r="C92" s="1">
        <f>143+85+102+90</f>
        <v>420</v>
      </c>
      <c r="D92" s="1">
        <f>45+43+20+27</f>
        <v>135</v>
      </c>
      <c r="E92" s="2">
        <f t="shared" si="64"/>
        <v>555</v>
      </c>
      <c r="O92" s="1">
        <f>113+112</f>
        <v>225</v>
      </c>
      <c r="P92" s="1">
        <f>49+54</f>
        <v>103</v>
      </c>
      <c r="Q92" s="2">
        <f>O92+P92</f>
        <v>328</v>
      </c>
      <c r="R92" s="1">
        <f>4+7</f>
        <v>11</v>
      </c>
      <c r="S92" s="1">
        <f>8+6</f>
        <v>14</v>
      </c>
      <c r="T92" s="2">
        <f>R92+S92</f>
        <v>25</v>
      </c>
      <c r="X92" s="2" t="s">
        <v>19</v>
      </c>
      <c r="Y92" s="2" t="s">
        <v>19</v>
      </c>
      <c r="Z92" s="2" t="s">
        <v>19</v>
      </c>
      <c r="BB92" s="9" t="s">
        <v>19</v>
      </c>
      <c r="BC92" s="9" t="s">
        <v>19</v>
      </c>
      <c r="BD92" s="9" t="s">
        <v>19</v>
      </c>
    </row>
    <row r="93" spans="1:56">
      <c r="C93" s="2">
        <f>SUM(C87:C92)</f>
        <v>664</v>
      </c>
      <c r="D93" s="2">
        <f>SUM(D87:D92)</f>
        <v>222</v>
      </c>
      <c r="E93" s="2">
        <f t="shared" si="64"/>
        <v>886</v>
      </c>
      <c r="O93" s="1">
        <f>SUM(O87:O92)</f>
        <v>333</v>
      </c>
      <c r="P93" s="1">
        <f>SUM(P87:P92)</f>
        <v>134</v>
      </c>
      <c r="Q93" s="2">
        <f>O93+P93</f>
        <v>467</v>
      </c>
      <c r="R93" s="2">
        <f>SUM(R87:R92)</f>
        <v>33</v>
      </c>
      <c r="S93" s="2">
        <f>SUM(S87:S92)</f>
        <v>21</v>
      </c>
      <c r="T93" s="2">
        <f>SUM(T87:T92)</f>
        <v>54</v>
      </c>
      <c r="X93" s="4">
        <f t="shared" ref="X93:Z93" si="65">SUM(X87:X92)</f>
        <v>158</v>
      </c>
      <c r="Y93" s="4">
        <f t="shared" si="65"/>
        <v>84</v>
      </c>
      <c r="Z93" s="4">
        <f t="shared" si="65"/>
        <v>242</v>
      </c>
      <c r="BB93" s="9">
        <f>SUM(BB87:BB92)</f>
        <v>494</v>
      </c>
      <c r="BC93" s="9">
        <f>SUM(BC87:BC92)</f>
        <v>293</v>
      </c>
      <c r="BD93" s="9">
        <f>SUM(BD87:BD92)</f>
        <v>787</v>
      </c>
    </row>
    <row r="94" spans="1:56" s="4" customFormat="1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Q94" s="2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9"/>
      <c r="BC94" s="9"/>
      <c r="BD94" s="9"/>
    </row>
    <row r="95" spans="1:56">
      <c r="A95" s="1" t="s">
        <v>62</v>
      </c>
      <c r="B95" s="1" t="s">
        <v>26</v>
      </c>
      <c r="C95" s="1">
        <f>31+24+37+35</f>
        <v>127</v>
      </c>
      <c r="D95" s="1">
        <f>9+6+19+11</f>
        <v>45</v>
      </c>
      <c r="E95" s="2">
        <f>D95+D95</f>
        <v>90</v>
      </c>
      <c r="O95" s="1">
        <f>27+26</f>
        <v>53</v>
      </c>
      <c r="P95" s="1">
        <f>45+1</f>
        <v>46</v>
      </c>
      <c r="Q95" s="1">
        <f>P95+O95</f>
        <v>99</v>
      </c>
      <c r="R95" s="1">
        <f>2+4</f>
        <v>6</v>
      </c>
      <c r="S95" s="1">
        <f>1+1</f>
        <v>2</v>
      </c>
      <c r="T95" s="2">
        <f>R95+S95</f>
        <v>8</v>
      </c>
      <c r="U95" s="2">
        <v>77</v>
      </c>
      <c r="V95" s="2">
        <v>16</v>
      </c>
      <c r="W95" s="2">
        <f>V95+U95</f>
        <v>93</v>
      </c>
      <c r="X95" s="2" t="s">
        <v>19</v>
      </c>
      <c r="Y95" s="2" t="s">
        <v>19</v>
      </c>
      <c r="Z95" s="2" t="s">
        <v>19</v>
      </c>
      <c r="AA95" s="2">
        <f>110+99</f>
        <v>209</v>
      </c>
      <c r="AB95" s="2">
        <f>40+64</f>
        <v>104</v>
      </c>
      <c r="AC95" s="2">
        <f>AB95+AA95</f>
        <v>313</v>
      </c>
      <c r="AD95" s="2">
        <v>7</v>
      </c>
      <c r="AE95" s="2">
        <v>1</v>
      </c>
      <c r="AF95" s="2">
        <f>AE95+AD95</f>
        <v>8</v>
      </c>
      <c r="BB95" s="9" t="s">
        <v>19</v>
      </c>
      <c r="BC95" s="9" t="s">
        <v>19</v>
      </c>
      <c r="BD95" s="9" t="s">
        <v>19</v>
      </c>
    </row>
    <row r="96" spans="1:56">
      <c r="B96" s="1" t="s">
        <v>27</v>
      </c>
      <c r="C96" s="1">
        <f>115+124+142+158</f>
        <v>539</v>
      </c>
      <c r="D96" s="1">
        <f>21+32+56+54</f>
        <v>163</v>
      </c>
      <c r="E96" s="2">
        <f>D96+C96</f>
        <v>702</v>
      </c>
      <c r="O96" s="1">
        <f>139+132</f>
        <v>271</v>
      </c>
      <c r="P96" s="1">
        <f>19+69</f>
        <v>88</v>
      </c>
      <c r="Q96" s="1">
        <f t="shared" ref="Q96" si="66">P96+O96</f>
        <v>359</v>
      </c>
      <c r="R96" s="1">
        <f>12+15</f>
        <v>27</v>
      </c>
      <c r="S96" s="1">
        <f>10+9</f>
        <v>19</v>
      </c>
      <c r="T96" s="2">
        <f>S96+R96</f>
        <v>46</v>
      </c>
      <c r="U96" s="2">
        <v>448</v>
      </c>
      <c r="V96" s="2">
        <v>213</v>
      </c>
      <c r="W96" s="2">
        <f t="shared" ref="W96:W101" si="67">V96+U96</f>
        <v>661</v>
      </c>
      <c r="X96" s="2" t="s">
        <v>19</v>
      </c>
      <c r="Y96" s="2" t="s">
        <v>19</v>
      </c>
      <c r="Z96" s="2" t="s">
        <v>19</v>
      </c>
      <c r="AA96" s="5">
        <f>19+14</f>
        <v>33</v>
      </c>
      <c r="AB96" s="5">
        <v>12</v>
      </c>
      <c r="AC96" s="2">
        <f>AB96+AA96</f>
        <v>45</v>
      </c>
      <c r="AD96" s="2">
        <v>83</v>
      </c>
      <c r="AE96" s="2">
        <v>19</v>
      </c>
      <c r="AF96" s="2">
        <f>AE96+AD96</f>
        <v>102</v>
      </c>
      <c r="BB96" s="9" t="s">
        <v>19</v>
      </c>
      <c r="BC96" s="9" t="s">
        <v>19</v>
      </c>
      <c r="BD96" s="9" t="s">
        <v>19</v>
      </c>
    </row>
    <row r="97" spans="1:56">
      <c r="B97" s="8" t="s">
        <v>4</v>
      </c>
      <c r="C97" s="2">
        <f t="shared" ref="C97:D97" si="68">C95+C96</f>
        <v>666</v>
      </c>
      <c r="D97" s="2">
        <f t="shared" si="68"/>
        <v>208</v>
      </c>
      <c r="E97" s="2">
        <f>E95+E96</f>
        <v>792</v>
      </c>
      <c r="O97" s="1">
        <f>O96+O95</f>
        <v>324</v>
      </c>
      <c r="P97" s="1">
        <f>P96+P95</f>
        <v>134</v>
      </c>
      <c r="Q97" s="1">
        <f>Q96+Q95</f>
        <v>458</v>
      </c>
      <c r="R97" s="1">
        <f t="shared" ref="R97:T97" si="69">R96+R95</f>
        <v>33</v>
      </c>
      <c r="S97" s="1">
        <f t="shared" si="69"/>
        <v>21</v>
      </c>
      <c r="T97" s="1">
        <f t="shared" si="69"/>
        <v>54</v>
      </c>
      <c r="U97" s="5">
        <f>U96+U95</f>
        <v>525</v>
      </c>
      <c r="V97" s="5">
        <f>V96+V95</f>
        <v>229</v>
      </c>
      <c r="W97" s="2">
        <f>V97+U97</f>
        <v>754</v>
      </c>
      <c r="X97" s="2" t="s">
        <v>19</v>
      </c>
      <c r="Y97" s="2" t="s">
        <v>19</v>
      </c>
      <c r="Z97" s="2" t="s">
        <v>19</v>
      </c>
      <c r="AA97" s="10">
        <f>AA96+AA95</f>
        <v>242</v>
      </c>
      <c r="AB97" s="10">
        <f>AB96+AB95</f>
        <v>116</v>
      </c>
      <c r="AC97" s="10">
        <f>AC96+AC95</f>
        <v>358</v>
      </c>
      <c r="AD97" s="10">
        <f t="shared" ref="AD97:AF97" si="70">AD96+AD95</f>
        <v>90</v>
      </c>
      <c r="AE97" s="10">
        <f t="shared" si="70"/>
        <v>20</v>
      </c>
      <c r="AF97" s="10">
        <f t="shared" si="70"/>
        <v>110</v>
      </c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9" t="s">
        <v>19</v>
      </c>
      <c r="BC97" s="9" t="s">
        <v>19</v>
      </c>
      <c r="BD97" s="9" t="s">
        <v>19</v>
      </c>
    </row>
    <row r="99" spans="1:56">
      <c r="A99" s="16" t="s">
        <v>38</v>
      </c>
      <c r="B99" s="1">
        <v>1</v>
      </c>
      <c r="C99" s="2" t="s">
        <v>19</v>
      </c>
      <c r="D99" s="2" t="s">
        <v>19</v>
      </c>
      <c r="E99" s="2" t="s">
        <v>19</v>
      </c>
      <c r="O99" s="2" t="s">
        <v>19</v>
      </c>
      <c r="P99" s="2" t="s">
        <v>19</v>
      </c>
      <c r="Q99" s="2" t="s">
        <v>19</v>
      </c>
      <c r="R99" s="2" t="s">
        <v>19</v>
      </c>
      <c r="S99" s="2" t="s">
        <v>19</v>
      </c>
      <c r="T99" s="2" t="s">
        <v>19</v>
      </c>
      <c r="U99" s="2">
        <v>223</v>
      </c>
      <c r="V99" s="2">
        <v>107</v>
      </c>
      <c r="W99" s="2">
        <f t="shared" si="67"/>
        <v>330</v>
      </c>
      <c r="X99" s="2" t="s">
        <v>19</v>
      </c>
      <c r="Y99" s="2" t="s">
        <v>19</v>
      </c>
      <c r="Z99" s="2" t="s">
        <v>19</v>
      </c>
      <c r="AA99" s="2">
        <f>34+35</f>
        <v>69</v>
      </c>
      <c r="AB99" s="2">
        <f>7+25</f>
        <v>32</v>
      </c>
      <c r="AC99" s="2">
        <f>AB99+AA99</f>
        <v>101</v>
      </c>
      <c r="AJ99" s="2">
        <f>111+77</f>
        <v>188</v>
      </c>
      <c r="AK99" s="2">
        <f>34+41</f>
        <v>75</v>
      </c>
      <c r="AL99" s="2">
        <f>AK99+AJ99</f>
        <v>263</v>
      </c>
      <c r="AM99" s="2">
        <v>9</v>
      </c>
      <c r="AN99" s="2">
        <v>3</v>
      </c>
      <c r="AO99" s="2">
        <f>AN99+AM99</f>
        <v>12</v>
      </c>
      <c r="BB99" s="9">
        <v>258</v>
      </c>
      <c r="BC99" s="9">
        <v>125</v>
      </c>
      <c r="BD99" s="9">
        <f>BB99+BC99</f>
        <v>383</v>
      </c>
    </row>
    <row r="100" spans="1:56">
      <c r="B100" s="1" t="s">
        <v>23</v>
      </c>
      <c r="C100" s="2" t="s">
        <v>19</v>
      </c>
      <c r="D100" s="2" t="s">
        <v>19</v>
      </c>
      <c r="E100" s="2" t="s">
        <v>19</v>
      </c>
      <c r="O100" s="2" t="s">
        <v>19</v>
      </c>
      <c r="P100" s="2" t="s">
        <v>19</v>
      </c>
      <c r="Q100" s="2" t="s">
        <v>19</v>
      </c>
      <c r="R100" s="2" t="s">
        <v>19</v>
      </c>
      <c r="S100" s="2" t="s">
        <v>19</v>
      </c>
      <c r="T100" s="2" t="s">
        <v>19</v>
      </c>
      <c r="U100" s="2">
        <v>300</v>
      </c>
      <c r="V100" s="2">
        <v>120</v>
      </c>
      <c r="W100" s="2">
        <f t="shared" si="67"/>
        <v>420</v>
      </c>
      <c r="X100" s="2" t="s">
        <v>19</v>
      </c>
      <c r="Y100" s="2" t="s">
        <v>19</v>
      </c>
      <c r="Z100" s="2" t="s">
        <v>19</v>
      </c>
      <c r="AA100" s="2">
        <f>95+78</f>
        <v>173</v>
      </c>
      <c r="AB100" s="2">
        <f>37+47</f>
        <v>84</v>
      </c>
      <c r="AC100" s="2">
        <f>AB100+AA100</f>
        <v>257</v>
      </c>
      <c r="AJ100" s="2">
        <f>116+78</f>
        <v>194</v>
      </c>
      <c r="AK100" s="2">
        <f>36+43</f>
        <v>79</v>
      </c>
      <c r="AL100" s="2">
        <f>AK100+AJ100</f>
        <v>273</v>
      </c>
      <c r="AM100" s="2">
        <v>55</v>
      </c>
      <c r="AN100" s="2">
        <v>21</v>
      </c>
      <c r="AO100" s="2">
        <f>AN100+AM100</f>
        <v>76</v>
      </c>
      <c r="BB100" s="9">
        <v>107</v>
      </c>
      <c r="BC100" s="9">
        <v>74</v>
      </c>
      <c r="BD100" s="9">
        <f>BB100+BC100</f>
        <v>181</v>
      </c>
    </row>
    <row r="101" spans="1:56">
      <c r="B101" s="8" t="s">
        <v>4</v>
      </c>
      <c r="C101" s="2" t="s">
        <v>19</v>
      </c>
      <c r="D101" s="2" t="s">
        <v>19</v>
      </c>
      <c r="E101" s="2" t="s">
        <v>19</v>
      </c>
      <c r="O101" s="2" t="s">
        <v>19</v>
      </c>
      <c r="P101" s="2" t="s">
        <v>19</v>
      </c>
      <c r="Q101" s="2" t="s">
        <v>19</v>
      </c>
      <c r="R101" s="2" t="s">
        <v>19</v>
      </c>
      <c r="S101" s="2" t="s">
        <v>19</v>
      </c>
      <c r="T101" s="2" t="s">
        <v>19</v>
      </c>
      <c r="U101" s="10">
        <f>U100+U99</f>
        <v>523</v>
      </c>
      <c r="V101" s="10">
        <f>V100+V99</f>
        <v>227</v>
      </c>
      <c r="W101" s="2">
        <f t="shared" si="67"/>
        <v>750</v>
      </c>
      <c r="X101" s="2" t="s">
        <v>19</v>
      </c>
      <c r="Y101" s="2" t="s">
        <v>19</v>
      </c>
      <c r="Z101" s="2" t="s">
        <v>19</v>
      </c>
      <c r="AA101" s="10">
        <f>AA100+AA99</f>
        <v>242</v>
      </c>
      <c r="AB101" s="10">
        <f>AB100+AB99</f>
        <v>116</v>
      </c>
      <c r="AC101" s="10">
        <f>AC100+AC99</f>
        <v>358</v>
      </c>
      <c r="AJ101" s="10">
        <f>AJ100+AJ99</f>
        <v>382</v>
      </c>
      <c r="AK101" s="10">
        <f>AK100+AK99</f>
        <v>154</v>
      </c>
      <c r="AL101" s="10">
        <f>AL100+AL99</f>
        <v>536</v>
      </c>
      <c r="AM101" s="10">
        <f>AM100+AM99</f>
        <v>64</v>
      </c>
      <c r="AN101" s="10">
        <f>AN100+AN99</f>
        <v>24</v>
      </c>
      <c r="AO101" s="10">
        <f>AO100+AO99</f>
        <v>88</v>
      </c>
      <c r="BB101" s="9">
        <f>SUM(BB99:BB100)</f>
        <v>365</v>
      </c>
      <c r="BC101" s="9">
        <f>SUM(BC99:BC100)</f>
        <v>199</v>
      </c>
      <c r="BD101" s="9">
        <f>SUM(BD99:BD100)</f>
        <v>564</v>
      </c>
    </row>
    <row r="102" spans="1:56" s="4" customFormat="1">
      <c r="B102" s="8"/>
      <c r="E102" s="2"/>
      <c r="F102" s="2"/>
      <c r="G102" s="2"/>
      <c r="H102" s="2"/>
      <c r="I102" s="2"/>
      <c r="J102" s="2"/>
      <c r="K102" s="2"/>
      <c r="L102" s="2"/>
      <c r="M102" s="2"/>
      <c r="N102" s="2"/>
      <c r="Q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9"/>
      <c r="BC102" s="9"/>
      <c r="BD102" s="9"/>
    </row>
    <row r="103" spans="1:56">
      <c r="A103" s="1" t="s">
        <v>47</v>
      </c>
      <c r="B103" s="1" t="s">
        <v>26</v>
      </c>
      <c r="C103" s="2" t="s">
        <v>19</v>
      </c>
      <c r="D103" s="2" t="s">
        <v>19</v>
      </c>
      <c r="E103" s="2" t="s">
        <v>19</v>
      </c>
      <c r="O103" s="2" t="s">
        <v>19</v>
      </c>
      <c r="P103" s="2" t="s">
        <v>19</v>
      </c>
      <c r="Q103" s="2" t="s">
        <v>19</v>
      </c>
      <c r="R103" s="2" t="s">
        <v>19</v>
      </c>
      <c r="S103" s="2" t="s">
        <v>19</v>
      </c>
      <c r="T103" s="2" t="s">
        <v>19</v>
      </c>
      <c r="BB103" s="9">
        <v>28</v>
      </c>
      <c r="BC103" s="9">
        <v>8</v>
      </c>
      <c r="BD103" s="9">
        <f>BB103+BC103</f>
        <v>36</v>
      </c>
    </row>
    <row r="104" spans="1:56">
      <c r="B104" s="1" t="s">
        <v>27</v>
      </c>
      <c r="C104" s="2" t="s">
        <v>19</v>
      </c>
      <c r="D104" s="2" t="s">
        <v>19</v>
      </c>
      <c r="E104" s="2" t="s">
        <v>19</v>
      </c>
      <c r="O104" s="2" t="s">
        <v>19</v>
      </c>
      <c r="P104" s="2" t="s">
        <v>19</v>
      </c>
      <c r="Q104" s="2" t="s">
        <v>19</v>
      </c>
      <c r="R104" s="2" t="s">
        <v>19</v>
      </c>
      <c r="S104" s="2" t="s">
        <v>19</v>
      </c>
      <c r="T104" s="2" t="s">
        <v>19</v>
      </c>
      <c r="BB104" s="9">
        <v>337</v>
      </c>
      <c r="BC104" s="9">
        <v>191</v>
      </c>
      <c r="BD104" s="9">
        <f>BB104+BC104</f>
        <v>528</v>
      </c>
    </row>
    <row r="105" spans="1:56">
      <c r="B105" s="8" t="s">
        <v>4</v>
      </c>
      <c r="C105" s="2" t="s">
        <v>19</v>
      </c>
      <c r="D105" s="2" t="s">
        <v>19</v>
      </c>
      <c r="E105" s="2" t="s">
        <v>19</v>
      </c>
      <c r="O105" s="2" t="s">
        <v>19</v>
      </c>
      <c r="P105" s="2" t="s">
        <v>19</v>
      </c>
      <c r="Q105" s="2" t="s">
        <v>19</v>
      </c>
      <c r="R105" s="2" t="s">
        <v>19</v>
      </c>
      <c r="S105" s="2" t="s">
        <v>19</v>
      </c>
      <c r="T105" s="2" t="s">
        <v>19</v>
      </c>
    </row>
    <row r="106" spans="1:56" s="4" customFormat="1">
      <c r="B106" s="8"/>
      <c r="E106" s="2"/>
      <c r="F106" s="2"/>
      <c r="G106" s="2"/>
      <c r="H106" s="2"/>
      <c r="I106" s="2"/>
      <c r="J106" s="2"/>
      <c r="K106" s="2"/>
      <c r="L106" s="2"/>
      <c r="M106" s="2"/>
      <c r="N106" s="2"/>
      <c r="Q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9"/>
      <c r="BC106" s="9"/>
      <c r="BD106" s="9"/>
    </row>
    <row r="107" spans="1:56">
      <c r="A107" s="1" t="s">
        <v>48</v>
      </c>
      <c r="B107" s="1" t="s">
        <v>26</v>
      </c>
      <c r="C107" s="2" t="s">
        <v>19</v>
      </c>
      <c r="D107" s="2" t="s">
        <v>19</v>
      </c>
      <c r="E107" s="2" t="s">
        <v>19</v>
      </c>
      <c r="O107" s="2" t="s">
        <v>19</v>
      </c>
      <c r="P107" s="2" t="s">
        <v>19</v>
      </c>
      <c r="Q107" s="2" t="s">
        <v>19</v>
      </c>
      <c r="R107" s="2" t="s">
        <v>19</v>
      </c>
      <c r="S107" s="2" t="s">
        <v>19</v>
      </c>
      <c r="T107" s="2" t="s">
        <v>19</v>
      </c>
      <c r="X107" s="1">
        <v>6</v>
      </c>
      <c r="Y107" s="1">
        <v>11</v>
      </c>
      <c r="Z107" s="1">
        <f>X107+Y107</f>
        <v>17</v>
      </c>
      <c r="BB107" s="9" t="s">
        <v>19</v>
      </c>
      <c r="BC107" s="9" t="s">
        <v>19</v>
      </c>
      <c r="BD107" s="9" t="s">
        <v>19</v>
      </c>
    </row>
    <row r="108" spans="1:56">
      <c r="B108" s="1" t="s">
        <v>27</v>
      </c>
      <c r="C108" s="2" t="s">
        <v>19</v>
      </c>
      <c r="D108" s="2" t="s">
        <v>19</v>
      </c>
      <c r="E108" s="2" t="s">
        <v>19</v>
      </c>
      <c r="O108" s="2" t="s">
        <v>19</v>
      </c>
      <c r="P108" s="2" t="s">
        <v>19</v>
      </c>
      <c r="Q108" s="2" t="s">
        <v>19</v>
      </c>
      <c r="R108" s="2" t="s">
        <v>19</v>
      </c>
      <c r="S108" s="2" t="s">
        <v>19</v>
      </c>
      <c r="T108" s="2" t="s">
        <v>19</v>
      </c>
      <c r="X108" s="1">
        <v>94</v>
      </c>
      <c r="Y108" s="1">
        <v>35</v>
      </c>
      <c r="Z108" s="1">
        <f>X108+Y108</f>
        <v>129</v>
      </c>
      <c r="BB108" s="9" t="s">
        <v>19</v>
      </c>
      <c r="BC108" s="9" t="s">
        <v>19</v>
      </c>
      <c r="BD108" s="9" t="s">
        <v>19</v>
      </c>
    </row>
    <row r="109" spans="1:56" s="4" customFormat="1">
      <c r="B109" s="8" t="s">
        <v>4</v>
      </c>
      <c r="C109" s="2" t="s">
        <v>19</v>
      </c>
      <c r="D109" s="2" t="s">
        <v>19</v>
      </c>
      <c r="E109" s="2" t="s">
        <v>19</v>
      </c>
      <c r="F109" s="2"/>
      <c r="G109" s="2"/>
      <c r="H109" s="2"/>
      <c r="I109" s="2"/>
      <c r="J109" s="2"/>
      <c r="K109" s="2"/>
      <c r="L109" s="2"/>
      <c r="M109" s="2"/>
      <c r="N109" s="2"/>
      <c r="O109" s="2" t="s">
        <v>19</v>
      </c>
      <c r="P109" s="2" t="s">
        <v>19</v>
      </c>
      <c r="Q109" s="2" t="s">
        <v>19</v>
      </c>
      <c r="R109" s="2" t="s">
        <v>19</v>
      </c>
      <c r="S109" s="2" t="s">
        <v>19</v>
      </c>
      <c r="T109" s="2" t="s">
        <v>19</v>
      </c>
      <c r="U109" s="2"/>
      <c r="V109" s="2"/>
      <c r="W109" s="2"/>
      <c r="X109" s="4">
        <f t="shared" ref="X109:Z109" si="71">SUM(X107:X108)</f>
        <v>100</v>
      </c>
      <c r="Y109" s="4">
        <f t="shared" si="71"/>
        <v>46</v>
      </c>
      <c r="Z109" s="4">
        <f t="shared" si="71"/>
        <v>146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9"/>
      <c r="BC109" s="9"/>
      <c r="BD109" s="9"/>
    </row>
    <row r="110" spans="1:56">
      <c r="B110" s="4"/>
    </row>
    <row r="111" spans="1:56">
      <c r="A111" s="1" t="s">
        <v>49</v>
      </c>
      <c r="B111" s="1" t="s">
        <v>50</v>
      </c>
      <c r="C111" s="2" t="s">
        <v>19</v>
      </c>
      <c r="D111" s="2" t="s">
        <v>19</v>
      </c>
      <c r="E111" s="2" t="s">
        <v>19</v>
      </c>
      <c r="O111" s="2" t="s">
        <v>19</v>
      </c>
      <c r="P111" s="2" t="s">
        <v>19</v>
      </c>
      <c r="Q111" s="2" t="s">
        <v>19</v>
      </c>
      <c r="R111" s="2" t="s">
        <v>19</v>
      </c>
      <c r="S111" s="2" t="s">
        <v>19</v>
      </c>
      <c r="T111" s="2" t="s">
        <v>19</v>
      </c>
      <c r="X111" s="1">
        <v>73</v>
      </c>
      <c r="Y111" s="1">
        <v>32</v>
      </c>
      <c r="Z111" s="1">
        <f>X111+Y111</f>
        <v>105</v>
      </c>
      <c r="BB111" s="9" t="s">
        <v>19</v>
      </c>
      <c r="BC111" s="9" t="s">
        <v>19</v>
      </c>
      <c r="BD111" s="9" t="s">
        <v>19</v>
      </c>
    </row>
    <row r="112" spans="1:56">
      <c r="B112" s="1" t="s">
        <v>51</v>
      </c>
      <c r="C112" s="2" t="s">
        <v>19</v>
      </c>
      <c r="D112" s="2" t="s">
        <v>19</v>
      </c>
      <c r="E112" s="2" t="s">
        <v>19</v>
      </c>
      <c r="O112" s="2" t="s">
        <v>19</v>
      </c>
      <c r="P112" s="2" t="s">
        <v>19</v>
      </c>
      <c r="Q112" s="2" t="s">
        <v>19</v>
      </c>
      <c r="R112" s="2" t="s">
        <v>19</v>
      </c>
      <c r="S112" s="2" t="s">
        <v>19</v>
      </c>
      <c r="T112" s="2" t="s">
        <v>19</v>
      </c>
      <c r="X112" s="1">
        <v>25</v>
      </c>
      <c r="Y112" s="1">
        <v>14</v>
      </c>
      <c r="Z112" s="1">
        <f>X112+Y112</f>
        <v>39</v>
      </c>
      <c r="BB112" s="9" t="s">
        <v>19</v>
      </c>
      <c r="BC112" s="9" t="s">
        <v>19</v>
      </c>
      <c r="BD112" s="9" t="s">
        <v>19</v>
      </c>
    </row>
    <row r="113" spans="1:56">
      <c r="B113" s="1" t="s">
        <v>24</v>
      </c>
      <c r="C113" s="2" t="s">
        <v>19</v>
      </c>
      <c r="D113" s="2" t="s">
        <v>19</v>
      </c>
      <c r="E113" s="2" t="s">
        <v>19</v>
      </c>
      <c r="O113" s="2" t="s">
        <v>19</v>
      </c>
      <c r="P113" s="2" t="s">
        <v>19</v>
      </c>
      <c r="Q113" s="2" t="s">
        <v>19</v>
      </c>
      <c r="R113" s="2" t="s">
        <v>19</v>
      </c>
      <c r="S113" s="2" t="s">
        <v>19</v>
      </c>
      <c r="T113" s="2" t="s">
        <v>19</v>
      </c>
      <c r="X113" s="1">
        <v>2</v>
      </c>
      <c r="Y113" s="1">
        <v>0</v>
      </c>
      <c r="Z113" s="1">
        <f>X113+Y113</f>
        <v>2</v>
      </c>
      <c r="BB113" s="9" t="s">
        <v>19</v>
      </c>
      <c r="BC113" s="9" t="s">
        <v>19</v>
      </c>
      <c r="BD113" s="9" t="s">
        <v>19</v>
      </c>
    </row>
    <row r="114" spans="1:56">
      <c r="B114" s="8" t="s">
        <v>4</v>
      </c>
      <c r="X114" s="1">
        <f>SUM(X111:X113)</f>
        <v>100</v>
      </c>
      <c r="Y114" s="1">
        <f>SUM(Y111:Y113)</f>
        <v>46</v>
      </c>
      <c r="Z114" s="1">
        <f>SUM(Z111:Z113)</f>
        <v>146</v>
      </c>
    </row>
    <row r="115" spans="1:56" s="4" customFormat="1">
      <c r="B115" s="8"/>
      <c r="E115" s="2"/>
      <c r="F115" s="2"/>
      <c r="G115" s="2"/>
      <c r="H115" s="2"/>
      <c r="I115" s="2"/>
      <c r="J115" s="2"/>
      <c r="K115" s="2"/>
      <c r="L115" s="2"/>
      <c r="M115" s="2"/>
      <c r="N115" s="2"/>
      <c r="Q115" s="2"/>
      <c r="T115" s="2"/>
      <c r="U115" s="2"/>
      <c r="V115" s="2"/>
      <c r="W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9"/>
      <c r="BC115" s="9"/>
      <c r="BD115" s="9"/>
    </row>
    <row r="116" spans="1:56">
      <c r="A116" s="1" t="s">
        <v>52</v>
      </c>
      <c r="C116" s="2" t="s">
        <v>19</v>
      </c>
      <c r="D116" s="2" t="s">
        <v>19</v>
      </c>
      <c r="E116" s="2" t="s">
        <v>19</v>
      </c>
      <c r="O116" s="2" t="s">
        <v>19</v>
      </c>
      <c r="P116" s="2" t="s">
        <v>19</v>
      </c>
      <c r="Q116" s="2" t="s">
        <v>19</v>
      </c>
      <c r="R116" s="2" t="s">
        <v>19</v>
      </c>
      <c r="S116" s="2" t="s">
        <v>19</v>
      </c>
      <c r="T116" s="2" t="s">
        <v>19</v>
      </c>
      <c r="X116" s="1">
        <v>21</v>
      </c>
      <c r="Y116" s="1">
        <v>5</v>
      </c>
      <c r="Z116" s="1">
        <f>X116+Y116</f>
        <v>26</v>
      </c>
      <c r="BB116" s="9" t="s">
        <v>19</v>
      </c>
      <c r="BC116" s="9" t="s">
        <v>19</v>
      </c>
    </row>
    <row r="117" spans="1:56">
      <c r="C117" s="2" t="s">
        <v>19</v>
      </c>
      <c r="D117" s="2" t="s">
        <v>19</v>
      </c>
      <c r="E117" s="2" t="s">
        <v>19</v>
      </c>
      <c r="O117" s="2" t="s">
        <v>19</v>
      </c>
      <c r="P117" s="2" t="s">
        <v>19</v>
      </c>
      <c r="Q117" s="2" t="s">
        <v>19</v>
      </c>
      <c r="R117" s="2" t="s">
        <v>19</v>
      </c>
      <c r="S117" s="2" t="s">
        <v>19</v>
      </c>
      <c r="T117" s="2" t="s">
        <v>19</v>
      </c>
      <c r="X117" s="1">
        <v>12</v>
      </c>
      <c r="Y117" s="1">
        <v>1</v>
      </c>
      <c r="Z117" s="1">
        <f>X117+Y117</f>
        <v>13</v>
      </c>
      <c r="BB117" s="9" t="s">
        <v>19</v>
      </c>
      <c r="BC117" s="9" t="s">
        <v>19</v>
      </c>
    </row>
    <row r="118" spans="1:56">
      <c r="B118" s="4"/>
      <c r="C118" s="2" t="s">
        <v>19</v>
      </c>
      <c r="D118" s="2" t="s">
        <v>19</v>
      </c>
      <c r="E118" s="2" t="s">
        <v>19</v>
      </c>
      <c r="O118" s="2" t="s">
        <v>19</v>
      </c>
      <c r="P118" s="2" t="s">
        <v>19</v>
      </c>
      <c r="Q118" s="2" t="s">
        <v>19</v>
      </c>
      <c r="R118" s="2" t="s">
        <v>19</v>
      </c>
      <c r="S118" s="2" t="s">
        <v>19</v>
      </c>
      <c r="T118" s="2" t="s">
        <v>19</v>
      </c>
      <c r="X118" s="1">
        <f>SUM(X116:X117)</f>
        <v>33</v>
      </c>
      <c r="Y118" s="1">
        <f>SUM(Y116:Y117)</f>
        <v>6</v>
      </c>
      <c r="Z118" s="1">
        <f>SUM(Z116:Z117)</f>
        <v>39</v>
      </c>
      <c r="BB118" s="9" t="s">
        <v>19</v>
      </c>
      <c r="BC118" s="9" t="s">
        <v>19</v>
      </c>
    </row>
    <row r="120" spans="1:56">
      <c r="A120" s="3" t="s">
        <v>53</v>
      </c>
      <c r="B120" s="4">
        <v>0</v>
      </c>
      <c r="C120" s="2" t="s">
        <v>19</v>
      </c>
      <c r="D120" s="2" t="s">
        <v>19</v>
      </c>
      <c r="E120" s="2" t="s">
        <v>19</v>
      </c>
      <c r="O120" s="2" t="s">
        <v>19</v>
      </c>
      <c r="P120" s="2" t="s">
        <v>19</v>
      </c>
      <c r="Q120" s="2" t="s">
        <v>19</v>
      </c>
      <c r="R120" s="2" t="s">
        <v>19</v>
      </c>
      <c r="S120" s="2" t="s">
        <v>19</v>
      </c>
      <c r="T120" s="2" t="s">
        <v>19</v>
      </c>
      <c r="X120" s="2" t="s">
        <v>19</v>
      </c>
      <c r="Y120" s="2" t="s">
        <v>19</v>
      </c>
      <c r="Z120" s="2" t="s">
        <v>19</v>
      </c>
      <c r="BB120" s="9" t="s">
        <v>19</v>
      </c>
      <c r="BC120" s="9" t="s">
        <v>19</v>
      </c>
      <c r="BD120" s="9" t="s">
        <v>19</v>
      </c>
    </row>
    <row r="121" spans="1:56">
      <c r="A121" s="3"/>
      <c r="B121" s="4">
        <v>1</v>
      </c>
      <c r="C121" s="2" t="s">
        <v>19</v>
      </c>
      <c r="D121" s="2" t="s">
        <v>19</v>
      </c>
      <c r="E121" s="2" t="s">
        <v>19</v>
      </c>
      <c r="O121" s="2" t="s">
        <v>19</v>
      </c>
      <c r="P121" s="2" t="s">
        <v>19</v>
      </c>
      <c r="Q121" s="2" t="s">
        <v>19</v>
      </c>
      <c r="R121" s="2" t="s">
        <v>19</v>
      </c>
      <c r="S121" s="2" t="s">
        <v>19</v>
      </c>
      <c r="T121" s="2" t="s">
        <v>19</v>
      </c>
      <c r="X121" s="2" t="s">
        <v>19</v>
      </c>
      <c r="Y121" s="2" t="s">
        <v>19</v>
      </c>
      <c r="Z121" s="2" t="s">
        <v>19</v>
      </c>
      <c r="BB121" s="9" t="s">
        <v>19</v>
      </c>
      <c r="BC121" s="9" t="s">
        <v>19</v>
      </c>
      <c r="BD121" s="9" t="s">
        <v>19</v>
      </c>
    </row>
    <row r="122" spans="1:56">
      <c r="A122" s="3"/>
      <c r="B122" s="1">
        <v>2</v>
      </c>
      <c r="C122" s="2" t="s">
        <v>19</v>
      </c>
      <c r="D122" s="2" t="s">
        <v>19</v>
      </c>
      <c r="E122" s="2" t="s">
        <v>19</v>
      </c>
      <c r="O122" s="2" t="s">
        <v>19</v>
      </c>
      <c r="P122" s="2" t="s">
        <v>19</v>
      </c>
      <c r="Q122" s="2" t="s">
        <v>19</v>
      </c>
      <c r="R122" s="2" t="s">
        <v>19</v>
      </c>
      <c r="S122" s="2" t="s">
        <v>19</v>
      </c>
      <c r="T122" s="2" t="s">
        <v>19</v>
      </c>
      <c r="X122" s="2" t="s">
        <v>19</v>
      </c>
      <c r="Y122" s="2" t="s">
        <v>19</v>
      </c>
      <c r="Z122" s="2" t="s">
        <v>19</v>
      </c>
      <c r="BB122" s="9" t="s">
        <v>19</v>
      </c>
      <c r="BC122" s="9" t="s">
        <v>19</v>
      </c>
      <c r="BD122" s="9" t="s">
        <v>19</v>
      </c>
    </row>
    <row r="123" spans="1:56">
      <c r="A123" s="3"/>
      <c r="B123" s="4" t="s">
        <v>4</v>
      </c>
      <c r="C123" s="2" t="s">
        <v>19</v>
      </c>
      <c r="D123" s="2" t="s">
        <v>19</v>
      </c>
      <c r="E123" s="2" t="s">
        <v>19</v>
      </c>
      <c r="O123" s="2" t="s">
        <v>19</v>
      </c>
      <c r="P123" s="2" t="s">
        <v>19</v>
      </c>
      <c r="Q123" s="2" t="s">
        <v>19</v>
      </c>
      <c r="R123" s="2" t="s">
        <v>19</v>
      </c>
      <c r="S123" s="2" t="s">
        <v>19</v>
      </c>
      <c r="T123" s="2" t="s">
        <v>19</v>
      </c>
      <c r="X123" s="2" t="s">
        <v>19</v>
      </c>
      <c r="Y123" s="2" t="s">
        <v>19</v>
      </c>
      <c r="Z123" s="2" t="s">
        <v>19</v>
      </c>
      <c r="BB123" s="9" t="s">
        <v>19</v>
      </c>
      <c r="BC123" s="9" t="s">
        <v>19</v>
      </c>
      <c r="BD123" s="9" t="s">
        <v>19</v>
      </c>
    </row>
    <row r="124" spans="1:56">
      <c r="B124" s="4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</row>
    <row r="125" spans="1:56">
      <c r="A125" s="1" t="s">
        <v>54</v>
      </c>
      <c r="B125" s="4" t="s">
        <v>72</v>
      </c>
      <c r="C125" s="2" t="s">
        <v>19</v>
      </c>
      <c r="D125" s="2" t="s">
        <v>19</v>
      </c>
      <c r="E125" s="2" t="s">
        <v>19</v>
      </c>
      <c r="O125" s="2" t="s">
        <v>19</v>
      </c>
      <c r="P125" s="2" t="s">
        <v>19</v>
      </c>
      <c r="Q125" s="2" t="s">
        <v>19</v>
      </c>
      <c r="R125" s="2" t="s">
        <v>19</v>
      </c>
      <c r="S125" s="2" t="s">
        <v>19</v>
      </c>
      <c r="T125" s="2" t="s">
        <v>19</v>
      </c>
      <c r="X125" s="2" t="s">
        <v>19</v>
      </c>
      <c r="Y125" s="2" t="s">
        <v>19</v>
      </c>
      <c r="Z125" s="2" t="s">
        <v>19</v>
      </c>
      <c r="BB125" s="9" t="s">
        <v>19</v>
      </c>
      <c r="BC125" s="9" t="s">
        <v>19</v>
      </c>
      <c r="BD125" s="9" t="s">
        <v>19</v>
      </c>
    </row>
    <row r="126" spans="1:56">
      <c r="B126" s="4" t="s">
        <v>73</v>
      </c>
      <c r="C126" s="2" t="s">
        <v>19</v>
      </c>
      <c r="D126" s="2" t="s">
        <v>19</v>
      </c>
      <c r="E126" s="2" t="s">
        <v>19</v>
      </c>
      <c r="O126" s="2" t="s">
        <v>19</v>
      </c>
      <c r="P126" s="2" t="s">
        <v>19</v>
      </c>
      <c r="Q126" s="2" t="s">
        <v>19</v>
      </c>
      <c r="R126" s="2" t="s">
        <v>19</v>
      </c>
      <c r="S126" s="2" t="s">
        <v>19</v>
      </c>
      <c r="T126" s="2" t="s">
        <v>19</v>
      </c>
      <c r="X126" s="2" t="s">
        <v>19</v>
      </c>
      <c r="Y126" s="2" t="s">
        <v>19</v>
      </c>
      <c r="Z126" s="2" t="s">
        <v>19</v>
      </c>
      <c r="BB126" s="9" t="s">
        <v>19</v>
      </c>
      <c r="BC126" s="9" t="s">
        <v>19</v>
      </c>
      <c r="BD126" s="9" t="s">
        <v>19</v>
      </c>
    </row>
    <row r="127" spans="1:56">
      <c r="B127" s="4" t="s">
        <v>74</v>
      </c>
      <c r="C127" s="2" t="s">
        <v>19</v>
      </c>
      <c r="D127" s="2" t="s">
        <v>19</v>
      </c>
      <c r="E127" s="2" t="s">
        <v>19</v>
      </c>
      <c r="O127" s="2" t="s">
        <v>19</v>
      </c>
      <c r="P127" s="2" t="s">
        <v>19</v>
      </c>
      <c r="Q127" s="2" t="s">
        <v>19</v>
      </c>
      <c r="R127" s="2" t="s">
        <v>19</v>
      </c>
      <c r="S127" s="2" t="s">
        <v>19</v>
      </c>
      <c r="T127" s="2" t="s">
        <v>19</v>
      </c>
      <c r="X127" s="2" t="s">
        <v>19</v>
      </c>
      <c r="Y127" s="2" t="s">
        <v>19</v>
      </c>
      <c r="Z127" s="2" t="s">
        <v>19</v>
      </c>
      <c r="BB127" s="9" t="s">
        <v>19</v>
      </c>
      <c r="BC127" s="9" t="s">
        <v>19</v>
      </c>
      <c r="BD127" s="9" t="s">
        <v>19</v>
      </c>
    </row>
    <row r="128" spans="1:56">
      <c r="B128" s="4" t="s">
        <v>75</v>
      </c>
      <c r="C128" s="2" t="s">
        <v>19</v>
      </c>
      <c r="D128" s="2" t="s">
        <v>19</v>
      </c>
      <c r="E128" s="2" t="s">
        <v>19</v>
      </c>
      <c r="O128" s="2" t="s">
        <v>19</v>
      </c>
      <c r="P128" s="2" t="s">
        <v>19</v>
      </c>
      <c r="Q128" s="2" t="s">
        <v>19</v>
      </c>
      <c r="R128" s="2" t="s">
        <v>19</v>
      </c>
      <c r="S128" s="2" t="s">
        <v>19</v>
      </c>
      <c r="T128" s="2" t="s">
        <v>19</v>
      </c>
      <c r="X128" s="2" t="s">
        <v>19</v>
      </c>
      <c r="Y128" s="2" t="s">
        <v>19</v>
      </c>
      <c r="Z128" s="2" t="s">
        <v>19</v>
      </c>
      <c r="BB128" s="9" t="s">
        <v>19</v>
      </c>
      <c r="BC128" s="9" t="s">
        <v>19</v>
      </c>
      <c r="BD128" s="9" t="s">
        <v>19</v>
      </c>
    </row>
    <row r="129" spans="1:56">
      <c r="B129" s="4" t="s">
        <v>76</v>
      </c>
      <c r="C129" s="2" t="s">
        <v>19</v>
      </c>
      <c r="D129" s="2" t="s">
        <v>19</v>
      </c>
      <c r="E129" s="2" t="s">
        <v>19</v>
      </c>
      <c r="O129" s="2" t="s">
        <v>19</v>
      </c>
      <c r="P129" s="2" t="s">
        <v>19</v>
      </c>
      <c r="Q129" s="2" t="s">
        <v>19</v>
      </c>
      <c r="R129" s="2" t="s">
        <v>19</v>
      </c>
      <c r="S129" s="2" t="s">
        <v>19</v>
      </c>
      <c r="T129" s="2" t="s">
        <v>19</v>
      </c>
      <c r="X129" s="2" t="s">
        <v>19</v>
      </c>
      <c r="Y129" s="2" t="s">
        <v>19</v>
      </c>
      <c r="Z129" s="2" t="s">
        <v>19</v>
      </c>
      <c r="BB129" s="9" t="s">
        <v>19</v>
      </c>
      <c r="BC129" s="9" t="s">
        <v>19</v>
      </c>
      <c r="BD129" s="9" t="s">
        <v>19</v>
      </c>
    </row>
    <row r="130" spans="1:56">
      <c r="B130" s="8" t="s">
        <v>4</v>
      </c>
      <c r="C130" s="2" t="s">
        <v>19</v>
      </c>
      <c r="D130" s="2" t="s">
        <v>19</v>
      </c>
      <c r="E130" s="2" t="s">
        <v>19</v>
      </c>
      <c r="O130" s="2" t="s">
        <v>19</v>
      </c>
      <c r="P130" s="2" t="s">
        <v>19</v>
      </c>
      <c r="Q130" s="2" t="s">
        <v>19</v>
      </c>
      <c r="R130" s="2" t="s">
        <v>19</v>
      </c>
      <c r="S130" s="2" t="s">
        <v>19</v>
      </c>
      <c r="T130" s="2" t="s">
        <v>19</v>
      </c>
      <c r="X130" s="2" t="s">
        <v>19</v>
      </c>
      <c r="Y130" s="2" t="s">
        <v>19</v>
      </c>
      <c r="Z130" s="2" t="s">
        <v>19</v>
      </c>
      <c r="BB130" s="9" t="s">
        <v>19</v>
      </c>
      <c r="BC130" s="9" t="s">
        <v>19</v>
      </c>
      <c r="BD130" s="9" t="s">
        <v>19</v>
      </c>
    </row>
    <row r="132" spans="1:56" ht="28.8">
      <c r="A132" s="1" t="s">
        <v>59</v>
      </c>
      <c r="B132" s="7" t="s">
        <v>78</v>
      </c>
      <c r="C132" s="2" t="s">
        <v>19</v>
      </c>
      <c r="D132" s="2" t="s">
        <v>19</v>
      </c>
      <c r="E132" s="2" t="s">
        <v>19</v>
      </c>
      <c r="O132" s="2" t="s">
        <v>19</v>
      </c>
      <c r="P132" s="2" t="s">
        <v>19</v>
      </c>
      <c r="Q132" s="2" t="s">
        <v>19</v>
      </c>
      <c r="R132" s="2" t="s">
        <v>19</v>
      </c>
      <c r="S132" s="2" t="s">
        <v>19</v>
      </c>
      <c r="T132" s="2" t="s">
        <v>19</v>
      </c>
      <c r="X132" s="2" t="s">
        <v>19</v>
      </c>
      <c r="Y132" s="2" t="s">
        <v>19</v>
      </c>
      <c r="Z132" s="2" t="s">
        <v>19</v>
      </c>
      <c r="BB132" s="9" t="s">
        <v>19</v>
      </c>
      <c r="BC132" s="9" t="s">
        <v>19</v>
      </c>
      <c r="BD132" s="9" t="s">
        <v>19</v>
      </c>
    </row>
    <row r="133" spans="1:56" ht="28.8">
      <c r="B133" s="7" t="s">
        <v>79</v>
      </c>
      <c r="C133" s="2" t="s">
        <v>19</v>
      </c>
      <c r="D133" s="2" t="s">
        <v>19</v>
      </c>
      <c r="E133" s="2" t="s">
        <v>19</v>
      </c>
      <c r="O133" s="2" t="s">
        <v>19</v>
      </c>
      <c r="P133" s="2" t="s">
        <v>19</v>
      </c>
      <c r="Q133" s="2" t="s">
        <v>19</v>
      </c>
      <c r="R133" s="2" t="s">
        <v>19</v>
      </c>
      <c r="S133" s="2" t="s">
        <v>19</v>
      </c>
      <c r="T133" s="2" t="s">
        <v>19</v>
      </c>
      <c r="X133" s="2" t="s">
        <v>19</v>
      </c>
      <c r="Y133" s="2" t="s">
        <v>19</v>
      </c>
      <c r="Z133" s="2" t="s">
        <v>19</v>
      </c>
      <c r="BB133" s="9" t="s">
        <v>19</v>
      </c>
      <c r="BC133" s="9" t="s">
        <v>19</v>
      </c>
      <c r="BD133" s="9" t="s">
        <v>19</v>
      </c>
    </row>
    <row r="134" spans="1:56">
      <c r="B134" s="8" t="s">
        <v>4</v>
      </c>
      <c r="C134" s="2" t="s">
        <v>19</v>
      </c>
      <c r="D134" s="2" t="s">
        <v>19</v>
      </c>
      <c r="E134" s="2" t="s">
        <v>19</v>
      </c>
      <c r="O134" s="2" t="s">
        <v>19</v>
      </c>
      <c r="P134" s="2" t="s">
        <v>19</v>
      </c>
      <c r="Q134" s="2" t="s">
        <v>19</v>
      </c>
      <c r="R134" s="2" t="s">
        <v>19</v>
      </c>
      <c r="S134" s="2" t="s">
        <v>19</v>
      </c>
      <c r="T134" s="2" t="s">
        <v>19</v>
      </c>
      <c r="X134" s="2" t="s">
        <v>19</v>
      </c>
      <c r="Y134" s="2" t="s">
        <v>19</v>
      </c>
      <c r="Z134" s="2" t="s">
        <v>19</v>
      </c>
      <c r="BB134" s="9" t="s">
        <v>19</v>
      </c>
      <c r="BC134" s="9" t="s">
        <v>19</v>
      </c>
      <c r="BD134" s="9" t="s">
        <v>19</v>
      </c>
    </row>
    <row r="136" spans="1:56" ht="28.8">
      <c r="A136" s="1" t="s">
        <v>60</v>
      </c>
      <c r="B136" s="7" t="s">
        <v>77</v>
      </c>
      <c r="C136" s="2" t="s">
        <v>19</v>
      </c>
      <c r="D136" s="2" t="s">
        <v>19</v>
      </c>
      <c r="E136" s="2" t="s">
        <v>19</v>
      </c>
      <c r="O136" s="2" t="s">
        <v>19</v>
      </c>
      <c r="P136" s="2" t="s">
        <v>19</v>
      </c>
      <c r="Q136" s="2" t="s">
        <v>19</v>
      </c>
      <c r="R136" s="2" t="s">
        <v>19</v>
      </c>
      <c r="S136" s="2" t="s">
        <v>19</v>
      </c>
      <c r="T136" s="2" t="s">
        <v>19</v>
      </c>
      <c r="X136" s="2" t="s">
        <v>19</v>
      </c>
      <c r="Y136" s="2" t="s">
        <v>19</v>
      </c>
      <c r="Z136" s="2" t="s">
        <v>19</v>
      </c>
      <c r="BB136" s="9" t="s">
        <v>19</v>
      </c>
      <c r="BC136" s="9" t="s">
        <v>19</v>
      </c>
      <c r="BD136" s="9" t="s">
        <v>19</v>
      </c>
    </row>
    <row r="137" spans="1:56" ht="43.2">
      <c r="B137" s="7" t="s">
        <v>80</v>
      </c>
      <c r="C137" s="2" t="s">
        <v>19</v>
      </c>
      <c r="D137" s="2" t="s">
        <v>19</v>
      </c>
      <c r="E137" s="2" t="s">
        <v>19</v>
      </c>
      <c r="O137" s="2" t="s">
        <v>19</v>
      </c>
      <c r="P137" s="2" t="s">
        <v>19</v>
      </c>
      <c r="Q137" s="2" t="s">
        <v>19</v>
      </c>
      <c r="R137" s="2" t="s">
        <v>19</v>
      </c>
      <c r="S137" s="2" t="s">
        <v>19</v>
      </c>
      <c r="T137" s="2" t="s">
        <v>19</v>
      </c>
      <c r="X137" s="2" t="s">
        <v>19</v>
      </c>
      <c r="Y137" s="2" t="s">
        <v>19</v>
      </c>
      <c r="Z137" s="2" t="s">
        <v>19</v>
      </c>
      <c r="BB137" s="9" t="s">
        <v>19</v>
      </c>
      <c r="BC137" s="9" t="s">
        <v>19</v>
      </c>
      <c r="BD137" s="9" t="s">
        <v>19</v>
      </c>
    </row>
    <row r="138" spans="1:56">
      <c r="B138" s="8" t="s">
        <v>72</v>
      </c>
      <c r="C138" s="2" t="s">
        <v>19</v>
      </c>
      <c r="D138" s="2" t="s">
        <v>19</v>
      </c>
      <c r="E138" s="2" t="s">
        <v>19</v>
      </c>
      <c r="O138" s="2" t="s">
        <v>19</v>
      </c>
      <c r="P138" s="2" t="s">
        <v>19</v>
      </c>
      <c r="Q138" s="2" t="s">
        <v>19</v>
      </c>
      <c r="R138" s="2" t="s">
        <v>19</v>
      </c>
      <c r="S138" s="2" t="s">
        <v>19</v>
      </c>
      <c r="T138" s="2" t="s">
        <v>19</v>
      </c>
      <c r="X138" s="2" t="s">
        <v>19</v>
      </c>
      <c r="Y138" s="2" t="s">
        <v>19</v>
      </c>
      <c r="Z138" s="2" t="s">
        <v>19</v>
      </c>
      <c r="BB138" s="9" t="s">
        <v>19</v>
      </c>
      <c r="BC138" s="9" t="s">
        <v>19</v>
      </c>
      <c r="BD138" s="9" t="s">
        <v>19</v>
      </c>
    </row>
    <row r="139" spans="1:56">
      <c r="B139" s="8" t="s">
        <v>4</v>
      </c>
      <c r="C139" s="2" t="s">
        <v>19</v>
      </c>
      <c r="D139" s="2" t="s">
        <v>19</v>
      </c>
      <c r="E139" s="2" t="s">
        <v>19</v>
      </c>
      <c r="O139" s="2" t="s">
        <v>19</v>
      </c>
      <c r="P139" s="2" t="s">
        <v>19</v>
      </c>
      <c r="Q139" s="2" t="s">
        <v>19</v>
      </c>
      <c r="R139" s="2" t="s">
        <v>19</v>
      </c>
      <c r="S139" s="2" t="s">
        <v>19</v>
      </c>
      <c r="T139" s="2" t="s">
        <v>19</v>
      </c>
      <c r="X139" s="2" t="s">
        <v>19</v>
      </c>
      <c r="Y139" s="2" t="s">
        <v>19</v>
      </c>
      <c r="Z139" s="2" t="s">
        <v>19</v>
      </c>
      <c r="BB139" s="9" t="s">
        <v>19</v>
      </c>
      <c r="BC139" s="9" t="s">
        <v>19</v>
      </c>
      <c r="BD139" s="9" t="s">
        <v>19</v>
      </c>
    </row>
    <row r="141" spans="1:56" ht="28.8">
      <c r="A141" s="1" t="s">
        <v>61</v>
      </c>
      <c r="B141" s="7" t="s">
        <v>81</v>
      </c>
      <c r="C141" s="2" t="s">
        <v>19</v>
      </c>
      <c r="D141" s="2" t="s">
        <v>19</v>
      </c>
      <c r="E141" s="2" t="s">
        <v>19</v>
      </c>
      <c r="O141" s="2" t="s">
        <v>19</v>
      </c>
      <c r="P141" s="2" t="s">
        <v>19</v>
      </c>
      <c r="Q141" s="2" t="s">
        <v>19</v>
      </c>
      <c r="R141" s="2" t="s">
        <v>19</v>
      </c>
      <c r="S141" s="2" t="s">
        <v>19</v>
      </c>
      <c r="T141" s="2" t="s">
        <v>19</v>
      </c>
      <c r="X141" s="2" t="s">
        <v>19</v>
      </c>
      <c r="Y141" s="2" t="s">
        <v>19</v>
      </c>
      <c r="Z141" s="2" t="s">
        <v>19</v>
      </c>
      <c r="BB141" s="9" t="s">
        <v>19</v>
      </c>
      <c r="BC141" s="9" t="s">
        <v>19</v>
      </c>
      <c r="BD141" s="9" t="s">
        <v>19</v>
      </c>
    </row>
    <row r="142" spans="1:56" ht="28.8">
      <c r="B142" s="7" t="s">
        <v>82</v>
      </c>
      <c r="C142" s="2" t="s">
        <v>19</v>
      </c>
      <c r="D142" s="2" t="s">
        <v>19</v>
      </c>
      <c r="E142" s="2" t="s">
        <v>19</v>
      </c>
      <c r="O142" s="2" t="s">
        <v>19</v>
      </c>
      <c r="P142" s="2" t="s">
        <v>19</v>
      </c>
      <c r="Q142" s="2" t="s">
        <v>19</v>
      </c>
      <c r="R142" s="2" t="s">
        <v>19</v>
      </c>
      <c r="S142" s="2" t="s">
        <v>19</v>
      </c>
      <c r="T142" s="2" t="s">
        <v>19</v>
      </c>
      <c r="X142" s="2" t="s">
        <v>19</v>
      </c>
      <c r="Y142" s="2" t="s">
        <v>19</v>
      </c>
      <c r="Z142" s="2" t="s">
        <v>19</v>
      </c>
      <c r="BB142" s="9" t="s">
        <v>19</v>
      </c>
      <c r="BC142" s="9" t="s">
        <v>19</v>
      </c>
      <c r="BD142" s="9" t="s">
        <v>19</v>
      </c>
    </row>
    <row r="143" spans="1:56">
      <c r="B143" s="8" t="s">
        <v>4</v>
      </c>
      <c r="C143" s="2" t="s">
        <v>19</v>
      </c>
      <c r="D143" s="2" t="s">
        <v>19</v>
      </c>
      <c r="E143" s="2" t="s">
        <v>19</v>
      </c>
      <c r="O143" s="2" t="s">
        <v>19</v>
      </c>
      <c r="P143" s="2" t="s">
        <v>19</v>
      </c>
      <c r="Q143" s="2" t="s">
        <v>19</v>
      </c>
      <c r="R143" s="2" t="s">
        <v>19</v>
      </c>
      <c r="S143" s="2" t="s">
        <v>19</v>
      </c>
      <c r="T143" s="2" t="s">
        <v>19</v>
      </c>
      <c r="X143" s="2" t="s">
        <v>19</v>
      </c>
      <c r="Y143" s="2" t="s">
        <v>19</v>
      </c>
      <c r="Z143" s="2" t="s">
        <v>19</v>
      </c>
      <c r="BB143" s="9" t="s">
        <v>19</v>
      </c>
      <c r="BC143" s="9" t="s">
        <v>19</v>
      </c>
      <c r="BD143" s="9" t="s">
        <v>19</v>
      </c>
    </row>
    <row r="144" spans="1:56">
      <c r="C144" s="2" t="s">
        <v>19</v>
      </c>
      <c r="D144" s="2" t="s">
        <v>19</v>
      </c>
      <c r="E144" s="2" t="s">
        <v>19</v>
      </c>
      <c r="O144" s="2" t="s">
        <v>19</v>
      </c>
      <c r="P144" s="2" t="s">
        <v>19</v>
      </c>
      <c r="Q144" s="2" t="s">
        <v>19</v>
      </c>
      <c r="R144" s="2" t="s">
        <v>19</v>
      </c>
      <c r="S144" s="2" t="s">
        <v>19</v>
      </c>
      <c r="T144" s="2" t="s">
        <v>19</v>
      </c>
      <c r="X144" s="2" t="s">
        <v>19</v>
      </c>
      <c r="Y144" s="2" t="s">
        <v>19</v>
      </c>
      <c r="Z144" s="2" t="s">
        <v>19</v>
      </c>
      <c r="BB144" s="9" t="s">
        <v>19</v>
      </c>
      <c r="BC144" s="9" t="s">
        <v>19</v>
      </c>
      <c r="BD144" s="9" t="s">
        <v>19</v>
      </c>
    </row>
  </sheetData>
  <mergeCells count="18">
    <mergeCell ref="C1:E1"/>
    <mergeCell ref="F1:H1"/>
    <mergeCell ref="I1:K1"/>
    <mergeCell ref="L1:N1"/>
    <mergeCell ref="U1:W1"/>
    <mergeCell ref="BB1:BD1"/>
    <mergeCell ref="O1:Q1"/>
    <mergeCell ref="R1:T1"/>
    <mergeCell ref="AA1:AC1"/>
    <mergeCell ref="X1:Z1"/>
    <mergeCell ref="AD1:AF1"/>
    <mergeCell ref="AV1:AX1"/>
    <mergeCell ref="AY1:BA1"/>
    <mergeCell ref="AG1:AI1"/>
    <mergeCell ref="AJ1:AL1"/>
    <mergeCell ref="AM1:AO1"/>
    <mergeCell ref="AP1:AR1"/>
    <mergeCell ref="AS1:AU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Belias</dc:creator>
  <cp:lastModifiedBy>Michael Belias</cp:lastModifiedBy>
  <dcterms:created xsi:type="dcterms:W3CDTF">2015-06-05T18:17:00Z</dcterms:created>
  <dcterms:modified xsi:type="dcterms:W3CDTF">2021-07-17T12:29:39Z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2057-11.2.0.9031</vt:lpwstr>
  </property>
</Properties>
</file>