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Documents\Antonis-Margonis\"/>
    </mc:Choice>
  </mc:AlternateContent>
  <xr:revisionPtr revIDLastSave="0" documentId="13_ncr:1_{BCFF8E92-7AF9-487D-AA72-33DD67C53A8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0" i="1" l="1"/>
  <c r="Q89" i="1"/>
  <c r="Q88" i="1"/>
  <c r="Z151" i="1"/>
  <c r="Z152" i="1"/>
  <c r="Y153" i="1"/>
  <c r="Z153" i="1" s="1"/>
  <c r="X153" i="1"/>
  <c r="Z146" i="1"/>
  <c r="Z147" i="1"/>
  <c r="Z148" i="1"/>
  <c r="Z149" i="1"/>
  <c r="Y149" i="1"/>
  <c r="X149" i="1"/>
  <c r="Z143" i="1"/>
  <c r="Z142" i="1"/>
  <c r="Z144" i="1"/>
  <c r="Y144" i="1"/>
  <c r="X144" i="1"/>
  <c r="Z35" i="1"/>
  <c r="Z34" i="1"/>
  <c r="Y36" i="1"/>
  <c r="X36" i="1"/>
  <c r="Z36" i="1" s="1"/>
  <c r="Z136" i="1"/>
  <c r="Z137" i="1"/>
  <c r="Z138" i="1"/>
  <c r="Z139" i="1"/>
  <c r="Z135" i="1"/>
  <c r="Z131" i="1"/>
  <c r="Z132" i="1"/>
  <c r="Z130" i="1"/>
  <c r="Y140" i="1"/>
  <c r="X140" i="1"/>
  <c r="Z140" i="1" s="1"/>
  <c r="Y133" i="1"/>
  <c r="X133" i="1"/>
  <c r="Z133" i="1" s="1"/>
  <c r="Y28" i="1"/>
  <c r="Z28" i="1" s="1"/>
  <c r="X28" i="1"/>
  <c r="V128" i="1"/>
  <c r="U128" i="1"/>
  <c r="V124" i="1"/>
  <c r="U124" i="1"/>
  <c r="V119" i="1"/>
  <c r="U119" i="1"/>
  <c r="U103" i="1"/>
  <c r="V103" i="1"/>
  <c r="V70" i="1"/>
  <c r="U70" i="1"/>
  <c r="W28" i="1"/>
  <c r="V28" i="1"/>
  <c r="U28" i="1"/>
  <c r="S40" i="1"/>
  <c r="R40" i="1"/>
  <c r="S70" i="1"/>
  <c r="R70" i="1"/>
  <c r="S111" i="1"/>
  <c r="R111" i="1"/>
  <c r="S103" i="1"/>
  <c r="R103" i="1"/>
  <c r="S95" i="1"/>
  <c r="R95" i="1"/>
  <c r="S91" i="1"/>
  <c r="R91" i="1"/>
  <c r="Y9" i="1"/>
  <c r="X9" i="1"/>
  <c r="V9" i="1"/>
  <c r="U9" i="1"/>
  <c r="S9" i="1"/>
  <c r="R9" i="1"/>
  <c r="J8" i="1"/>
  <c r="J5" i="1"/>
  <c r="G89" i="1"/>
  <c r="T109" i="1"/>
  <c r="T110" i="1"/>
  <c r="T111" i="1" s="1"/>
  <c r="E39" i="1"/>
  <c r="E38" i="1"/>
  <c r="E40" i="1" s="1"/>
  <c r="D40" i="1"/>
  <c r="C40" i="1"/>
  <c r="E30" i="1"/>
  <c r="E84" i="1"/>
  <c r="D82" i="1"/>
  <c r="C82" i="1"/>
  <c r="E81" i="1"/>
  <c r="E80" i="1"/>
  <c r="D78" i="1"/>
  <c r="C78" i="1"/>
  <c r="E77" i="1"/>
  <c r="E76" i="1"/>
  <c r="D74" i="1"/>
  <c r="C74" i="1"/>
  <c r="E73" i="1"/>
  <c r="E72" i="1"/>
  <c r="E59" i="1"/>
  <c r="E58" i="1"/>
  <c r="D60" i="1"/>
  <c r="C60" i="1"/>
  <c r="D56" i="1"/>
  <c r="C56" i="1"/>
  <c r="E54" i="1"/>
  <c r="E55" i="1"/>
  <c r="D52" i="1"/>
  <c r="C52" i="1"/>
  <c r="E50" i="1"/>
  <c r="E51" i="1"/>
  <c r="D48" i="1"/>
  <c r="C48" i="1"/>
  <c r="E47" i="1"/>
  <c r="E46" i="1"/>
  <c r="D44" i="1"/>
  <c r="C44" i="1"/>
  <c r="C28" i="1"/>
  <c r="D28" i="1"/>
  <c r="F28" i="1"/>
  <c r="G28" i="1"/>
  <c r="I28" i="1"/>
  <c r="J28" i="1"/>
  <c r="E42" i="1"/>
  <c r="E43" i="1"/>
  <c r="E74" i="1" l="1"/>
  <c r="E82" i="1"/>
  <c r="E78" i="1"/>
  <c r="E60" i="1"/>
  <c r="E52" i="1"/>
  <c r="E48" i="1"/>
  <c r="E56" i="1"/>
  <c r="E44" i="1"/>
  <c r="M106" i="1"/>
  <c r="L106" i="1"/>
  <c r="M105" i="1"/>
  <c r="L105" i="1"/>
  <c r="J105" i="1"/>
  <c r="I105" i="1"/>
  <c r="J106" i="1"/>
  <c r="I106" i="1"/>
  <c r="G105" i="1"/>
  <c r="F105" i="1"/>
  <c r="G106" i="1"/>
  <c r="F106" i="1"/>
  <c r="Y31" i="1"/>
  <c r="X31" i="1"/>
  <c r="D31" i="1"/>
  <c r="D32" i="1" s="1"/>
  <c r="C31" i="1"/>
  <c r="Y30" i="1"/>
  <c r="X30" i="1"/>
  <c r="D35" i="1"/>
  <c r="C35" i="1"/>
  <c r="D34" i="1"/>
  <c r="C34" i="1"/>
  <c r="W127" i="1"/>
  <c r="W126" i="1"/>
  <c r="W128" i="1" s="1"/>
  <c r="W123" i="1"/>
  <c r="W122" i="1"/>
  <c r="W121" i="1"/>
  <c r="Y118" i="1"/>
  <c r="Y119" i="1" s="1"/>
  <c r="X118" i="1"/>
  <c r="X119" i="1" s="1"/>
  <c r="W118" i="1"/>
  <c r="AB117" i="1"/>
  <c r="AA117" i="1"/>
  <c r="Z117" i="1"/>
  <c r="W117" i="1"/>
  <c r="Y114" i="1"/>
  <c r="X114" i="1"/>
  <c r="T114" i="1"/>
  <c r="Z113" i="1"/>
  <c r="T113" i="1"/>
  <c r="D70" i="1"/>
  <c r="C70" i="1"/>
  <c r="AB69" i="1"/>
  <c r="AA69" i="1"/>
  <c r="P69" i="1"/>
  <c r="O69" i="1"/>
  <c r="M69" i="1"/>
  <c r="L69" i="1"/>
  <c r="J69" i="1"/>
  <c r="J70" i="1" s="1"/>
  <c r="I69" i="1"/>
  <c r="I70" i="1" s="1"/>
  <c r="G69" i="1"/>
  <c r="G70" i="1" s="1"/>
  <c r="F69" i="1"/>
  <c r="F70" i="1" s="1"/>
  <c r="E69" i="1"/>
  <c r="Z68" i="1"/>
  <c r="W68" i="1"/>
  <c r="S68" i="1"/>
  <c r="S69" i="1" s="1"/>
  <c r="R68" i="1"/>
  <c r="T67" i="1"/>
  <c r="AB66" i="1"/>
  <c r="AA66" i="1"/>
  <c r="Z66" i="1"/>
  <c r="W66" i="1"/>
  <c r="T66" i="1"/>
  <c r="P66" i="1"/>
  <c r="O66" i="1"/>
  <c r="M66" i="1"/>
  <c r="L66" i="1"/>
  <c r="E66" i="1"/>
  <c r="T65" i="1"/>
  <c r="Y64" i="1"/>
  <c r="X64" i="1"/>
  <c r="T64" i="1"/>
  <c r="T63" i="1"/>
  <c r="T62" i="1"/>
  <c r="M102" i="1"/>
  <c r="L102" i="1"/>
  <c r="J102" i="1"/>
  <c r="I102" i="1"/>
  <c r="G102" i="1"/>
  <c r="F102" i="1"/>
  <c r="T101" i="1"/>
  <c r="M101" i="1"/>
  <c r="L101" i="1"/>
  <c r="J101" i="1"/>
  <c r="I101" i="1"/>
  <c r="G101" i="1"/>
  <c r="F101" i="1"/>
  <c r="W100" i="1"/>
  <c r="T100" i="1"/>
  <c r="W99" i="1"/>
  <c r="T99" i="1"/>
  <c r="W98" i="1"/>
  <c r="T98" i="1"/>
  <c r="W97" i="1"/>
  <c r="T97" i="1"/>
  <c r="M97" i="1"/>
  <c r="L97" i="1"/>
  <c r="J97" i="1"/>
  <c r="I97" i="1"/>
  <c r="G97" i="1"/>
  <c r="F97" i="1"/>
  <c r="AB39" i="1"/>
  <c r="AA39" i="1"/>
  <c r="T39" i="1"/>
  <c r="AB38" i="1"/>
  <c r="AA38" i="1"/>
  <c r="T38" i="1"/>
  <c r="T94" i="1"/>
  <c r="T93" i="1"/>
  <c r="T95" i="1" s="1"/>
  <c r="T90" i="1"/>
  <c r="T89" i="1"/>
  <c r="P89" i="1"/>
  <c r="O89" i="1"/>
  <c r="M89" i="1"/>
  <c r="L89" i="1"/>
  <c r="J89" i="1"/>
  <c r="I89" i="1"/>
  <c r="F89" i="1"/>
  <c r="T88" i="1"/>
  <c r="P88" i="1"/>
  <c r="O88" i="1"/>
  <c r="M88" i="1"/>
  <c r="L88" i="1"/>
  <c r="J88" i="1"/>
  <c r="I88" i="1"/>
  <c r="G88" i="1"/>
  <c r="G91" i="1" s="1"/>
  <c r="F88" i="1"/>
  <c r="F91" i="1" s="1"/>
  <c r="H91" i="1" s="1"/>
  <c r="AB28" i="1"/>
  <c r="AA28" i="1"/>
  <c r="AC27" i="1"/>
  <c r="AC26" i="1"/>
  <c r="P25" i="1"/>
  <c r="O25" i="1"/>
  <c r="P24" i="1"/>
  <c r="O24" i="1"/>
  <c r="M23" i="1"/>
  <c r="L23" i="1"/>
  <c r="M22" i="1"/>
  <c r="L22" i="1"/>
  <c r="K21" i="1"/>
  <c r="H20" i="1"/>
  <c r="K19" i="1"/>
  <c r="H19" i="1"/>
  <c r="E18" i="1"/>
  <c r="E17" i="1"/>
  <c r="Z16" i="1"/>
  <c r="Z15" i="1"/>
  <c r="W14" i="1"/>
  <c r="W13" i="1"/>
  <c r="AB8" i="1"/>
  <c r="AA8" i="1"/>
  <c r="AC8" i="1" s="1"/>
  <c r="Z8" i="1"/>
  <c r="W8" i="1"/>
  <c r="T8" i="1"/>
  <c r="P8" i="1"/>
  <c r="O8" i="1"/>
  <c r="M8" i="1"/>
  <c r="L8" i="1"/>
  <c r="I8" i="1"/>
  <c r="K8" i="1" s="1"/>
  <c r="G8" i="1"/>
  <c r="F8" i="1"/>
  <c r="D8" i="1"/>
  <c r="C8" i="1"/>
  <c r="AB7" i="1"/>
  <c r="AB9" i="1" s="1"/>
  <c r="AA7" i="1"/>
  <c r="AA9" i="1" s="1"/>
  <c r="Z7" i="1"/>
  <c r="W7" i="1"/>
  <c r="T7" i="1"/>
  <c r="T9" i="1" s="1"/>
  <c r="P7" i="1"/>
  <c r="O7" i="1"/>
  <c r="M7" i="1"/>
  <c r="L7" i="1"/>
  <c r="J7" i="1"/>
  <c r="J9" i="1" s="1"/>
  <c r="I7" i="1"/>
  <c r="G7" i="1"/>
  <c r="G9" i="1" s="1"/>
  <c r="F7" i="1"/>
  <c r="D7" i="1"/>
  <c r="C7" i="1"/>
  <c r="AB5" i="1"/>
  <c r="AA5" i="1"/>
  <c r="Z5" i="1"/>
  <c r="W5" i="1"/>
  <c r="T5" i="1"/>
  <c r="P5" i="1"/>
  <c r="O5" i="1"/>
  <c r="M5" i="1"/>
  <c r="L5" i="1"/>
  <c r="I5" i="1"/>
  <c r="G5" i="1"/>
  <c r="F5" i="1"/>
  <c r="D5" i="1"/>
  <c r="C5" i="1"/>
  <c r="W124" i="1" l="1"/>
  <c r="W70" i="1"/>
  <c r="AA70" i="1"/>
  <c r="T40" i="1"/>
  <c r="T103" i="1"/>
  <c r="X69" i="1"/>
  <c r="X70" i="1"/>
  <c r="AB70" i="1"/>
  <c r="W119" i="1"/>
  <c r="W9" i="1"/>
  <c r="T91" i="1"/>
  <c r="Z9" i="1"/>
  <c r="W103" i="1"/>
  <c r="Y69" i="1"/>
  <c r="Z69" i="1" s="1"/>
  <c r="Y70" i="1"/>
  <c r="X32" i="1"/>
  <c r="I9" i="1"/>
  <c r="Y32" i="1"/>
  <c r="T70" i="1"/>
  <c r="E5" i="1"/>
  <c r="AC5" i="1"/>
  <c r="Q8" i="1"/>
  <c r="E28" i="1"/>
  <c r="Q25" i="1"/>
  <c r="C9" i="1"/>
  <c r="D9" i="1"/>
  <c r="I107" i="1"/>
  <c r="E31" i="1"/>
  <c r="E32" i="1" s="1"/>
  <c r="C32" i="1"/>
  <c r="D36" i="1"/>
  <c r="C36" i="1"/>
  <c r="E34" i="1"/>
  <c r="E35" i="1"/>
  <c r="K89" i="1"/>
  <c r="F9" i="1"/>
  <c r="AC39" i="1"/>
  <c r="P90" i="1"/>
  <c r="M70" i="1"/>
  <c r="AC7" i="1"/>
  <c r="AC9" i="1" s="1"/>
  <c r="K28" i="1"/>
  <c r="L28" i="1"/>
  <c r="H8" i="1"/>
  <c r="M28" i="1"/>
  <c r="H28" i="1"/>
  <c r="AC38" i="1"/>
  <c r="K106" i="1"/>
  <c r="E7" i="1"/>
  <c r="H101" i="1"/>
  <c r="M103" i="1"/>
  <c r="L90" i="1"/>
  <c r="H89" i="1"/>
  <c r="N97" i="1"/>
  <c r="K101" i="1"/>
  <c r="Q66" i="1"/>
  <c r="E70" i="1"/>
  <c r="Z118" i="1"/>
  <c r="Z119" i="1" s="1"/>
  <c r="Z30" i="1"/>
  <c r="Z32" i="1" s="1"/>
  <c r="J107" i="1"/>
  <c r="N101" i="1"/>
  <c r="K105" i="1"/>
  <c r="P70" i="1"/>
  <c r="L9" i="1"/>
  <c r="N5" i="1"/>
  <c r="H102" i="1"/>
  <c r="L107" i="1"/>
  <c r="O28" i="1"/>
  <c r="F107" i="1"/>
  <c r="M107" i="1"/>
  <c r="O9" i="1"/>
  <c r="Q7" i="1"/>
  <c r="Q9" i="1" s="1"/>
  <c r="N8" i="1"/>
  <c r="Q24" i="1"/>
  <c r="Q28" i="1" s="1"/>
  <c r="P28" i="1"/>
  <c r="G107" i="1"/>
  <c r="H5" i="1"/>
  <c r="K5" i="1" s="1"/>
  <c r="N66" i="1"/>
  <c r="K88" i="1"/>
  <c r="Q69" i="1"/>
  <c r="N105" i="1"/>
  <c r="Q5" i="1"/>
  <c r="K7" i="1"/>
  <c r="K9" i="1" s="1"/>
  <c r="E8" i="1"/>
  <c r="M90" i="1"/>
  <c r="AC69" i="1"/>
  <c r="AC117" i="1"/>
  <c r="O90" i="1"/>
  <c r="AA40" i="1"/>
  <c r="AB40" i="1"/>
  <c r="H69" i="1"/>
  <c r="H70" i="1" s="1"/>
  <c r="H105" i="1"/>
  <c r="O70" i="1"/>
  <c r="F103" i="1"/>
  <c r="H106" i="1"/>
  <c r="G103" i="1"/>
  <c r="K102" i="1"/>
  <c r="AC66" i="1"/>
  <c r="N7" i="1"/>
  <c r="P9" i="1"/>
  <c r="Z64" i="1"/>
  <c r="Z70" i="1" s="1"/>
  <c r="K69" i="1"/>
  <c r="K70" i="1" s="1"/>
  <c r="AC28" i="1"/>
  <c r="K97" i="1"/>
  <c r="N102" i="1"/>
  <c r="N69" i="1"/>
  <c r="N106" i="1"/>
  <c r="H97" i="1"/>
  <c r="N23" i="1"/>
  <c r="H88" i="1"/>
  <c r="J103" i="1"/>
  <c r="T68" i="1"/>
  <c r="Z114" i="1"/>
  <c r="Z31" i="1"/>
  <c r="I103" i="1"/>
  <c r="R69" i="1"/>
  <c r="T69" i="1" s="1"/>
  <c r="H7" i="1"/>
  <c r="M9" i="1"/>
  <c r="L103" i="1"/>
  <c r="L70" i="1"/>
  <c r="N22" i="1"/>
  <c r="N28" i="1" s="1"/>
  <c r="AC70" i="1" l="1"/>
  <c r="E9" i="1"/>
  <c r="H9" i="1"/>
  <c r="N103" i="1"/>
  <c r="E36" i="1"/>
  <c r="N9" i="1"/>
  <c r="H107" i="1"/>
  <c r="K107" i="1"/>
  <c r="K103" i="1"/>
  <c r="N70" i="1"/>
  <c r="N107" i="1"/>
  <c r="Q70" i="1"/>
  <c r="H103" i="1"/>
  <c r="AC40" i="1"/>
</calcChain>
</file>

<file path=xl/sharedStrings.xml><?xml version="1.0" encoding="utf-8"?>
<sst xmlns="http://schemas.openxmlformats.org/spreadsheetml/2006/main" count="2612" uniqueCount="112">
  <si>
    <t>Margonis</t>
  </si>
  <si>
    <t>Boeckx</t>
  </si>
  <si>
    <t>Loupakis</t>
  </si>
  <si>
    <t>Von Einem</t>
  </si>
  <si>
    <t>Taieb</t>
  </si>
  <si>
    <t>Cremolini</t>
  </si>
  <si>
    <t>PRIME</t>
  </si>
  <si>
    <t>PEAK</t>
  </si>
  <si>
    <t>Left</t>
  </si>
  <si>
    <t>Right</t>
  </si>
  <si>
    <t>Total</t>
  </si>
  <si>
    <t>Number of participants</t>
  </si>
  <si>
    <t>Sex</t>
  </si>
  <si>
    <t>Male</t>
  </si>
  <si>
    <t>Female</t>
  </si>
  <si>
    <t>Age (median [range])</t>
  </si>
  <si>
    <t>60.7(?)</t>
  </si>
  <si>
    <t>63.9(?)</t>
  </si>
  <si>
    <t>62(27-82)</t>
  </si>
  <si>
    <t>64(33-83)</t>
  </si>
  <si>
    <t>61(32-78)</t>
  </si>
  <si>
    <t>64.5(40-80)</t>
  </si>
  <si>
    <t>62(29-86)</t>
  </si>
  <si>
    <t>64(34-86)</t>
  </si>
  <si>
    <t>61(27-83)</t>
  </si>
  <si>
    <t>62.5(27-77)</t>
  </si>
  <si>
    <t>63(22-85)</t>
  </si>
  <si>
    <t>63(24-90)</t>
  </si>
  <si>
    <t>63(32-77)</t>
  </si>
  <si>
    <t>61(47-74)</t>
  </si>
  <si>
    <t>60(19-75)</t>
  </si>
  <si>
    <t>62(26-75)</t>
  </si>
  <si>
    <t>59(29-75)</t>
  </si>
  <si>
    <t>61(29-75)</t>
  </si>
  <si>
    <t>Treatment arm</t>
  </si>
  <si>
    <t>CAPIRI + Cetuximab</t>
  </si>
  <si>
    <t>-</t>
  </si>
  <si>
    <t>CAPOX + Cetuximab</t>
  </si>
  <si>
    <t>FOLFOX</t>
  </si>
  <si>
    <t>FOLFOX + Cetuximab</t>
  </si>
  <si>
    <t>Bevacizumab</t>
  </si>
  <si>
    <t xml:space="preserve">Unclear </t>
  </si>
  <si>
    <t>Panitumumab + FOLFOX</t>
  </si>
  <si>
    <t>Bevacizumab  + FOLFOX</t>
  </si>
  <si>
    <t>Panitumumab + FOLFIRI</t>
  </si>
  <si>
    <t>FOLFIRI</t>
  </si>
  <si>
    <t>Panitumumab + BSC</t>
  </si>
  <si>
    <t>BSC</t>
  </si>
  <si>
    <t>FOLFIRI + Bevacizumab</t>
  </si>
  <si>
    <t>FOLFOXIRI + Bevacizumab</t>
  </si>
  <si>
    <t>Baseline ECOG PS</t>
  </si>
  <si>
    <t>&lt;=1</t>
  </si>
  <si>
    <t>&gt;=2</t>
  </si>
  <si>
    <t>NA</t>
  </si>
  <si>
    <t>Primary tumor resected</t>
  </si>
  <si>
    <t>Yes</t>
  </si>
  <si>
    <t>No</t>
  </si>
  <si>
    <t>Presentation of metastasis</t>
  </si>
  <si>
    <t>Synchronous</t>
  </si>
  <si>
    <t>Metachronous</t>
  </si>
  <si>
    <t>Site of metastasis (at diagnosis)</t>
  </si>
  <si>
    <t>Liver</t>
  </si>
  <si>
    <t>Lung</t>
  </si>
  <si>
    <t>Distant nodes</t>
  </si>
  <si>
    <t>Peritoneum</t>
  </si>
  <si>
    <t>Other</t>
  </si>
  <si>
    <t>Liver+ other</t>
  </si>
  <si>
    <t>Metastatic sites</t>
  </si>
  <si>
    <t>KRAS mutation</t>
  </si>
  <si>
    <t>Code 12</t>
  </si>
  <si>
    <t>Code 13</t>
  </si>
  <si>
    <t>Other codons</t>
  </si>
  <si>
    <t>Double mutation</t>
  </si>
  <si>
    <t>Wild type</t>
  </si>
  <si>
    <t>Code 12/13</t>
  </si>
  <si>
    <t xml:space="preserve">All Codes </t>
  </si>
  <si>
    <t>NRAS mutation</t>
  </si>
  <si>
    <t>BRAF mutation</t>
  </si>
  <si>
    <t>Performance status Karnofsky</t>
  </si>
  <si>
    <t>100+90</t>
  </si>
  <si>
    <t>80+70</t>
  </si>
  <si>
    <t>Prior therapy</t>
  </si>
  <si>
    <t>WHO Performance Status</t>
  </si>
  <si>
    <t>Histopathology grading</t>
  </si>
  <si>
    <t xml:space="preserve">PN Classification </t>
  </si>
  <si>
    <t>PT Classification</t>
  </si>
  <si>
    <t>T1 - T2</t>
  </si>
  <si>
    <t>T3-T4</t>
  </si>
  <si>
    <t>Bowel obstruction and perforation</t>
  </si>
  <si>
    <t>VELI</t>
  </si>
  <si>
    <t>MMR Status</t>
  </si>
  <si>
    <t>Previous adjuvant therapy</t>
  </si>
  <si>
    <t>CEA &gt;100 ng/mL</t>
  </si>
  <si>
    <t>Colon cancer liver metastases size &gt;3 cm</t>
  </si>
  <si>
    <t>Colon cancer liver metastases number &gt;3</t>
  </si>
  <si>
    <t>Bilobar liver disease</t>
  </si>
  <si>
    <t>Extrahepatic disease</t>
  </si>
  <si>
    <t>R0 resection</t>
  </si>
  <si>
    <t>Prehepatic resection chemotherapy</t>
  </si>
  <si>
    <t>Posthepatic resection chemotherapy</t>
  </si>
  <si>
    <t>Anti-EGFR</t>
  </si>
  <si>
    <t>Missing</t>
  </si>
  <si>
    <t>Well differentiated</t>
  </si>
  <si>
    <t xml:space="preserve">Moderately
differentiated </t>
  </si>
  <si>
    <t>Poorly differentiated</t>
  </si>
  <si>
    <t>Undifferentiated</t>
  </si>
  <si>
    <t>Vascular Invasion or
Lymphatic infiltration</t>
  </si>
  <si>
    <t>Bowel obstruction
and/or perforation</t>
  </si>
  <si>
    <t>No bowel obstruction
and no perforation</t>
  </si>
  <si>
    <t>No Vascular Invasion
and no Lymphatic
infiltration</t>
  </si>
  <si>
    <t xml:space="preserve">pMMR
(MSI-low) </t>
  </si>
  <si>
    <t>dMMR
(MSI-high)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</si>
</sst>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2" fillId="2" borderId="0" xfId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4"/>
  <sheetViews>
    <sheetView tabSelected="1" topLeftCell="A10" zoomScale="25" zoomScaleNormal="25" workbookViewId="0">
      <selection activeCell="B11" sqref="B11"/>
    </sheetView>
  </sheetViews>
  <sheetFormatPr defaultColWidth="9" defaultRowHeight="15"/>
  <cols>
    <col min="1" max="1" width="34.7109375" style="1" customWidth="1"/>
    <col min="2" max="2" width="24.28515625" style="1" customWidth="1"/>
    <col min="3" max="7" width="20" style="1" customWidth="1"/>
    <col min="8" max="8" width="20" style="2" customWidth="1"/>
    <col min="9" max="10" width="20" style="1" customWidth="1"/>
    <col min="11" max="11" width="20" style="2" customWidth="1"/>
    <col min="12" max="13" width="20" style="1" customWidth="1"/>
    <col min="14" max="14" width="20" style="2" customWidth="1"/>
    <col min="15" max="17" width="20" style="1" customWidth="1"/>
    <col min="18" max="16384" width="9" style="1"/>
  </cols>
  <sheetData>
    <row r="1" spans="1:33">
      <c r="C1" s="8" t="s">
        <v>0</v>
      </c>
      <c r="D1" s="8"/>
      <c r="E1" s="8"/>
      <c r="F1" s="6" t="s">
        <v>1</v>
      </c>
      <c r="G1" s="6"/>
      <c r="H1" s="9"/>
      <c r="I1" s="6" t="s">
        <v>1</v>
      </c>
      <c r="J1" s="6"/>
      <c r="K1" s="9"/>
      <c r="L1" s="6" t="s">
        <v>1</v>
      </c>
      <c r="M1" s="6"/>
      <c r="N1" s="9"/>
      <c r="O1" s="6" t="s">
        <v>1</v>
      </c>
      <c r="P1" s="6"/>
      <c r="Q1" s="6"/>
      <c r="R1" s="8" t="s">
        <v>2</v>
      </c>
      <c r="S1" s="8"/>
      <c r="T1" s="8"/>
      <c r="U1" s="8" t="s">
        <v>3</v>
      </c>
      <c r="V1" s="8"/>
      <c r="W1" s="8"/>
      <c r="X1" s="8" t="s">
        <v>4</v>
      </c>
      <c r="Y1" s="8"/>
      <c r="Z1" s="8"/>
      <c r="AA1" s="8" t="s">
        <v>5</v>
      </c>
      <c r="AB1" s="8"/>
      <c r="AC1" s="8"/>
      <c r="AE1" s="5"/>
      <c r="AF1" s="5"/>
      <c r="AG1" s="5"/>
    </row>
    <row r="2" spans="1:33">
      <c r="F2" s="6" t="s">
        <v>6</v>
      </c>
      <c r="G2" s="6"/>
      <c r="H2" s="7"/>
      <c r="I2" s="6" t="s">
        <v>7</v>
      </c>
      <c r="J2" s="6"/>
      <c r="K2" s="7"/>
      <c r="L2" s="6">
        <v>20050181</v>
      </c>
      <c r="M2" s="6"/>
      <c r="N2" s="7"/>
      <c r="O2" s="6">
        <v>20020408</v>
      </c>
      <c r="P2" s="6"/>
      <c r="Q2" s="6"/>
    </row>
    <row r="3" spans="1:33">
      <c r="C3" s="1" t="s">
        <v>8</v>
      </c>
      <c r="D3" s="1" t="s">
        <v>9</v>
      </c>
      <c r="E3" s="1" t="s">
        <v>10</v>
      </c>
      <c r="F3" s="1" t="s">
        <v>8</v>
      </c>
      <c r="G3" s="1" t="s">
        <v>9</v>
      </c>
      <c r="H3" s="2" t="s">
        <v>10</v>
      </c>
      <c r="I3" s="1" t="s">
        <v>8</v>
      </c>
      <c r="J3" s="1" t="s">
        <v>9</v>
      </c>
      <c r="K3" s="2" t="s">
        <v>10</v>
      </c>
      <c r="L3" s="1" t="s">
        <v>8</v>
      </c>
      <c r="M3" s="1" t="s">
        <v>9</v>
      </c>
      <c r="N3" s="2" t="s">
        <v>10</v>
      </c>
      <c r="O3" s="1" t="s">
        <v>8</v>
      </c>
      <c r="P3" s="1" t="s">
        <v>9</v>
      </c>
      <c r="Q3" s="2" t="s">
        <v>10</v>
      </c>
      <c r="R3" s="1" t="s">
        <v>8</v>
      </c>
      <c r="S3" s="1" t="s">
        <v>9</v>
      </c>
      <c r="T3" s="1" t="s">
        <v>10</v>
      </c>
      <c r="U3" s="1" t="s">
        <v>8</v>
      </c>
      <c r="V3" s="1" t="s">
        <v>9</v>
      </c>
      <c r="W3" s="12" t="s">
        <v>10</v>
      </c>
      <c r="X3" s="1" t="s">
        <v>8</v>
      </c>
      <c r="Y3" s="1" t="s">
        <v>9</v>
      </c>
      <c r="Z3" s="1" t="s">
        <v>10</v>
      </c>
      <c r="AA3" s="1" t="s">
        <v>8</v>
      </c>
      <c r="AB3" s="1" t="s">
        <v>9</v>
      </c>
      <c r="AC3" s="1" t="s">
        <v>10</v>
      </c>
    </row>
    <row r="4" spans="1:33">
      <c r="Q4" s="2"/>
    </row>
    <row r="5" spans="1:33">
      <c r="A5" s="1" t="s">
        <v>11</v>
      </c>
      <c r="C5" s="1">
        <f>348+93</f>
        <v>441</v>
      </c>
      <c r="D5" s="1">
        <f>168+109</f>
        <v>277</v>
      </c>
      <c r="E5" s="1">
        <f>C5+D5</f>
        <v>718</v>
      </c>
      <c r="F5" s="1">
        <f>166+158</f>
        <v>324</v>
      </c>
      <c r="G5" s="1">
        <f>64+70</f>
        <v>134</v>
      </c>
      <c r="H5" s="2">
        <f>F5+G5</f>
        <v>458</v>
      </c>
      <c r="I5" s="1">
        <f>14+19</f>
        <v>33</v>
      </c>
      <c r="J5" s="1">
        <f>11+10</f>
        <v>21</v>
      </c>
      <c r="K5" s="2">
        <f>SUM(C5:J5)</f>
        <v>2406</v>
      </c>
      <c r="L5" s="1">
        <f>183+194+150+148</f>
        <v>675</v>
      </c>
      <c r="M5" s="1">
        <f>76+65+31+39</f>
        <v>211</v>
      </c>
      <c r="N5" s="2">
        <f>L5+M5</f>
        <v>886</v>
      </c>
      <c r="O5" s="1">
        <f>61+77+42+43</f>
        <v>223</v>
      </c>
      <c r="P5" s="1">
        <f>16+14+16+21</f>
        <v>67</v>
      </c>
      <c r="Q5" s="1">
        <f>O5+P5</f>
        <v>290</v>
      </c>
      <c r="R5" s="1">
        <v>365</v>
      </c>
      <c r="S5" s="1">
        <v>199</v>
      </c>
      <c r="T5" s="1">
        <f>R5+S5</f>
        <v>564</v>
      </c>
      <c r="U5" s="1">
        <v>100</v>
      </c>
      <c r="V5" s="1">
        <v>46</v>
      </c>
      <c r="W5" s="1">
        <f>U5+V5</f>
        <v>146</v>
      </c>
      <c r="X5" s="1">
        <v>1114</v>
      </c>
      <c r="Y5" s="1">
        <v>755</v>
      </c>
      <c r="Z5" s="1">
        <f>X5+Y5</f>
        <v>1869</v>
      </c>
      <c r="AA5" s="1">
        <f>129+113</f>
        <v>242</v>
      </c>
      <c r="AB5" s="1">
        <f>116</f>
        <v>116</v>
      </c>
      <c r="AC5" s="1">
        <f>AA5+AB5</f>
        <v>358</v>
      </c>
    </row>
    <row r="7" spans="1:33">
      <c r="A7" s="1" t="s">
        <v>12</v>
      </c>
      <c r="B7" s="1" t="s">
        <v>13</v>
      </c>
      <c r="C7" s="1">
        <f>221+54</f>
        <v>275</v>
      </c>
      <c r="D7" s="1">
        <f>89+58</f>
        <v>147</v>
      </c>
      <c r="E7" s="1">
        <f>C7+D7</f>
        <v>422</v>
      </c>
      <c r="F7" s="1">
        <f>107+90</f>
        <v>197</v>
      </c>
      <c r="G7" s="1">
        <f>45+42</f>
        <v>87</v>
      </c>
      <c r="H7" s="2">
        <f>F7+G7</f>
        <v>284</v>
      </c>
      <c r="I7" s="1">
        <f>6+11</f>
        <v>17</v>
      </c>
      <c r="J7" s="1">
        <f>7+7</f>
        <v>14</v>
      </c>
      <c r="K7" s="2">
        <f>I7+J7</f>
        <v>31</v>
      </c>
      <c r="L7" s="1">
        <f>100+121+102+102</f>
        <v>425</v>
      </c>
      <c r="M7" s="1">
        <f>44+37+16+20</f>
        <v>117</v>
      </c>
      <c r="N7" s="2">
        <f>M7+L7</f>
        <v>542</v>
      </c>
      <c r="O7" s="1">
        <f>33+50+24+26</f>
        <v>133</v>
      </c>
      <c r="P7" s="1">
        <f>10+0+9+10</f>
        <v>29</v>
      </c>
      <c r="Q7" s="1">
        <f>O7+P7</f>
        <v>162</v>
      </c>
      <c r="R7" s="1">
        <v>222</v>
      </c>
      <c r="S7" s="1">
        <v>119</v>
      </c>
      <c r="T7" s="1">
        <f>R7+S7</f>
        <v>341</v>
      </c>
      <c r="U7" s="1">
        <v>77</v>
      </c>
      <c r="V7" s="1">
        <v>28</v>
      </c>
      <c r="W7" s="1">
        <f>U7+V7</f>
        <v>105</v>
      </c>
      <c r="X7" s="1">
        <v>627</v>
      </c>
      <c r="Y7" s="1">
        <v>429</v>
      </c>
      <c r="Z7" s="1">
        <f>X7+Y7</f>
        <v>1056</v>
      </c>
      <c r="AA7" s="1">
        <f>67+75</f>
        <v>142</v>
      </c>
      <c r="AB7" s="1">
        <f>31+45</f>
        <v>76</v>
      </c>
      <c r="AC7" s="1">
        <f>AA7+AB7</f>
        <v>218</v>
      </c>
    </row>
    <row r="8" spans="1:33">
      <c r="B8" s="1" t="s">
        <v>14</v>
      </c>
      <c r="C8" s="1">
        <f>127+39</f>
        <v>166</v>
      </c>
      <c r="D8" s="1">
        <f>79+51</f>
        <v>130</v>
      </c>
      <c r="E8" s="1">
        <f>C8+D8</f>
        <v>296</v>
      </c>
      <c r="F8" s="1">
        <f>59+68</f>
        <v>127</v>
      </c>
      <c r="G8" s="1">
        <f>19+28</f>
        <v>47</v>
      </c>
      <c r="H8" s="2">
        <f>F8+G8</f>
        <v>174</v>
      </c>
      <c r="I8" s="1">
        <f>8+8</f>
        <v>16</v>
      </c>
      <c r="J8" s="1">
        <f>4+3</f>
        <v>7</v>
      </c>
      <c r="K8" s="2">
        <f>I8+J8</f>
        <v>23</v>
      </c>
      <c r="L8" s="1">
        <f>83+73+48+46</f>
        <v>250</v>
      </c>
      <c r="M8" s="1">
        <f>32+28+15+19</f>
        <v>94</v>
      </c>
      <c r="N8" s="2">
        <f>M8+L8</f>
        <v>344</v>
      </c>
      <c r="O8" s="1">
        <f>28+27+18+17</f>
        <v>90</v>
      </c>
      <c r="P8" s="1">
        <f>6+21+7+4</f>
        <v>38</v>
      </c>
      <c r="Q8" s="1">
        <f>O8+P8</f>
        <v>128</v>
      </c>
      <c r="R8" s="1">
        <v>143</v>
      </c>
      <c r="S8" s="1">
        <v>80</v>
      </c>
      <c r="T8" s="1">
        <f>R8+S8</f>
        <v>223</v>
      </c>
      <c r="U8" s="1">
        <v>23</v>
      </c>
      <c r="V8" s="1">
        <v>18</v>
      </c>
      <c r="W8" s="1">
        <f>U8+V8</f>
        <v>41</v>
      </c>
      <c r="X8" s="1">
        <v>487</v>
      </c>
      <c r="Y8" s="1">
        <v>326</v>
      </c>
      <c r="Z8" s="1">
        <f>X8+Y8</f>
        <v>813</v>
      </c>
      <c r="AA8" s="1">
        <f>62+38</f>
        <v>100</v>
      </c>
      <c r="AB8" s="1">
        <f>13+27</f>
        <v>40</v>
      </c>
      <c r="AC8" s="1">
        <f>AA8+AB8</f>
        <v>140</v>
      </c>
    </row>
    <row r="9" spans="1:33">
      <c r="C9" s="1">
        <f>SUM(C7:C8)</f>
        <v>441</v>
      </c>
      <c r="D9" s="1">
        <f>SUM(D7:D8)</f>
        <v>277</v>
      </c>
      <c r="E9" s="1">
        <f>SUM(E7:E8)</f>
        <v>718</v>
      </c>
      <c r="F9" s="1">
        <f>SUM(F7:F8)</f>
        <v>324</v>
      </c>
      <c r="G9" s="1">
        <f>SUM(G7:G8)</f>
        <v>134</v>
      </c>
      <c r="H9" s="2">
        <f>SUM(H7:H8)</f>
        <v>458</v>
      </c>
      <c r="I9" s="1">
        <f>SUM(I7:I8)</f>
        <v>33</v>
      </c>
      <c r="J9" s="1">
        <f>SUM(J7:J8)</f>
        <v>21</v>
      </c>
      <c r="K9" s="2">
        <f>SUM(K7:K8)</f>
        <v>54</v>
      </c>
      <c r="L9" s="2">
        <f t="shared" ref="L9:Q9" si="0">SUM(L7:L8)</f>
        <v>675</v>
      </c>
      <c r="M9" s="2">
        <f t="shared" si="0"/>
        <v>211</v>
      </c>
      <c r="N9" s="2">
        <f t="shared" si="0"/>
        <v>886</v>
      </c>
      <c r="O9" s="2">
        <f t="shared" si="0"/>
        <v>223</v>
      </c>
      <c r="P9" s="2">
        <f t="shared" si="0"/>
        <v>67</v>
      </c>
      <c r="Q9" s="2">
        <f t="shared" si="0"/>
        <v>290</v>
      </c>
      <c r="R9" s="1">
        <f>SUM(R7:R8)</f>
        <v>365</v>
      </c>
      <c r="S9" s="1">
        <f>SUM(S7:S8)</f>
        <v>199</v>
      </c>
      <c r="T9" s="1">
        <f>SUM(T7:T8)</f>
        <v>564</v>
      </c>
      <c r="U9" s="1">
        <f>SUM(U7:U8)</f>
        <v>100</v>
      </c>
      <c r="V9" s="1">
        <f>SUM(V7:V8)</f>
        <v>46</v>
      </c>
      <c r="W9" s="1">
        <f>SUM(W7:W8)</f>
        <v>146</v>
      </c>
      <c r="X9" s="1">
        <f>SUM(X7:X8)</f>
        <v>1114</v>
      </c>
      <c r="Y9" s="1">
        <f>SUM(Y7:Y8)</f>
        <v>755</v>
      </c>
      <c r="Z9" s="1">
        <f>SUM(Z7:Z8)</f>
        <v>1869</v>
      </c>
      <c r="AA9" s="1">
        <f>SUM(AA7:AA8)</f>
        <v>242</v>
      </c>
      <c r="AB9" s="1">
        <f>SUM(AB7:AB8)</f>
        <v>116</v>
      </c>
      <c r="AC9" s="1">
        <f>SUM(AC7:AC8)</f>
        <v>358</v>
      </c>
    </row>
    <row r="10" spans="1:33" s="4" customFormat="1">
      <c r="H10" s="2"/>
      <c r="K10" s="2"/>
      <c r="L10" s="2"/>
      <c r="M10" s="2"/>
      <c r="N10" s="2"/>
      <c r="O10" s="2"/>
      <c r="P10" s="2"/>
      <c r="Q10" s="2"/>
    </row>
    <row r="11" spans="1:33">
      <c r="A11" s="1" t="s">
        <v>15</v>
      </c>
      <c r="C11" s="1" t="s">
        <v>16</v>
      </c>
      <c r="D11" s="1" t="s">
        <v>17</v>
      </c>
      <c r="E11" s="2" t="s">
        <v>36</v>
      </c>
      <c r="F11" s="1" t="s">
        <v>18</v>
      </c>
      <c r="G11" s="1" t="s">
        <v>19</v>
      </c>
      <c r="H11" s="2" t="s">
        <v>36</v>
      </c>
      <c r="I11" s="1" t="s">
        <v>20</v>
      </c>
      <c r="J11" s="1" t="s">
        <v>21</v>
      </c>
      <c r="K11" s="2" t="s">
        <v>36</v>
      </c>
      <c r="L11" s="1" t="s">
        <v>22</v>
      </c>
      <c r="M11" s="1" t="s">
        <v>23</v>
      </c>
      <c r="N11" s="2" t="s">
        <v>36</v>
      </c>
      <c r="O11" s="1" t="s">
        <v>24</v>
      </c>
      <c r="P11" s="1" t="s">
        <v>25</v>
      </c>
      <c r="Q11" s="2" t="s">
        <v>36</v>
      </c>
      <c r="R11" s="1" t="s">
        <v>26</v>
      </c>
      <c r="S11" s="1" t="s">
        <v>27</v>
      </c>
      <c r="T11" s="2" t="s">
        <v>36</v>
      </c>
      <c r="U11" s="1" t="s">
        <v>28</v>
      </c>
      <c r="V11" s="1" t="s">
        <v>29</v>
      </c>
      <c r="W11" s="2" t="s">
        <v>36</v>
      </c>
      <c r="X11" s="1" t="s">
        <v>30</v>
      </c>
      <c r="Y11" s="1" t="s">
        <v>31</v>
      </c>
      <c r="Z11" s="2" t="s">
        <v>36</v>
      </c>
      <c r="AA11" s="1" t="s">
        <v>32</v>
      </c>
      <c r="AB11" s="1" t="s">
        <v>33</v>
      </c>
      <c r="AC11" s="2" t="s">
        <v>36</v>
      </c>
    </row>
    <row r="13" spans="1:33">
      <c r="A13" s="1" t="s">
        <v>34</v>
      </c>
      <c r="B13" s="1" t="s">
        <v>35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1">
        <v>52</v>
      </c>
      <c r="V13" s="1">
        <v>23</v>
      </c>
      <c r="W13" s="1">
        <f>U13+V13</f>
        <v>75</v>
      </c>
      <c r="X13" s="2" t="s">
        <v>36</v>
      </c>
      <c r="Y13" s="2" t="s">
        <v>36</v>
      </c>
      <c r="Z13" s="2" t="s">
        <v>36</v>
      </c>
      <c r="AA13" s="2" t="s">
        <v>36</v>
      </c>
      <c r="AB13" s="2" t="s">
        <v>36</v>
      </c>
      <c r="AC13" s="2" t="s">
        <v>36</v>
      </c>
    </row>
    <row r="14" spans="1:33">
      <c r="B14" s="1" t="s">
        <v>37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36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1">
        <v>48</v>
      </c>
      <c r="V14" s="1">
        <v>23</v>
      </c>
      <c r="W14" s="1">
        <f>U14+V14</f>
        <v>71</v>
      </c>
      <c r="X14" s="2" t="s">
        <v>36</v>
      </c>
      <c r="Y14" s="2" t="s">
        <v>36</v>
      </c>
      <c r="Z14" s="2" t="s">
        <v>36</v>
      </c>
      <c r="AA14" s="2" t="s">
        <v>36</v>
      </c>
      <c r="AB14" s="2" t="s">
        <v>36</v>
      </c>
      <c r="AC14" s="2" t="s">
        <v>36</v>
      </c>
    </row>
    <row r="15" spans="1:33">
      <c r="B15" s="1" t="s">
        <v>38</v>
      </c>
      <c r="C15" s="2" t="s">
        <v>36</v>
      </c>
      <c r="D15" s="2" t="s">
        <v>36</v>
      </c>
      <c r="E15" s="2" t="s">
        <v>36</v>
      </c>
      <c r="F15" s="2" t="s">
        <v>36</v>
      </c>
      <c r="G15" s="2" t="s">
        <v>36</v>
      </c>
      <c r="H15" s="2" t="s">
        <v>36</v>
      </c>
      <c r="I15" s="2" t="s">
        <v>36</v>
      </c>
      <c r="J15" s="2" t="s">
        <v>36</v>
      </c>
      <c r="K15" s="2" t="s">
        <v>36</v>
      </c>
      <c r="L15" s="2" t="s">
        <v>36</v>
      </c>
      <c r="M15" s="2" t="s">
        <v>36</v>
      </c>
      <c r="N15" s="2" t="s">
        <v>36</v>
      </c>
      <c r="O15" s="2" t="s">
        <v>36</v>
      </c>
      <c r="P15" s="2" t="s">
        <v>36</v>
      </c>
      <c r="Q15" s="2" t="s">
        <v>36</v>
      </c>
      <c r="R15" s="2" t="s">
        <v>36</v>
      </c>
      <c r="S15" s="2" t="s">
        <v>36</v>
      </c>
      <c r="T15" s="2" t="s">
        <v>36</v>
      </c>
      <c r="U15" s="2" t="s">
        <v>36</v>
      </c>
      <c r="V15" s="2" t="s">
        <v>36</v>
      </c>
      <c r="W15" s="2" t="s">
        <v>36</v>
      </c>
      <c r="X15" s="1">
        <v>568</v>
      </c>
      <c r="Y15" s="1">
        <v>366</v>
      </c>
      <c r="Z15" s="1">
        <f>X15+Y15</f>
        <v>934</v>
      </c>
      <c r="AA15" s="2" t="s">
        <v>36</v>
      </c>
      <c r="AB15" s="2" t="s">
        <v>36</v>
      </c>
      <c r="AC15" s="2" t="s">
        <v>36</v>
      </c>
    </row>
    <row r="16" spans="1:33">
      <c r="B16" s="1" t="s">
        <v>39</v>
      </c>
      <c r="C16" s="2" t="s">
        <v>36</v>
      </c>
      <c r="D16" s="2" t="s">
        <v>36</v>
      </c>
      <c r="E16" s="2" t="s">
        <v>36</v>
      </c>
      <c r="F16" s="2" t="s">
        <v>36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36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36</v>
      </c>
      <c r="X16" s="1">
        <v>546</v>
      </c>
      <c r="Y16" s="1">
        <v>389</v>
      </c>
      <c r="Z16" s="1">
        <f>X16+Y16</f>
        <v>935</v>
      </c>
      <c r="AA16" s="2" t="s">
        <v>36</v>
      </c>
      <c r="AB16" s="2" t="s">
        <v>36</v>
      </c>
      <c r="AC16" s="2" t="s">
        <v>36</v>
      </c>
    </row>
    <row r="17" spans="1:29">
      <c r="B17" s="1" t="s">
        <v>40</v>
      </c>
      <c r="C17" s="1">
        <v>124</v>
      </c>
      <c r="D17" s="1">
        <v>79</v>
      </c>
      <c r="E17" s="1">
        <f>C17+D17</f>
        <v>203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36</v>
      </c>
      <c r="X17" s="2" t="s">
        <v>36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</row>
    <row r="18" spans="1:29">
      <c r="B18" s="1" t="s">
        <v>41</v>
      </c>
      <c r="C18" s="1">
        <v>229</v>
      </c>
      <c r="D18" s="1">
        <v>145</v>
      </c>
      <c r="E18" s="1">
        <f>C18+D18</f>
        <v>374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36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36</v>
      </c>
      <c r="Q18" s="2" t="s">
        <v>36</v>
      </c>
      <c r="R18" s="2" t="s">
        <v>36</v>
      </c>
      <c r="S18" s="2" t="s">
        <v>36</v>
      </c>
      <c r="T18" s="2" t="s">
        <v>36</v>
      </c>
      <c r="U18" s="2" t="s">
        <v>36</v>
      </c>
      <c r="V18" s="2" t="s">
        <v>36</v>
      </c>
      <c r="W18" s="2" t="s">
        <v>36</v>
      </c>
      <c r="X18" s="2" t="s">
        <v>36</v>
      </c>
      <c r="Y18" s="2" t="s">
        <v>36</v>
      </c>
      <c r="Z18" s="2" t="s">
        <v>36</v>
      </c>
      <c r="AA18" s="2" t="s">
        <v>36</v>
      </c>
      <c r="AB18" s="2" t="s">
        <v>36</v>
      </c>
      <c r="AC18" s="2" t="s">
        <v>36</v>
      </c>
    </row>
    <row r="19" spans="1:29">
      <c r="B19" s="1" t="s">
        <v>42</v>
      </c>
      <c r="C19" s="2" t="s">
        <v>36</v>
      </c>
      <c r="D19" s="2" t="s">
        <v>36</v>
      </c>
      <c r="E19" s="2" t="s">
        <v>36</v>
      </c>
      <c r="F19" s="1">
        <v>166</v>
      </c>
      <c r="G19" s="1">
        <v>64</v>
      </c>
      <c r="H19" s="2">
        <f>F19+G19</f>
        <v>230</v>
      </c>
      <c r="I19" s="1">
        <v>14</v>
      </c>
      <c r="J19" s="1">
        <v>11</v>
      </c>
      <c r="K19" s="2">
        <f>I19+J19</f>
        <v>25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36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36</v>
      </c>
      <c r="X19" s="2" t="s">
        <v>36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</row>
    <row r="20" spans="1:29">
      <c r="B20" s="1" t="s">
        <v>38</v>
      </c>
      <c r="C20" s="2" t="s">
        <v>36</v>
      </c>
      <c r="D20" s="2" t="s">
        <v>36</v>
      </c>
      <c r="E20" s="2" t="s">
        <v>36</v>
      </c>
      <c r="F20" s="1">
        <v>158</v>
      </c>
      <c r="G20" s="1">
        <v>70</v>
      </c>
      <c r="H20" s="2">
        <f>F20+G20</f>
        <v>228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36</v>
      </c>
      <c r="O20" s="2" t="s">
        <v>36</v>
      </c>
      <c r="P20" s="2" t="s">
        <v>36</v>
      </c>
      <c r="Q20" s="2" t="s">
        <v>36</v>
      </c>
      <c r="R20" s="2" t="s">
        <v>36</v>
      </c>
      <c r="S20" s="2" t="s">
        <v>36</v>
      </c>
      <c r="T20" s="2" t="s">
        <v>36</v>
      </c>
      <c r="U20" s="2" t="s">
        <v>36</v>
      </c>
      <c r="V20" s="2" t="s">
        <v>36</v>
      </c>
      <c r="W20" s="2" t="s">
        <v>36</v>
      </c>
      <c r="X20" s="2" t="s">
        <v>36</v>
      </c>
      <c r="Y20" s="2" t="s">
        <v>36</v>
      </c>
      <c r="Z20" s="2" t="s">
        <v>36</v>
      </c>
      <c r="AA20" s="2" t="s">
        <v>36</v>
      </c>
      <c r="AB20" s="2" t="s">
        <v>36</v>
      </c>
      <c r="AC20" s="2" t="s">
        <v>36</v>
      </c>
    </row>
    <row r="21" spans="1:29">
      <c r="B21" s="1" t="s">
        <v>43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1">
        <v>19</v>
      </c>
      <c r="J21" s="1">
        <v>10</v>
      </c>
      <c r="K21" s="2">
        <f>I21+J21</f>
        <v>29</v>
      </c>
      <c r="L21" s="2" t="s">
        <v>36</v>
      </c>
      <c r="M21" s="2" t="s">
        <v>36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36</v>
      </c>
      <c r="X21" s="2" t="s">
        <v>36</v>
      </c>
      <c r="Y21" s="2" t="s">
        <v>36</v>
      </c>
      <c r="Z21" s="2" t="s">
        <v>36</v>
      </c>
      <c r="AA21" s="2" t="s">
        <v>36</v>
      </c>
      <c r="AB21" s="2" t="s">
        <v>36</v>
      </c>
      <c r="AC21" s="2" t="s">
        <v>36</v>
      </c>
    </row>
    <row r="22" spans="1:29">
      <c r="B22" s="1" t="s">
        <v>44</v>
      </c>
      <c r="C22" s="2" t="s">
        <v>36</v>
      </c>
      <c r="D22" s="2" t="s">
        <v>36</v>
      </c>
      <c r="E22" s="2" t="s">
        <v>36</v>
      </c>
      <c r="F22" s="2" t="s">
        <v>36</v>
      </c>
      <c r="G22" s="2" t="s">
        <v>36</v>
      </c>
      <c r="H22" s="2" t="s">
        <v>36</v>
      </c>
      <c r="I22" s="2" t="s">
        <v>36</v>
      </c>
      <c r="J22" s="2" t="s">
        <v>36</v>
      </c>
      <c r="K22" s="2" t="s">
        <v>36</v>
      </c>
      <c r="L22" s="1">
        <f>183+150</f>
        <v>333</v>
      </c>
      <c r="M22" s="1">
        <f>31+76</f>
        <v>107</v>
      </c>
      <c r="N22" s="2">
        <f>L22+M22</f>
        <v>440</v>
      </c>
      <c r="O22" s="2" t="s">
        <v>36</v>
      </c>
      <c r="P22" s="2" t="s">
        <v>36</v>
      </c>
      <c r="Q22" s="2" t="s">
        <v>36</v>
      </c>
      <c r="R22" s="2" t="s">
        <v>36</v>
      </c>
      <c r="S22" s="2" t="s">
        <v>36</v>
      </c>
      <c r="T22" s="2" t="s">
        <v>36</v>
      </c>
      <c r="U22" s="2" t="s">
        <v>36</v>
      </c>
      <c r="V22" s="2" t="s">
        <v>36</v>
      </c>
      <c r="W22" s="2" t="s">
        <v>36</v>
      </c>
      <c r="X22" s="2" t="s">
        <v>36</v>
      </c>
      <c r="Y22" s="2" t="s">
        <v>36</v>
      </c>
      <c r="Z22" s="2" t="s">
        <v>36</v>
      </c>
      <c r="AA22" s="2" t="s">
        <v>36</v>
      </c>
      <c r="AB22" s="2" t="s">
        <v>36</v>
      </c>
      <c r="AC22" s="2" t="s">
        <v>36</v>
      </c>
    </row>
    <row r="23" spans="1:29">
      <c r="B23" s="1" t="s">
        <v>45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1">
        <f>194+148</f>
        <v>342</v>
      </c>
      <c r="M23" s="1">
        <f>39+65</f>
        <v>104</v>
      </c>
      <c r="N23" s="2">
        <f>L23+M23</f>
        <v>446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36</v>
      </c>
      <c r="X23" s="2" t="s">
        <v>36</v>
      </c>
      <c r="Y23" s="2" t="s">
        <v>36</v>
      </c>
      <c r="Z23" s="2" t="s">
        <v>36</v>
      </c>
      <c r="AA23" s="2" t="s">
        <v>36</v>
      </c>
      <c r="AB23" s="2" t="s">
        <v>36</v>
      </c>
      <c r="AC23" s="2" t="s">
        <v>36</v>
      </c>
    </row>
    <row r="24" spans="1:29">
      <c r="B24" s="1" t="s">
        <v>46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1">
        <f>61+42</f>
        <v>103</v>
      </c>
      <c r="P24" s="1">
        <f>16+16</f>
        <v>32</v>
      </c>
      <c r="Q24" s="1">
        <f>O24+P24</f>
        <v>135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36</v>
      </c>
      <c r="X24" s="2" t="s">
        <v>36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</row>
    <row r="25" spans="1:29">
      <c r="B25" s="1" t="s">
        <v>47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36</v>
      </c>
      <c r="N25" s="2" t="s">
        <v>36</v>
      </c>
      <c r="O25" s="1">
        <f>77+43</f>
        <v>120</v>
      </c>
      <c r="P25" s="1">
        <f>14+21</f>
        <v>35</v>
      </c>
      <c r="Q25" s="1">
        <f>O25+P25</f>
        <v>155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36</v>
      </c>
      <c r="X25" s="2" t="s">
        <v>36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</row>
    <row r="26" spans="1:29">
      <c r="B26" s="1" t="s">
        <v>48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36</v>
      </c>
      <c r="X26" s="2" t="s">
        <v>36</v>
      </c>
      <c r="Y26" s="2" t="s">
        <v>36</v>
      </c>
      <c r="Z26" s="2" t="s">
        <v>36</v>
      </c>
      <c r="AA26" s="1">
        <v>129</v>
      </c>
      <c r="AB26" s="1">
        <v>44</v>
      </c>
      <c r="AC26" s="1">
        <f>AB26+AA26</f>
        <v>173</v>
      </c>
    </row>
    <row r="27" spans="1:29">
      <c r="B27" s="1" t="s">
        <v>49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36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36</v>
      </c>
      <c r="U27" s="2" t="s">
        <v>36</v>
      </c>
      <c r="V27" s="2" t="s">
        <v>36</v>
      </c>
      <c r="W27" s="2" t="s">
        <v>36</v>
      </c>
      <c r="X27" s="2" t="s">
        <v>36</v>
      </c>
      <c r="Y27" s="2" t="s">
        <v>36</v>
      </c>
      <c r="Z27" s="2" t="s">
        <v>36</v>
      </c>
      <c r="AA27" s="1">
        <v>72</v>
      </c>
      <c r="AB27" s="1">
        <v>113</v>
      </c>
      <c r="AC27" s="1">
        <f>AB27+AA27</f>
        <v>185</v>
      </c>
    </row>
    <row r="28" spans="1:29">
      <c r="B28" s="1" t="s">
        <v>10</v>
      </c>
      <c r="C28" s="4">
        <f t="shared" ref="C28:K28" si="1">SUM(C13:C25)</f>
        <v>353</v>
      </c>
      <c r="D28" s="4">
        <f t="shared" si="1"/>
        <v>224</v>
      </c>
      <c r="E28" s="4">
        <f t="shared" si="1"/>
        <v>577</v>
      </c>
      <c r="F28" s="4">
        <f t="shared" si="1"/>
        <v>324</v>
      </c>
      <c r="G28" s="4">
        <f t="shared" si="1"/>
        <v>134</v>
      </c>
      <c r="H28" s="4">
        <f t="shared" si="1"/>
        <v>458</v>
      </c>
      <c r="I28" s="4">
        <f t="shared" si="1"/>
        <v>33</v>
      </c>
      <c r="J28" s="4">
        <f t="shared" si="1"/>
        <v>21</v>
      </c>
      <c r="K28" s="4">
        <f t="shared" si="1"/>
        <v>54</v>
      </c>
      <c r="L28" s="1">
        <f>SUM(L13:L25)</f>
        <v>675</v>
      </c>
      <c r="M28" s="4">
        <f t="shared" ref="M28:Q28" si="2">SUM(M13:M25)</f>
        <v>211</v>
      </c>
      <c r="N28" s="4">
        <f t="shared" si="2"/>
        <v>886</v>
      </c>
      <c r="O28" s="4">
        <f t="shared" si="2"/>
        <v>223</v>
      </c>
      <c r="P28" s="4">
        <f t="shared" si="2"/>
        <v>67</v>
      </c>
      <c r="Q28" s="4">
        <f t="shared" si="2"/>
        <v>290</v>
      </c>
      <c r="U28" s="1">
        <f>SUM(U13:U27)</f>
        <v>100</v>
      </c>
      <c r="V28" s="1">
        <f>SUM(V13:V27)</f>
        <v>46</v>
      </c>
      <c r="W28" s="1">
        <f>SUM(U28:V28)</f>
        <v>146</v>
      </c>
      <c r="X28" s="1">
        <f>SUM(X15:X27)</f>
        <v>1114</v>
      </c>
      <c r="Y28" s="1">
        <f>SUM(Y15:Y27)</f>
        <v>755</v>
      </c>
      <c r="Z28" s="1">
        <f>SUM(X28:Y28)</f>
        <v>1869</v>
      </c>
      <c r="AA28" s="1">
        <f>AA26+AA27</f>
        <v>201</v>
      </c>
      <c r="AB28" s="1">
        <f>AB26+AB27</f>
        <v>157</v>
      </c>
      <c r="AC28" s="1">
        <f>AB28+AA28</f>
        <v>358</v>
      </c>
    </row>
    <row r="29" spans="1:29" s="4" customFormat="1"/>
    <row r="30" spans="1:29">
      <c r="A30" s="1" t="s">
        <v>85</v>
      </c>
      <c r="B30" s="1" t="s">
        <v>86</v>
      </c>
      <c r="C30" s="1">
        <v>44</v>
      </c>
      <c r="D30" s="1">
        <v>31</v>
      </c>
      <c r="E30" s="1">
        <f>SUM(C30:D30)</f>
        <v>75</v>
      </c>
      <c r="F30" s="2" t="s">
        <v>36</v>
      </c>
      <c r="G30" s="2" t="s">
        <v>36</v>
      </c>
      <c r="H30" s="2" t="s">
        <v>36</v>
      </c>
      <c r="I30" s="2" t="s">
        <v>36</v>
      </c>
      <c r="J30" s="2" t="s">
        <v>36</v>
      </c>
      <c r="K30" s="2" t="s">
        <v>36</v>
      </c>
      <c r="L30" s="2" t="s">
        <v>36</v>
      </c>
      <c r="M30" s="2" t="s">
        <v>36</v>
      </c>
      <c r="N30" s="2" t="s">
        <v>36</v>
      </c>
      <c r="O30" s="2" t="s">
        <v>36</v>
      </c>
      <c r="P30" s="2" t="s">
        <v>36</v>
      </c>
      <c r="Q30" s="2" t="s">
        <v>36</v>
      </c>
      <c r="R30" s="2" t="s">
        <v>36</v>
      </c>
      <c r="S30" s="2" t="s">
        <v>36</v>
      </c>
      <c r="T30" s="2" t="s">
        <v>36</v>
      </c>
      <c r="U30" s="2" t="s">
        <v>36</v>
      </c>
      <c r="V30" s="2" t="s">
        <v>36</v>
      </c>
      <c r="W30" s="2" t="s">
        <v>36</v>
      </c>
      <c r="X30" s="1">
        <f>37+81</f>
        <v>118</v>
      </c>
      <c r="Y30" s="1">
        <f>10+46</f>
        <v>56</v>
      </c>
      <c r="Z30" s="1">
        <f>X30+Y30</f>
        <v>174</v>
      </c>
      <c r="AA30" s="2" t="s">
        <v>36</v>
      </c>
      <c r="AB30" s="2" t="s">
        <v>36</v>
      </c>
      <c r="AC30" s="2" t="s">
        <v>36</v>
      </c>
    </row>
    <row r="31" spans="1:29">
      <c r="B31" s="1" t="s">
        <v>87</v>
      </c>
      <c r="C31" s="1">
        <f>291+81</f>
        <v>372</v>
      </c>
      <c r="D31" s="1">
        <f>140+87</f>
        <v>227</v>
      </c>
      <c r="E31" s="1">
        <f>SUM(C31:D31)</f>
        <v>599</v>
      </c>
      <c r="F31" s="2" t="s">
        <v>36</v>
      </c>
      <c r="G31" s="2" t="s">
        <v>36</v>
      </c>
      <c r="H31" s="2" t="s">
        <v>36</v>
      </c>
      <c r="I31" s="2" t="s">
        <v>36</v>
      </c>
      <c r="J31" s="2" t="s">
        <v>36</v>
      </c>
      <c r="K31" s="2" t="s">
        <v>36</v>
      </c>
      <c r="L31" s="2" t="s">
        <v>36</v>
      </c>
      <c r="M31" s="2" t="s">
        <v>36</v>
      </c>
      <c r="N31" s="2" t="s">
        <v>36</v>
      </c>
      <c r="O31" s="2" t="s">
        <v>36</v>
      </c>
      <c r="P31" s="2" t="s">
        <v>36</v>
      </c>
      <c r="Q31" s="2" t="s">
        <v>36</v>
      </c>
      <c r="R31" s="2" t="s">
        <v>36</v>
      </c>
      <c r="S31" s="2" t="s">
        <v>36</v>
      </c>
      <c r="T31" s="2" t="s">
        <v>36</v>
      </c>
      <c r="U31" s="2" t="s">
        <v>36</v>
      </c>
      <c r="V31" s="2" t="s">
        <v>36</v>
      </c>
      <c r="W31" s="2" t="s">
        <v>36</v>
      </c>
      <c r="X31" s="1">
        <f>761+235</f>
        <v>996</v>
      </c>
      <c r="Y31" s="1">
        <f>541+157</f>
        <v>698</v>
      </c>
      <c r="Z31" s="1">
        <f>X31+Y31</f>
        <v>1694</v>
      </c>
      <c r="AA31" s="2" t="s">
        <v>36</v>
      </c>
      <c r="AB31" s="2" t="s">
        <v>36</v>
      </c>
      <c r="AC31" s="2" t="s">
        <v>36</v>
      </c>
    </row>
    <row r="32" spans="1:29" s="4" customFormat="1">
      <c r="B32" s="4" t="s">
        <v>10</v>
      </c>
      <c r="C32" s="4">
        <f>SUM(C30:C31)</f>
        <v>416</v>
      </c>
      <c r="D32" s="4">
        <f>SUM(D30:D31)</f>
        <v>258</v>
      </c>
      <c r="E32" s="4">
        <f>SUM(E30:E31)</f>
        <v>674</v>
      </c>
      <c r="F32" s="2" t="s">
        <v>36</v>
      </c>
      <c r="G32" s="2" t="s">
        <v>36</v>
      </c>
      <c r="H32" s="2" t="s">
        <v>36</v>
      </c>
      <c r="I32" s="2" t="s">
        <v>36</v>
      </c>
      <c r="J32" s="2" t="s">
        <v>36</v>
      </c>
      <c r="K32" s="2" t="s">
        <v>36</v>
      </c>
      <c r="L32" s="2" t="s">
        <v>36</v>
      </c>
      <c r="M32" s="2" t="s">
        <v>36</v>
      </c>
      <c r="N32" s="2" t="s">
        <v>36</v>
      </c>
      <c r="O32" s="2" t="s">
        <v>36</v>
      </c>
      <c r="P32" s="2" t="s">
        <v>36</v>
      </c>
      <c r="Q32" s="2" t="s">
        <v>36</v>
      </c>
      <c r="R32" s="2" t="s">
        <v>36</v>
      </c>
      <c r="S32" s="2" t="s">
        <v>36</v>
      </c>
      <c r="T32" s="2" t="s">
        <v>36</v>
      </c>
      <c r="U32" s="2" t="s">
        <v>36</v>
      </c>
      <c r="V32" s="2" t="s">
        <v>36</v>
      </c>
      <c r="W32" s="2" t="s">
        <v>36</v>
      </c>
      <c r="X32" s="4">
        <f>SUM(X30:X31)</f>
        <v>1114</v>
      </c>
      <c r="Y32" s="4">
        <f>SUM(Y30:Y31)</f>
        <v>754</v>
      </c>
      <c r="Z32" s="4">
        <f>SUM(Z30:Z31)</f>
        <v>1868</v>
      </c>
      <c r="AA32" s="2" t="s">
        <v>36</v>
      </c>
      <c r="AB32" s="2" t="s">
        <v>36</v>
      </c>
      <c r="AC32" s="2" t="s">
        <v>36</v>
      </c>
    </row>
    <row r="34" spans="1:29">
      <c r="A34" s="1" t="s">
        <v>84</v>
      </c>
      <c r="B34" s="1" t="s">
        <v>55</v>
      </c>
      <c r="C34" s="1">
        <f>223+51</f>
        <v>274</v>
      </c>
      <c r="D34" s="1">
        <f>102+77</f>
        <v>179</v>
      </c>
      <c r="E34" s="1">
        <f>SUM(C34:D34)</f>
        <v>453</v>
      </c>
      <c r="F34" s="2" t="s">
        <v>36</v>
      </c>
      <c r="G34" s="2" t="s">
        <v>36</v>
      </c>
      <c r="H34" s="2" t="s">
        <v>36</v>
      </c>
      <c r="I34" s="2" t="s">
        <v>36</v>
      </c>
      <c r="J34" s="2" t="s">
        <v>36</v>
      </c>
      <c r="K34" s="2" t="s">
        <v>36</v>
      </c>
      <c r="L34" s="2" t="s">
        <v>36</v>
      </c>
      <c r="M34" s="2" t="s">
        <v>36</v>
      </c>
      <c r="N34" s="2" t="s">
        <v>36</v>
      </c>
      <c r="O34" s="2" t="s">
        <v>36</v>
      </c>
      <c r="P34" s="2" t="s">
        <v>36</v>
      </c>
      <c r="Q34" s="2" t="s">
        <v>36</v>
      </c>
      <c r="R34" s="2" t="s">
        <v>36</v>
      </c>
      <c r="S34" s="2" t="s">
        <v>36</v>
      </c>
      <c r="T34" s="2" t="s">
        <v>36</v>
      </c>
      <c r="U34" s="2" t="s">
        <v>36</v>
      </c>
      <c r="V34" s="2" t="s">
        <v>36</v>
      </c>
      <c r="W34" s="2" t="s">
        <v>36</v>
      </c>
      <c r="X34" s="1">
        <v>1114</v>
      </c>
      <c r="Y34" s="1">
        <v>755</v>
      </c>
      <c r="Z34" s="1">
        <f>SUM(X34:Y34)</f>
        <v>1869</v>
      </c>
      <c r="AA34" s="2" t="s">
        <v>36</v>
      </c>
      <c r="AB34" s="2" t="s">
        <v>36</v>
      </c>
      <c r="AC34" s="2" t="s">
        <v>36</v>
      </c>
    </row>
    <row r="35" spans="1:29">
      <c r="B35" s="1" t="s">
        <v>56</v>
      </c>
      <c r="C35" s="1">
        <f>114+42</f>
        <v>156</v>
      </c>
      <c r="D35" s="1">
        <f>64+32</f>
        <v>96</v>
      </c>
      <c r="E35" s="1">
        <f>SUM(C35:D35)</f>
        <v>252</v>
      </c>
      <c r="F35" s="2" t="s">
        <v>36</v>
      </c>
      <c r="G35" s="2" t="s">
        <v>36</v>
      </c>
      <c r="H35" s="2" t="s">
        <v>36</v>
      </c>
      <c r="I35" s="2" t="s">
        <v>36</v>
      </c>
      <c r="J35" s="2" t="s">
        <v>36</v>
      </c>
      <c r="K35" s="2" t="s">
        <v>36</v>
      </c>
      <c r="L35" s="2" t="s">
        <v>36</v>
      </c>
      <c r="M35" s="2" t="s">
        <v>36</v>
      </c>
      <c r="N35" s="2" t="s">
        <v>36</v>
      </c>
      <c r="O35" s="2" t="s">
        <v>36</v>
      </c>
      <c r="P35" s="2" t="s">
        <v>36</v>
      </c>
      <c r="Q35" s="2" t="s">
        <v>36</v>
      </c>
      <c r="R35" s="2" t="s">
        <v>36</v>
      </c>
      <c r="S35" s="2" t="s">
        <v>36</v>
      </c>
      <c r="T35" s="2" t="s">
        <v>36</v>
      </c>
      <c r="U35" s="2" t="s">
        <v>36</v>
      </c>
      <c r="V35" s="2" t="s">
        <v>36</v>
      </c>
      <c r="W35" s="2" t="s">
        <v>36</v>
      </c>
      <c r="X35" s="1">
        <v>0</v>
      </c>
      <c r="Y35" s="1">
        <v>0</v>
      </c>
      <c r="Z35" s="1">
        <f>SUM(X35:Y35)</f>
        <v>0</v>
      </c>
      <c r="AA35" s="2" t="s">
        <v>36</v>
      </c>
      <c r="AB35" s="2" t="s">
        <v>36</v>
      </c>
      <c r="AC35" s="2" t="s">
        <v>36</v>
      </c>
    </row>
    <row r="36" spans="1:29">
      <c r="B36" s="4" t="s">
        <v>10</v>
      </c>
      <c r="C36" s="1">
        <f>SUM(C34:C35)</f>
        <v>430</v>
      </c>
      <c r="D36" s="1">
        <f>SUM(D34:D35)</f>
        <v>275</v>
      </c>
      <c r="E36" s="1">
        <f>SUM(E34:E35)</f>
        <v>705</v>
      </c>
      <c r="F36" s="2" t="s">
        <v>36</v>
      </c>
      <c r="G36" s="2" t="s">
        <v>36</v>
      </c>
      <c r="H36" s="2" t="s">
        <v>36</v>
      </c>
      <c r="I36" s="2" t="s">
        <v>36</v>
      </c>
      <c r="J36" s="2" t="s">
        <v>36</v>
      </c>
      <c r="K36" s="2" t="s">
        <v>36</v>
      </c>
      <c r="L36" s="2" t="s">
        <v>36</v>
      </c>
      <c r="M36" s="2" t="s">
        <v>36</v>
      </c>
      <c r="N36" s="2" t="s">
        <v>36</v>
      </c>
      <c r="O36" s="2" t="s">
        <v>36</v>
      </c>
      <c r="P36" s="2" t="s">
        <v>36</v>
      </c>
      <c r="Q36" s="2" t="s">
        <v>36</v>
      </c>
      <c r="R36" s="2" t="s">
        <v>36</v>
      </c>
      <c r="S36" s="2" t="s">
        <v>36</v>
      </c>
      <c r="T36" s="2" t="s">
        <v>36</v>
      </c>
      <c r="U36" s="2" t="s">
        <v>36</v>
      </c>
      <c r="V36" s="2" t="s">
        <v>36</v>
      </c>
      <c r="W36" s="2" t="s">
        <v>36</v>
      </c>
      <c r="X36" s="1">
        <f>SUM(X34:X35)</f>
        <v>1114</v>
      </c>
      <c r="Y36" s="1">
        <f>SUM(Y34:Y35)</f>
        <v>755</v>
      </c>
      <c r="Z36" s="1">
        <f>SUM(X36:Y36)</f>
        <v>1869</v>
      </c>
      <c r="AA36" s="2" t="s">
        <v>36</v>
      </c>
      <c r="AB36" s="2" t="s">
        <v>36</v>
      </c>
      <c r="AC36" s="2" t="s">
        <v>36</v>
      </c>
    </row>
    <row r="37" spans="1:29" s="4" customFormat="1">
      <c r="H37" s="2"/>
      <c r="K37" s="2"/>
      <c r="N37" s="2"/>
    </row>
    <row r="38" spans="1:29">
      <c r="A38" s="1" t="s">
        <v>57</v>
      </c>
      <c r="B38" s="1" t="s">
        <v>58</v>
      </c>
      <c r="C38" s="1">
        <v>220</v>
      </c>
      <c r="D38" s="1">
        <v>123</v>
      </c>
      <c r="E38" s="1">
        <f>SUM(C38:D38)</f>
        <v>343</v>
      </c>
      <c r="F38" s="2" t="s">
        <v>36</v>
      </c>
      <c r="G38" s="2" t="s">
        <v>36</v>
      </c>
      <c r="H38" s="2" t="s">
        <v>36</v>
      </c>
      <c r="I38" s="2" t="s">
        <v>36</v>
      </c>
      <c r="J38" s="2" t="s">
        <v>36</v>
      </c>
      <c r="K38" s="2" t="s">
        <v>36</v>
      </c>
      <c r="L38" s="2" t="s">
        <v>36</v>
      </c>
      <c r="M38" s="2" t="s">
        <v>36</v>
      </c>
      <c r="N38" s="2" t="s">
        <v>36</v>
      </c>
      <c r="O38" s="2" t="s">
        <v>36</v>
      </c>
      <c r="P38" s="2" t="s">
        <v>36</v>
      </c>
      <c r="Q38" s="2" t="s">
        <v>36</v>
      </c>
      <c r="R38" s="1">
        <v>243</v>
      </c>
      <c r="S38" s="1">
        <v>150</v>
      </c>
      <c r="T38" s="1">
        <f>R38+S38</f>
        <v>393</v>
      </c>
      <c r="U38" s="2" t="s">
        <v>36</v>
      </c>
      <c r="V38" s="2" t="s">
        <v>36</v>
      </c>
      <c r="W38" s="2" t="s">
        <v>36</v>
      </c>
      <c r="X38" s="2" t="s">
        <v>36</v>
      </c>
      <c r="Y38" s="2" t="s">
        <v>36</v>
      </c>
      <c r="Z38" s="2" t="s">
        <v>36</v>
      </c>
      <c r="AA38" s="1">
        <f>101+90</f>
        <v>191</v>
      </c>
      <c r="AB38" s="1">
        <f>38+58</f>
        <v>96</v>
      </c>
      <c r="AC38" s="1">
        <f>AB38+AA38</f>
        <v>287</v>
      </c>
    </row>
    <row r="39" spans="1:29">
      <c r="B39" s="1" t="s">
        <v>59</v>
      </c>
      <c r="C39" s="1">
        <v>216</v>
      </c>
      <c r="D39" s="1">
        <v>152</v>
      </c>
      <c r="E39" s="1">
        <f>SUM(C39:D39)</f>
        <v>368</v>
      </c>
      <c r="F39" s="2" t="s">
        <v>36</v>
      </c>
      <c r="G39" s="2" t="s">
        <v>36</v>
      </c>
      <c r="H39" s="2" t="s">
        <v>36</v>
      </c>
      <c r="I39" s="2" t="s">
        <v>36</v>
      </c>
      <c r="J39" s="2" t="s">
        <v>36</v>
      </c>
      <c r="K39" s="2" t="s">
        <v>36</v>
      </c>
      <c r="L39" s="2" t="s">
        <v>36</v>
      </c>
      <c r="M39" s="2" t="s">
        <v>36</v>
      </c>
      <c r="N39" s="2" t="s">
        <v>36</v>
      </c>
      <c r="O39" s="2" t="s">
        <v>36</v>
      </c>
      <c r="P39" s="2" t="s">
        <v>36</v>
      </c>
      <c r="Q39" s="2" t="s">
        <v>36</v>
      </c>
      <c r="R39" s="1">
        <v>122</v>
      </c>
      <c r="S39" s="1">
        <v>49</v>
      </c>
      <c r="T39" s="1">
        <f>R39+S39</f>
        <v>171</v>
      </c>
      <c r="U39" s="2" t="s">
        <v>36</v>
      </c>
      <c r="V39" s="2" t="s">
        <v>36</v>
      </c>
      <c r="W39" s="2" t="s">
        <v>36</v>
      </c>
      <c r="X39" s="2" t="s">
        <v>36</v>
      </c>
      <c r="Y39" s="2" t="s">
        <v>36</v>
      </c>
      <c r="Z39" s="2" t="s">
        <v>36</v>
      </c>
      <c r="AA39" s="1">
        <f>28+23</f>
        <v>51</v>
      </c>
      <c r="AB39" s="1">
        <f>6+14</f>
        <v>20</v>
      </c>
      <c r="AC39" s="1">
        <f>AB39+AA39</f>
        <v>71</v>
      </c>
    </row>
    <row r="40" spans="1:29">
      <c r="B40" s="4" t="s">
        <v>10</v>
      </c>
      <c r="C40" s="1">
        <f>SUM(C38:C39)</f>
        <v>436</v>
      </c>
      <c r="D40" s="1">
        <f>SUM(D38:D39)</f>
        <v>275</v>
      </c>
      <c r="E40" s="1">
        <f>SUM(E38:E39)</f>
        <v>711</v>
      </c>
      <c r="F40" s="2" t="s">
        <v>36</v>
      </c>
      <c r="G40" s="2" t="s">
        <v>36</v>
      </c>
      <c r="H40" s="2" t="s">
        <v>36</v>
      </c>
      <c r="I40" s="2" t="s">
        <v>36</v>
      </c>
      <c r="J40" s="2" t="s">
        <v>36</v>
      </c>
      <c r="K40" s="2" t="s">
        <v>36</v>
      </c>
      <c r="L40" s="2" t="s">
        <v>36</v>
      </c>
      <c r="M40" s="2" t="s">
        <v>36</v>
      </c>
      <c r="N40" s="2" t="s">
        <v>36</v>
      </c>
      <c r="O40" s="2" t="s">
        <v>36</v>
      </c>
      <c r="P40" s="2" t="s">
        <v>36</v>
      </c>
      <c r="Q40" s="2" t="s">
        <v>36</v>
      </c>
      <c r="R40" s="1">
        <f>SUM(R38:R39)</f>
        <v>365</v>
      </c>
      <c r="S40" s="1">
        <f>SUM(S38:S39)</f>
        <v>199</v>
      </c>
      <c r="T40" s="1">
        <f>SUM(T38:T39)</f>
        <v>564</v>
      </c>
      <c r="U40" s="2" t="s">
        <v>36</v>
      </c>
      <c r="V40" s="2" t="s">
        <v>36</v>
      </c>
      <c r="W40" s="2" t="s">
        <v>36</v>
      </c>
      <c r="X40" s="2" t="s">
        <v>36</v>
      </c>
      <c r="Y40" s="2" t="s">
        <v>36</v>
      </c>
      <c r="Z40" s="2" t="s">
        <v>36</v>
      </c>
      <c r="AA40" s="1">
        <f>AA39+AA38</f>
        <v>242</v>
      </c>
      <c r="AB40" s="1">
        <f>AB39+AB38</f>
        <v>116</v>
      </c>
      <c r="AC40" s="1">
        <f>AB40+AA40</f>
        <v>358</v>
      </c>
    </row>
    <row r="42" spans="1:29" s="4" customFormat="1">
      <c r="A42" s="4" t="s">
        <v>92</v>
      </c>
      <c r="B42" s="4" t="s">
        <v>55</v>
      </c>
      <c r="C42" s="4">
        <v>53</v>
      </c>
      <c r="D42" s="4">
        <v>24</v>
      </c>
      <c r="E42" s="4">
        <f t="shared" ref="E42:E43" si="3">C42+D42</f>
        <v>77</v>
      </c>
      <c r="F42" s="2" t="s">
        <v>36</v>
      </c>
      <c r="G42" s="2" t="s">
        <v>36</v>
      </c>
      <c r="H42" s="2" t="s">
        <v>36</v>
      </c>
      <c r="I42" s="2" t="s">
        <v>36</v>
      </c>
      <c r="J42" s="2" t="s">
        <v>36</v>
      </c>
      <c r="K42" s="2" t="s">
        <v>36</v>
      </c>
      <c r="L42" s="2" t="s">
        <v>36</v>
      </c>
      <c r="M42" s="2" t="s">
        <v>36</v>
      </c>
      <c r="N42" s="2" t="s">
        <v>36</v>
      </c>
      <c r="O42" s="2" t="s">
        <v>36</v>
      </c>
      <c r="P42" s="2" t="s">
        <v>36</v>
      </c>
      <c r="Q42" s="2" t="s">
        <v>36</v>
      </c>
      <c r="R42" s="2" t="s">
        <v>36</v>
      </c>
      <c r="S42" s="2" t="s">
        <v>36</v>
      </c>
      <c r="T42" s="2" t="s">
        <v>36</v>
      </c>
      <c r="U42" s="2" t="s">
        <v>36</v>
      </c>
      <c r="V42" s="2" t="s">
        <v>36</v>
      </c>
      <c r="W42" s="2" t="s">
        <v>36</v>
      </c>
      <c r="X42" s="2" t="s">
        <v>36</v>
      </c>
      <c r="Y42" s="2" t="s">
        <v>36</v>
      </c>
      <c r="Z42" s="2" t="s">
        <v>36</v>
      </c>
      <c r="AA42" s="2" t="s">
        <v>36</v>
      </c>
      <c r="AB42" s="2" t="s">
        <v>36</v>
      </c>
      <c r="AC42" s="2" t="s">
        <v>36</v>
      </c>
    </row>
    <row r="43" spans="1:29" s="4" customFormat="1">
      <c r="B43" s="4" t="s">
        <v>56</v>
      </c>
      <c r="C43" s="4">
        <v>323</v>
      </c>
      <c r="D43" s="4">
        <v>198</v>
      </c>
      <c r="E43" s="4">
        <f t="shared" si="3"/>
        <v>521</v>
      </c>
      <c r="F43" s="2" t="s">
        <v>36</v>
      </c>
      <c r="G43" s="2" t="s">
        <v>36</v>
      </c>
      <c r="H43" s="2" t="s">
        <v>36</v>
      </c>
      <c r="I43" s="2" t="s">
        <v>36</v>
      </c>
      <c r="J43" s="2" t="s">
        <v>36</v>
      </c>
      <c r="K43" s="2" t="s">
        <v>36</v>
      </c>
      <c r="L43" s="2" t="s">
        <v>36</v>
      </c>
      <c r="M43" s="2" t="s">
        <v>36</v>
      </c>
      <c r="N43" s="2" t="s">
        <v>36</v>
      </c>
      <c r="O43" s="2" t="s">
        <v>36</v>
      </c>
      <c r="P43" s="2" t="s">
        <v>36</v>
      </c>
      <c r="Q43" s="2" t="s">
        <v>36</v>
      </c>
      <c r="R43" s="2" t="s">
        <v>36</v>
      </c>
      <c r="S43" s="2" t="s">
        <v>36</v>
      </c>
      <c r="T43" s="2" t="s">
        <v>36</v>
      </c>
      <c r="U43" s="2" t="s">
        <v>36</v>
      </c>
      <c r="V43" s="2" t="s">
        <v>36</v>
      </c>
      <c r="W43" s="2" t="s">
        <v>36</v>
      </c>
      <c r="X43" s="2" t="s">
        <v>36</v>
      </c>
      <c r="Y43" s="2" t="s">
        <v>36</v>
      </c>
      <c r="Z43" s="2" t="s">
        <v>36</v>
      </c>
      <c r="AA43" s="2" t="s">
        <v>36</v>
      </c>
      <c r="AB43" s="2" t="s">
        <v>36</v>
      </c>
      <c r="AC43" s="2" t="s">
        <v>36</v>
      </c>
    </row>
    <row r="44" spans="1:29" s="4" customFormat="1">
      <c r="B44" s="4" t="s">
        <v>10</v>
      </c>
      <c r="C44" s="4">
        <f>C42+C43</f>
        <v>376</v>
      </c>
      <c r="D44" s="4">
        <f t="shared" ref="D44:E44" si="4">D42+D43</f>
        <v>222</v>
      </c>
      <c r="E44" s="4">
        <f t="shared" si="4"/>
        <v>598</v>
      </c>
      <c r="F44" s="2" t="s">
        <v>36</v>
      </c>
      <c r="G44" s="2" t="s">
        <v>36</v>
      </c>
      <c r="H44" s="2" t="s">
        <v>36</v>
      </c>
      <c r="I44" s="2" t="s">
        <v>36</v>
      </c>
      <c r="J44" s="2" t="s">
        <v>36</v>
      </c>
      <c r="K44" s="2" t="s">
        <v>36</v>
      </c>
      <c r="L44" s="2" t="s">
        <v>36</v>
      </c>
      <c r="M44" s="2" t="s">
        <v>36</v>
      </c>
      <c r="N44" s="2" t="s">
        <v>36</v>
      </c>
      <c r="O44" s="2" t="s">
        <v>36</v>
      </c>
      <c r="P44" s="2" t="s">
        <v>36</v>
      </c>
      <c r="Q44" s="2" t="s">
        <v>36</v>
      </c>
      <c r="R44" s="2" t="s">
        <v>36</v>
      </c>
      <c r="S44" s="2" t="s">
        <v>36</v>
      </c>
      <c r="T44" s="2" t="s">
        <v>36</v>
      </c>
      <c r="U44" s="2" t="s">
        <v>36</v>
      </c>
      <c r="V44" s="2" t="s">
        <v>36</v>
      </c>
      <c r="W44" s="2" t="s">
        <v>36</v>
      </c>
      <c r="X44" s="2" t="s">
        <v>36</v>
      </c>
      <c r="Y44" s="2" t="s">
        <v>36</v>
      </c>
      <c r="Z44" s="2" t="s">
        <v>36</v>
      </c>
      <c r="AA44" s="2" t="s">
        <v>36</v>
      </c>
      <c r="AB44" s="2" t="s">
        <v>36</v>
      </c>
      <c r="AC44" s="2" t="s">
        <v>36</v>
      </c>
    </row>
    <row r="45" spans="1:29" s="4" customFormat="1">
      <c r="H45" s="2"/>
      <c r="K45" s="2"/>
      <c r="N45" s="2"/>
    </row>
    <row r="46" spans="1:29" s="4" customFormat="1" ht="33.75" customHeight="1">
      <c r="A46" s="11" t="s">
        <v>94</v>
      </c>
      <c r="B46" s="4" t="s">
        <v>55</v>
      </c>
      <c r="C46" s="4">
        <v>159</v>
      </c>
      <c r="D46" s="4">
        <v>101</v>
      </c>
      <c r="E46" s="4">
        <f>C46+D46</f>
        <v>260</v>
      </c>
      <c r="F46" s="2" t="s">
        <v>36</v>
      </c>
      <c r="G46" s="2" t="s">
        <v>36</v>
      </c>
      <c r="H46" s="2" t="s">
        <v>36</v>
      </c>
      <c r="I46" s="2" t="s">
        <v>36</v>
      </c>
      <c r="J46" s="2" t="s">
        <v>36</v>
      </c>
      <c r="K46" s="2" t="s">
        <v>36</v>
      </c>
      <c r="L46" s="2" t="s">
        <v>36</v>
      </c>
      <c r="M46" s="2" t="s">
        <v>36</v>
      </c>
      <c r="N46" s="2" t="s">
        <v>36</v>
      </c>
      <c r="O46" s="2" t="s">
        <v>36</v>
      </c>
      <c r="P46" s="2" t="s">
        <v>36</v>
      </c>
      <c r="Q46" s="2" t="s">
        <v>36</v>
      </c>
      <c r="R46" s="2" t="s">
        <v>36</v>
      </c>
      <c r="S46" s="2" t="s">
        <v>36</v>
      </c>
      <c r="T46" s="2" t="s">
        <v>36</v>
      </c>
      <c r="U46" s="2" t="s">
        <v>36</v>
      </c>
      <c r="V46" s="2" t="s">
        <v>36</v>
      </c>
      <c r="W46" s="2" t="s">
        <v>36</v>
      </c>
      <c r="X46" s="2" t="s">
        <v>36</v>
      </c>
      <c r="Y46" s="2" t="s">
        <v>36</v>
      </c>
      <c r="Z46" s="2" t="s">
        <v>36</v>
      </c>
      <c r="AA46" s="2" t="s">
        <v>36</v>
      </c>
      <c r="AB46" s="2" t="s">
        <v>36</v>
      </c>
      <c r="AC46" s="2" t="s">
        <v>36</v>
      </c>
    </row>
    <row r="47" spans="1:29" s="4" customFormat="1">
      <c r="A47" s="11"/>
      <c r="B47" s="4" t="s">
        <v>56</v>
      </c>
      <c r="C47" s="4">
        <v>280</v>
      </c>
      <c r="D47" s="4">
        <v>176</v>
      </c>
      <c r="E47" s="4">
        <f>C47+D47</f>
        <v>456</v>
      </c>
      <c r="F47" s="2" t="s">
        <v>36</v>
      </c>
      <c r="G47" s="2" t="s">
        <v>36</v>
      </c>
      <c r="H47" s="2" t="s">
        <v>36</v>
      </c>
      <c r="I47" s="2" t="s">
        <v>36</v>
      </c>
      <c r="J47" s="2" t="s">
        <v>36</v>
      </c>
      <c r="K47" s="2" t="s">
        <v>36</v>
      </c>
      <c r="L47" s="2" t="s">
        <v>36</v>
      </c>
      <c r="M47" s="2" t="s">
        <v>36</v>
      </c>
      <c r="N47" s="2" t="s">
        <v>36</v>
      </c>
      <c r="O47" s="2" t="s">
        <v>36</v>
      </c>
      <c r="P47" s="2" t="s">
        <v>36</v>
      </c>
      <c r="Q47" s="2" t="s">
        <v>36</v>
      </c>
      <c r="R47" s="2" t="s">
        <v>36</v>
      </c>
      <c r="S47" s="2" t="s">
        <v>36</v>
      </c>
      <c r="T47" s="2" t="s">
        <v>36</v>
      </c>
      <c r="U47" s="2" t="s">
        <v>36</v>
      </c>
      <c r="V47" s="2" t="s">
        <v>36</v>
      </c>
      <c r="W47" s="2" t="s">
        <v>36</v>
      </c>
      <c r="X47" s="2" t="s">
        <v>36</v>
      </c>
      <c r="Y47" s="2" t="s">
        <v>36</v>
      </c>
      <c r="Z47" s="2" t="s">
        <v>36</v>
      </c>
      <c r="AA47" s="2" t="s">
        <v>36</v>
      </c>
      <c r="AB47" s="2" t="s">
        <v>36</v>
      </c>
      <c r="AC47" s="2" t="s">
        <v>36</v>
      </c>
    </row>
    <row r="48" spans="1:29" s="4" customFormat="1">
      <c r="A48" s="11"/>
      <c r="B48" s="12" t="s">
        <v>10</v>
      </c>
      <c r="C48" s="4">
        <f>C46+C47</f>
        <v>439</v>
      </c>
      <c r="D48" s="4">
        <f t="shared" ref="D48" si="5">D46+D47</f>
        <v>277</v>
      </c>
      <c r="E48" s="4">
        <f t="shared" ref="E48:E56" si="6">C48+D48</f>
        <v>716</v>
      </c>
      <c r="F48" s="2" t="s">
        <v>36</v>
      </c>
      <c r="G48" s="2" t="s">
        <v>36</v>
      </c>
      <c r="H48" s="2" t="s">
        <v>36</v>
      </c>
      <c r="I48" s="2" t="s">
        <v>36</v>
      </c>
      <c r="J48" s="2" t="s">
        <v>36</v>
      </c>
      <c r="K48" s="2" t="s">
        <v>36</v>
      </c>
      <c r="L48" s="2" t="s">
        <v>36</v>
      </c>
      <c r="M48" s="2" t="s">
        <v>36</v>
      </c>
      <c r="N48" s="2" t="s">
        <v>36</v>
      </c>
      <c r="O48" s="2" t="s">
        <v>36</v>
      </c>
      <c r="P48" s="2" t="s">
        <v>36</v>
      </c>
      <c r="Q48" s="2" t="s">
        <v>36</v>
      </c>
      <c r="R48" s="2" t="s">
        <v>36</v>
      </c>
      <c r="S48" s="2" t="s">
        <v>36</v>
      </c>
      <c r="T48" s="2" t="s">
        <v>36</v>
      </c>
      <c r="U48" s="2" t="s">
        <v>36</v>
      </c>
      <c r="V48" s="2" t="s">
        <v>36</v>
      </c>
      <c r="W48" s="2" t="s">
        <v>36</v>
      </c>
      <c r="X48" s="2" t="s">
        <v>36</v>
      </c>
      <c r="Y48" s="2" t="s">
        <v>36</v>
      </c>
      <c r="Z48" s="2" t="s">
        <v>36</v>
      </c>
      <c r="AA48" s="2" t="s">
        <v>36</v>
      </c>
      <c r="AB48" s="2" t="s">
        <v>36</v>
      </c>
      <c r="AC48" s="2" t="s">
        <v>36</v>
      </c>
    </row>
    <row r="49" spans="1:29" s="4" customFormat="1">
      <c r="A49" s="11"/>
      <c r="H49" s="2"/>
      <c r="K49" s="2"/>
      <c r="N49" s="2"/>
    </row>
    <row r="50" spans="1:29" s="4" customFormat="1" ht="30">
      <c r="A50" s="11" t="s">
        <v>93</v>
      </c>
      <c r="B50" s="4" t="s">
        <v>55</v>
      </c>
      <c r="C50" s="4">
        <v>181</v>
      </c>
      <c r="D50" s="4">
        <v>103</v>
      </c>
      <c r="E50" s="4">
        <f t="shared" si="6"/>
        <v>284</v>
      </c>
      <c r="F50" s="2" t="s">
        <v>36</v>
      </c>
      <c r="G50" s="2" t="s">
        <v>36</v>
      </c>
      <c r="H50" s="2" t="s">
        <v>36</v>
      </c>
      <c r="I50" s="2" t="s">
        <v>36</v>
      </c>
      <c r="J50" s="2" t="s">
        <v>36</v>
      </c>
      <c r="K50" s="2" t="s">
        <v>36</v>
      </c>
      <c r="L50" s="2" t="s">
        <v>36</v>
      </c>
      <c r="M50" s="2" t="s">
        <v>36</v>
      </c>
      <c r="N50" s="2" t="s">
        <v>36</v>
      </c>
      <c r="O50" s="2" t="s">
        <v>36</v>
      </c>
      <c r="P50" s="2" t="s">
        <v>36</v>
      </c>
      <c r="Q50" s="2" t="s">
        <v>36</v>
      </c>
      <c r="R50" s="2" t="s">
        <v>36</v>
      </c>
      <c r="S50" s="2" t="s">
        <v>36</v>
      </c>
      <c r="T50" s="2" t="s">
        <v>36</v>
      </c>
      <c r="U50" s="2" t="s">
        <v>36</v>
      </c>
      <c r="V50" s="2" t="s">
        <v>36</v>
      </c>
      <c r="W50" s="2" t="s">
        <v>36</v>
      </c>
      <c r="X50" s="2" t="s">
        <v>36</v>
      </c>
      <c r="Y50" s="2" t="s">
        <v>36</v>
      </c>
      <c r="Z50" s="2" t="s">
        <v>36</v>
      </c>
      <c r="AA50" s="2" t="s">
        <v>36</v>
      </c>
      <c r="AB50" s="2" t="s">
        <v>36</v>
      </c>
      <c r="AC50" s="2" t="s">
        <v>36</v>
      </c>
    </row>
    <row r="51" spans="1:29" s="4" customFormat="1">
      <c r="A51" s="11"/>
      <c r="B51" s="4" t="s">
        <v>56</v>
      </c>
      <c r="C51" s="4">
        <v>186</v>
      </c>
      <c r="D51" s="4">
        <v>141</v>
      </c>
      <c r="E51" s="4">
        <f t="shared" si="6"/>
        <v>327</v>
      </c>
      <c r="F51" s="2" t="s">
        <v>36</v>
      </c>
      <c r="G51" s="2" t="s">
        <v>36</v>
      </c>
      <c r="H51" s="2" t="s">
        <v>36</v>
      </c>
      <c r="I51" s="2" t="s">
        <v>36</v>
      </c>
      <c r="J51" s="2" t="s">
        <v>36</v>
      </c>
      <c r="K51" s="2" t="s">
        <v>36</v>
      </c>
      <c r="L51" s="2" t="s">
        <v>36</v>
      </c>
      <c r="M51" s="2" t="s">
        <v>36</v>
      </c>
      <c r="N51" s="2" t="s">
        <v>36</v>
      </c>
      <c r="O51" s="2" t="s">
        <v>36</v>
      </c>
      <c r="P51" s="2" t="s">
        <v>36</v>
      </c>
      <c r="Q51" s="2" t="s">
        <v>36</v>
      </c>
      <c r="R51" s="2" t="s">
        <v>36</v>
      </c>
      <c r="S51" s="2" t="s">
        <v>36</v>
      </c>
      <c r="T51" s="2" t="s">
        <v>36</v>
      </c>
      <c r="U51" s="2" t="s">
        <v>36</v>
      </c>
      <c r="V51" s="2" t="s">
        <v>36</v>
      </c>
      <c r="W51" s="2" t="s">
        <v>36</v>
      </c>
      <c r="X51" s="2" t="s">
        <v>36</v>
      </c>
      <c r="Y51" s="2" t="s">
        <v>36</v>
      </c>
      <c r="Z51" s="2" t="s">
        <v>36</v>
      </c>
      <c r="AA51" s="2" t="s">
        <v>36</v>
      </c>
      <c r="AB51" s="2" t="s">
        <v>36</v>
      </c>
      <c r="AC51" s="2" t="s">
        <v>36</v>
      </c>
    </row>
    <row r="52" spans="1:29" s="4" customFormat="1">
      <c r="A52" s="11"/>
      <c r="B52" s="12" t="s">
        <v>10</v>
      </c>
      <c r="C52" s="4">
        <f>C51+C50</f>
        <v>367</v>
      </c>
      <c r="D52" s="4">
        <f>D51+D50</f>
        <v>244</v>
      </c>
      <c r="E52" s="4">
        <f t="shared" si="6"/>
        <v>611</v>
      </c>
      <c r="F52" s="2" t="s">
        <v>36</v>
      </c>
      <c r="G52" s="2" t="s">
        <v>36</v>
      </c>
      <c r="H52" s="2" t="s">
        <v>36</v>
      </c>
      <c r="I52" s="2" t="s">
        <v>36</v>
      </c>
      <c r="J52" s="2" t="s">
        <v>36</v>
      </c>
      <c r="K52" s="2" t="s">
        <v>36</v>
      </c>
      <c r="L52" s="2" t="s">
        <v>36</v>
      </c>
      <c r="M52" s="2" t="s">
        <v>36</v>
      </c>
      <c r="N52" s="2" t="s">
        <v>36</v>
      </c>
      <c r="O52" s="2" t="s">
        <v>36</v>
      </c>
      <c r="P52" s="2" t="s">
        <v>36</v>
      </c>
      <c r="Q52" s="2" t="s">
        <v>36</v>
      </c>
      <c r="R52" s="2" t="s">
        <v>36</v>
      </c>
      <c r="S52" s="2" t="s">
        <v>36</v>
      </c>
      <c r="T52" s="2" t="s">
        <v>36</v>
      </c>
      <c r="U52" s="2" t="s">
        <v>36</v>
      </c>
      <c r="V52" s="2" t="s">
        <v>36</v>
      </c>
      <c r="W52" s="2" t="s">
        <v>36</v>
      </c>
      <c r="X52" s="2" t="s">
        <v>36</v>
      </c>
      <c r="Y52" s="2" t="s">
        <v>36</v>
      </c>
      <c r="Z52" s="2" t="s">
        <v>36</v>
      </c>
      <c r="AA52" s="2" t="s">
        <v>36</v>
      </c>
      <c r="AB52" s="2" t="s">
        <v>36</v>
      </c>
      <c r="AC52" s="2" t="s">
        <v>36</v>
      </c>
    </row>
    <row r="53" spans="1:29">
      <c r="A53" s="11"/>
      <c r="E53" s="4"/>
    </row>
    <row r="54" spans="1:29" s="4" customFormat="1">
      <c r="A54" s="11" t="s">
        <v>95</v>
      </c>
      <c r="B54" s="4" t="s">
        <v>55</v>
      </c>
      <c r="C54" s="4">
        <v>166</v>
      </c>
      <c r="D54" s="4">
        <v>76</v>
      </c>
      <c r="E54" s="4">
        <f t="shared" si="6"/>
        <v>242</v>
      </c>
      <c r="F54" s="2" t="s">
        <v>36</v>
      </c>
      <c r="G54" s="2" t="s">
        <v>36</v>
      </c>
      <c r="H54" s="2" t="s">
        <v>36</v>
      </c>
      <c r="I54" s="2" t="s">
        <v>36</v>
      </c>
      <c r="J54" s="2" t="s">
        <v>36</v>
      </c>
      <c r="K54" s="2" t="s">
        <v>36</v>
      </c>
      <c r="L54" s="2" t="s">
        <v>36</v>
      </c>
      <c r="M54" s="2" t="s">
        <v>36</v>
      </c>
      <c r="N54" s="2" t="s">
        <v>36</v>
      </c>
      <c r="O54" s="2" t="s">
        <v>36</v>
      </c>
      <c r="P54" s="2" t="s">
        <v>36</v>
      </c>
      <c r="Q54" s="2" t="s">
        <v>36</v>
      </c>
      <c r="R54" s="2" t="s">
        <v>36</v>
      </c>
      <c r="S54" s="2" t="s">
        <v>36</v>
      </c>
      <c r="T54" s="2" t="s">
        <v>36</v>
      </c>
      <c r="U54" s="2" t="s">
        <v>36</v>
      </c>
      <c r="V54" s="2" t="s">
        <v>36</v>
      </c>
      <c r="W54" s="2" t="s">
        <v>36</v>
      </c>
      <c r="X54" s="2" t="s">
        <v>36</v>
      </c>
      <c r="Y54" s="2" t="s">
        <v>36</v>
      </c>
      <c r="Z54" s="2" t="s">
        <v>36</v>
      </c>
      <c r="AA54" s="2" t="s">
        <v>36</v>
      </c>
      <c r="AB54" s="2" t="s">
        <v>36</v>
      </c>
      <c r="AC54" s="2" t="s">
        <v>36</v>
      </c>
    </row>
    <row r="55" spans="1:29" s="4" customFormat="1">
      <c r="A55" s="11"/>
      <c r="B55" s="4" t="s">
        <v>56</v>
      </c>
      <c r="C55" s="4">
        <v>260</v>
      </c>
      <c r="D55" s="4">
        <v>189</v>
      </c>
      <c r="E55" s="4">
        <f t="shared" si="6"/>
        <v>449</v>
      </c>
      <c r="F55" s="2" t="s">
        <v>36</v>
      </c>
      <c r="G55" s="2" t="s">
        <v>36</v>
      </c>
      <c r="H55" s="2" t="s">
        <v>36</v>
      </c>
      <c r="I55" s="2" t="s">
        <v>36</v>
      </c>
      <c r="J55" s="2" t="s">
        <v>36</v>
      </c>
      <c r="K55" s="2" t="s">
        <v>36</v>
      </c>
      <c r="L55" s="2" t="s">
        <v>36</v>
      </c>
      <c r="M55" s="2" t="s">
        <v>36</v>
      </c>
      <c r="N55" s="2" t="s">
        <v>36</v>
      </c>
      <c r="O55" s="2" t="s">
        <v>36</v>
      </c>
      <c r="P55" s="2" t="s">
        <v>36</v>
      </c>
      <c r="Q55" s="2" t="s">
        <v>36</v>
      </c>
      <c r="R55" s="2" t="s">
        <v>36</v>
      </c>
      <c r="S55" s="2" t="s">
        <v>36</v>
      </c>
      <c r="T55" s="2" t="s">
        <v>36</v>
      </c>
      <c r="U55" s="2" t="s">
        <v>36</v>
      </c>
      <c r="V55" s="2" t="s">
        <v>36</v>
      </c>
      <c r="W55" s="2" t="s">
        <v>36</v>
      </c>
      <c r="X55" s="2" t="s">
        <v>36</v>
      </c>
      <c r="Y55" s="2" t="s">
        <v>36</v>
      </c>
      <c r="Z55" s="2" t="s">
        <v>36</v>
      </c>
      <c r="AA55" s="2" t="s">
        <v>36</v>
      </c>
      <c r="AB55" s="2" t="s">
        <v>36</v>
      </c>
      <c r="AC55" s="2" t="s">
        <v>36</v>
      </c>
    </row>
    <row r="56" spans="1:29" s="4" customFormat="1">
      <c r="A56" s="11"/>
      <c r="B56" s="12" t="s">
        <v>10</v>
      </c>
      <c r="C56" s="4">
        <f>C55+C54</f>
        <v>426</v>
      </c>
      <c r="D56" s="4">
        <f>D55+D54</f>
        <v>265</v>
      </c>
      <c r="E56" s="4">
        <f t="shared" si="6"/>
        <v>691</v>
      </c>
      <c r="F56" s="2" t="s">
        <v>36</v>
      </c>
      <c r="G56" s="2" t="s">
        <v>36</v>
      </c>
      <c r="H56" s="2" t="s">
        <v>36</v>
      </c>
      <c r="I56" s="2" t="s">
        <v>36</v>
      </c>
      <c r="J56" s="2" t="s">
        <v>36</v>
      </c>
      <c r="K56" s="2" t="s">
        <v>36</v>
      </c>
      <c r="L56" s="2" t="s">
        <v>36</v>
      </c>
      <c r="M56" s="2" t="s">
        <v>36</v>
      </c>
      <c r="N56" s="2" t="s">
        <v>36</v>
      </c>
      <c r="O56" s="2" t="s">
        <v>36</v>
      </c>
      <c r="P56" s="2" t="s">
        <v>36</v>
      </c>
      <c r="Q56" s="2" t="s">
        <v>36</v>
      </c>
      <c r="R56" s="2" t="s">
        <v>36</v>
      </c>
      <c r="S56" s="2" t="s">
        <v>36</v>
      </c>
      <c r="T56" s="2" t="s">
        <v>36</v>
      </c>
      <c r="U56" s="2" t="s">
        <v>36</v>
      </c>
      <c r="V56" s="2" t="s">
        <v>36</v>
      </c>
      <c r="W56" s="2" t="s">
        <v>36</v>
      </c>
      <c r="X56" s="2" t="s">
        <v>36</v>
      </c>
      <c r="Y56" s="2" t="s">
        <v>36</v>
      </c>
      <c r="Z56" s="2" t="s">
        <v>36</v>
      </c>
      <c r="AA56" s="2" t="s">
        <v>36</v>
      </c>
      <c r="AB56" s="2" t="s">
        <v>36</v>
      </c>
      <c r="AC56" s="2" t="s">
        <v>36</v>
      </c>
    </row>
    <row r="57" spans="1:29" s="4" customFormat="1">
      <c r="A57" s="11"/>
      <c r="H57" s="2"/>
      <c r="K57" s="2"/>
      <c r="N57" s="2"/>
    </row>
    <row r="58" spans="1:29" s="4" customFormat="1">
      <c r="A58" s="11" t="s">
        <v>96</v>
      </c>
      <c r="B58" s="4" t="s">
        <v>55</v>
      </c>
      <c r="C58" s="4">
        <v>42</v>
      </c>
      <c r="D58" s="4">
        <v>31</v>
      </c>
      <c r="E58" s="4">
        <f>SUM(C58:D58)</f>
        <v>73</v>
      </c>
      <c r="F58" s="2" t="s">
        <v>36</v>
      </c>
      <c r="G58" s="2" t="s">
        <v>36</v>
      </c>
      <c r="H58" s="2" t="s">
        <v>36</v>
      </c>
      <c r="I58" s="2" t="s">
        <v>36</v>
      </c>
      <c r="J58" s="2" t="s">
        <v>36</v>
      </c>
      <c r="K58" s="2" t="s">
        <v>36</v>
      </c>
      <c r="L58" s="2" t="s">
        <v>36</v>
      </c>
      <c r="M58" s="2" t="s">
        <v>36</v>
      </c>
      <c r="N58" s="2" t="s">
        <v>36</v>
      </c>
      <c r="O58" s="2" t="s">
        <v>36</v>
      </c>
      <c r="P58" s="2" t="s">
        <v>36</v>
      </c>
      <c r="Q58" s="2" t="s">
        <v>36</v>
      </c>
      <c r="R58" s="2" t="s">
        <v>36</v>
      </c>
      <c r="S58" s="2" t="s">
        <v>36</v>
      </c>
      <c r="T58" s="2" t="s">
        <v>36</v>
      </c>
      <c r="U58" s="2" t="s">
        <v>36</v>
      </c>
      <c r="V58" s="2" t="s">
        <v>36</v>
      </c>
      <c r="W58" s="2" t="s">
        <v>36</v>
      </c>
      <c r="X58" s="2" t="s">
        <v>36</v>
      </c>
      <c r="Y58" s="2" t="s">
        <v>36</v>
      </c>
      <c r="Z58" s="2" t="s">
        <v>36</v>
      </c>
      <c r="AA58" s="2" t="s">
        <v>36</v>
      </c>
      <c r="AB58" s="2" t="s">
        <v>36</v>
      </c>
      <c r="AC58" s="2" t="s">
        <v>36</v>
      </c>
    </row>
    <row r="59" spans="1:29" s="4" customFormat="1">
      <c r="A59" s="11"/>
      <c r="B59" s="4" t="s">
        <v>56</v>
      </c>
      <c r="C59" s="4">
        <v>394</v>
      </c>
      <c r="D59" s="4">
        <v>244</v>
      </c>
      <c r="E59" s="4">
        <f>SUM(C59:D59)</f>
        <v>638</v>
      </c>
      <c r="F59" s="2" t="s">
        <v>36</v>
      </c>
      <c r="G59" s="2" t="s">
        <v>36</v>
      </c>
      <c r="H59" s="2" t="s">
        <v>36</v>
      </c>
      <c r="I59" s="2" t="s">
        <v>36</v>
      </c>
      <c r="J59" s="2" t="s">
        <v>36</v>
      </c>
      <c r="K59" s="2" t="s">
        <v>36</v>
      </c>
      <c r="L59" s="2" t="s">
        <v>36</v>
      </c>
      <c r="M59" s="2" t="s">
        <v>36</v>
      </c>
      <c r="N59" s="2" t="s">
        <v>36</v>
      </c>
      <c r="O59" s="2" t="s">
        <v>36</v>
      </c>
      <c r="P59" s="2" t="s">
        <v>36</v>
      </c>
      <c r="Q59" s="2" t="s">
        <v>36</v>
      </c>
      <c r="R59" s="2" t="s">
        <v>36</v>
      </c>
      <c r="S59" s="2" t="s">
        <v>36</v>
      </c>
      <c r="T59" s="2" t="s">
        <v>36</v>
      </c>
      <c r="U59" s="2" t="s">
        <v>36</v>
      </c>
      <c r="V59" s="2" t="s">
        <v>36</v>
      </c>
      <c r="W59" s="2" t="s">
        <v>36</v>
      </c>
      <c r="X59" s="2" t="s">
        <v>36</v>
      </c>
      <c r="Y59" s="2" t="s">
        <v>36</v>
      </c>
      <c r="Z59" s="2" t="s">
        <v>36</v>
      </c>
      <c r="AA59" s="2" t="s">
        <v>36</v>
      </c>
      <c r="AB59" s="2" t="s">
        <v>36</v>
      </c>
      <c r="AC59" s="2" t="s">
        <v>36</v>
      </c>
    </row>
    <row r="60" spans="1:29" s="4" customFormat="1">
      <c r="A60" s="11"/>
      <c r="B60" s="12" t="s">
        <v>10</v>
      </c>
      <c r="C60" s="4">
        <f>SUM(C58:C59)</f>
        <v>436</v>
      </c>
      <c r="D60" s="4">
        <f t="shared" ref="D60:E60" si="7">SUM(D58:D59)</f>
        <v>275</v>
      </c>
      <c r="E60" s="4">
        <f t="shared" si="7"/>
        <v>711</v>
      </c>
      <c r="F60" s="2" t="s">
        <v>36</v>
      </c>
      <c r="G60" s="2" t="s">
        <v>36</v>
      </c>
      <c r="H60" s="2" t="s">
        <v>36</v>
      </c>
      <c r="I60" s="2" t="s">
        <v>36</v>
      </c>
      <c r="J60" s="2" t="s">
        <v>36</v>
      </c>
      <c r="K60" s="2" t="s">
        <v>36</v>
      </c>
      <c r="L60" s="2" t="s">
        <v>36</v>
      </c>
      <c r="M60" s="2" t="s">
        <v>36</v>
      </c>
      <c r="N60" s="2" t="s">
        <v>36</v>
      </c>
      <c r="O60" s="2" t="s">
        <v>36</v>
      </c>
      <c r="P60" s="2" t="s">
        <v>36</v>
      </c>
      <c r="Q60" s="2" t="s">
        <v>36</v>
      </c>
      <c r="R60" s="2" t="s">
        <v>36</v>
      </c>
      <c r="S60" s="2" t="s">
        <v>36</v>
      </c>
      <c r="T60" s="2" t="s">
        <v>36</v>
      </c>
      <c r="U60" s="2" t="s">
        <v>36</v>
      </c>
      <c r="V60" s="2" t="s">
        <v>36</v>
      </c>
      <c r="W60" s="2" t="s">
        <v>36</v>
      </c>
      <c r="X60" s="2" t="s">
        <v>36</v>
      </c>
      <c r="Y60" s="2" t="s">
        <v>36</v>
      </c>
      <c r="Z60" s="2" t="s">
        <v>36</v>
      </c>
      <c r="AA60" s="2" t="s">
        <v>36</v>
      </c>
      <c r="AB60" s="2" t="s">
        <v>36</v>
      </c>
      <c r="AC60" s="2" t="s">
        <v>36</v>
      </c>
    </row>
    <row r="61" spans="1:29" s="4" customFormat="1">
      <c r="A61" s="11"/>
      <c r="B61" s="12"/>
      <c r="H61" s="2"/>
      <c r="K61" s="2"/>
      <c r="N61" s="2"/>
    </row>
    <row r="62" spans="1:29">
      <c r="A62" s="1" t="s">
        <v>68</v>
      </c>
      <c r="B62" s="1" t="s">
        <v>69</v>
      </c>
      <c r="C62" s="2" t="s">
        <v>36</v>
      </c>
      <c r="D62" s="2" t="s">
        <v>36</v>
      </c>
      <c r="E62" s="2" t="s">
        <v>36</v>
      </c>
      <c r="F62" s="2" t="s">
        <v>36</v>
      </c>
      <c r="G62" s="2" t="s">
        <v>36</v>
      </c>
      <c r="H62" s="2" t="s">
        <v>36</v>
      </c>
      <c r="I62" s="2" t="s">
        <v>36</v>
      </c>
      <c r="J62" s="2" t="s">
        <v>36</v>
      </c>
      <c r="K62" s="2" t="s">
        <v>36</v>
      </c>
      <c r="L62" s="2" t="s">
        <v>36</v>
      </c>
      <c r="M62" s="2" t="s">
        <v>36</v>
      </c>
      <c r="N62" s="2" t="s">
        <v>36</v>
      </c>
      <c r="O62" s="2" t="s">
        <v>36</v>
      </c>
      <c r="P62" s="2" t="s">
        <v>36</v>
      </c>
      <c r="Q62" s="2" t="s">
        <v>36</v>
      </c>
      <c r="R62" s="1">
        <v>216</v>
      </c>
      <c r="S62" s="1">
        <v>124</v>
      </c>
      <c r="T62" s="1">
        <f t="shared" ref="T62:T69" si="8">R62+S62</f>
        <v>340</v>
      </c>
      <c r="U62" s="2" t="s">
        <v>36</v>
      </c>
      <c r="V62" s="2" t="s">
        <v>36</v>
      </c>
      <c r="W62" s="2" t="s">
        <v>36</v>
      </c>
      <c r="X62" s="2" t="s">
        <v>36</v>
      </c>
      <c r="Y62" s="2" t="s">
        <v>36</v>
      </c>
      <c r="Z62" s="2" t="s">
        <v>36</v>
      </c>
      <c r="AA62" s="2" t="s">
        <v>36</v>
      </c>
      <c r="AB62" s="2" t="s">
        <v>36</v>
      </c>
      <c r="AC62" s="2" t="s">
        <v>36</v>
      </c>
    </row>
    <row r="63" spans="1:29">
      <c r="B63" s="1" t="s">
        <v>70</v>
      </c>
      <c r="C63" s="2" t="s">
        <v>36</v>
      </c>
      <c r="D63" s="2" t="s">
        <v>36</v>
      </c>
      <c r="E63" s="2" t="s">
        <v>36</v>
      </c>
      <c r="F63" s="2" t="s">
        <v>36</v>
      </c>
      <c r="G63" s="2" t="s">
        <v>36</v>
      </c>
      <c r="H63" s="2" t="s">
        <v>36</v>
      </c>
      <c r="I63" s="2" t="s">
        <v>36</v>
      </c>
      <c r="J63" s="2" t="s">
        <v>36</v>
      </c>
      <c r="K63" s="2" t="s">
        <v>36</v>
      </c>
      <c r="L63" s="2" t="s">
        <v>36</v>
      </c>
      <c r="M63" s="2" t="s">
        <v>36</v>
      </c>
      <c r="N63" s="2" t="s">
        <v>36</v>
      </c>
      <c r="O63" s="2" t="s">
        <v>36</v>
      </c>
      <c r="P63" s="2" t="s">
        <v>36</v>
      </c>
      <c r="Q63" s="2" t="s">
        <v>36</v>
      </c>
      <c r="R63" s="1">
        <v>57</v>
      </c>
      <c r="S63" s="1">
        <v>29</v>
      </c>
      <c r="T63" s="1">
        <f t="shared" si="8"/>
        <v>86</v>
      </c>
      <c r="U63" s="2" t="s">
        <v>36</v>
      </c>
      <c r="V63" s="2" t="s">
        <v>36</v>
      </c>
      <c r="W63" s="2" t="s">
        <v>36</v>
      </c>
      <c r="X63" s="2" t="s">
        <v>36</v>
      </c>
      <c r="Y63" s="2" t="s">
        <v>36</v>
      </c>
      <c r="Z63" s="2" t="s">
        <v>36</v>
      </c>
      <c r="AA63" s="2" t="s">
        <v>36</v>
      </c>
      <c r="AB63" s="2" t="s">
        <v>36</v>
      </c>
      <c r="AC63" s="2" t="s">
        <v>36</v>
      </c>
    </row>
    <row r="64" spans="1:29">
      <c r="B64" s="1" t="s">
        <v>71</v>
      </c>
      <c r="C64" s="2" t="s">
        <v>36</v>
      </c>
      <c r="D64" s="2" t="s">
        <v>36</v>
      </c>
      <c r="E64" s="2" t="s">
        <v>36</v>
      </c>
      <c r="F64" s="2" t="s">
        <v>36</v>
      </c>
      <c r="G64" s="2" t="s">
        <v>36</v>
      </c>
      <c r="H64" s="2" t="s">
        <v>36</v>
      </c>
      <c r="I64" s="2" t="s">
        <v>36</v>
      </c>
      <c r="J64" s="2" t="s">
        <v>36</v>
      </c>
      <c r="K64" s="2" t="s">
        <v>36</v>
      </c>
      <c r="L64" s="2" t="s">
        <v>36</v>
      </c>
      <c r="M64" s="2" t="s">
        <v>36</v>
      </c>
      <c r="N64" s="2" t="s">
        <v>36</v>
      </c>
      <c r="O64" s="2" t="s">
        <v>36</v>
      </c>
      <c r="P64" s="2" t="s">
        <v>36</v>
      </c>
      <c r="Q64" s="2" t="s">
        <v>36</v>
      </c>
      <c r="R64" s="1">
        <v>35</v>
      </c>
      <c r="S64" s="1">
        <v>21</v>
      </c>
      <c r="T64" s="1">
        <f t="shared" si="8"/>
        <v>56</v>
      </c>
      <c r="U64" s="2" t="s">
        <v>36</v>
      </c>
      <c r="V64" s="2" t="s">
        <v>36</v>
      </c>
      <c r="W64" s="2" t="s">
        <v>36</v>
      </c>
      <c r="X64" s="1">
        <f>17+36</f>
        <v>53</v>
      </c>
      <c r="Y64" s="1">
        <f>25+47</f>
        <v>72</v>
      </c>
      <c r="Z64" s="1">
        <f>X64+Y64</f>
        <v>125</v>
      </c>
      <c r="AA64" s="2" t="s">
        <v>36</v>
      </c>
      <c r="AB64" s="2" t="s">
        <v>36</v>
      </c>
      <c r="AC64" s="2" t="s">
        <v>36</v>
      </c>
    </row>
    <row r="65" spans="1:29">
      <c r="B65" s="1" t="s">
        <v>72</v>
      </c>
      <c r="C65" s="2" t="s">
        <v>36</v>
      </c>
      <c r="D65" s="2" t="s">
        <v>36</v>
      </c>
      <c r="E65" s="2" t="s">
        <v>36</v>
      </c>
      <c r="F65" s="2" t="s">
        <v>36</v>
      </c>
      <c r="G65" s="2" t="s">
        <v>36</v>
      </c>
      <c r="H65" s="2" t="s">
        <v>36</v>
      </c>
      <c r="I65" s="2" t="s">
        <v>36</v>
      </c>
      <c r="J65" s="2" t="s">
        <v>36</v>
      </c>
      <c r="K65" s="2" t="s">
        <v>36</v>
      </c>
      <c r="L65" s="2" t="s">
        <v>36</v>
      </c>
      <c r="M65" s="2" t="s">
        <v>36</v>
      </c>
      <c r="N65" s="2" t="s">
        <v>36</v>
      </c>
      <c r="O65" s="2" t="s">
        <v>36</v>
      </c>
      <c r="P65" s="2" t="s">
        <v>36</v>
      </c>
      <c r="Q65" s="2" t="s">
        <v>36</v>
      </c>
      <c r="R65" s="1">
        <v>2</v>
      </c>
      <c r="S65" s="1">
        <v>1</v>
      </c>
      <c r="T65" s="1">
        <f t="shared" si="8"/>
        <v>3</v>
      </c>
      <c r="U65" s="2" t="s">
        <v>36</v>
      </c>
      <c r="V65" s="2" t="s">
        <v>36</v>
      </c>
      <c r="W65" s="2" t="s">
        <v>36</v>
      </c>
      <c r="X65" s="2" t="s">
        <v>36</v>
      </c>
      <c r="Y65" s="2" t="s">
        <v>36</v>
      </c>
      <c r="Z65" s="2" t="s">
        <v>36</v>
      </c>
      <c r="AA65" s="2" t="s">
        <v>36</v>
      </c>
      <c r="AB65" s="2" t="s">
        <v>36</v>
      </c>
      <c r="AC65" s="2" t="s">
        <v>36</v>
      </c>
    </row>
    <row r="66" spans="1:29">
      <c r="B66" s="1" t="s">
        <v>73</v>
      </c>
      <c r="C66" s="1">
        <v>348</v>
      </c>
      <c r="D66" s="1">
        <v>168</v>
      </c>
      <c r="E66" s="1">
        <f>C66+D66</f>
        <v>516</v>
      </c>
      <c r="F66" s="2" t="s">
        <v>36</v>
      </c>
      <c r="G66" s="2" t="s">
        <v>36</v>
      </c>
      <c r="H66" s="2" t="s">
        <v>36</v>
      </c>
      <c r="I66" s="2" t="s">
        <v>36</v>
      </c>
      <c r="J66" s="2" t="s">
        <v>36</v>
      </c>
      <c r="K66" s="2" t="s">
        <v>36</v>
      </c>
      <c r="L66" s="1">
        <f>150+148</f>
        <v>298</v>
      </c>
      <c r="M66" s="1">
        <f>31+39</f>
        <v>70</v>
      </c>
      <c r="N66" s="2">
        <f>SUM(L66:M66)</f>
        <v>368</v>
      </c>
      <c r="O66" s="1">
        <f>42+43</f>
        <v>85</v>
      </c>
      <c r="P66" s="1">
        <f>16+14</f>
        <v>30</v>
      </c>
      <c r="Q66" s="1">
        <f>SUM(O66:P66)</f>
        <v>115</v>
      </c>
      <c r="R66" s="1">
        <v>28</v>
      </c>
      <c r="S66" s="1">
        <v>7</v>
      </c>
      <c r="T66" s="1">
        <f t="shared" si="8"/>
        <v>35</v>
      </c>
      <c r="U66" s="1">
        <v>68</v>
      </c>
      <c r="V66" s="1">
        <v>27</v>
      </c>
      <c r="W66" s="1">
        <f>U66+V66</f>
        <v>95</v>
      </c>
      <c r="X66" s="1">
        <v>536</v>
      </c>
      <c r="Y66" s="1">
        <v>179</v>
      </c>
      <c r="Z66" s="1">
        <f>X66+Y66</f>
        <v>715</v>
      </c>
      <c r="AA66" s="1">
        <f>52+47</f>
        <v>99</v>
      </c>
      <c r="AB66" s="1">
        <f>9+16</f>
        <v>25</v>
      </c>
      <c r="AC66" s="1">
        <f>AB66+AA66</f>
        <v>124</v>
      </c>
    </row>
    <row r="67" spans="1:29">
      <c r="B67" s="1" t="s">
        <v>53</v>
      </c>
      <c r="C67" s="2" t="s">
        <v>36</v>
      </c>
      <c r="D67" s="2" t="s">
        <v>36</v>
      </c>
      <c r="E67" s="2" t="s">
        <v>36</v>
      </c>
      <c r="F67" s="2" t="s">
        <v>36</v>
      </c>
      <c r="G67" s="2" t="s">
        <v>36</v>
      </c>
      <c r="H67" s="2" t="s">
        <v>36</v>
      </c>
      <c r="I67" s="2" t="s">
        <v>36</v>
      </c>
      <c r="J67" s="2" t="s">
        <v>36</v>
      </c>
      <c r="K67" s="2" t="s">
        <v>36</v>
      </c>
      <c r="L67" s="2" t="s">
        <v>36</v>
      </c>
      <c r="M67" s="2" t="s">
        <v>36</v>
      </c>
      <c r="N67" s="2" t="s">
        <v>36</v>
      </c>
      <c r="O67" s="2" t="s">
        <v>36</v>
      </c>
      <c r="P67" s="2" t="s">
        <v>36</v>
      </c>
      <c r="Q67" s="2" t="s">
        <v>36</v>
      </c>
      <c r="R67" s="1">
        <v>27</v>
      </c>
      <c r="S67" s="1">
        <v>17</v>
      </c>
      <c r="T67" s="1">
        <f t="shared" si="8"/>
        <v>44</v>
      </c>
      <c r="U67" s="2" t="s">
        <v>36</v>
      </c>
      <c r="V67" s="2" t="s">
        <v>36</v>
      </c>
      <c r="W67" s="2" t="s">
        <v>36</v>
      </c>
      <c r="X67" s="2" t="s">
        <v>36</v>
      </c>
      <c r="Y67" s="2" t="s">
        <v>36</v>
      </c>
      <c r="Z67" s="2" t="s">
        <v>36</v>
      </c>
      <c r="AA67" s="2" t="s">
        <v>36</v>
      </c>
      <c r="AB67" s="2" t="s">
        <v>36</v>
      </c>
      <c r="AC67" s="2" t="s">
        <v>36</v>
      </c>
    </row>
    <row r="68" spans="1:29">
      <c r="B68" s="1" t="s">
        <v>74</v>
      </c>
      <c r="C68" s="2" t="s">
        <v>36</v>
      </c>
      <c r="D68" s="2" t="s">
        <v>36</v>
      </c>
      <c r="E68" s="2" t="s">
        <v>36</v>
      </c>
      <c r="F68" s="2" t="s">
        <v>36</v>
      </c>
      <c r="G68" s="2" t="s">
        <v>36</v>
      </c>
      <c r="H68" s="2" t="s">
        <v>36</v>
      </c>
      <c r="I68" s="2" t="s">
        <v>36</v>
      </c>
      <c r="J68" s="2" t="s">
        <v>36</v>
      </c>
      <c r="K68" s="2" t="s">
        <v>36</v>
      </c>
      <c r="L68" s="2" t="s">
        <v>36</v>
      </c>
      <c r="M68" s="2" t="s">
        <v>36</v>
      </c>
      <c r="N68" s="2" t="s">
        <v>36</v>
      </c>
      <c r="O68" s="2" t="s">
        <v>36</v>
      </c>
      <c r="P68" s="2" t="s">
        <v>36</v>
      </c>
      <c r="Q68" s="2" t="s">
        <v>36</v>
      </c>
      <c r="R68" s="1">
        <f>R62+R63</f>
        <v>273</v>
      </c>
      <c r="S68" s="1">
        <f>S62+S63</f>
        <v>153</v>
      </c>
      <c r="T68" s="1">
        <f t="shared" si="8"/>
        <v>426</v>
      </c>
      <c r="U68" s="1">
        <v>32</v>
      </c>
      <c r="V68" s="1">
        <v>19</v>
      </c>
      <c r="W68" s="1">
        <f>U68+V68</f>
        <v>51</v>
      </c>
      <c r="X68" s="1">
        <v>417</v>
      </c>
      <c r="Y68" s="1">
        <v>340</v>
      </c>
      <c r="Z68" s="1">
        <f>X68+Y68</f>
        <v>757</v>
      </c>
      <c r="AA68" s="2" t="s">
        <v>36</v>
      </c>
      <c r="AB68" s="2" t="s">
        <v>36</v>
      </c>
      <c r="AC68" s="2" t="s">
        <v>36</v>
      </c>
    </row>
    <row r="69" spans="1:29">
      <c r="B69" s="1" t="s">
        <v>75</v>
      </c>
      <c r="C69" s="1">
        <v>93</v>
      </c>
      <c r="D69" s="1">
        <v>109</v>
      </c>
      <c r="E69" s="1">
        <f>C69+D69</f>
        <v>202</v>
      </c>
      <c r="F69" s="1">
        <f>166+158</f>
        <v>324</v>
      </c>
      <c r="G69" s="1">
        <f>64+70</f>
        <v>134</v>
      </c>
      <c r="H69" s="2">
        <f>SUM(F69:G69)</f>
        <v>458</v>
      </c>
      <c r="I69" s="1">
        <f>14+19</f>
        <v>33</v>
      </c>
      <c r="J69" s="1">
        <f>11+10</f>
        <v>21</v>
      </c>
      <c r="K69" s="2">
        <f>SUM(I69:J69)</f>
        <v>54</v>
      </c>
      <c r="L69" s="1">
        <f>183+194</f>
        <v>377</v>
      </c>
      <c r="M69" s="1">
        <f>76+65</f>
        <v>141</v>
      </c>
      <c r="N69" s="2">
        <f>SUM(L69:M69)</f>
        <v>518</v>
      </c>
      <c r="O69" s="1">
        <f>61+77</f>
        <v>138</v>
      </c>
      <c r="P69" s="1">
        <f>16+21</f>
        <v>37</v>
      </c>
      <c r="Q69" s="2">
        <f>SUM(O69:P69)</f>
        <v>175</v>
      </c>
      <c r="R69" s="1">
        <f>R64+R68</f>
        <v>308</v>
      </c>
      <c r="S69" s="1">
        <f>S64+S68</f>
        <v>174</v>
      </c>
      <c r="T69" s="1">
        <f t="shared" si="8"/>
        <v>482</v>
      </c>
      <c r="U69" s="2" t="s">
        <v>36</v>
      </c>
      <c r="V69" s="2" t="s">
        <v>36</v>
      </c>
      <c r="W69" s="2" t="s">
        <v>36</v>
      </c>
      <c r="X69" s="1">
        <f>X64+X68</f>
        <v>470</v>
      </c>
      <c r="Y69" s="1">
        <f>Y64+Y68</f>
        <v>412</v>
      </c>
      <c r="Z69" s="1">
        <f>X69+Y69</f>
        <v>882</v>
      </c>
      <c r="AA69" s="1">
        <f>73+60</f>
        <v>133</v>
      </c>
      <c r="AB69" s="1">
        <f>28+48</f>
        <v>76</v>
      </c>
      <c r="AC69" s="1">
        <f>AB69+AA69</f>
        <v>209</v>
      </c>
    </row>
    <row r="70" spans="1:29">
      <c r="C70" s="1">
        <f t="shared" ref="C70:Q70" si="9">SUM(C66:C69)</f>
        <v>441</v>
      </c>
      <c r="D70" s="1">
        <f t="shared" si="9"/>
        <v>277</v>
      </c>
      <c r="E70" s="1">
        <f t="shared" si="9"/>
        <v>718</v>
      </c>
      <c r="F70" s="1">
        <f t="shared" si="9"/>
        <v>324</v>
      </c>
      <c r="G70" s="1">
        <f t="shared" si="9"/>
        <v>134</v>
      </c>
      <c r="H70" s="1">
        <f t="shared" si="9"/>
        <v>458</v>
      </c>
      <c r="I70" s="1">
        <f t="shared" si="9"/>
        <v>33</v>
      </c>
      <c r="J70" s="1">
        <f t="shared" si="9"/>
        <v>21</v>
      </c>
      <c r="K70" s="1">
        <f t="shared" si="9"/>
        <v>54</v>
      </c>
      <c r="L70" s="1">
        <f t="shared" si="9"/>
        <v>675</v>
      </c>
      <c r="M70" s="1">
        <f t="shared" si="9"/>
        <v>211</v>
      </c>
      <c r="N70" s="1">
        <f t="shared" si="9"/>
        <v>886</v>
      </c>
      <c r="O70" s="1">
        <f t="shared" si="9"/>
        <v>223</v>
      </c>
      <c r="P70" s="1">
        <f t="shared" si="9"/>
        <v>67</v>
      </c>
      <c r="Q70" s="1">
        <f t="shared" si="9"/>
        <v>290</v>
      </c>
      <c r="R70" s="4">
        <f>SUM(R62:R67)</f>
        <v>365</v>
      </c>
      <c r="S70" s="4">
        <f t="shared" ref="S70:T70" si="10">SUM(S62:S67)</f>
        <v>199</v>
      </c>
      <c r="T70" s="4">
        <f t="shared" si="10"/>
        <v>564</v>
      </c>
      <c r="U70" s="1">
        <f>SUM(U66:U69)</f>
        <v>100</v>
      </c>
      <c r="V70" s="4">
        <f t="shared" ref="V70:W70" si="11">SUM(V66:V69)</f>
        <v>46</v>
      </c>
      <c r="W70" s="4">
        <f t="shared" si="11"/>
        <v>146</v>
      </c>
      <c r="X70" s="4">
        <f>SUM(X64:X68)</f>
        <v>1006</v>
      </c>
      <c r="Y70" s="4">
        <f t="shared" ref="Y70:Z70" si="12">SUM(Y64:Y68)</f>
        <v>591</v>
      </c>
      <c r="Z70" s="4">
        <f t="shared" si="12"/>
        <v>1597</v>
      </c>
      <c r="AA70" s="4">
        <f>SUM(AA66:AA69)</f>
        <v>232</v>
      </c>
      <c r="AB70" s="4">
        <f>SUM(AB66:AB69)</f>
        <v>101</v>
      </c>
      <c r="AC70" s="4">
        <f>SUM(AC66:AC69)</f>
        <v>333</v>
      </c>
    </row>
    <row r="71" spans="1:29" s="4" customFormat="1"/>
    <row r="72" spans="1:29" s="4" customFormat="1">
      <c r="A72" s="4" t="s">
        <v>97</v>
      </c>
      <c r="B72" s="4" t="s">
        <v>55</v>
      </c>
      <c r="C72" s="4">
        <v>68</v>
      </c>
      <c r="D72" s="4">
        <v>46</v>
      </c>
      <c r="E72" s="4">
        <f t="shared" ref="E72:E74" si="13">C72+D72</f>
        <v>114</v>
      </c>
      <c r="F72" s="2" t="s">
        <v>36</v>
      </c>
      <c r="G72" s="2" t="s">
        <v>36</v>
      </c>
      <c r="H72" s="2" t="s">
        <v>36</v>
      </c>
      <c r="I72" s="2" t="s">
        <v>36</v>
      </c>
      <c r="J72" s="2" t="s">
        <v>36</v>
      </c>
      <c r="K72" s="2" t="s">
        <v>36</v>
      </c>
      <c r="L72" s="2" t="s">
        <v>36</v>
      </c>
      <c r="M72" s="2" t="s">
        <v>36</v>
      </c>
      <c r="N72" s="2" t="s">
        <v>36</v>
      </c>
      <c r="O72" s="2" t="s">
        <v>36</v>
      </c>
      <c r="P72" s="2" t="s">
        <v>36</v>
      </c>
      <c r="Q72" s="2" t="s">
        <v>36</v>
      </c>
      <c r="R72" s="2" t="s">
        <v>36</v>
      </c>
      <c r="S72" s="2" t="s">
        <v>36</v>
      </c>
      <c r="T72" s="2" t="s">
        <v>36</v>
      </c>
      <c r="U72" s="2" t="s">
        <v>36</v>
      </c>
      <c r="V72" s="2" t="s">
        <v>36</v>
      </c>
      <c r="W72" s="2" t="s">
        <v>36</v>
      </c>
      <c r="X72" s="2" t="s">
        <v>36</v>
      </c>
      <c r="Y72" s="2" t="s">
        <v>36</v>
      </c>
      <c r="Z72" s="2" t="s">
        <v>36</v>
      </c>
      <c r="AA72" s="2" t="s">
        <v>36</v>
      </c>
      <c r="AB72" s="2" t="s">
        <v>36</v>
      </c>
      <c r="AC72" s="2" t="s">
        <v>36</v>
      </c>
    </row>
    <row r="73" spans="1:29" s="4" customFormat="1">
      <c r="B73" s="4" t="s">
        <v>56</v>
      </c>
      <c r="C73" s="4">
        <v>297</v>
      </c>
      <c r="D73" s="4">
        <v>197</v>
      </c>
      <c r="E73" s="4">
        <f t="shared" si="13"/>
        <v>494</v>
      </c>
      <c r="F73" s="2" t="s">
        <v>36</v>
      </c>
      <c r="G73" s="2" t="s">
        <v>36</v>
      </c>
      <c r="H73" s="2" t="s">
        <v>36</v>
      </c>
      <c r="I73" s="2" t="s">
        <v>36</v>
      </c>
      <c r="J73" s="2" t="s">
        <v>36</v>
      </c>
      <c r="K73" s="2" t="s">
        <v>36</v>
      </c>
      <c r="L73" s="2" t="s">
        <v>36</v>
      </c>
      <c r="M73" s="2" t="s">
        <v>36</v>
      </c>
      <c r="N73" s="2" t="s">
        <v>36</v>
      </c>
      <c r="O73" s="2" t="s">
        <v>36</v>
      </c>
      <c r="P73" s="2" t="s">
        <v>36</v>
      </c>
      <c r="Q73" s="2" t="s">
        <v>36</v>
      </c>
      <c r="R73" s="2" t="s">
        <v>36</v>
      </c>
      <c r="S73" s="2" t="s">
        <v>36</v>
      </c>
      <c r="T73" s="2" t="s">
        <v>36</v>
      </c>
      <c r="U73" s="2" t="s">
        <v>36</v>
      </c>
      <c r="V73" s="2" t="s">
        <v>36</v>
      </c>
      <c r="W73" s="2" t="s">
        <v>36</v>
      </c>
      <c r="X73" s="2" t="s">
        <v>36</v>
      </c>
      <c r="Y73" s="2" t="s">
        <v>36</v>
      </c>
      <c r="Z73" s="2" t="s">
        <v>36</v>
      </c>
      <c r="AA73" s="2" t="s">
        <v>36</v>
      </c>
      <c r="AB73" s="2" t="s">
        <v>36</v>
      </c>
      <c r="AC73" s="2" t="s">
        <v>36</v>
      </c>
    </row>
    <row r="74" spans="1:29" s="4" customFormat="1">
      <c r="B74" s="12" t="s">
        <v>10</v>
      </c>
      <c r="C74" s="4">
        <f>C73+C72</f>
        <v>365</v>
      </c>
      <c r="D74" s="4">
        <f>D73+D72</f>
        <v>243</v>
      </c>
      <c r="E74" s="4">
        <f t="shared" si="13"/>
        <v>608</v>
      </c>
      <c r="F74" s="2" t="s">
        <v>36</v>
      </c>
      <c r="G74" s="2" t="s">
        <v>36</v>
      </c>
      <c r="H74" s="2" t="s">
        <v>36</v>
      </c>
      <c r="I74" s="2" t="s">
        <v>36</v>
      </c>
      <c r="J74" s="2" t="s">
        <v>36</v>
      </c>
      <c r="K74" s="2" t="s">
        <v>36</v>
      </c>
      <c r="L74" s="2" t="s">
        <v>36</v>
      </c>
      <c r="M74" s="2" t="s">
        <v>36</v>
      </c>
      <c r="N74" s="2" t="s">
        <v>36</v>
      </c>
      <c r="O74" s="2" t="s">
        <v>36</v>
      </c>
      <c r="P74" s="2" t="s">
        <v>36</v>
      </c>
      <c r="Q74" s="2" t="s">
        <v>36</v>
      </c>
      <c r="R74" s="2" t="s">
        <v>36</v>
      </c>
      <c r="S74" s="2" t="s">
        <v>36</v>
      </c>
      <c r="T74" s="2" t="s">
        <v>36</v>
      </c>
      <c r="U74" s="2" t="s">
        <v>36</v>
      </c>
      <c r="V74" s="2" t="s">
        <v>36</v>
      </c>
      <c r="W74" s="2" t="s">
        <v>36</v>
      </c>
      <c r="X74" s="2" t="s">
        <v>36</v>
      </c>
      <c r="Y74" s="2" t="s">
        <v>36</v>
      </c>
      <c r="Z74" s="2" t="s">
        <v>36</v>
      </c>
      <c r="AA74" s="2" t="s">
        <v>36</v>
      </c>
      <c r="AB74" s="2" t="s">
        <v>36</v>
      </c>
      <c r="AC74" s="2" t="s">
        <v>36</v>
      </c>
    </row>
    <row r="75" spans="1:29" s="4" customFormat="1">
      <c r="B75" s="12"/>
    </row>
    <row r="76" spans="1:29" s="4" customFormat="1">
      <c r="A76" s="4" t="s">
        <v>98</v>
      </c>
      <c r="B76" s="4" t="s">
        <v>55</v>
      </c>
      <c r="C76" s="4">
        <v>286</v>
      </c>
      <c r="D76" s="4">
        <v>174</v>
      </c>
      <c r="E76" s="4">
        <f t="shared" ref="E76:E78" si="14">C76+D76</f>
        <v>460</v>
      </c>
      <c r="F76" s="2" t="s">
        <v>36</v>
      </c>
      <c r="G76" s="2" t="s">
        <v>36</v>
      </c>
      <c r="H76" s="2" t="s">
        <v>36</v>
      </c>
      <c r="I76" s="2" t="s">
        <v>36</v>
      </c>
      <c r="J76" s="2" t="s">
        <v>36</v>
      </c>
      <c r="K76" s="2" t="s">
        <v>36</v>
      </c>
      <c r="L76" s="2" t="s">
        <v>36</v>
      </c>
      <c r="M76" s="2" t="s">
        <v>36</v>
      </c>
      <c r="N76" s="2" t="s">
        <v>36</v>
      </c>
      <c r="O76" s="2" t="s">
        <v>36</v>
      </c>
      <c r="P76" s="2" t="s">
        <v>36</v>
      </c>
      <c r="Q76" s="2" t="s">
        <v>36</v>
      </c>
      <c r="R76" s="2" t="s">
        <v>36</v>
      </c>
      <c r="S76" s="2" t="s">
        <v>36</v>
      </c>
      <c r="T76" s="2" t="s">
        <v>36</v>
      </c>
      <c r="U76" s="2" t="s">
        <v>36</v>
      </c>
      <c r="V76" s="2" t="s">
        <v>36</v>
      </c>
      <c r="W76" s="2" t="s">
        <v>36</v>
      </c>
      <c r="X76" s="2" t="s">
        <v>36</v>
      </c>
      <c r="Y76" s="2" t="s">
        <v>36</v>
      </c>
      <c r="Z76" s="2" t="s">
        <v>36</v>
      </c>
      <c r="AA76" s="2" t="s">
        <v>36</v>
      </c>
      <c r="AB76" s="2" t="s">
        <v>36</v>
      </c>
      <c r="AC76" s="2" t="s">
        <v>36</v>
      </c>
    </row>
    <row r="77" spans="1:29" s="4" customFormat="1">
      <c r="B77" s="4" t="s">
        <v>56</v>
      </c>
      <c r="C77" s="4">
        <v>147</v>
      </c>
      <c r="D77" s="4">
        <v>100</v>
      </c>
      <c r="E77" s="4">
        <f t="shared" si="14"/>
        <v>247</v>
      </c>
      <c r="F77" s="2" t="s">
        <v>36</v>
      </c>
      <c r="G77" s="2" t="s">
        <v>36</v>
      </c>
      <c r="H77" s="2" t="s">
        <v>36</v>
      </c>
      <c r="I77" s="2" t="s">
        <v>36</v>
      </c>
      <c r="J77" s="2" t="s">
        <v>36</v>
      </c>
      <c r="K77" s="2" t="s">
        <v>36</v>
      </c>
      <c r="L77" s="2" t="s">
        <v>36</v>
      </c>
      <c r="M77" s="2" t="s">
        <v>36</v>
      </c>
      <c r="N77" s="2" t="s">
        <v>36</v>
      </c>
      <c r="O77" s="2" t="s">
        <v>36</v>
      </c>
      <c r="P77" s="2" t="s">
        <v>36</v>
      </c>
      <c r="Q77" s="2" t="s">
        <v>36</v>
      </c>
      <c r="R77" s="2" t="s">
        <v>36</v>
      </c>
      <c r="S77" s="2" t="s">
        <v>36</v>
      </c>
      <c r="T77" s="2" t="s">
        <v>36</v>
      </c>
      <c r="U77" s="2" t="s">
        <v>36</v>
      </c>
      <c r="V77" s="2" t="s">
        <v>36</v>
      </c>
      <c r="W77" s="2" t="s">
        <v>36</v>
      </c>
      <c r="X77" s="2" t="s">
        <v>36</v>
      </c>
      <c r="Y77" s="2" t="s">
        <v>36</v>
      </c>
      <c r="Z77" s="2" t="s">
        <v>36</v>
      </c>
      <c r="AA77" s="2" t="s">
        <v>36</v>
      </c>
      <c r="AB77" s="2" t="s">
        <v>36</v>
      </c>
      <c r="AC77" s="2" t="s">
        <v>36</v>
      </c>
    </row>
    <row r="78" spans="1:29" s="4" customFormat="1">
      <c r="B78" s="12" t="s">
        <v>10</v>
      </c>
      <c r="C78" s="4">
        <f>C77+C76</f>
        <v>433</v>
      </c>
      <c r="D78" s="4">
        <f>D77+D76</f>
        <v>274</v>
      </c>
      <c r="E78" s="4">
        <f t="shared" si="14"/>
        <v>707</v>
      </c>
      <c r="F78" s="2" t="s">
        <v>36</v>
      </c>
      <c r="G78" s="2" t="s">
        <v>36</v>
      </c>
      <c r="H78" s="2" t="s">
        <v>36</v>
      </c>
      <c r="I78" s="2" t="s">
        <v>36</v>
      </c>
      <c r="J78" s="2" t="s">
        <v>36</v>
      </c>
      <c r="K78" s="2" t="s">
        <v>36</v>
      </c>
      <c r="L78" s="2" t="s">
        <v>36</v>
      </c>
      <c r="M78" s="2" t="s">
        <v>36</v>
      </c>
      <c r="N78" s="2" t="s">
        <v>36</v>
      </c>
      <c r="O78" s="2" t="s">
        <v>36</v>
      </c>
      <c r="P78" s="2" t="s">
        <v>36</v>
      </c>
      <c r="Q78" s="2" t="s">
        <v>36</v>
      </c>
      <c r="R78" s="2" t="s">
        <v>36</v>
      </c>
      <c r="S78" s="2" t="s">
        <v>36</v>
      </c>
      <c r="T78" s="2" t="s">
        <v>36</v>
      </c>
      <c r="U78" s="2" t="s">
        <v>36</v>
      </c>
      <c r="V78" s="2" t="s">
        <v>36</v>
      </c>
      <c r="W78" s="2" t="s">
        <v>36</v>
      </c>
      <c r="X78" s="2" t="s">
        <v>36</v>
      </c>
      <c r="Y78" s="2" t="s">
        <v>36</v>
      </c>
      <c r="Z78" s="2" t="s">
        <v>36</v>
      </c>
      <c r="AA78" s="2" t="s">
        <v>36</v>
      </c>
      <c r="AB78" s="2" t="s">
        <v>36</v>
      </c>
      <c r="AC78" s="2" t="s">
        <v>36</v>
      </c>
    </row>
    <row r="79" spans="1:29" s="4" customFormat="1">
      <c r="B79" s="12"/>
    </row>
    <row r="80" spans="1:29" s="4" customFormat="1">
      <c r="A80" s="4" t="s">
        <v>99</v>
      </c>
      <c r="B80" s="4" t="s">
        <v>55</v>
      </c>
      <c r="C80" s="4">
        <v>212</v>
      </c>
      <c r="D80" s="4">
        <v>160</v>
      </c>
      <c r="E80" s="4">
        <f t="shared" ref="E80:E82" si="15">C80+D80</f>
        <v>372</v>
      </c>
      <c r="F80" s="2" t="s">
        <v>36</v>
      </c>
      <c r="G80" s="2" t="s">
        <v>36</v>
      </c>
      <c r="H80" s="2" t="s">
        <v>36</v>
      </c>
      <c r="I80" s="2" t="s">
        <v>36</v>
      </c>
      <c r="J80" s="2" t="s">
        <v>36</v>
      </c>
      <c r="K80" s="2" t="s">
        <v>36</v>
      </c>
      <c r="L80" s="2" t="s">
        <v>36</v>
      </c>
      <c r="M80" s="2" t="s">
        <v>36</v>
      </c>
      <c r="N80" s="2" t="s">
        <v>36</v>
      </c>
      <c r="O80" s="2" t="s">
        <v>36</v>
      </c>
      <c r="P80" s="2" t="s">
        <v>36</v>
      </c>
      <c r="Q80" s="2" t="s">
        <v>36</v>
      </c>
      <c r="R80" s="2" t="s">
        <v>36</v>
      </c>
      <c r="S80" s="2" t="s">
        <v>36</v>
      </c>
      <c r="T80" s="2" t="s">
        <v>36</v>
      </c>
      <c r="U80" s="2" t="s">
        <v>36</v>
      </c>
      <c r="V80" s="2" t="s">
        <v>36</v>
      </c>
      <c r="W80" s="2" t="s">
        <v>36</v>
      </c>
      <c r="X80" s="2" t="s">
        <v>36</v>
      </c>
      <c r="Y80" s="2" t="s">
        <v>36</v>
      </c>
      <c r="Z80" s="2" t="s">
        <v>36</v>
      </c>
      <c r="AA80" s="2" t="s">
        <v>36</v>
      </c>
      <c r="AB80" s="2" t="s">
        <v>36</v>
      </c>
      <c r="AC80" s="2" t="s">
        <v>36</v>
      </c>
    </row>
    <row r="81" spans="1:29" s="4" customFormat="1">
      <c r="B81" s="4" t="s">
        <v>56</v>
      </c>
      <c r="C81" s="4">
        <v>192</v>
      </c>
      <c r="D81" s="4">
        <v>88</v>
      </c>
      <c r="E81" s="4">
        <f t="shared" si="15"/>
        <v>280</v>
      </c>
      <c r="F81" s="2" t="s">
        <v>36</v>
      </c>
      <c r="G81" s="2" t="s">
        <v>36</v>
      </c>
      <c r="H81" s="2" t="s">
        <v>36</v>
      </c>
      <c r="I81" s="2" t="s">
        <v>36</v>
      </c>
      <c r="J81" s="2" t="s">
        <v>36</v>
      </c>
      <c r="K81" s="2" t="s">
        <v>36</v>
      </c>
      <c r="L81" s="2" t="s">
        <v>36</v>
      </c>
      <c r="M81" s="2" t="s">
        <v>36</v>
      </c>
      <c r="N81" s="2" t="s">
        <v>36</v>
      </c>
      <c r="O81" s="2" t="s">
        <v>36</v>
      </c>
      <c r="P81" s="2" t="s">
        <v>36</v>
      </c>
      <c r="Q81" s="2" t="s">
        <v>36</v>
      </c>
      <c r="R81" s="2" t="s">
        <v>36</v>
      </c>
      <c r="S81" s="2" t="s">
        <v>36</v>
      </c>
      <c r="T81" s="2" t="s">
        <v>36</v>
      </c>
      <c r="U81" s="2" t="s">
        <v>36</v>
      </c>
      <c r="V81" s="2" t="s">
        <v>36</v>
      </c>
      <c r="W81" s="2" t="s">
        <v>36</v>
      </c>
      <c r="X81" s="2" t="s">
        <v>36</v>
      </c>
      <c r="Y81" s="2" t="s">
        <v>36</v>
      </c>
      <c r="Z81" s="2" t="s">
        <v>36</v>
      </c>
      <c r="AA81" s="2" t="s">
        <v>36</v>
      </c>
      <c r="AB81" s="2" t="s">
        <v>36</v>
      </c>
      <c r="AC81" s="2" t="s">
        <v>36</v>
      </c>
    </row>
    <row r="82" spans="1:29" s="4" customFormat="1">
      <c r="B82" s="12" t="s">
        <v>10</v>
      </c>
      <c r="C82" s="4">
        <f>C81+C80</f>
        <v>404</v>
      </c>
      <c r="D82" s="4">
        <f>D81+D80</f>
        <v>248</v>
      </c>
      <c r="E82" s="4">
        <f t="shared" si="15"/>
        <v>652</v>
      </c>
      <c r="F82" s="2" t="s">
        <v>36</v>
      </c>
      <c r="G82" s="2" t="s">
        <v>36</v>
      </c>
      <c r="H82" s="2" t="s">
        <v>36</v>
      </c>
      <c r="I82" s="2" t="s">
        <v>36</v>
      </c>
      <c r="J82" s="2" t="s">
        <v>36</v>
      </c>
      <c r="K82" s="2" t="s">
        <v>36</v>
      </c>
      <c r="L82" s="2" t="s">
        <v>36</v>
      </c>
      <c r="M82" s="2" t="s">
        <v>36</v>
      </c>
      <c r="N82" s="2" t="s">
        <v>36</v>
      </c>
      <c r="O82" s="2" t="s">
        <v>36</v>
      </c>
      <c r="P82" s="2" t="s">
        <v>36</v>
      </c>
      <c r="Q82" s="2" t="s">
        <v>36</v>
      </c>
      <c r="R82" s="2" t="s">
        <v>36</v>
      </c>
      <c r="S82" s="2" t="s">
        <v>36</v>
      </c>
      <c r="T82" s="2" t="s">
        <v>36</v>
      </c>
      <c r="U82" s="2" t="s">
        <v>36</v>
      </c>
      <c r="V82" s="2" t="s">
        <v>36</v>
      </c>
      <c r="W82" s="2" t="s">
        <v>36</v>
      </c>
      <c r="X82" s="2" t="s">
        <v>36</v>
      </c>
      <c r="Y82" s="2" t="s">
        <v>36</v>
      </c>
      <c r="Z82" s="2" t="s">
        <v>36</v>
      </c>
      <c r="AA82" s="2" t="s">
        <v>36</v>
      </c>
      <c r="AB82" s="2" t="s">
        <v>36</v>
      </c>
      <c r="AC82" s="2" t="s">
        <v>36</v>
      </c>
    </row>
    <row r="83" spans="1:29" s="4" customFormat="1">
      <c r="B83" s="12"/>
    </row>
    <row r="84" spans="1:29" s="4" customFormat="1">
      <c r="A84" s="4" t="s">
        <v>100</v>
      </c>
      <c r="B84" s="4" t="s">
        <v>55</v>
      </c>
      <c r="C84" s="4">
        <v>31</v>
      </c>
      <c r="D84" s="4">
        <v>5</v>
      </c>
      <c r="E84" s="4">
        <f t="shared" ref="E84" si="16">C84+D84</f>
        <v>36</v>
      </c>
      <c r="F84" s="2" t="s">
        <v>36</v>
      </c>
      <c r="G84" s="2" t="s">
        <v>36</v>
      </c>
      <c r="H84" s="2" t="s">
        <v>36</v>
      </c>
      <c r="I84" s="2" t="s">
        <v>36</v>
      </c>
      <c r="J84" s="2" t="s">
        <v>36</v>
      </c>
      <c r="K84" s="2" t="s">
        <v>36</v>
      </c>
      <c r="L84" s="2" t="s">
        <v>36</v>
      </c>
      <c r="M84" s="2" t="s">
        <v>36</v>
      </c>
      <c r="N84" s="2" t="s">
        <v>36</v>
      </c>
      <c r="O84" s="2" t="s">
        <v>36</v>
      </c>
      <c r="P84" s="2" t="s">
        <v>36</v>
      </c>
      <c r="Q84" s="2" t="s">
        <v>36</v>
      </c>
      <c r="R84" s="2" t="s">
        <v>36</v>
      </c>
      <c r="S84" s="2" t="s">
        <v>36</v>
      </c>
      <c r="T84" s="2" t="s">
        <v>36</v>
      </c>
      <c r="U84" s="2" t="s">
        <v>36</v>
      </c>
      <c r="V84" s="2" t="s">
        <v>36</v>
      </c>
      <c r="W84" s="2" t="s">
        <v>36</v>
      </c>
      <c r="X84" s="2" t="s">
        <v>36</v>
      </c>
      <c r="Y84" s="2" t="s">
        <v>36</v>
      </c>
      <c r="Z84" s="2" t="s">
        <v>36</v>
      </c>
      <c r="AA84" s="2" t="s">
        <v>36</v>
      </c>
      <c r="AB84" s="2" t="s">
        <v>36</v>
      </c>
      <c r="AC84" s="2" t="s">
        <v>36</v>
      </c>
    </row>
    <row r="85" spans="1:29" s="4" customFormat="1">
      <c r="B85" s="4" t="s">
        <v>56</v>
      </c>
      <c r="C85" s="12" t="s">
        <v>36</v>
      </c>
      <c r="D85" s="12" t="s">
        <v>36</v>
      </c>
      <c r="E85" s="12" t="s">
        <v>36</v>
      </c>
      <c r="F85" s="2" t="s">
        <v>36</v>
      </c>
      <c r="G85" s="2" t="s">
        <v>36</v>
      </c>
      <c r="H85" s="2" t="s">
        <v>36</v>
      </c>
      <c r="I85" s="2" t="s">
        <v>36</v>
      </c>
      <c r="J85" s="2" t="s">
        <v>36</v>
      </c>
      <c r="K85" s="2" t="s">
        <v>36</v>
      </c>
      <c r="L85" s="2" t="s">
        <v>36</v>
      </c>
      <c r="M85" s="2" t="s">
        <v>36</v>
      </c>
      <c r="N85" s="2" t="s">
        <v>36</v>
      </c>
      <c r="O85" s="2" t="s">
        <v>36</v>
      </c>
      <c r="P85" s="2" t="s">
        <v>36</v>
      </c>
      <c r="Q85" s="2" t="s">
        <v>36</v>
      </c>
      <c r="R85" s="2" t="s">
        <v>36</v>
      </c>
      <c r="S85" s="2" t="s">
        <v>36</v>
      </c>
      <c r="T85" s="2" t="s">
        <v>36</v>
      </c>
      <c r="U85" s="2" t="s">
        <v>36</v>
      </c>
      <c r="V85" s="2" t="s">
        <v>36</v>
      </c>
      <c r="W85" s="2" t="s">
        <v>36</v>
      </c>
      <c r="X85" s="2" t="s">
        <v>36</v>
      </c>
      <c r="Y85" s="2" t="s">
        <v>36</v>
      </c>
      <c r="Z85" s="2" t="s">
        <v>36</v>
      </c>
      <c r="AA85" s="2" t="s">
        <v>36</v>
      </c>
      <c r="AB85" s="2" t="s">
        <v>36</v>
      </c>
      <c r="AC85" s="2" t="s">
        <v>36</v>
      </c>
    </row>
    <row r="86" spans="1:29" s="4" customFormat="1">
      <c r="B86" s="12" t="s">
        <v>10</v>
      </c>
      <c r="C86" s="12" t="s">
        <v>36</v>
      </c>
      <c r="D86" s="12" t="s">
        <v>36</v>
      </c>
      <c r="E86" s="12" t="s">
        <v>36</v>
      </c>
      <c r="F86" s="2" t="s">
        <v>36</v>
      </c>
      <c r="G86" s="2" t="s">
        <v>36</v>
      </c>
      <c r="H86" s="2" t="s">
        <v>36</v>
      </c>
      <c r="I86" s="2" t="s">
        <v>36</v>
      </c>
      <c r="J86" s="2" t="s">
        <v>36</v>
      </c>
      <c r="K86" s="2" t="s">
        <v>36</v>
      </c>
      <c r="L86" s="2" t="s">
        <v>36</v>
      </c>
      <c r="M86" s="2" t="s">
        <v>36</v>
      </c>
      <c r="N86" s="2" t="s">
        <v>36</v>
      </c>
      <c r="O86" s="2" t="s">
        <v>36</v>
      </c>
      <c r="P86" s="2" t="s">
        <v>36</v>
      </c>
      <c r="Q86" s="2" t="s">
        <v>36</v>
      </c>
      <c r="R86" s="2" t="s">
        <v>36</v>
      </c>
      <c r="S86" s="2" t="s">
        <v>36</v>
      </c>
      <c r="T86" s="2" t="s">
        <v>36</v>
      </c>
      <c r="U86" s="2" t="s">
        <v>36</v>
      </c>
      <c r="V86" s="2" t="s">
        <v>36</v>
      </c>
      <c r="W86" s="2" t="s">
        <v>36</v>
      </c>
      <c r="X86" s="2" t="s">
        <v>36</v>
      </c>
      <c r="Y86" s="2" t="s">
        <v>36</v>
      </c>
      <c r="Z86" s="2" t="s">
        <v>36</v>
      </c>
      <c r="AA86" s="2" t="s">
        <v>36</v>
      </c>
      <c r="AB86" s="2" t="s">
        <v>36</v>
      </c>
      <c r="AC86" s="2" t="s">
        <v>36</v>
      </c>
    </row>
    <row r="87" spans="1:29" s="4" customFormat="1" ht="11.25" customHeight="1">
      <c r="A87" s="11"/>
      <c r="H87" s="2"/>
      <c r="K87" s="2"/>
      <c r="N87" s="2"/>
    </row>
    <row r="88" spans="1:29">
      <c r="A88" s="1" t="s">
        <v>50</v>
      </c>
      <c r="B88" s="1" t="s">
        <v>51</v>
      </c>
      <c r="C88" s="12" t="s">
        <v>36</v>
      </c>
      <c r="D88" s="12" t="s">
        <v>36</v>
      </c>
      <c r="E88" s="12" t="s">
        <v>36</v>
      </c>
      <c r="F88" s="1">
        <f>89+71+87+65</f>
        <v>312</v>
      </c>
      <c r="G88" s="1">
        <f>39+20+36+30</f>
        <v>125</v>
      </c>
      <c r="H88" s="2">
        <f>F88+G88</f>
        <v>437</v>
      </c>
      <c r="I88" s="1">
        <f>8+6+9+10</f>
        <v>33</v>
      </c>
      <c r="J88" s="1">
        <f>6+5+7+3</f>
        <v>21</v>
      </c>
      <c r="K88" s="2">
        <f>I88+J88</f>
        <v>54</v>
      </c>
      <c r="L88" s="1">
        <f>85+88+97+84+78+66+77+61</f>
        <v>636</v>
      </c>
      <c r="M88" s="1">
        <f>43+31+31+30+11+17+19+17</f>
        <v>199</v>
      </c>
      <c r="N88" s="2" t="s">
        <v>36</v>
      </c>
      <c r="O88" s="1">
        <f>31+22+32+34+23+14+12+22</f>
        <v>190</v>
      </c>
      <c r="P88" s="1">
        <f>7+6+5+13+4+9+3+8</f>
        <v>55</v>
      </c>
      <c r="Q88" s="1">
        <f>SUM(O88:P88)</f>
        <v>245</v>
      </c>
      <c r="R88" s="1">
        <v>286</v>
      </c>
      <c r="S88" s="1">
        <v>166</v>
      </c>
      <c r="T88" s="1">
        <f t="shared" ref="T88:T101" si="17">R88+S88</f>
        <v>452</v>
      </c>
      <c r="U88" s="2" t="s">
        <v>36</v>
      </c>
      <c r="V88" s="2" t="s">
        <v>36</v>
      </c>
      <c r="W88" s="2" t="s">
        <v>36</v>
      </c>
      <c r="X88" s="2" t="s">
        <v>36</v>
      </c>
      <c r="Y88" s="2" t="s">
        <v>36</v>
      </c>
      <c r="Z88" s="2" t="s">
        <v>36</v>
      </c>
      <c r="AA88" s="2" t="s">
        <v>36</v>
      </c>
      <c r="AB88" s="2" t="s">
        <v>36</v>
      </c>
      <c r="AC88" s="2" t="s">
        <v>36</v>
      </c>
    </row>
    <row r="89" spans="1:29">
      <c r="B89" s="1" t="s">
        <v>52</v>
      </c>
      <c r="C89" s="12" t="s">
        <v>36</v>
      </c>
      <c r="D89" s="12" t="s">
        <v>36</v>
      </c>
      <c r="E89" s="12" t="s">
        <v>36</v>
      </c>
      <c r="F89" s="1">
        <f>6+0+6+0</f>
        <v>12</v>
      </c>
      <c r="G89" s="1">
        <f>5+0+6+0</f>
        <v>11</v>
      </c>
      <c r="H89" s="2">
        <f>F89+G89</f>
        <v>23</v>
      </c>
      <c r="I89" s="1">
        <f>0</f>
        <v>0</v>
      </c>
      <c r="J89" s="1">
        <f>0+0+0+0</f>
        <v>0</v>
      </c>
      <c r="K89" s="2">
        <f>I89+J89</f>
        <v>0</v>
      </c>
      <c r="L89" s="1">
        <f>10+0+13+0+6+0+10+0</f>
        <v>39</v>
      </c>
      <c r="M89" s="1">
        <f>2+0+3+1+3+0+3+0</f>
        <v>12</v>
      </c>
      <c r="N89" s="2" t="s">
        <v>36</v>
      </c>
      <c r="O89" s="1">
        <f>8+0+11+0+5+9</f>
        <v>33</v>
      </c>
      <c r="P89" s="1">
        <f>3+0+2+1+3+0+2+1</f>
        <v>12</v>
      </c>
      <c r="Q89" s="1">
        <f>SUM(O89:P89)</f>
        <v>45</v>
      </c>
      <c r="R89" s="1">
        <v>21</v>
      </c>
      <c r="S89" s="1">
        <v>12</v>
      </c>
      <c r="T89" s="1">
        <f t="shared" si="17"/>
        <v>33</v>
      </c>
      <c r="U89" s="2" t="s">
        <v>36</v>
      </c>
      <c r="V89" s="2" t="s">
        <v>36</v>
      </c>
      <c r="W89" s="2" t="s">
        <v>36</v>
      </c>
      <c r="X89" s="2" t="s">
        <v>36</v>
      </c>
      <c r="Y89" s="2" t="s">
        <v>36</v>
      </c>
      <c r="Z89" s="2" t="s">
        <v>36</v>
      </c>
      <c r="AA89" s="2" t="s">
        <v>36</v>
      </c>
      <c r="AB89" s="2" t="s">
        <v>36</v>
      </c>
      <c r="AC89" s="2" t="s">
        <v>36</v>
      </c>
    </row>
    <row r="90" spans="1:29" ht="14.25" customHeight="1">
      <c r="B90" s="1" t="s">
        <v>53</v>
      </c>
      <c r="C90" s="12" t="s">
        <v>36</v>
      </c>
      <c r="D90" s="12" t="s">
        <v>36</v>
      </c>
      <c r="E90" s="12" t="s">
        <v>36</v>
      </c>
      <c r="F90" s="12" t="s">
        <v>36</v>
      </c>
      <c r="G90" s="12" t="s">
        <v>36</v>
      </c>
      <c r="H90" s="12" t="s">
        <v>36</v>
      </c>
      <c r="I90" s="12" t="s">
        <v>36</v>
      </c>
      <c r="J90" s="12" t="s">
        <v>36</v>
      </c>
      <c r="K90" s="12" t="s">
        <v>36</v>
      </c>
      <c r="L90" s="1">
        <f>SUM(L88:L89)</f>
        <v>675</v>
      </c>
      <c r="M90" s="1">
        <f>SUM(M88:M89)</f>
        <v>211</v>
      </c>
      <c r="N90" s="2" t="s">
        <v>36</v>
      </c>
      <c r="O90" s="1">
        <f>SUM(O88:O89)</f>
        <v>223</v>
      </c>
      <c r="P90" s="1">
        <f>SUM(P88:P89)</f>
        <v>67</v>
      </c>
      <c r="Q90" s="1">
        <f>SUM(Q88:Q89)</f>
        <v>290</v>
      </c>
      <c r="R90" s="1">
        <v>58</v>
      </c>
      <c r="S90" s="1">
        <v>21</v>
      </c>
      <c r="T90" s="1">
        <f t="shared" si="17"/>
        <v>79</v>
      </c>
      <c r="U90" s="2" t="s">
        <v>36</v>
      </c>
      <c r="V90" s="2" t="s">
        <v>36</v>
      </c>
      <c r="W90" s="2" t="s">
        <v>36</v>
      </c>
      <c r="X90" s="2" t="s">
        <v>36</v>
      </c>
      <c r="Y90" s="2" t="s">
        <v>36</v>
      </c>
      <c r="Z90" s="2" t="s">
        <v>36</v>
      </c>
      <c r="AA90" s="2" t="s">
        <v>36</v>
      </c>
      <c r="AB90" s="2" t="s">
        <v>36</v>
      </c>
      <c r="AC90" s="2" t="s">
        <v>36</v>
      </c>
    </row>
    <row r="91" spans="1:29" s="4" customFormat="1" ht="14.25" customHeight="1">
      <c r="B91" s="12" t="s">
        <v>10</v>
      </c>
      <c r="C91" s="12" t="s">
        <v>36</v>
      </c>
      <c r="D91" s="12" t="s">
        <v>36</v>
      </c>
      <c r="E91" s="12" t="s">
        <v>36</v>
      </c>
      <c r="F91" s="12">
        <f>SUM(F88:F90)</f>
        <v>324</v>
      </c>
      <c r="G91" s="12">
        <f>SUM(G88:G90)</f>
        <v>136</v>
      </c>
      <c r="H91" s="10">
        <f>SUM(F91:G91)</f>
        <v>460</v>
      </c>
      <c r="I91" s="12" t="s">
        <v>36</v>
      </c>
      <c r="J91" s="12" t="s">
        <v>36</v>
      </c>
      <c r="K91" s="12" t="s">
        <v>36</v>
      </c>
      <c r="N91" s="2"/>
      <c r="R91" s="4">
        <f>SUM(R88:R90)</f>
        <v>365</v>
      </c>
      <c r="S91" s="4">
        <f>SUM(S88:S90)</f>
        <v>199</v>
      </c>
      <c r="T91" s="4">
        <f>SUM(T88:T90)</f>
        <v>564</v>
      </c>
    </row>
    <row r="93" spans="1:29">
      <c r="A93" s="1" t="s">
        <v>54</v>
      </c>
      <c r="B93" s="1" t="s">
        <v>55</v>
      </c>
      <c r="C93" s="12" t="s">
        <v>36</v>
      </c>
      <c r="D93" s="12" t="s">
        <v>36</v>
      </c>
      <c r="E93" s="12" t="s">
        <v>36</v>
      </c>
      <c r="F93" s="12" t="s">
        <v>36</v>
      </c>
      <c r="G93" s="12" t="s">
        <v>36</v>
      </c>
      <c r="H93" s="12" t="s">
        <v>36</v>
      </c>
      <c r="I93" s="12" t="s">
        <v>36</v>
      </c>
      <c r="J93" s="12" t="s">
        <v>36</v>
      </c>
      <c r="K93" s="12" t="s">
        <v>36</v>
      </c>
      <c r="R93" s="1">
        <v>296</v>
      </c>
      <c r="S93" s="1">
        <v>166</v>
      </c>
      <c r="T93" s="1">
        <f t="shared" si="17"/>
        <v>462</v>
      </c>
      <c r="U93" s="2" t="s">
        <v>36</v>
      </c>
      <c r="V93" s="2" t="s">
        <v>36</v>
      </c>
      <c r="W93" s="2" t="s">
        <v>36</v>
      </c>
      <c r="X93" s="2" t="s">
        <v>36</v>
      </c>
      <c r="Y93" s="2" t="s">
        <v>36</v>
      </c>
      <c r="Z93" s="2" t="s">
        <v>36</v>
      </c>
      <c r="AA93" s="2" t="s">
        <v>36</v>
      </c>
      <c r="AB93" s="2" t="s">
        <v>36</v>
      </c>
      <c r="AC93" s="2" t="s">
        <v>36</v>
      </c>
    </row>
    <row r="94" spans="1:29">
      <c r="B94" s="1" t="s">
        <v>56</v>
      </c>
      <c r="C94" s="12" t="s">
        <v>36</v>
      </c>
      <c r="D94" s="12" t="s">
        <v>36</v>
      </c>
      <c r="E94" s="12" t="s">
        <v>36</v>
      </c>
      <c r="F94" s="12" t="s">
        <v>36</v>
      </c>
      <c r="G94" s="12" t="s">
        <v>36</v>
      </c>
      <c r="H94" s="12" t="s">
        <v>36</v>
      </c>
      <c r="I94" s="12" t="s">
        <v>36</v>
      </c>
      <c r="J94" s="12" t="s">
        <v>36</v>
      </c>
      <c r="K94" s="12" t="s">
        <v>36</v>
      </c>
      <c r="R94" s="1">
        <v>69</v>
      </c>
      <c r="S94" s="1">
        <v>33</v>
      </c>
      <c r="T94" s="1">
        <f t="shared" si="17"/>
        <v>102</v>
      </c>
      <c r="U94" s="2" t="s">
        <v>36</v>
      </c>
      <c r="V94" s="2" t="s">
        <v>36</v>
      </c>
      <c r="W94" s="2" t="s">
        <v>36</v>
      </c>
      <c r="X94" s="2" t="s">
        <v>36</v>
      </c>
      <c r="Y94" s="2" t="s">
        <v>36</v>
      </c>
      <c r="Z94" s="2" t="s">
        <v>36</v>
      </c>
      <c r="AA94" s="2" t="s">
        <v>36</v>
      </c>
      <c r="AB94" s="2" t="s">
        <v>36</v>
      </c>
      <c r="AC94" s="2" t="s">
        <v>36</v>
      </c>
    </row>
    <row r="95" spans="1:29">
      <c r="B95" s="12" t="s">
        <v>10</v>
      </c>
      <c r="C95" s="12" t="s">
        <v>36</v>
      </c>
      <c r="D95" s="12" t="s">
        <v>36</v>
      </c>
      <c r="E95" s="12" t="s">
        <v>36</v>
      </c>
      <c r="F95" s="12" t="s">
        <v>36</v>
      </c>
      <c r="G95" s="12" t="s">
        <v>36</v>
      </c>
      <c r="H95" s="12" t="s">
        <v>36</v>
      </c>
      <c r="I95" s="12" t="s">
        <v>36</v>
      </c>
      <c r="J95" s="12" t="s">
        <v>36</v>
      </c>
      <c r="K95" s="12" t="s">
        <v>36</v>
      </c>
      <c r="R95" s="1">
        <f>SUM(R93:R94)</f>
        <v>365</v>
      </c>
      <c r="S95" s="1">
        <f>SUM(S93:S94)</f>
        <v>199</v>
      </c>
      <c r="T95" s="1">
        <f>SUM(T93:T94)</f>
        <v>564</v>
      </c>
      <c r="U95" s="2" t="s">
        <v>36</v>
      </c>
      <c r="V95" s="2" t="s">
        <v>36</v>
      </c>
      <c r="W95" s="2" t="s">
        <v>36</v>
      </c>
      <c r="X95" s="2" t="s">
        <v>36</v>
      </c>
      <c r="Y95" s="2" t="s">
        <v>36</v>
      </c>
      <c r="Z95" s="2" t="s">
        <v>36</v>
      </c>
      <c r="AA95" s="2" t="s">
        <v>36</v>
      </c>
      <c r="AB95" s="2" t="s">
        <v>36</v>
      </c>
      <c r="AC95" s="2" t="s">
        <v>36</v>
      </c>
    </row>
    <row r="97" spans="1:29">
      <c r="A97" s="1" t="s">
        <v>60</v>
      </c>
      <c r="B97" s="1" t="s">
        <v>61</v>
      </c>
      <c r="C97" s="12" t="s">
        <v>36</v>
      </c>
      <c r="D97" s="12" t="s">
        <v>36</v>
      </c>
      <c r="E97" s="12" t="s">
        <v>36</v>
      </c>
      <c r="F97" s="1">
        <f>31+26</f>
        <v>57</v>
      </c>
      <c r="G97" s="1">
        <f>6+10</f>
        <v>16</v>
      </c>
      <c r="H97" s="2">
        <f>F97+G97</f>
        <v>73</v>
      </c>
      <c r="I97" s="1">
        <f>7+3</f>
        <v>10</v>
      </c>
      <c r="J97" s="1">
        <f>0+2</f>
        <v>2</v>
      </c>
      <c r="K97" s="2">
        <f>I97+J97</f>
        <v>12</v>
      </c>
      <c r="L97" s="1">
        <f>24+88+29+36</f>
        <v>177</v>
      </c>
      <c r="M97" s="1">
        <f>14+31+3+5</f>
        <v>53</v>
      </c>
      <c r="N97" s="2">
        <f t="shared" ref="N97:N103" si="18">L97+M97</f>
        <v>230</v>
      </c>
      <c r="O97" s="2" t="s">
        <v>36</v>
      </c>
      <c r="P97" s="2" t="s">
        <v>36</v>
      </c>
      <c r="Q97" s="2" t="s">
        <v>36</v>
      </c>
      <c r="R97" s="1">
        <v>254</v>
      </c>
      <c r="S97" s="1">
        <v>151</v>
      </c>
      <c r="T97" s="1">
        <f t="shared" si="17"/>
        <v>405</v>
      </c>
      <c r="U97" s="1">
        <v>84</v>
      </c>
      <c r="V97" s="1">
        <v>42</v>
      </c>
      <c r="W97" s="1">
        <f>U97+V97</f>
        <v>126</v>
      </c>
      <c r="X97" s="2" t="s">
        <v>36</v>
      </c>
      <c r="Y97" s="2" t="s">
        <v>36</v>
      </c>
      <c r="Z97" s="2" t="s">
        <v>36</v>
      </c>
      <c r="AA97" s="2" t="s">
        <v>36</v>
      </c>
      <c r="AB97" s="2" t="s">
        <v>36</v>
      </c>
      <c r="AC97" s="2" t="s">
        <v>36</v>
      </c>
    </row>
    <row r="98" spans="1:29">
      <c r="B98" s="1" t="s">
        <v>62</v>
      </c>
      <c r="C98" s="12" t="s">
        <v>36</v>
      </c>
      <c r="D98" s="12" t="s">
        <v>36</v>
      </c>
      <c r="E98" s="12" t="s">
        <v>36</v>
      </c>
      <c r="F98" s="12" t="s">
        <v>36</v>
      </c>
      <c r="G98" s="12" t="s">
        <v>36</v>
      </c>
      <c r="H98" s="12" t="s">
        <v>36</v>
      </c>
      <c r="I98" s="12" t="s">
        <v>36</v>
      </c>
      <c r="J98" s="12" t="s">
        <v>36</v>
      </c>
      <c r="K98" s="12" t="s">
        <v>36</v>
      </c>
      <c r="L98" s="2" t="s">
        <v>36</v>
      </c>
      <c r="M98" s="2" t="s">
        <v>36</v>
      </c>
      <c r="N98" s="2" t="s">
        <v>36</v>
      </c>
      <c r="O98" s="2" t="s">
        <v>36</v>
      </c>
      <c r="P98" s="2" t="s">
        <v>36</v>
      </c>
      <c r="Q98" s="2" t="s">
        <v>36</v>
      </c>
      <c r="R98" s="1">
        <v>106</v>
      </c>
      <c r="S98" s="1">
        <v>38</v>
      </c>
      <c r="T98" s="1">
        <f t="shared" si="17"/>
        <v>144</v>
      </c>
      <c r="U98" s="1">
        <v>32</v>
      </c>
      <c r="V98" s="1">
        <v>19</v>
      </c>
      <c r="W98" s="1">
        <f>U98+V98</f>
        <v>51</v>
      </c>
      <c r="X98" s="2" t="s">
        <v>36</v>
      </c>
      <c r="Y98" s="2" t="s">
        <v>36</v>
      </c>
      <c r="Z98" s="2" t="s">
        <v>36</v>
      </c>
      <c r="AA98" s="2" t="s">
        <v>36</v>
      </c>
      <c r="AB98" s="2" t="s">
        <v>36</v>
      </c>
      <c r="AC98" s="2" t="s">
        <v>36</v>
      </c>
    </row>
    <row r="99" spans="1:29">
      <c r="B99" s="1" t="s">
        <v>63</v>
      </c>
      <c r="C99" s="12" t="s">
        <v>36</v>
      </c>
      <c r="D99" s="12" t="s">
        <v>36</v>
      </c>
      <c r="E99" s="12" t="s">
        <v>36</v>
      </c>
      <c r="F99" s="12" t="s">
        <v>36</v>
      </c>
      <c r="G99" s="12" t="s">
        <v>36</v>
      </c>
      <c r="H99" s="12" t="s">
        <v>36</v>
      </c>
      <c r="I99" s="12" t="s">
        <v>36</v>
      </c>
      <c r="J99" s="12" t="s">
        <v>36</v>
      </c>
      <c r="K99" s="12" t="s">
        <v>36</v>
      </c>
      <c r="L99" s="2" t="s">
        <v>36</v>
      </c>
      <c r="M99" s="2" t="s">
        <v>36</v>
      </c>
      <c r="N99" s="2" t="s">
        <v>36</v>
      </c>
      <c r="O99" s="2" t="s">
        <v>36</v>
      </c>
      <c r="P99" s="2" t="s">
        <v>36</v>
      </c>
      <c r="Q99" s="2" t="s">
        <v>36</v>
      </c>
      <c r="R99" s="1">
        <v>55</v>
      </c>
      <c r="S99" s="1">
        <v>45</v>
      </c>
      <c r="T99" s="1">
        <f t="shared" si="17"/>
        <v>100</v>
      </c>
      <c r="U99" s="1">
        <v>30</v>
      </c>
      <c r="V99" s="1">
        <v>20</v>
      </c>
      <c r="W99" s="1">
        <f>U99+V99</f>
        <v>50</v>
      </c>
      <c r="X99" s="2" t="s">
        <v>36</v>
      </c>
      <c r="Y99" s="2" t="s">
        <v>36</v>
      </c>
      <c r="Z99" s="2" t="s">
        <v>36</v>
      </c>
      <c r="AA99" s="2" t="s">
        <v>36</v>
      </c>
      <c r="AB99" s="2" t="s">
        <v>36</v>
      </c>
      <c r="AC99" s="2" t="s">
        <v>36</v>
      </c>
    </row>
    <row r="100" spans="1:29">
      <c r="B100" s="1" t="s">
        <v>64</v>
      </c>
      <c r="C100" s="12" t="s">
        <v>36</v>
      </c>
      <c r="D100" s="12" t="s">
        <v>36</v>
      </c>
      <c r="E100" s="12" t="s">
        <v>36</v>
      </c>
      <c r="F100" s="12" t="s">
        <v>36</v>
      </c>
      <c r="G100" s="12" t="s">
        <v>36</v>
      </c>
      <c r="H100" s="12" t="s">
        <v>36</v>
      </c>
      <c r="I100" s="12" t="s">
        <v>36</v>
      </c>
      <c r="J100" s="12" t="s">
        <v>36</v>
      </c>
      <c r="K100" s="12" t="s">
        <v>36</v>
      </c>
      <c r="L100" s="2" t="s">
        <v>36</v>
      </c>
      <c r="M100" s="2" t="s">
        <v>36</v>
      </c>
      <c r="N100" s="2" t="s">
        <v>36</v>
      </c>
      <c r="R100" s="1">
        <v>52</v>
      </c>
      <c r="S100" s="1">
        <v>42</v>
      </c>
      <c r="T100" s="1">
        <f t="shared" si="17"/>
        <v>94</v>
      </c>
      <c r="U100" s="1">
        <v>12</v>
      </c>
      <c r="V100" s="1">
        <v>3</v>
      </c>
      <c r="W100" s="1">
        <f>U100+V100</f>
        <v>15</v>
      </c>
      <c r="X100" s="2" t="s">
        <v>36</v>
      </c>
      <c r="Y100" s="2" t="s">
        <v>36</v>
      </c>
      <c r="Z100" s="2" t="s">
        <v>36</v>
      </c>
      <c r="AA100" s="2" t="s">
        <v>36</v>
      </c>
      <c r="AB100" s="2" t="s">
        <v>36</v>
      </c>
      <c r="AC100" s="2" t="s">
        <v>36</v>
      </c>
    </row>
    <row r="101" spans="1:29">
      <c r="B101" s="1" t="s">
        <v>65</v>
      </c>
      <c r="C101" s="12" t="s">
        <v>36</v>
      </c>
      <c r="D101" s="12" t="s">
        <v>36</v>
      </c>
      <c r="E101" s="12" t="s">
        <v>36</v>
      </c>
      <c r="F101" s="1">
        <f>31+20</f>
        <v>51</v>
      </c>
      <c r="G101" s="1">
        <f>9+6</f>
        <v>15</v>
      </c>
      <c r="H101" s="2">
        <f>F101+G101</f>
        <v>66</v>
      </c>
      <c r="I101" s="1">
        <f>3+9</f>
        <v>12</v>
      </c>
      <c r="J101" s="1">
        <f>3+2</f>
        <v>5</v>
      </c>
      <c r="K101" s="2">
        <f>I101+J101</f>
        <v>17</v>
      </c>
      <c r="L101" s="1">
        <f>16+10+19+22</f>
        <v>67</v>
      </c>
      <c r="M101" s="1">
        <f>17+2+8+7</f>
        <v>34</v>
      </c>
      <c r="N101" s="2">
        <f t="shared" si="18"/>
        <v>101</v>
      </c>
      <c r="O101" s="2" t="s">
        <v>36</v>
      </c>
      <c r="P101" s="2" t="s">
        <v>36</v>
      </c>
      <c r="Q101" s="2" t="s">
        <v>36</v>
      </c>
      <c r="R101" s="1">
        <v>27</v>
      </c>
      <c r="S101" s="1">
        <v>17</v>
      </c>
      <c r="T101" s="1">
        <f t="shared" si="17"/>
        <v>44</v>
      </c>
      <c r="U101" s="12" t="s">
        <v>36</v>
      </c>
      <c r="V101" s="12" t="s">
        <v>36</v>
      </c>
      <c r="W101" s="12" t="s">
        <v>36</v>
      </c>
      <c r="X101" s="2" t="s">
        <v>36</v>
      </c>
      <c r="Y101" s="2" t="s">
        <v>36</v>
      </c>
      <c r="Z101" s="2" t="s">
        <v>36</v>
      </c>
      <c r="AA101" s="2" t="s">
        <v>36</v>
      </c>
      <c r="AB101" s="2" t="s">
        <v>36</v>
      </c>
      <c r="AC101" s="2" t="s">
        <v>36</v>
      </c>
    </row>
    <row r="102" spans="1:29">
      <c r="B102" s="1" t="s">
        <v>66</v>
      </c>
      <c r="C102" s="12" t="s">
        <v>36</v>
      </c>
      <c r="D102" s="12" t="s">
        <v>36</v>
      </c>
      <c r="E102" s="12" t="s">
        <v>36</v>
      </c>
      <c r="F102" s="1">
        <f>113+112</f>
        <v>225</v>
      </c>
      <c r="G102" s="1">
        <f>49+54</f>
        <v>103</v>
      </c>
      <c r="H102" s="2">
        <f>F102+G102</f>
        <v>328</v>
      </c>
      <c r="I102" s="1">
        <f>4+7</f>
        <v>11</v>
      </c>
      <c r="J102" s="1">
        <f>8+6</f>
        <v>14</v>
      </c>
      <c r="K102" s="2">
        <f>I102+J102</f>
        <v>25</v>
      </c>
      <c r="L102" s="1">
        <f>143+85+102+90</f>
        <v>420</v>
      </c>
      <c r="M102" s="1">
        <f>45+43+20+27</f>
        <v>135</v>
      </c>
      <c r="N102" s="2">
        <f t="shared" si="18"/>
        <v>555</v>
      </c>
      <c r="O102" s="2" t="s">
        <v>36</v>
      </c>
      <c r="P102" s="2" t="s">
        <v>36</v>
      </c>
      <c r="Q102" s="2" t="s">
        <v>36</v>
      </c>
      <c r="R102" s="2" t="s">
        <v>36</v>
      </c>
      <c r="S102" s="2" t="s">
        <v>36</v>
      </c>
      <c r="T102" s="2" t="s">
        <v>36</v>
      </c>
      <c r="U102" s="2" t="s">
        <v>36</v>
      </c>
      <c r="V102" s="2" t="s">
        <v>36</v>
      </c>
      <c r="W102" s="2" t="s">
        <v>36</v>
      </c>
      <c r="X102" s="2" t="s">
        <v>36</v>
      </c>
      <c r="Y102" s="2" t="s">
        <v>36</v>
      </c>
      <c r="Z102" s="2" t="s">
        <v>36</v>
      </c>
      <c r="AA102" s="2" t="s">
        <v>36</v>
      </c>
      <c r="AB102" s="2" t="s">
        <v>36</v>
      </c>
      <c r="AC102" s="2" t="s">
        <v>36</v>
      </c>
    </row>
    <row r="103" spans="1:29">
      <c r="F103" s="1">
        <f>SUM(F97:F102)</f>
        <v>333</v>
      </c>
      <c r="G103" s="1">
        <f>SUM(G97:G102)</f>
        <v>134</v>
      </c>
      <c r="H103" s="2">
        <f>F103+G103</f>
        <v>467</v>
      </c>
      <c r="I103" s="2">
        <f>SUM(I97:I102)</f>
        <v>33</v>
      </c>
      <c r="J103" s="2">
        <f>SUM(J97:J102)</f>
        <v>21</v>
      </c>
      <c r="K103" s="2">
        <f>SUM(K97:K102)</f>
        <v>54</v>
      </c>
      <c r="L103" s="2">
        <f>SUM(L97:L102)</f>
        <v>664</v>
      </c>
      <c r="M103" s="2">
        <f>SUM(M97:M102)</f>
        <v>222</v>
      </c>
      <c r="N103" s="2">
        <f t="shared" si="18"/>
        <v>886</v>
      </c>
      <c r="O103" s="2" t="s">
        <v>36</v>
      </c>
      <c r="P103" s="2" t="s">
        <v>36</v>
      </c>
      <c r="Q103" s="2" t="s">
        <v>36</v>
      </c>
      <c r="R103" s="1">
        <f>SUM(R97:R102)</f>
        <v>494</v>
      </c>
      <c r="S103" s="1">
        <f>SUM(S97:S102)</f>
        <v>293</v>
      </c>
      <c r="T103" s="4">
        <f>SUM(T97:T102)</f>
        <v>787</v>
      </c>
      <c r="U103" s="4">
        <f t="shared" ref="U103:W103" si="19">SUM(U97:U102)</f>
        <v>158</v>
      </c>
      <c r="V103" s="4">
        <f t="shared" si="19"/>
        <v>84</v>
      </c>
      <c r="W103" s="4">
        <f t="shared" si="19"/>
        <v>242</v>
      </c>
      <c r="X103" s="2" t="s">
        <v>36</v>
      </c>
      <c r="Y103" s="2" t="s">
        <v>36</v>
      </c>
      <c r="Z103" s="2" t="s">
        <v>36</v>
      </c>
      <c r="AA103" s="2" t="s">
        <v>36</v>
      </c>
      <c r="AB103" s="2" t="s">
        <v>36</v>
      </c>
      <c r="AC103" s="2" t="s">
        <v>36</v>
      </c>
    </row>
    <row r="104" spans="1:29" s="4" customFormat="1"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29">
      <c r="A105" s="1" t="s">
        <v>91</v>
      </c>
      <c r="B105" s="1" t="s">
        <v>55</v>
      </c>
      <c r="F105" s="1">
        <f>27+26</f>
        <v>53</v>
      </c>
      <c r="G105" s="1">
        <f>45+1</f>
        <v>46</v>
      </c>
      <c r="H105" s="1">
        <f>G105+F105</f>
        <v>99</v>
      </c>
      <c r="I105" s="1">
        <f>2+4</f>
        <v>6</v>
      </c>
      <c r="J105" s="1">
        <f>1+1</f>
        <v>2</v>
      </c>
      <c r="K105" s="2">
        <f>I105+J105</f>
        <v>8</v>
      </c>
      <c r="L105" s="1">
        <f>31+24+37+35</f>
        <v>127</v>
      </c>
      <c r="M105" s="1">
        <f>9+6+19+11</f>
        <v>45</v>
      </c>
      <c r="N105" s="2">
        <f>M105+M105</f>
        <v>90</v>
      </c>
      <c r="O105" s="1" t="s">
        <v>36</v>
      </c>
      <c r="P105" s="1" t="s">
        <v>36</v>
      </c>
      <c r="Q105" s="1" t="s">
        <v>36</v>
      </c>
      <c r="R105" s="2" t="s">
        <v>36</v>
      </c>
      <c r="S105" s="2" t="s">
        <v>36</v>
      </c>
      <c r="T105" s="2" t="s">
        <v>36</v>
      </c>
      <c r="U105" s="2" t="s">
        <v>36</v>
      </c>
      <c r="V105" s="2" t="s">
        <v>36</v>
      </c>
      <c r="W105" s="2" t="s">
        <v>36</v>
      </c>
      <c r="X105" s="2" t="s">
        <v>36</v>
      </c>
      <c r="Y105" s="2" t="s">
        <v>36</v>
      </c>
      <c r="Z105" s="2" t="s">
        <v>36</v>
      </c>
      <c r="AA105" s="2" t="s">
        <v>36</v>
      </c>
      <c r="AB105" s="2" t="s">
        <v>36</v>
      </c>
      <c r="AC105" s="2" t="s">
        <v>36</v>
      </c>
    </row>
    <row r="106" spans="1:29">
      <c r="B106" s="1" t="s">
        <v>56</v>
      </c>
      <c r="F106" s="1">
        <f>139+132</f>
        <v>271</v>
      </c>
      <c r="G106" s="1">
        <f>19+69</f>
        <v>88</v>
      </c>
      <c r="H106" s="1">
        <f t="shared" ref="H106" si="20">G106+F106</f>
        <v>359</v>
      </c>
      <c r="I106" s="1">
        <f>12+15</f>
        <v>27</v>
      </c>
      <c r="J106" s="1">
        <f>10+9</f>
        <v>19</v>
      </c>
      <c r="K106" s="2">
        <f>J106+I106</f>
        <v>46</v>
      </c>
      <c r="L106" s="1">
        <f>115+124+142+158</f>
        <v>539</v>
      </c>
      <c r="M106" s="1">
        <f>21+32+56+54</f>
        <v>163</v>
      </c>
      <c r="N106" s="2">
        <f>M106+L106</f>
        <v>702</v>
      </c>
      <c r="O106" s="1" t="s">
        <v>36</v>
      </c>
      <c r="P106" s="1" t="s">
        <v>36</v>
      </c>
      <c r="Q106" s="1" t="s">
        <v>36</v>
      </c>
      <c r="R106" s="2" t="s">
        <v>36</v>
      </c>
      <c r="S106" s="2" t="s">
        <v>36</v>
      </c>
      <c r="T106" s="2" t="s">
        <v>36</v>
      </c>
      <c r="U106" s="2" t="s">
        <v>36</v>
      </c>
      <c r="V106" s="2" t="s">
        <v>36</v>
      </c>
      <c r="W106" s="2" t="s">
        <v>36</v>
      </c>
      <c r="X106" s="2" t="s">
        <v>36</v>
      </c>
      <c r="Y106" s="2" t="s">
        <v>36</v>
      </c>
      <c r="Z106" s="2" t="s">
        <v>36</v>
      </c>
      <c r="AA106" s="2" t="s">
        <v>36</v>
      </c>
      <c r="AB106" s="2" t="s">
        <v>36</v>
      </c>
      <c r="AC106" s="2" t="s">
        <v>36</v>
      </c>
    </row>
    <row r="107" spans="1:29">
      <c r="B107" s="12" t="s">
        <v>10</v>
      </c>
      <c r="F107" s="1">
        <f>F106+F105</f>
        <v>324</v>
      </c>
      <c r="G107" s="1">
        <f>G106+G105</f>
        <v>134</v>
      </c>
      <c r="H107" s="1">
        <f>H106+H105</f>
        <v>458</v>
      </c>
      <c r="I107" s="1">
        <f t="shared" ref="I107:K107" si="21">I106+I105</f>
        <v>33</v>
      </c>
      <c r="J107" s="1">
        <f t="shared" si="21"/>
        <v>21</v>
      </c>
      <c r="K107" s="1">
        <f t="shared" si="21"/>
        <v>54</v>
      </c>
      <c r="L107" s="2">
        <f t="shared" ref="L107:M107" si="22">L105+L106</f>
        <v>666</v>
      </c>
      <c r="M107" s="2">
        <f t="shared" si="22"/>
        <v>208</v>
      </c>
      <c r="N107" s="2">
        <f>N105+N106</f>
        <v>792</v>
      </c>
      <c r="O107" s="1" t="s">
        <v>36</v>
      </c>
      <c r="P107" s="1" t="s">
        <v>36</v>
      </c>
      <c r="Q107" s="1" t="s">
        <v>36</v>
      </c>
      <c r="R107" s="2" t="s">
        <v>36</v>
      </c>
      <c r="S107" s="2" t="s">
        <v>36</v>
      </c>
      <c r="T107" s="2" t="s">
        <v>36</v>
      </c>
      <c r="U107" s="2" t="s">
        <v>36</v>
      </c>
      <c r="V107" s="2" t="s">
        <v>36</v>
      </c>
      <c r="W107" s="2" t="s">
        <v>36</v>
      </c>
      <c r="X107" s="2" t="s">
        <v>36</v>
      </c>
      <c r="Y107" s="2" t="s">
        <v>36</v>
      </c>
      <c r="Z107" s="2" t="s">
        <v>36</v>
      </c>
      <c r="AA107" s="2" t="s">
        <v>36</v>
      </c>
      <c r="AB107" s="2" t="s">
        <v>36</v>
      </c>
      <c r="AC107" s="2" t="s">
        <v>36</v>
      </c>
    </row>
    <row r="109" spans="1:29">
      <c r="A109" s="1" t="s">
        <v>67</v>
      </c>
      <c r="B109" s="1">
        <v>1</v>
      </c>
      <c r="C109" s="2" t="s">
        <v>36</v>
      </c>
      <c r="D109" s="2" t="s">
        <v>36</v>
      </c>
      <c r="E109" s="2" t="s">
        <v>36</v>
      </c>
      <c r="F109" s="2" t="s">
        <v>36</v>
      </c>
      <c r="G109" s="2" t="s">
        <v>36</v>
      </c>
      <c r="H109" s="2" t="s">
        <v>36</v>
      </c>
      <c r="I109" s="2" t="s">
        <v>36</v>
      </c>
      <c r="J109" s="2" t="s">
        <v>36</v>
      </c>
      <c r="K109" s="2" t="s">
        <v>36</v>
      </c>
      <c r="L109" s="2" t="s">
        <v>36</v>
      </c>
      <c r="M109" s="2" t="s">
        <v>36</v>
      </c>
      <c r="N109" s="2" t="s">
        <v>36</v>
      </c>
      <c r="O109" s="2" t="s">
        <v>36</v>
      </c>
      <c r="P109" s="2" t="s">
        <v>36</v>
      </c>
      <c r="Q109" s="2" t="s">
        <v>36</v>
      </c>
      <c r="R109" s="1">
        <v>258</v>
      </c>
      <c r="S109" s="1">
        <v>125</v>
      </c>
      <c r="T109" s="1">
        <f>R109+S109</f>
        <v>383</v>
      </c>
      <c r="U109" s="2" t="s">
        <v>36</v>
      </c>
      <c r="V109" s="2" t="s">
        <v>36</v>
      </c>
      <c r="W109" s="2" t="s">
        <v>36</v>
      </c>
      <c r="X109" s="2" t="s">
        <v>36</v>
      </c>
      <c r="Y109" s="2" t="s">
        <v>36</v>
      </c>
      <c r="Z109" s="2" t="s">
        <v>36</v>
      </c>
      <c r="AA109" s="2" t="s">
        <v>36</v>
      </c>
      <c r="AB109" s="2" t="s">
        <v>36</v>
      </c>
      <c r="AC109" s="2" t="s">
        <v>36</v>
      </c>
    </row>
    <row r="110" spans="1:29">
      <c r="B110" s="1" t="s">
        <v>52</v>
      </c>
      <c r="C110" s="2" t="s">
        <v>36</v>
      </c>
      <c r="D110" s="2" t="s">
        <v>36</v>
      </c>
      <c r="E110" s="2" t="s">
        <v>36</v>
      </c>
      <c r="F110" s="2" t="s">
        <v>36</v>
      </c>
      <c r="G110" s="2" t="s">
        <v>36</v>
      </c>
      <c r="H110" s="2" t="s">
        <v>36</v>
      </c>
      <c r="I110" s="2" t="s">
        <v>36</v>
      </c>
      <c r="J110" s="2" t="s">
        <v>36</v>
      </c>
      <c r="K110" s="2" t="s">
        <v>36</v>
      </c>
      <c r="L110" s="2" t="s">
        <v>36</v>
      </c>
      <c r="M110" s="2" t="s">
        <v>36</v>
      </c>
      <c r="N110" s="2" t="s">
        <v>36</v>
      </c>
      <c r="O110" s="2" t="s">
        <v>36</v>
      </c>
      <c r="P110" s="2" t="s">
        <v>36</v>
      </c>
      <c r="Q110" s="2" t="s">
        <v>36</v>
      </c>
      <c r="R110" s="1">
        <v>107</v>
      </c>
      <c r="S110" s="1">
        <v>74</v>
      </c>
      <c r="T110" s="1">
        <f>R110+S110</f>
        <v>181</v>
      </c>
      <c r="U110" s="2" t="s">
        <v>36</v>
      </c>
      <c r="V110" s="2" t="s">
        <v>36</v>
      </c>
      <c r="W110" s="2" t="s">
        <v>36</v>
      </c>
      <c r="X110" s="2" t="s">
        <v>36</v>
      </c>
      <c r="Y110" s="2" t="s">
        <v>36</v>
      </c>
      <c r="Z110" s="2" t="s">
        <v>36</v>
      </c>
      <c r="AA110" s="2" t="s">
        <v>36</v>
      </c>
      <c r="AB110" s="2" t="s">
        <v>36</v>
      </c>
      <c r="AC110" s="2" t="s">
        <v>36</v>
      </c>
    </row>
    <row r="111" spans="1:29">
      <c r="B111" s="12" t="s">
        <v>10</v>
      </c>
      <c r="C111" s="2" t="s">
        <v>36</v>
      </c>
      <c r="D111" s="2" t="s">
        <v>36</v>
      </c>
      <c r="E111" s="2" t="s">
        <v>36</v>
      </c>
      <c r="F111" s="2" t="s">
        <v>36</v>
      </c>
      <c r="G111" s="2" t="s">
        <v>36</v>
      </c>
      <c r="H111" s="2" t="s">
        <v>36</v>
      </c>
      <c r="I111" s="2" t="s">
        <v>36</v>
      </c>
      <c r="J111" s="2" t="s">
        <v>36</v>
      </c>
      <c r="K111" s="2" t="s">
        <v>36</v>
      </c>
      <c r="L111" s="2" t="s">
        <v>36</v>
      </c>
      <c r="M111" s="2" t="s">
        <v>36</v>
      </c>
      <c r="N111" s="2" t="s">
        <v>36</v>
      </c>
      <c r="O111" s="2" t="s">
        <v>36</v>
      </c>
      <c r="P111" s="2" t="s">
        <v>36</v>
      </c>
      <c r="Q111" s="2" t="s">
        <v>36</v>
      </c>
      <c r="R111" s="1">
        <f>SUM(R109:R110)</f>
        <v>365</v>
      </c>
      <c r="S111" s="1">
        <f>SUM(S109:S110)</f>
        <v>199</v>
      </c>
      <c r="T111" s="1">
        <f>SUM(T109:T110)</f>
        <v>564</v>
      </c>
      <c r="U111" s="2" t="s">
        <v>36</v>
      </c>
      <c r="V111" s="2" t="s">
        <v>36</v>
      </c>
      <c r="W111" s="2" t="s">
        <v>36</v>
      </c>
      <c r="X111" s="2" t="s">
        <v>36</v>
      </c>
      <c r="Y111" s="2" t="s">
        <v>36</v>
      </c>
      <c r="Z111" s="2" t="s">
        <v>36</v>
      </c>
      <c r="AA111" s="2" t="s">
        <v>36</v>
      </c>
      <c r="AB111" s="2" t="s">
        <v>36</v>
      </c>
      <c r="AC111" s="2" t="s">
        <v>36</v>
      </c>
    </row>
    <row r="112" spans="1:29" s="4" customFormat="1">
      <c r="B112" s="12"/>
      <c r="H112" s="2"/>
      <c r="K112" s="2"/>
      <c r="N112" s="2"/>
    </row>
    <row r="113" spans="1:29">
      <c r="A113" s="1" t="s">
        <v>76</v>
      </c>
      <c r="B113" s="1" t="s">
        <v>55</v>
      </c>
      <c r="C113" s="2" t="s">
        <v>36</v>
      </c>
      <c r="D113" s="2" t="s">
        <v>36</v>
      </c>
      <c r="E113" s="2" t="s">
        <v>36</v>
      </c>
      <c r="F113" s="2" t="s">
        <v>36</v>
      </c>
      <c r="G113" s="2" t="s">
        <v>36</v>
      </c>
      <c r="H113" s="2" t="s">
        <v>36</v>
      </c>
      <c r="I113" s="2" t="s">
        <v>36</v>
      </c>
      <c r="J113" s="2" t="s">
        <v>36</v>
      </c>
      <c r="K113" s="2" t="s">
        <v>36</v>
      </c>
      <c r="L113" s="2" t="s">
        <v>36</v>
      </c>
      <c r="M113" s="2" t="s">
        <v>36</v>
      </c>
      <c r="N113" s="2" t="s">
        <v>36</v>
      </c>
      <c r="O113" s="2" t="s">
        <v>36</v>
      </c>
      <c r="P113" s="2" t="s">
        <v>36</v>
      </c>
      <c r="Q113" s="2" t="s">
        <v>36</v>
      </c>
      <c r="R113" s="1">
        <v>28</v>
      </c>
      <c r="S113" s="1">
        <v>8</v>
      </c>
      <c r="T113" s="1">
        <f>R113+S113</f>
        <v>36</v>
      </c>
      <c r="X113" s="1">
        <v>45</v>
      </c>
      <c r="Y113" s="1">
        <v>17</v>
      </c>
      <c r="Z113" s="1">
        <f>X113+Y113</f>
        <v>62</v>
      </c>
    </row>
    <row r="114" spans="1:29">
      <c r="B114" s="1" t="s">
        <v>56</v>
      </c>
      <c r="C114" s="2" t="s">
        <v>36</v>
      </c>
      <c r="D114" s="2" t="s">
        <v>36</v>
      </c>
      <c r="E114" s="2" t="s">
        <v>36</v>
      </c>
      <c r="F114" s="2" t="s">
        <v>36</v>
      </c>
      <c r="G114" s="2" t="s">
        <v>36</v>
      </c>
      <c r="H114" s="2" t="s">
        <v>36</v>
      </c>
      <c r="I114" s="2" t="s">
        <v>36</v>
      </c>
      <c r="J114" s="2" t="s">
        <v>36</v>
      </c>
      <c r="K114" s="2" t="s">
        <v>36</v>
      </c>
      <c r="L114" s="2" t="s">
        <v>36</v>
      </c>
      <c r="M114" s="2" t="s">
        <v>36</v>
      </c>
      <c r="N114" s="2" t="s">
        <v>36</v>
      </c>
      <c r="O114" s="2" t="s">
        <v>36</v>
      </c>
      <c r="P114" s="2" t="s">
        <v>36</v>
      </c>
      <c r="Q114" s="2" t="s">
        <v>36</v>
      </c>
      <c r="R114" s="1">
        <v>337</v>
      </c>
      <c r="S114" s="1">
        <v>191</v>
      </c>
      <c r="T114" s="1">
        <f>R114+S114</f>
        <v>528</v>
      </c>
      <c r="X114" s="1">
        <f>X5-X113</f>
        <v>1069</v>
      </c>
      <c r="Y114" s="1">
        <f>Y5-Y113</f>
        <v>738</v>
      </c>
      <c r="Z114" s="1">
        <f>X114+Y114</f>
        <v>1807</v>
      </c>
    </row>
    <row r="115" spans="1:29">
      <c r="B115" s="12" t="s">
        <v>10</v>
      </c>
      <c r="C115" s="2" t="s">
        <v>36</v>
      </c>
      <c r="D115" s="2" t="s">
        <v>36</v>
      </c>
      <c r="E115" s="2" t="s">
        <v>36</v>
      </c>
      <c r="F115" s="2" t="s">
        <v>36</v>
      </c>
      <c r="G115" s="2" t="s">
        <v>36</v>
      </c>
      <c r="H115" s="2" t="s">
        <v>36</v>
      </c>
      <c r="I115" s="2" t="s">
        <v>36</v>
      </c>
      <c r="J115" s="2" t="s">
        <v>36</v>
      </c>
      <c r="K115" s="2" t="s">
        <v>36</v>
      </c>
      <c r="L115" s="2" t="s">
        <v>36</v>
      </c>
      <c r="M115" s="2" t="s">
        <v>36</v>
      </c>
      <c r="N115" s="2" t="s">
        <v>36</v>
      </c>
      <c r="O115" s="2" t="s">
        <v>36</v>
      </c>
      <c r="P115" s="2" t="s">
        <v>36</v>
      </c>
      <c r="Q115" s="2" t="s">
        <v>36</v>
      </c>
    </row>
    <row r="116" spans="1:29" s="4" customFormat="1">
      <c r="B116" s="12"/>
      <c r="H116" s="2"/>
      <c r="K116" s="2"/>
      <c r="N116" s="2"/>
    </row>
    <row r="117" spans="1:29">
      <c r="A117" s="1" t="s">
        <v>77</v>
      </c>
      <c r="B117" s="1" t="s">
        <v>55</v>
      </c>
      <c r="C117" s="2" t="s">
        <v>36</v>
      </c>
      <c r="D117" s="2" t="s">
        <v>36</v>
      </c>
      <c r="E117" s="2" t="s">
        <v>36</v>
      </c>
      <c r="F117" s="2" t="s">
        <v>36</v>
      </c>
      <c r="G117" s="2" t="s">
        <v>36</v>
      </c>
      <c r="H117" s="2" t="s">
        <v>36</v>
      </c>
      <c r="I117" s="2" t="s">
        <v>36</v>
      </c>
      <c r="J117" s="2" t="s">
        <v>36</v>
      </c>
      <c r="K117" s="2" t="s">
        <v>36</v>
      </c>
      <c r="L117" s="2" t="s">
        <v>36</v>
      </c>
      <c r="M117" s="2" t="s">
        <v>36</v>
      </c>
      <c r="N117" s="2" t="s">
        <v>36</v>
      </c>
      <c r="O117" s="2" t="s">
        <v>36</v>
      </c>
      <c r="P117" s="2" t="s">
        <v>36</v>
      </c>
      <c r="Q117" s="2" t="s">
        <v>36</v>
      </c>
      <c r="R117" s="2" t="s">
        <v>36</v>
      </c>
      <c r="S117" s="2" t="s">
        <v>36</v>
      </c>
      <c r="T117" s="2" t="s">
        <v>36</v>
      </c>
      <c r="U117" s="1">
        <v>6</v>
      </c>
      <c r="V117" s="1">
        <v>11</v>
      </c>
      <c r="W117" s="1">
        <f>U117+V117</f>
        <v>17</v>
      </c>
      <c r="X117" s="1">
        <v>63</v>
      </c>
      <c r="Y117" s="1">
        <v>149</v>
      </c>
      <c r="Z117" s="1">
        <f>X117+Y117</f>
        <v>212</v>
      </c>
      <c r="AA117" s="1">
        <f>7+8</f>
        <v>15</v>
      </c>
      <c r="AB117" s="1">
        <f>4+6</f>
        <v>10</v>
      </c>
      <c r="AC117" s="1">
        <f>AB117+AA117</f>
        <v>25</v>
      </c>
    </row>
    <row r="118" spans="1:29">
      <c r="B118" s="1" t="s">
        <v>56</v>
      </c>
      <c r="C118" s="2" t="s">
        <v>36</v>
      </c>
      <c r="D118" s="2" t="s">
        <v>36</v>
      </c>
      <c r="E118" s="2" t="s">
        <v>36</v>
      </c>
      <c r="F118" s="2" t="s">
        <v>36</v>
      </c>
      <c r="G118" s="2" t="s">
        <v>36</v>
      </c>
      <c r="H118" s="2" t="s">
        <v>36</v>
      </c>
      <c r="I118" s="2" t="s">
        <v>36</v>
      </c>
      <c r="J118" s="2" t="s">
        <v>36</v>
      </c>
      <c r="K118" s="2" t="s">
        <v>36</v>
      </c>
      <c r="L118" s="2" t="s">
        <v>36</v>
      </c>
      <c r="M118" s="2" t="s">
        <v>36</v>
      </c>
      <c r="N118" s="2" t="s">
        <v>36</v>
      </c>
      <c r="O118" s="2" t="s">
        <v>36</v>
      </c>
      <c r="P118" s="2" t="s">
        <v>36</v>
      </c>
      <c r="Q118" s="2" t="s">
        <v>36</v>
      </c>
      <c r="R118" s="2" t="s">
        <v>36</v>
      </c>
      <c r="S118" s="2" t="s">
        <v>36</v>
      </c>
      <c r="T118" s="2" t="s">
        <v>36</v>
      </c>
      <c r="U118" s="1">
        <v>94</v>
      </c>
      <c r="V118" s="1">
        <v>35</v>
      </c>
      <c r="W118" s="1">
        <f>U118+V118</f>
        <v>129</v>
      </c>
      <c r="X118" s="1">
        <f>X5-X117</f>
        <v>1051</v>
      </c>
      <c r="Y118" s="1">
        <f>Y5-Y117</f>
        <v>606</v>
      </c>
      <c r="Z118" s="1">
        <f>X118+Y118</f>
        <v>1657</v>
      </c>
    </row>
    <row r="119" spans="1:29" s="4" customFormat="1">
      <c r="B119" s="12" t="s">
        <v>10</v>
      </c>
      <c r="C119" s="2" t="s">
        <v>36</v>
      </c>
      <c r="D119" s="2" t="s">
        <v>36</v>
      </c>
      <c r="E119" s="2" t="s">
        <v>36</v>
      </c>
      <c r="F119" s="2" t="s">
        <v>36</v>
      </c>
      <c r="G119" s="2" t="s">
        <v>36</v>
      </c>
      <c r="H119" s="2" t="s">
        <v>36</v>
      </c>
      <c r="I119" s="2" t="s">
        <v>36</v>
      </c>
      <c r="J119" s="2" t="s">
        <v>36</v>
      </c>
      <c r="K119" s="2" t="s">
        <v>36</v>
      </c>
      <c r="L119" s="2" t="s">
        <v>36</v>
      </c>
      <c r="M119" s="2" t="s">
        <v>36</v>
      </c>
      <c r="N119" s="2" t="s">
        <v>36</v>
      </c>
      <c r="O119" s="2" t="s">
        <v>36</v>
      </c>
      <c r="P119" s="2" t="s">
        <v>36</v>
      </c>
      <c r="Q119" s="2" t="s">
        <v>36</v>
      </c>
      <c r="R119" s="2"/>
      <c r="S119" s="2"/>
      <c r="T119" s="2"/>
      <c r="U119" s="4">
        <f>SUM(U117:U118)</f>
        <v>100</v>
      </c>
      <c r="V119" s="4">
        <f>SUM(V117:V118)</f>
        <v>46</v>
      </c>
      <c r="W119" s="4">
        <f>SUM(W117:W118)</f>
        <v>146</v>
      </c>
      <c r="X119" s="4">
        <f>SUM(X117:X118)</f>
        <v>1114</v>
      </c>
      <c r="Y119" s="4">
        <f>SUM(Y117:Y118)</f>
        <v>755</v>
      </c>
      <c r="Z119" s="4">
        <f>SUM(Z117:Z118)</f>
        <v>1869</v>
      </c>
    </row>
    <row r="120" spans="1:29">
      <c r="B120" s="4"/>
    </row>
    <row r="121" spans="1:29">
      <c r="A121" s="1" t="s">
        <v>78</v>
      </c>
      <c r="B121" s="1" t="s">
        <v>79</v>
      </c>
      <c r="C121" s="2" t="s">
        <v>36</v>
      </c>
      <c r="D121" s="2" t="s">
        <v>36</v>
      </c>
      <c r="E121" s="2" t="s">
        <v>36</v>
      </c>
      <c r="F121" s="2" t="s">
        <v>36</v>
      </c>
      <c r="G121" s="2" t="s">
        <v>36</v>
      </c>
      <c r="H121" s="2" t="s">
        <v>36</v>
      </c>
      <c r="I121" s="2" t="s">
        <v>36</v>
      </c>
      <c r="J121" s="2" t="s">
        <v>36</v>
      </c>
      <c r="K121" s="2" t="s">
        <v>36</v>
      </c>
      <c r="L121" s="2" t="s">
        <v>36</v>
      </c>
      <c r="M121" s="2" t="s">
        <v>36</v>
      </c>
      <c r="N121" s="2" t="s">
        <v>36</v>
      </c>
      <c r="O121" s="2" t="s">
        <v>36</v>
      </c>
      <c r="P121" s="2" t="s">
        <v>36</v>
      </c>
      <c r="Q121" s="2" t="s">
        <v>36</v>
      </c>
      <c r="R121" s="2" t="s">
        <v>36</v>
      </c>
      <c r="S121" s="2" t="s">
        <v>36</v>
      </c>
      <c r="T121" s="2" t="s">
        <v>36</v>
      </c>
      <c r="U121" s="1">
        <v>73</v>
      </c>
      <c r="V121" s="1">
        <v>32</v>
      </c>
      <c r="W121" s="1">
        <f>U121+V121</f>
        <v>105</v>
      </c>
      <c r="X121" s="2" t="s">
        <v>36</v>
      </c>
      <c r="Y121" s="2" t="s">
        <v>36</v>
      </c>
      <c r="Z121" s="2" t="s">
        <v>36</v>
      </c>
      <c r="AA121" s="2" t="s">
        <v>36</v>
      </c>
      <c r="AB121" s="2" t="s">
        <v>36</v>
      </c>
      <c r="AC121" s="2" t="s">
        <v>36</v>
      </c>
    </row>
    <row r="122" spans="1:29">
      <c r="B122" s="1" t="s">
        <v>80</v>
      </c>
      <c r="C122" s="2" t="s">
        <v>36</v>
      </c>
      <c r="D122" s="2" t="s">
        <v>36</v>
      </c>
      <c r="E122" s="2" t="s">
        <v>36</v>
      </c>
      <c r="F122" s="2" t="s">
        <v>36</v>
      </c>
      <c r="G122" s="2" t="s">
        <v>36</v>
      </c>
      <c r="H122" s="2" t="s">
        <v>36</v>
      </c>
      <c r="I122" s="2" t="s">
        <v>36</v>
      </c>
      <c r="J122" s="2" t="s">
        <v>36</v>
      </c>
      <c r="K122" s="2" t="s">
        <v>36</v>
      </c>
      <c r="L122" s="2" t="s">
        <v>36</v>
      </c>
      <c r="M122" s="2" t="s">
        <v>36</v>
      </c>
      <c r="N122" s="2" t="s">
        <v>36</v>
      </c>
      <c r="O122" s="2" t="s">
        <v>36</v>
      </c>
      <c r="P122" s="2" t="s">
        <v>36</v>
      </c>
      <c r="Q122" s="2" t="s">
        <v>36</v>
      </c>
      <c r="R122" s="2" t="s">
        <v>36</v>
      </c>
      <c r="S122" s="2" t="s">
        <v>36</v>
      </c>
      <c r="T122" s="2" t="s">
        <v>36</v>
      </c>
      <c r="U122" s="1">
        <v>25</v>
      </c>
      <c r="V122" s="1">
        <v>14</v>
      </c>
      <c r="W122" s="1">
        <f>U122+V122</f>
        <v>39</v>
      </c>
      <c r="X122" s="2" t="s">
        <v>36</v>
      </c>
      <c r="Y122" s="2" t="s">
        <v>36</v>
      </c>
      <c r="Z122" s="2" t="s">
        <v>36</v>
      </c>
      <c r="AA122" s="2" t="s">
        <v>36</v>
      </c>
      <c r="AB122" s="2" t="s">
        <v>36</v>
      </c>
      <c r="AC122" s="2" t="s">
        <v>36</v>
      </c>
    </row>
    <row r="123" spans="1:29">
      <c r="B123" s="1" t="s">
        <v>53</v>
      </c>
      <c r="C123" s="2" t="s">
        <v>36</v>
      </c>
      <c r="D123" s="2" t="s">
        <v>36</v>
      </c>
      <c r="E123" s="2" t="s">
        <v>36</v>
      </c>
      <c r="F123" s="2" t="s">
        <v>36</v>
      </c>
      <c r="G123" s="2" t="s">
        <v>36</v>
      </c>
      <c r="H123" s="2" t="s">
        <v>36</v>
      </c>
      <c r="I123" s="2" t="s">
        <v>36</v>
      </c>
      <c r="J123" s="2" t="s">
        <v>36</v>
      </c>
      <c r="K123" s="2" t="s">
        <v>36</v>
      </c>
      <c r="L123" s="2" t="s">
        <v>36</v>
      </c>
      <c r="M123" s="2" t="s">
        <v>36</v>
      </c>
      <c r="N123" s="2" t="s">
        <v>36</v>
      </c>
      <c r="O123" s="2" t="s">
        <v>36</v>
      </c>
      <c r="P123" s="2" t="s">
        <v>36</v>
      </c>
      <c r="Q123" s="2" t="s">
        <v>36</v>
      </c>
      <c r="R123" s="2" t="s">
        <v>36</v>
      </c>
      <c r="S123" s="2" t="s">
        <v>36</v>
      </c>
      <c r="T123" s="2" t="s">
        <v>36</v>
      </c>
      <c r="U123" s="1">
        <v>2</v>
      </c>
      <c r="V123" s="1">
        <v>0</v>
      </c>
      <c r="W123" s="1">
        <f>U123+V123</f>
        <v>2</v>
      </c>
      <c r="X123" s="2" t="s">
        <v>36</v>
      </c>
      <c r="Y123" s="2" t="s">
        <v>36</v>
      </c>
      <c r="Z123" s="2" t="s">
        <v>36</v>
      </c>
      <c r="AA123" s="2" t="s">
        <v>36</v>
      </c>
      <c r="AB123" s="2" t="s">
        <v>36</v>
      </c>
      <c r="AC123" s="2" t="s">
        <v>36</v>
      </c>
    </row>
    <row r="124" spans="1:29">
      <c r="B124" s="12" t="s">
        <v>10</v>
      </c>
      <c r="U124" s="1">
        <f>SUM(U121:U123)</f>
        <v>100</v>
      </c>
      <c r="V124" s="1">
        <f>SUM(V121:V123)</f>
        <v>46</v>
      </c>
      <c r="W124" s="1">
        <f>SUM(W121:W123)</f>
        <v>146</v>
      </c>
    </row>
    <row r="125" spans="1:29" s="4" customFormat="1">
      <c r="B125" s="12"/>
      <c r="H125" s="2"/>
      <c r="K125" s="2"/>
      <c r="N125" s="2"/>
    </row>
    <row r="126" spans="1:29">
      <c r="A126" s="1" t="s">
        <v>81</v>
      </c>
      <c r="C126" s="2" t="s">
        <v>36</v>
      </c>
      <c r="D126" s="2" t="s">
        <v>36</v>
      </c>
      <c r="E126" s="2" t="s">
        <v>36</v>
      </c>
      <c r="F126" s="2" t="s">
        <v>36</v>
      </c>
      <c r="G126" s="2" t="s">
        <v>36</v>
      </c>
      <c r="H126" s="2" t="s">
        <v>36</v>
      </c>
      <c r="I126" s="2" t="s">
        <v>36</v>
      </c>
      <c r="J126" s="2" t="s">
        <v>36</v>
      </c>
      <c r="K126" s="2" t="s">
        <v>36</v>
      </c>
      <c r="L126" s="2" t="s">
        <v>36</v>
      </c>
      <c r="M126" s="2" t="s">
        <v>36</v>
      </c>
      <c r="N126" s="2" t="s">
        <v>36</v>
      </c>
      <c r="O126" s="2" t="s">
        <v>36</v>
      </c>
      <c r="P126" s="2" t="s">
        <v>36</v>
      </c>
      <c r="Q126" s="2" t="s">
        <v>36</v>
      </c>
      <c r="R126" s="2" t="s">
        <v>36</v>
      </c>
      <c r="S126" s="2" t="s">
        <v>36</v>
      </c>
      <c r="U126" s="1">
        <v>21</v>
      </c>
      <c r="V126" s="1">
        <v>5</v>
      </c>
      <c r="W126" s="1">
        <f>U126+V126</f>
        <v>26</v>
      </c>
      <c r="X126" s="2" t="s">
        <v>36</v>
      </c>
      <c r="Y126" s="2" t="s">
        <v>36</v>
      </c>
      <c r="Z126" s="2" t="s">
        <v>36</v>
      </c>
      <c r="AA126" s="2" t="s">
        <v>36</v>
      </c>
      <c r="AB126" s="2" t="s">
        <v>36</v>
      </c>
      <c r="AC126" s="2" t="s">
        <v>36</v>
      </c>
    </row>
    <row r="127" spans="1:29">
      <c r="C127" s="2" t="s">
        <v>36</v>
      </c>
      <c r="D127" s="2" t="s">
        <v>36</v>
      </c>
      <c r="E127" s="2" t="s">
        <v>36</v>
      </c>
      <c r="F127" s="2" t="s">
        <v>36</v>
      </c>
      <c r="G127" s="2" t="s">
        <v>36</v>
      </c>
      <c r="H127" s="2" t="s">
        <v>36</v>
      </c>
      <c r="I127" s="2" t="s">
        <v>36</v>
      </c>
      <c r="J127" s="2" t="s">
        <v>36</v>
      </c>
      <c r="K127" s="2" t="s">
        <v>36</v>
      </c>
      <c r="L127" s="2" t="s">
        <v>36</v>
      </c>
      <c r="M127" s="2" t="s">
        <v>36</v>
      </c>
      <c r="N127" s="2" t="s">
        <v>36</v>
      </c>
      <c r="O127" s="2" t="s">
        <v>36</v>
      </c>
      <c r="P127" s="2" t="s">
        <v>36</v>
      </c>
      <c r="Q127" s="2" t="s">
        <v>36</v>
      </c>
      <c r="R127" s="2" t="s">
        <v>36</v>
      </c>
      <c r="S127" s="2" t="s">
        <v>36</v>
      </c>
      <c r="U127" s="1">
        <v>12</v>
      </c>
      <c r="V127" s="1">
        <v>1</v>
      </c>
      <c r="W127" s="1">
        <f>U127+V127</f>
        <v>13</v>
      </c>
      <c r="X127" s="2" t="s">
        <v>36</v>
      </c>
      <c r="Y127" s="2" t="s">
        <v>36</v>
      </c>
      <c r="Z127" s="2" t="s">
        <v>36</v>
      </c>
      <c r="AA127" s="2" t="s">
        <v>36</v>
      </c>
      <c r="AB127" s="2" t="s">
        <v>36</v>
      </c>
      <c r="AC127" s="2" t="s">
        <v>36</v>
      </c>
    </row>
    <row r="128" spans="1:29">
      <c r="B128" s="4"/>
      <c r="C128" s="2" t="s">
        <v>36</v>
      </c>
      <c r="D128" s="2" t="s">
        <v>36</v>
      </c>
      <c r="E128" s="2" t="s">
        <v>36</v>
      </c>
      <c r="F128" s="2" t="s">
        <v>36</v>
      </c>
      <c r="G128" s="2" t="s">
        <v>36</v>
      </c>
      <c r="H128" s="2" t="s">
        <v>36</v>
      </c>
      <c r="I128" s="2" t="s">
        <v>36</v>
      </c>
      <c r="J128" s="2" t="s">
        <v>36</v>
      </c>
      <c r="K128" s="2" t="s">
        <v>36</v>
      </c>
      <c r="L128" s="2" t="s">
        <v>36</v>
      </c>
      <c r="M128" s="2" t="s">
        <v>36</v>
      </c>
      <c r="N128" s="2" t="s">
        <v>36</v>
      </c>
      <c r="O128" s="2" t="s">
        <v>36</v>
      </c>
      <c r="P128" s="2" t="s">
        <v>36</v>
      </c>
      <c r="Q128" s="2" t="s">
        <v>36</v>
      </c>
      <c r="R128" s="2" t="s">
        <v>36</v>
      </c>
      <c r="S128" s="2" t="s">
        <v>36</v>
      </c>
      <c r="U128" s="1">
        <f>SUM(U126:U127)</f>
        <v>33</v>
      </c>
      <c r="V128" s="1">
        <f>SUM(V126:V127)</f>
        <v>6</v>
      </c>
      <c r="W128" s="1">
        <f>SUM(W126:W127)</f>
        <v>39</v>
      </c>
      <c r="X128" s="2" t="s">
        <v>36</v>
      </c>
      <c r="Y128" s="2" t="s">
        <v>36</v>
      </c>
      <c r="Z128" s="2" t="s">
        <v>36</v>
      </c>
      <c r="AA128" s="2" t="s">
        <v>36</v>
      </c>
      <c r="AB128" s="2" t="s">
        <v>36</v>
      </c>
      <c r="AC128" s="2" t="s">
        <v>36</v>
      </c>
    </row>
    <row r="130" spans="1:29">
      <c r="A130" s="3" t="s">
        <v>82</v>
      </c>
      <c r="B130" s="4">
        <v>0</v>
      </c>
      <c r="C130" s="2" t="s">
        <v>36</v>
      </c>
      <c r="D130" s="2" t="s">
        <v>36</v>
      </c>
      <c r="E130" s="2" t="s">
        <v>36</v>
      </c>
      <c r="F130" s="2" t="s">
        <v>36</v>
      </c>
      <c r="G130" s="2" t="s">
        <v>36</v>
      </c>
      <c r="H130" s="2" t="s">
        <v>36</v>
      </c>
      <c r="I130" s="2" t="s">
        <v>36</v>
      </c>
      <c r="J130" s="2" t="s">
        <v>36</v>
      </c>
      <c r="K130" s="2" t="s">
        <v>36</v>
      </c>
      <c r="L130" s="2" t="s">
        <v>36</v>
      </c>
      <c r="M130" s="2" t="s">
        <v>36</v>
      </c>
      <c r="N130" s="2" t="s">
        <v>36</v>
      </c>
      <c r="O130" s="2" t="s">
        <v>36</v>
      </c>
      <c r="P130" s="2" t="s">
        <v>36</v>
      </c>
      <c r="Q130" s="2" t="s">
        <v>36</v>
      </c>
      <c r="R130" s="2" t="s">
        <v>36</v>
      </c>
      <c r="S130" s="2" t="s">
        <v>36</v>
      </c>
      <c r="T130" s="2" t="s">
        <v>36</v>
      </c>
      <c r="U130" s="2" t="s">
        <v>36</v>
      </c>
      <c r="V130" s="2" t="s">
        <v>36</v>
      </c>
      <c r="W130" s="2" t="s">
        <v>36</v>
      </c>
      <c r="X130" s="1">
        <v>881</v>
      </c>
      <c r="Y130" s="1">
        <v>596</v>
      </c>
      <c r="Z130" s="1">
        <f>SUM(X130:Y130)</f>
        <v>1477</v>
      </c>
      <c r="AA130" s="2" t="s">
        <v>36</v>
      </c>
      <c r="AB130" s="2" t="s">
        <v>36</v>
      </c>
      <c r="AC130" s="2" t="s">
        <v>36</v>
      </c>
    </row>
    <row r="131" spans="1:29">
      <c r="A131" s="3"/>
      <c r="B131" s="4">
        <v>1</v>
      </c>
      <c r="C131" s="2" t="s">
        <v>36</v>
      </c>
      <c r="D131" s="2" t="s">
        <v>36</v>
      </c>
      <c r="E131" s="2" t="s">
        <v>36</v>
      </c>
      <c r="F131" s="2" t="s">
        <v>36</v>
      </c>
      <c r="G131" s="2" t="s">
        <v>36</v>
      </c>
      <c r="H131" s="2" t="s">
        <v>36</v>
      </c>
      <c r="I131" s="2" t="s">
        <v>36</v>
      </c>
      <c r="J131" s="2" t="s">
        <v>36</v>
      </c>
      <c r="K131" s="2" t="s">
        <v>36</v>
      </c>
      <c r="L131" s="2" t="s">
        <v>36</v>
      </c>
      <c r="M131" s="2" t="s">
        <v>36</v>
      </c>
      <c r="N131" s="2" t="s">
        <v>36</v>
      </c>
      <c r="O131" s="2" t="s">
        <v>36</v>
      </c>
      <c r="P131" s="2" t="s">
        <v>36</v>
      </c>
      <c r="Q131" s="2" t="s">
        <v>36</v>
      </c>
      <c r="R131" s="2" t="s">
        <v>36</v>
      </c>
      <c r="S131" s="2" t="s">
        <v>36</v>
      </c>
      <c r="T131" s="2" t="s">
        <v>36</v>
      </c>
      <c r="U131" s="2" t="s">
        <v>36</v>
      </c>
      <c r="V131" s="2" t="s">
        <v>36</v>
      </c>
      <c r="W131" s="2" t="s">
        <v>36</v>
      </c>
      <c r="X131" s="1">
        <v>192</v>
      </c>
      <c r="Y131" s="1">
        <v>129</v>
      </c>
      <c r="Z131" s="4">
        <f t="shared" ref="Z131:Z132" si="23">SUM(X131:Y131)</f>
        <v>321</v>
      </c>
      <c r="AA131" s="2" t="s">
        <v>36</v>
      </c>
      <c r="AB131" s="2" t="s">
        <v>36</v>
      </c>
      <c r="AC131" s="2" t="s">
        <v>36</v>
      </c>
    </row>
    <row r="132" spans="1:29">
      <c r="A132" s="3"/>
      <c r="B132" s="1">
        <v>2</v>
      </c>
      <c r="C132" s="2" t="s">
        <v>36</v>
      </c>
      <c r="D132" s="2" t="s">
        <v>36</v>
      </c>
      <c r="E132" s="2" t="s">
        <v>36</v>
      </c>
      <c r="F132" s="2" t="s">
        <v>36</v>
      </c>
      <c r="G132" s="2" t="s">
        <v>36</v>
      </c>
      <c r="H132" s="2" t="s">
        <v>36</v>
      </c>
      <c r="I132" s="2" t="s">
        <v>36</v>
      </c>
      <c r="J132" s="2" t="s">
        <v>36</v>
      </c>
      <c r="K132" s="2" t="s">
        <v>36</v>
      </c>
      <c r="L132" s="2" t="s">
        <v>36</v>
      </c>
      <c r="M132" s="2" t="s">
        <v>36</v>
      </c>
      <c r="N132" s="2" t="s">
        <v>36</v>
      </c>
      <c r="O132" s="2" t="s">
        <v>36</v>
      </c>
      <c r="P132" s="2" t="s">
        <v>36</v>
      </c>
      <c r="Q132" s="2" t="s">
        <v>36</v>
      </c>
      <c r="R132" s="2" t="s">
        <v>36</v>
      </c>
      <c r="S132" s="2" t="s">
        <v>36</v>
      </c>
      <c r="T132" s="2" t="s">
        <v>36</v>
      </c>
      <c r="U132" s="2" t="s">
        <v>36</v>
      </c>
      <c r="V132" s="2" t="s">
        <v>36</v>
      </c>
      <c r="W132" s="2" t="s">
        <v>36</v>
      </c>
      <c r="X132" s="1">
        <v>5</v>
      </c>
      <c r="Y132" s="1">
        <v>0</v>
      </c>
      <c r="Z132" s="4">
        <f t="shared" si="23"/>
        <v>5</v>
      </c>
      <c r="AA132" s="2" t="s">
        <v>36</v>
      </c>
      <c r="AB132" s="2" t="s">
        <v>36</v>
      </c>
      <c r="AC132" s="2" t="s">
        <v>36</v>
      </c>
    </row>
    <row r="133" spans="1:29">
      <c r="A133" s="3"/>
      <c r="B133" s="4" t="s">
        <v>10</v>
      </c>
      <c r="C133" s="2" t="s">
        <v>36</v>
      </c>
      <c r="D133" s="2" t="s">
        <v>36</v>
      </c>
      <c r="E133" s="2" t="s">
        <v>36</v>
      </c>
      <c r="F133" s="2" t="s">
        <v>36</v>
      </c>
      <c r="G133" s="2" t="s">
        <v>36</v>
      </c>
      <c r="H133" s="2" t="s">
        <v>36</v>
      </c>
      <c r="I133" s="2" t="s">
        <v>36</v>
      </c>
      <c r="J133" s="2" t="s">
        <v>36</v>
      </c>
      <c r="K133" s="2" t="s">
        <v>36</v>
      </c>
      <c r="L133" s="2" t="s">
        <v>36</v>
      </c>
      <c r="M133" s="2" t="s">
        <v>36</v>
      </c>
      <c r="N133" s="2" t="s">
        <v>36</v>
      </c>
      <c r="O133" s="2" t="s">
        <v>36</v>
      </c>
      <c r="P133" s="2" t="s">
        <v>36</v>
      </c>
      <c r="Q133" s="2" t="s">
        <v>36</v>
      </c>
      <c r="R133" s="2" t="s">
        <v>36</v>
      </c>
      <c r="S133" s="2" t="s">
        <v>36</v>
      </c>
      <c r="T133" s="2" t="s">
        <v>36</v>
      </c>
      <c r="U133" s="2" t="s">
        <v>36</v>
      </c>
      <c r="V133" s="2" t="s">
        <v>36</v>
      </c>
      <c r="W133" s="2" t="s">
        <v>36</v>
      </c>
      <c r="X133" s="1">
        <f>SUM(X130:X132)</f>
        <v>1078</v>
      </c>
      <c r="Y133" s="1">
        <f>SUM(Y130:Y132)</f>
        <v>725</v>
      </c>
      <c r="Z133" s="1">
        <f>SUM(X133:Y133)</f>
        <v>1803</v>
      </c>
      <c r="AA133" s="2" t="s">
        <v>36</v>
      </c>
      <c r="AB133" s="2" t="s">
        <v>36</v>
      </c>
      <c r="AC133" s="2" t="s">
        <v>36</v>
      </c>
    </row>
    <row r="134" spans="1:29">
      <c r="B134" s="4"/>
      <c r="M134" s="4"/>
      <c r="N134" s="4"/>
      <c r="O134" s="4"/>
      <c r="P134" s="4"/>
      <c r="Q134" s="4"/>
    </row>
    <row r="135" spans="1:29">
      <c r="A135" s="1" t="s">
        <v>83</v>
      </c>
      <c r="B135" s="4" t="s">
        <v>101</v>
      </c>
      <c r="C135" s="2" t="s">
        <v>36</v>
      </c>
      <c r="D135" s="2" t="s">
        <v>36</v>
      </c>
      <c r="E135" s="2" t="s">
        <v>36</v>
      </c>
      <c r="F135" s="2" t="s">
        <v>36</v>
      </c>
      <c r="G135" s="2" t="s">
        <v>36</v>
      </c>
      <c r="H135" s="2" t="s">
        <v>36</v>
      </c>
      <c r="I135" s="2" t="s">
        <v>36</v>
      </c>
      <c r="J135" s="2" t="s">
        <v>36</v>
      </c>
      <c r="K135" s="2" t="s">
        <v>36</v>
      </c>
      <c r="L135" s="2" t="s">
        <v>36</v>
      </c>
      <c r="M135" s="2" t="s">
        <v>36</v>
      </c>
      <c r="N135" s="2" t="s">
        <v>36</v>
      </c>
      <c r="O135" s="2" t="s">
        <v>36</v>
      </c>
      <c r="P135" s="2" t="s">
        <v>36</v>
      </c>
      <c r="Q135" s="2" t="s">
        <v>36</v>
      </c>
      <c r="R135" s="2" t="s">
        <v>36</v>
      </c>
      <c r="S135" s="2" t="s">
        <v>36</v>
      </c>
      <c r="T135" s="2" t="s">
        <v>36</v>
      </c>
      <c r="U135" s="2" t="s">
        <v>36</v>
      </c>
      <c r="V135" s="2" t="s">
        <v>36</v>
      </c>
      <c r="W135" s="2" t="s">
        <v>36</v>
      </c>
      <c r="X135" s="1">
        <v>12</v>
      </c>
      <c r="Y135" s="1">
        <v>12</v>
      </c>
      <c r="Z135" s="1">
        <f>SUM(X135:Y135)</f>
        <v>24</v>
      </c>
      <c r="AA135" s="2" t="s">
        <v>36</v>
      </c>
      <c r="AB135" s="2" t="s">
        <v>36</v>
      </c>
      <c r="AC135" s="2" t="s">
        <v>36</v>
      </c>
    </row>
    <row r="136" spans="1:29">
      <c r="B136" s="4" t="s">
        <v>102</v>
      </c>
      <c r="C136" s="2" t="s">
        <v>36</v>
      </c>
      <c r="D136" s="2" t="s">
        <v>36</v>
      </c>
      <c r="E136" s="2" t="s">
        <v>36</v>
      </c>
      <c r="F136" s="2" t="s">
        <v>36</v>
      </c>
      <c r="G136" s="2" t="s">
        <v>36</v>
      </c>
      <c r="H136" s="2" t="s">
        <v>36</v>
      </c>
      <c r="I136" s="2" t="s">
        <v>36</v>
      </c>
      <c r="J136" s="2" t="s">
        <v>36</v>
      </c>
      <c r="K136" s="2" t="s">
        <v>36</v>
      </c>
      <c r="L136" s="2" t="s">
        <v>36</v>
      </c>
      <c r="M136" s="2" t="s">
        <v>36</v>
      </c>
      <c r="N136" s="2" t="s">
        <v>36</v>
      </c>
      <c r="O136" s="2" t="s">
        <v>36</v>
      </c>
      <c r="P136" s="2" t="s">
        <v>36</v>
      </c>
      <c r="Q136" s="2" t="s">
        <v>36</v>
      </c>
      <c r="R136" s="2" t="s">
        <v>36</v>
      </c>
      <c r="S136" s="2" t="s">
        <v>36</v>
      </c>
      <c r="T136" s="2" t="s">
        <v>36</v>
      </c>
      <c r="U136" s="2" t="s">
        <v>36</v>
      </c>
      <c r="V136" s="2" t="s">
        <v>36</v>
      </c>
      <c r="W136" s="2" t="s">
        <v>36</v>
      </c>
      <c r="X136" s="1">
        <v>263</v>
      </c>
      <c r="Y136" s="1">
        <v>117</v>
      </c>
      <c r="Z136" s="4">
        <f t="shared" ref="Z136:Z140" si="24">SUM(X136:Y136)</f>
        <v>380</v>
      </c>
      <c r="AA136" s="2" t="s">
        <v>36</v>
      </c>
      <c r="AB136" s="2" t="s">
        <v>36</v>
      </c>
      <c r="AC136" s="2" t="s">
        <v>36</v>
      </c>
    </row>
    <row r="137" spans="1:29">
      <c r="B137" s="4" t="s">
        <v>103</v>
      </c>
      <c r="C137" s="2" t="s">
        <v>36</v>
      </c>
      <c r="D137" s="2" t="s">
        <v>36</v>
      </c>
      <c r="E137" s="2" t="s">
        <v>36</v>
      </c>
      <c r="F137" s="2" t="s">
        <v>36</v>
      </c>
      <c r="G137" s="2" t="s">
        <v>36</v>
      </c>
      <c r="H137" s="2" t="s">
        <v>36</v>
      </c>
      <c r="I137" s="2" t="s">
        <v>36</v>
      </c>
      <c r="J137" s="2" t="s">
        <v>36</v>
      </c>
      <c r="K137" s="2" t="s">
        <v>36</v>
      </c>
      <c r="L137" s="2" t="s">
        <v>36</v>
      </c>
      <c r="M137" s="2" t="s">
        <v>36</v>
      </c>
      <c r="N137" s="2" t="s">
        <v>36</v>
      </c>
      <c r="O137" s="2" t="s">
        <v>36</v>
      </c>
      <c r="P137" s="2" t="s">
        <v>36</v>
      </c>
      <c r="Q137" s="2" t="s">
        <v>36</v>
      </c>
      <c r="R137" s="2" t="s">
        <v>36</v>
      </c>
      <c r="S137" s="2" t="s">
        <v>36</v>
      </c>
      <c r="T137" s="2" t="s">
        <v>36</v>
      </c>
      <c r="U137" s="2" t="s">
        <v>36</v>
      </c>
      <c r="V137" s="2" t="s">
        <v>36</v>
      </c>
      <c r="W137" s="2" t="s">
        <v>36</v>
      </c>
      <c r="X137" s="1">
        <v>688</v>
      </c>
      <c r="Y137" s="1">
        <v>425</v>
      </c>
      <c r="Z137" s="4">
        <f t="shared" si="24"/>
        <v>1113</v>
      </c>
      <c r="AA137" s="2" t="s">
        <v>36</v>
      </c>
      <c r="AB137" s="2" t="s">
        <v>36</v>
      </c>
      <c r="AC137" s="2" t="s">
        <v>36</v>
      </c>
    </row>
    <row r="138" spans="1:29">
      <c r="B138" s="4" t="s">
        <v>104</v>
      </c>
      <c r="C138" s="2" t="s">
        <v>36</v>
      </c>
      <c r="D138" s="2" t="s">
        <v>36</v>
      </c>
      <c r="E138" s="2" t="s">
        <v>36</v>
      </c>
      <c r="F138" s="2" t="s">
        <v>36</v>
      </c>
      <c r="G138" s="2" t="s">
        <v>36</v>
      </c>
      <c r="H138" s="2" t="s">
        <v>36</v>
      </c>
      <c r="I138" s="2" t="s">
        <v>36</v>
      </c>
      <c r="J138" s="2" t="s">
        <v>36</v>
      </c>
      <c r="K138" s="2" t="s">
        <v>36</v>
      </c>
      <c r="L138" s="2" t="s">
        <v>36</v>
      </c>
      <c r="M138" s="2" t="s">
        <v>36</v>
      </c>
      <c r="N138" s="2" t="s">
        <v>36</v>
      </c>
      <c r="O138" s="2" t="s">
        <v>36</v>
      </c>
      <c r="P138" s="2" t="s">
        <v>36</v>
      </c>
      <c r="Q138" s="2" t="s">
        <v>36</v>
      </c>
      <c r="R138" s="2" t="s">
        <v>36</v>
      </c>
      <c r="S138" s="2" t="s">
        <v>36</v>
      </c>
      <c r="T138" s="2" t="s">
        <v>36</v>
      </c>
      <c r="U138" s="2" t="s">
        <v>36</v>
      </c>
      <c r="V138" s="2" t="s">
        <v>36</v>
      </c>
      <c r="W138" s="2" t="s">
        <v>36</v>
      </c>
      <c r="X138" s="1">
        <v>145</v>
      </c>
      <c r="Y138" s="1">
        <v>196</v>
      </c>
      <c r="Z138" s="4">
        <f t="shared" si="24"/>
        <v>341</v>
      </c>
      <c r="AA138" s="2" t="s">
        <v>36</v>
      </c>
      <c r="AB138" s="2" t="s">
        <v>36</v>
      </c>
      <c r="AC138" s="2" t="s">
        <v>36</v>
      </c>
    </row>
    <row r="139" spans="1:29">
      <c r="B139" s="4" t="s">
        <v>105</v>
      </c>
      <c r="C139" s="2" t="s">
        <v>36</v>
      </c>
      <c r="D139" s="2" t="s">
        <v>36</v>
      </c>
      <c r="E139" s="2" t="s">
        <v>36</v>
      </c>
      <c r="F139" s="2" t="s">
        <v>36</v>
      </c>
      <c r="G139" s="2" t="s">
        <v>36</v>
      </c>
      <c r="H139" s="2" t="s">
        <v>36</v>
      </c>
      <c r="I139" s="2" t="s">
        <v>36</v>
      </c>
      <c r="J139" s="2" t="s">
        <v>36</v>
      </c>
      <c r="K139" s="2" t="s">
        <v>36</v>
      </c>
      <c r="L139" s="2" t="s">
        <v>36</v>
      </c>
      <c r="M139" s="2" t="s">
        <v>36</v>
      </c>
      <c r="N139" s="2" t="s">
        <v>36</v>
      </c>
      <c r="O139" s="2" t="s">
        <v>36</v>
      </c>
      <c r="P139" s="2" t="s">
        <v>36</v>
      </c>
      <c r="Q139" s="2" t="s">
        <v>36</v>
      </c>
      <c r="R139" s="2" t="s">
        <v>36</v>
      </c>
      <c r="S139" s="2" t="s">
        <v>36</v>
      </c>
      <c r="T139" s="2" t="s">
        <v>36</v>
      </c>
      <c r="U139" s="2" t="s">
        <v>36</v>
      </c>
      <c r="V139" s="2" t="s">
        <v>36</v>
      </c>
      <c r="W139" s="2" t="s">
        <v>36</v>
      </c>
      <c r="X139" s="1">
        <v>6</v>
      </c>
      <c r="Y139" s="1">
        <v>4</v>
      </c>
      <c r="Z139" s="4">
        <f t="shared" si="24"/>
        <v>10</v>
      </c>
      <c r="AA139" s="2" t="s">
        <v>36</v>
      </c>
      <c r="AB139" s="2" t="s">
        <v>36</v>
      </c>
      <c r="AC139" s="2" t="s">
        <v>36</v>
      </c>
    </row>
    <row r="140" spans="1:29">
      <c r="B140" s="12" t="s">
        <v>10</v>
      </c>
      <c r="C140" s="2" t="s">
        <v>36</v>
      </c>
      <c r="D140" s="2" t="s">
        <v>36</v>
      </c>
      <c r="E140" s="2" t="s">
        <v>36</v>
      </c>
      <c r="F140" s="2" t="s">
        <v>36</v>
      </c>
      <c r="G140" s="2" t="s">
        <v>36</v>
      </c>
      <c r="H140" s="2" t="s">
        <v>36</v>
      </c>
      <c r="I140" s="2" t="s">
        <v>36</v>
      </c>
      <c r="J140" s="2" t="s">
        <v>36</v>
      </c>
      <c r="K140" s="2" t="s">
        <v>36</v>
      </c>
      <c r="L140" s="2" t="s">
        <v>36</v>
      </c>
      <c r="M140" s="2" t="s">
        <v>36</v>
      </c>
      <c r="N140" s="2" t="s">
        <v>36</v>
      </c>
      <c r="O140" s="2" t="s">
        <v>36</v>
      </c>
      <c r="P140" s="2" t="s">
        <v>36</v>
      </c>
      <c r="Q140" s="2" t="s">
        <v>36</v>
      </c>
      <c r="R140" s="2" t="s">
        <v>36</v>
      </c>
      <c r="S140" s="2" t="s">
        <v>36</v>
      </c>
      <c r="T140" s="2" t="s">
        <v>36</v>
      </c>
      <c r="U140" s="2" t="s">
        <v>36</v>
      </c>
      <c r="V140" s="2" t="s">
        <v>36</v>
      </c>
      <c r="W140" s="2" t="s">
        <v>36</v>
      </c>
      <c r="X140" s="1">
        <f>SUM(X135:X139)</f>
        <v>1114</v>
      </c>
      <c r="Y140" s="1">
        <f>SUM(Y135:Y139)</f>
        <v>754</v>
      </c>
      <c r="Z140" s="4">
        <f t="shared" si="24"/>
        <v>1868</v>
      </c>
      <c r="AA140" s="2" t="s">
        <v>36</v>
      </c>
      <c r="AB140" s="2" t="s">
        <v>36</v>
      </c>
      <c r="AC140" s="2" t="s">
        <v>36</v>
      </c>
    </row>
    <row r="142" spans="1:29" ht="30">
      <c r="A142" s="1" t="s">
        <v>88</v>
      </c>
      <c r="B142" s="11" t="s">
        <v>107</v>
      </c>
      <c r="C142" s="2" t="s">
        <v>36</v>
      </c>
      <c r="D142" s="2" t="s">
        <v>36</v>
      </c>
      <c r="E142" s="2" t="s">
        <v>36</v>
      </c>
      <c r="F142" s="2" t="s">
        <v>36</v>
      </c>
      <c r="G142" s="2" t="s">
        <v>36</v>
      </c>
      <c r="H142" s="2" t="s">
        <v>36</v>
      </c>
      <c r="I142" s="2" t="s">
        <v>36</v>
      </c>
      <c r="J142" s="2" t="s">
        <v>36</v>
      </c>
      <c r="K142" s="2" t="s">
        <v>36</v>
      </c>
      <c r="L142" s="2" t="s">
        <v>36</v>
      </c>
      <c r="M142" s="2" t="s">
        <v>36</v>
      </c>
      <c r="N142" s="2" t="s">
        <v>36</v>
      </c>
      <c r="O142" s="2" t="s">
        <v>36</v>
      </c>
      <c r="P142" s="2" t="s">
        <v>36</v>
      </c>
      <c r="Q142" s="2" t="s">
        <v>36</v>
      </c>
      <c r="R142" s="2" t="s">
        <v>36</v>
      </c>
      <c r="S142" s="2" t="s">
        <v>36</v>
      </c>
      <c r="T142" s="2" t="s">
        <v>36</v>
      </c>
      <c r="U142" s="2" t="s">
        <v>36</v>
      </c>
      <c r="V142" s="2" t="s">
        <v>36</v>
      </c>
      <c r="W142" s="2" t="s">
        <v>36</v>
      </c>
      <c r="X142" s="1">
        <v>243</v>
      </c>
      <c r="Y142" s="1">
        <v>111</v>
      </c>
      <c r="Z142" s="1">
        <f>SUM(X142:Y142)</f>
        <v>354</v>
      </c>
      <c r="AA142" s="2" t="s">
        <v>36</v>
      </c>
      <c r="AB142" s="2" t="s">
        <v>36</v>
      </c>
      <c r="AC142" s="2" t="s">
        <v>36</v>
      </c>
    </row>
    <row r="143" spans="1:29" ht="30">
      <c r="B143" s="11" t="s">
        <v>108</v>
      </c>
      <c r="C143" s="2" t="s">
        <v>36</v>
      </c>
      <c r="D143" s="2" t="s">
        <v>36</v>
      </c>
      <c r="E143" s="2" t="s">
        <v>36</v>
      </c>
      <c r="F143" s="2" t="s">
        <v>36</v>
      </c>
      <c r="G143" s="2" t="s">
        <v>36</v>
      </c>
      <c r="H143" s="2" t="s">
        <v>36</v>
      </c>
      <c r="I143" s="2" t="s">
        <v>36</v>
      </c>
      <c r="J143" s="2" t="s">
        <v>36</v>
      </c>
      <c r="K143" s="2" t="s">
        <v>36</v>
      </c>
      <c r="L143" s="2" t="s">
        <v>36</v>
      </c>
      <c r="M143" s="2" t="s">
        <v>36</v>
      </c>
      <c r="N143" s="2" t="s">
        <v>36</v>
      </c>
      <c r="O143" s="2" t="s">
        <v>36</v>
      </c>
      <c r="P143" s="2" t="s">
        <v>36</v>
      </c>
      <c r="Q143" s="2" t="s">
        <v>36</v>
      </c>
      <c r="R143" s="2" t="s">
        <v>36</v>
      </c>
      <c r="S143" s="2" t="s">
        <v>36</v>
      </c>
      <c r="T143" s="2" t="s">
        <v>36</v>
      </c>
      <c r="U143" s="2" t="s">
        <v>36</v>
      </c>
      <c r="V143" s="2" t="s">
        <v>36</v>
      </c>
      <c r="W143" s="2" t="s">
        <v>36</v>
      </c>
      <c r="X143" s="1">
        <v>871</v>
      </c>
      <c r="Y143" s="1">
        <v>644</v>
      </c>
      <c r="Z143" s="1">
        <f>SUM(X143:Y143)</f>
        <v>1515</v>
      </c>
      <c r="AA143" s="2" t="s">
        <v>36</v>
      </c>
      <c r="AB143" s="2" t="s">
        <v>36</v>
      </c>
      <c r="AC143" s="2" t="s">
        <v>36</v>
      </c>
    </row>
    <row r="144" spans="1:29">
      <c r="B144" s="12" t="s">
        <v>10</v>
      </c>
      <c r="C144" s="2" t="s">
        <v>36</v>
      </c>
      <c r="D144" s="2" t="s">
        <v>36</v>
      </c>
      <c r="E144" s="2" t="s">
        <v>36</v>
      </c>
      <c r="F144" s="2" t="s">
        <v>36</v>
      </c>
      <c r="G144" s="2" t="s">
        <v>36</v>
      </c>
      <c r="H144" s="2" t="s">
        <v>36</v>
      </c>
      <c r="I144" s="2" t="s">
        <v>36</v>
      </c>
      <c r="J144" s="2" t="s">
        <v>36</v>
      </c>
      <c r="K144" s="2" t="s">
        <v>36</v>
      </c>
      <c r="L144" s="2" t="s">
        <v>36</v>
      </c>
      <c r="M144" s="2" t="s">
        <v>36</v>
      </c>
      <c r="N144" s="2" t="s">
        <v>36</v>
      </c>
      <c r="O144" s="2" t="s">
        <v>36</v>
      </c>
      <c r="P144" s="2" t="s">
        <v>36</v>
      </c>
      <c r="Q144" s="2" t="s">
        <v>36</v>
      </c>
      <c r="R144" s="2" t="s">
        <v>36</v>
      </c>
      <c r="S144" s="2" t="s">
        <v>36</v>
      </c>
      <c r="T144" s="2" t="s">
        <v>36</v>
      </c>
      <c r="U144" s="2" t="s">
        <v>36</v>
      </c>
      <c r="V144" s="2" t="s">
        <v>36</v>
      </c>
      <c r="W144" s="2" t="s">
        <v>36</v>
      </c>
      <c r="X144" s="1">
        <f>SUM(X142:X143)</f>
        <v>1114</v>
      </c>
      <c r="Y144" s="1">
        <f>SUM(Y142:Y143)</f>
        <v>755</v>
      </c>
      <c r="Z144" s="1">
        <f>SUM(X144:Y144)</f>
        <v>1869</v>
      </c>
      <c r="AA144" s="2" t="s">
        <v>36</v>
      </c>
      <c r="AB144" s="2" t="s">
        <v>36</v>
      </c>
      <c r="AC144" s="2" t="s">
        <v>36</v>
      </c>
    </row>
    <row r="146" spans="1:29" ht="30">
      <c r="A146" s="1" t="s">
        <v>89</v>
      </c>
      <c r="B146" s="11" t="s">
        <v>106</v>
      </c>
      <c r="C146" s="2" t="s">
        <v>36</v>
      </c>
      <c r="D146" s="2" t="s">
        <v>36</v>
      </c>
      <c r="E146" s="2" t="s">
        <v>36</v>
      </c>
      <c r="F146" s="2" t="s">
        <v>36</v>
      </c>
      <c r="G146" s="2" t="s">
        <v>36</v>
      </c>
      <c r="H146" s="2" t="s">
        <v>36</v>
      </c>
      <c r="I146" s="2" t="s">
        <v>36</v>
      </c>
      <c r="J146" s="2" t="s">
        <v>36</v>
      </c>
      <c r="K146" s="2" t="s">
        <v>36</v>
      </c>
      <c r="L146" s="2" t="s">
        <v>36</v>
      </c>
      <c r="M146" s="2" t="s">
        <v>36</v>
      </c>
      <c r="N146" s="2" t="s">
        <v>36</v>
      </c>
      <c r="O146" s="2" t="s">
        <v>36</v>
      </c>
      <c r="P146" s="2" t="s">
        <v>36</v>
      </c>
      <c r="Q146" s="2" t="s">
        <v>36</v>
      </c>
      <c r="R146" s="2" t="s">
        <v>36</v>
      </c>
      <c r="S146" s="2" t="s">
        <v>36</v>
      </c>
      <c r="T146" s="2" t="s">
        <v>36</v>
      </c>
      <c r="U146" s="2" t="s">
        <v>36</v>
      </c>
      <c r="V146" s="2" t="s">
        <v>36</v>
      </c>
      <c r="W146" s="2" t="s">
        <v>36</v>
      </c>
      <c r="X146" s="1">
        <v>607</v>
      </c>
      <c r="Y146" s="1">
        <v>440</v>
      </c>
      <c r="Z146" s="4">
        <f t="shared" ref="Z146:Z148" si="25">SUM(X146:Y146)</f>
        <v>1047</v>
      </c>
      <c r="AA146" s="2" t="s">
        <v>36</v>
      </c>
      <c r="AB146" s="2" t="s">
        <v>36</v>
      </c>
      <c r="AC146" s="2" t="s">
        <v>36</v>
      </c>
    </row>
    <row r="147" spans="1:29" ht="45">
      <c r="B147" s="11" t="s">
        <v>109</v>
      </c>
      <c r="C147" s="2" t="s">
        <v>36</v>
      </c>
      <c r="D147" s="2" t="s">
        <v>36</v>
      </c>
      <c r="E147" s="2" t="s">
        <v>36</v>
      </c>
      <c r="F147" s="2" t="s">
        <v>36</v>
      </c>
      <c r="G147" s="2" t="s">
        <v>36</v>
      </c>
      <c r="H147" s="2" t="s">
        <v>36</v>
      </c>
      <c r="I147" s="2" t="s">
        <v>36</v>
      </c>
      <c r="J147" s="2" t="s">
        <v>36</v>
      </c>
      <c r="K147" s="2" t="s">
        <v>36</v>
      </c>
      <c r="L147" s="2" t="s">
        <v>36</v>
      </c>
      <c r="M147" s="2" t="s">
        <v>36</v>
      </c>
      <c r="N147" s="2" t="s">
        <v>36</v>
      </c>
      <c r="O147" s="2" t="s">
        <v>36</v>
      </c>
      <c r="P147" s="2" t="s">
        <v>36</v>
      </c>
      <c r="Q147" s="2" t="s">
        <v>36</v>
      </c>
      <c r="R147" s="2" t="s">
        <v>36</v>
      </c>
      <c r="S147" s="2" t="s">
        <v>36</v>
      </c>
      <c r="T147" s="2" t="s">
        <v>36</v>
      </c>
      <c r="U147" s="2" t="s">
        <v>36</v>
      </c>
      <c r="V147" s="2" t="s">
        <v>36</v>
      </c>
      <c r="W147" s="2" t="s">
        <v>36</v>
      </c>
      <c r="X147" s="1">
        <v>350</v>
      </c>
      <c r="Y147" s="1">
        <v>191</v>
      </c>
      <c r="Z147" s="4">
        <f t="shared" si="25"/>
        <v>541</v>
      </c>
      <c r="AA147" s="2" t="s">
        <v>36</v>
      </c>
      <c r="AB147" s="2" t="s">
        <v>36</v>
      </c>
      <c r="AC147" s="2" t="s">
        <v>36</v>
      </c>
    </row>
    <row r="148" spans="1:29">
      <c r="B148" s="12" t="s">
        <v>101</v>
      </c>
      <c r="C148" s="2" t="s">
        <v>36</v>
      </c>
      <c r="D148" s="2" t="s">
        <v>36</v>
      </c>
      <c r="E148" s="2" t="s">
        <v>36</v>
      </c>
      <c r="F148" s="2" t="s">
        <v>36</v>
      </c>
      <c r="G148" s="2" t="s">
        <v>36</v>
      </c>
      <c r="H148" s="2" t="s">
        <v>36</v>
      </c>
      <c r="I148" s="2" t="s">
        <v>36</v>
      </c>
      <c r="J148" s="2" t="s">
        <v>36</v>
      </c>
      <c r="K148" s="2" t="s">
        <v>36</v>
      </c>
      <c r="L148" s="2" t="s">
        <v>36</v>
      </c>
      <c r="M148" s="2" t="s">
        <v>36</v>
      </c>
      <c r="N148" s="2" t="s">
        <v>36</v>
      </c>
      <c r="O148" s="2" t="s">
        <v>36</v>
      </c>
      <c r="P148" s="2" t="s">
        <v>36</v>
      </c>
      <c r="Q148" s="2" t="s">
        <v>36</v>
      </c>
      <c r="R148" s="2" t="s">
        <v>36</v>
      </c>
      <c r="S148" s="2" t="s">
        <v>36</v>
      </c>
      <c r="T148" s="2" t="s">
        <v>36</v>
      </c>
      <c r="U148" s="2" t="s">
        <v>36</v>
      </c>
      <c r="V148" s="2" t="s">
        <v>36</v>
      </c>
      <c r="W148" s="2" t="s">
        <v>36</v>
      </c>
      <c r="X148" s="1">
        <v>157</v>
      </c>
      <c r="Y148" s="1">
        <v>134</v>
      </c>
      <c r="Z148" s="4">
        <f t="shared" si="25"/>
        <v>291</v>
      </c>
      <c r="AA148" s="2" t="s">
        <v>36</v>
      </c>
      <c r="AB148" s="2" t="s">
        <v>36</v>
      </c>
      <c r="AC148" s="2" t="s">
        <v>36</v>
      </c>
    </row>
    <row r="149" spans="1:29">
      <c r="B149" s="12" t="s">
        <v>10</v>
      </c>
      <c r="C149" s="2" t="s">
        <v>36</v>
      </c>
      <c r="D149" s="2" t="s">
        <v>36</v>
      </c>
      <c r="E149" s="2" t="s">
        <v>36</v>
      </c>
      <c r="F149" s="2" t="s">
        <v>36</v>
      </c>
      <c r="G149" s="2" t="s">
        <v>36</v>
      </c>
      <c r="H149" s="2" t="s">
        <v>36</v>
      </c>
      <c r="I149" s="2" t="s">
        <v>36</v>
      </c>
      <c r="J149" s="2" t="s">
        <v>36</v>
      </c>
      <c r="K149" s="2" t="s">
        <v>36</v>
      </c>
      <c r="L149" s="2" t="s">
        <v>36</v>
      </c>
      <c r="M149" s="2" t="s">
        <v>36</v>
      </c>
      <c r="N149" s="2" t="s">
        <v>36</v>
      </c>
      <c r="O149" s="2" t="s">
        <v>36</v>
      </c>
      <c r="P149" s="2" t="s">
        <v>36</v>
      </c>
      <c r="Q149" s="2" t="s">
        <v>36</v>
      </c>
      <c r="R149" s="2" t="s">
        <v>36</v>
      </c>
      <c r="S149" s="2" t="s">
        <v>36</v>
      </c>
      <c r="T149" s="2" t="s">
        <v>36</v>
      </c>
      <c r="U149" s="2" t="s">
        <v>36</v>
      </c>
      <c r="V149" s="2" t="s">
        <v>36</v>
      </c>
      <c r="W149" s="2" t="s">
        <v>36</v>
      </c>
      <c r="X149" s="1">
        <f>SUM(X146:X148)</f>
        <v>1114</v>
      </c>
      <c r="Y149" s="1">
        <f>SUM(Y146:Y148)</f>
        <v>765</v>
      </c>
      <c r="Z149" s="1">
        <f>SUM(X149:Y149)</f>
        <v>1879</v>
      </c>
      <c r="AA149" s="2" t="s">
        <v>36</v>
      </c>
      <c r="AB149" s="2" t="s">
        <v>36</v>
      </c>
      <c r="AC149" s="2" t="s">
        <v>36</v>
      </c>
    </row>
    <row r="151" spans="1:29" ht="30">
      <c r="A151" s="1" t="s">
        <v>90</v>
      </c>
      <c r="B151" s="11" t="s">
        <v>110</v>
      </c>
      <c r="C151" s="2" t="s">
        <v>36</v>
      </c>
      <c r="D151" s="2" t="s">
        <v>36</v>
      </c>
      <c r="E151" s="2" t="s">
        <v>36</v>
      </c>
      <c r="F151" s="2" t="s">
        <v>36</v>
      </c>
      <c r="G151" s="2" t="s">
        <v>36</v>
      </c>
      <c r="H151" s="2" t="s">
        <v>36</v>
      </c>
      <c r="I151" s="2" t="s">
        <v>36</v>
      </c>
      <c r="J151" s="2" t="s">
        <v>36</v>
      </c>
      <c r="K151" s="2" t="s">
        <v>36</v>
      </c>
      <c r="L151" s="2" t="s">
        <v>36</v>
      </c>
      <c r="M151" s="2" t="s">
        <v>36</v>
      </c>
      <c r="N151" s="2" t="s">
        <v>36</v>
      </c>
      <c r="O151" s="2" t="s">
        <v>36</v>
      </c>
      <c r="P151" s="2" t="s">
        <v>36</v>
      </c>
      <c r="Q151" s="2" t="s">
        <v>36</v>
      </c>
      <c r="R151" s="2" t="s">
        <v>36</v>
      </c>
      <c r="S151" s="2" t="s">
        <v>36</v>
      </c>
      <c r="T151" s="2" t="s">
        <v>36</v>
      </c>
      <c r="U151" s="2" t="s">
        <v>36</v>
      </c>
      <c r="V151" s="2" t="s">
        <v>36</v>
      </c>
      <c r="W151" s="2" t="s">
        <v>36</v>
      </c>
      <c r="X151" s="1">
        <v>942</v>
      </c>
      <c r="Y151" s="1">
        <v>522</v>
      </c>
      <c r="Z151" s="4">
        <f>SUM(X151:Y151)</f>
        <v>1464</v>
      </c>
      <c r="AA151" s="2" t="s">
        <v>36</v>
      </c>
      <c r="AB151" s="2" t="s">
        <v>36</v>
      </c>
      <c r="AC151" s="2" t="s">
        <v>36</v>
      </c>
    </row>
    <row r="152" spans="1:29" ht="30">
      <c r="B152" s="11" t="s">
        <v>111</v>
      </c>
      <c r="C152" s="2" t="s">
        <v>36</v>
      </c>
      <c r="D152" s="2" t="s">
        <v>36</v>
      </c>
      <c r="E152" s="2" t="s">
        <v>36</v>
      </c>
      <c r="F152" s="2" t="s">
        <v>36</v>
      </c>
      <c r="G152" s="2" t="s">
        <v>36</v>
      </c>
      <c r="H152" s="2" t="s">
        <v>36</v>
      </c>
      <c r="I152" s="2" t="s">
        <v>36</v>
      </c>
      <c r="J152" s="2" t="s">
        <v>36</v>
      </c>
      <c r="K152" s="2" t="s">
        <v>36</v>
      </c>
      <c r="L152" s="2" t="s">
        <v>36</v>
      </c>
      <c r="M152" s="2" t="s">
        <v>36</v>
      </c>
      <c r="N152" s="2" t="s">
        <v>36</v>
      </c>
      <c r="O152" s="2" t="s">
        <v>36</v>
      </c>
      <c r="P152" s="2" t="s">
        <v>36</v>
      </c>
      <c r="Q152" s="2" t="s">
        <v>36</v>
      </c>
      <c r="R152" s="2" t="s">
        <v>36</v>
      </c>
      <c r="S152" s="2" t="s">
        <v>36</v>
      </c>
      <c r="T152" s="2" t="s">
        <v>36</v>
      </c>
      <c r="U152" s="2" t="s">
        <v>36</v>
      </c>
      <c r="V152" s="2" t="s">
        <v>36</v>
      </c>
      <c r="W152" s="2" t="s">
        <v>36</v>
      </c>
      <c r="X152" s="1">
        <v>33</v>
      </c>
      <c r="Y152" s="1">
        <v>131</v>
      </c>
      <c r="Z152" s="1">
        <f>SUM(X152:Y152)</f>
        <v>164</v>
      </c>
      <c r="AA152" s="2" t="s">
        <v>36</v>
      </c>
      <c r="AB152" s="2" t="s">
        <v>36</v>
      </c>
      <c r="AC152" s="2" t="s">
        <v>36</v>
      </c>
    </row>
    <row r="153" spans="1:29">
      <c r="B153" s="12" t="s">
        <v>10</v>
      </c>
      <c r="C153" s="2" t="s">
        <v>36</v>
      </c>
      <c r="D153" s="2" t="s">
        <v>36</v>
      </c>
      <c r="E153" s="2" t="s">
        <v>36</v>
      </c>
      <c r="F153" s="2" t="s">
        <v>36</v>
      </c>
      <c r="G153" s="2" t="s">
        <v>36</v>
      </c>
      <c r="H153" s="2" t="s">
        <v>36</v>
      </c>
      <c r="I153" s="2" t="s">
        <v>36</v>
      </c>
      <c r="J153" s="2" t="s">
        <v>36</v>
      </c>
      <c r="K153" s="2" t="s">
        <v>36</v>
      </c>
      <c r="L153" s="2" t="s">
        <v>36</v>
      </c>
      <c r="M153" s="2" t="s">
        <v>36</v>
      </c>
      <c r="N153" s="2" t="s">
        <v>36</v>
      </c>
      <c r="O153" s="2" t="s">
        <v>36</v>
      </c>
      <c r="P153" s="2" t="s">
        <v>36</v>
      </c>
      <c r="Q153" s="2" t="s">
        <v>36</v>
      </c>
      <c r="R153" s="2" t="s">
        <v>36</v>
      </c>
      <c r="S153" s="2" t="s">
        <v>36</v>
      </c>
      <c r="T153" s="2" t="s">
        <v>36</v>
      </c>
      <c r="U153" s="2" t="s">
        <v>36</v>
      </c>
      <c r="V153" s="2" t="s">
        <v>36</v>
      </c>
      <c r="W153" s="2" t="s">
        <v>36</v>
      </c>
      <c r="X153" s="1">
        <f>SUM(X151:X152)</f>
        <v>975</v>
      </c>
      <c r="Y153" s="1">
        <f>SUM(Y151:Y152)</f>
        <v>653</v>
      </c>
      <c r="Z153" s="1">
        <f>SUM(X153:Y153)</f>
        <v>1628</v>
      </c>
      <c r="AA153" s="2" t="s">
        <v>36</v>
      </c>
      <c r="AB153" s="2" t="s">
        <v>36</v>
      </c>
      <c r="AC153" s="2" t="s">
        <v>36</v>
      </c>
    </row>
    <row r="154" spans="1:29">
      <c r="C154" s="2" t="s">
        <v>36</v>
      </c>
      <c r="D154" s="2" t="s">
        <v>36</v>
      </c>
      <c r="E154" s="2" t="s">
        <v>36</v>
      </c>
      <c r="F154" s="2" t="s">
        <v>36</v>
      </c>
      <c r="G154" s="2" t="s">
        <v>36</v>
      </c>
      <c r="H154" s="2" t="s">
        <v>36</v>
      </c>
      <c r="I154" s="2" t="s">
        <v>36</v>
      </c>
      <c r="J154" s="2" t="s">
        <v>36</v>
      </c>
      <c r="K154" s="2" t="s">
        <v>36</v>
      </c>
      <c r="L154" s="2" t="s">
        <v>36</v>
      </c>
      <c r="M154" s="2" t="s">
        <v>36</v>
      </c>
      <c r="N154" s="2" t="s">
        <v>36</v>
      </c>
      <c r="O154" s="2" t="s">
        <v>36</v>
      </c>
      <c r="P154" s="2" t="s">
        <v>36</v>
      </c>
      <c r="Q154" s="2" t="s">
        <v>36</v>
      </c>
      <c r="R154" s="2" t="s">
        <v>36</v>
      </c>
      <c r="S154" s="2" t="s">
        <v>36</v>
      </c>
      <c r="T154" s="2" t="s">
        <v>36</v>
      </c>
      <c r="U154" s="2" t="s">
        <v>36</v>
      </c>
      <c r="V154" s="2" t="s">
        <v>36</v>
      </c>
      <c r="W154" s="2" t="s">
        <v>36</v>
      </c>
    </row>
  </sheetData>
  <mergeCells count="13">
    <mergeCell ref="U1:W1"/>
    <mergeCell ref="X1:Z1"/>
    <mergeCell ref="AA1:AC1"/>
    <mergeCell ref="C1:E1"/>
    <mergeCell ref="F1:H1"/>
    <mergeCell ref="I1:K1"/>
    <mergeCell ref="L1:N1"/>
    <mergeCell ref="O1:Q1"/>
    <mergeCell ref="F2:H2"/>
    <mergeCell ref="I2:K2"/>
    <mergeCell ref="L2:N2"/>
    <mergeCell ref="O2:Q2"/>
    <mergeCell ref="R1:T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Belias</dc:creator>
  <cp:lastModifiedBy>Michael Belias</cp:lastModifiedBy>
  <dcterms:created xsi:type="dcterms:W3CDTF">2015-06-05T18:17:00Z</dcterms:created>
  <dcterms:modified xsi:type="dcterms:W3CDTF">2019-11-18T19:38:29Z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2057-11.2.0.9031</vt:lpwstr>
  </property>
</Properties>
</file>