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8_{6192003A-0D38-4AED-99C0-8EE6A0086B54}" xr6:coauthVersionLast="47" xr6:coauthVersionMax="47" xr10:uidLastSave="{00000000-0000-0000-0000-000000000000}"/>
  <bookViews>
    <workbookView xWindow="-103" yWindow="-103" windowWidth="27634" windowHeight="15034" activeTab="1" xr2:uid="{18034BF0-1BA5-4424-9E4C-6934E004C020}"/>
  </bookViews>
  <sheets>
    <sheet name="Cleaned" sheetId="1" r:id="rId1"/>
    <sheet name="Emitters" sheetId="3" r:id="rId2"/>
  </sheets>
  <definedNames>
    <definedName name="_xlnm._FilterDatabase" localSheetId="0" hidden="1">Cleaned!$A$1:$BC$1001</definedName>
  </definedNames>
  <calcPr calcId="0"/>
</workbook>
</file>

<file path=xl/calcChain.xml><?xml version="1.0" encoding="utf-8"?>
<calcChain xmlns="http://schemas.openxmlformats.org/spreadsheetml/2006/main">
  <c r="J3" i="3" l="1"/>
  <c r="J5" i="3"/>
  <c r="K5" i="3" s="1"/>
  <c r="J4" i="3"/>
  <c r="K4" i="3" s="1"/>
  <c r="J7" i="3"/>
  <c r="K8" i="3" s="1"/>
  <c r="J8" i="3"/>
  <c r="J2" i="3"/>
  <c r="K2" i="3" s="1"/>
  <c r="J6" i="3"/>
  <c r="K6" i="3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F118" i="3"/>
  <c r="F119" i="3"/>
  <c r="F120" i="3"/>
  <c r="F121" i="3"/>
  <c r="F44" i="3"/>
  <c r="F122" i="3"/>
  <c r="F123" i="3"/>
  <c r="F124" i="3"/>
  <c r="F125" i="3"/>
  <c r="F126" i="3"/>
  <c r="F127" i="3"/>
  <c r="F128" i="3"/>
  <c r="F67" i="3"/>
  <c r="F68" i="3"/>
  <c r="F45" i="3"/>
  <c r="F69" i="3"/>
  <c r="F129" i="3"/>
  <c r="F130" i="3"/>
  <c r="F131" i="3"/>
  <c r="F70" i="3"/>
  <c r="F132" i="3"/>
  <c r="F133" i="3"/>
  <c r="F134" i="3"/>
  <c r="F71" i="3"/>
  <c r="F135" i="3"/>
  <c r="F7" i="3"/>
  <c r="F136" i="3"/>
  <c r="F137" i="3"/>
  <c r="F46" i="3"/>
  <c r="F72" i="3"/>
  <c r="F138" i="3"/>
  <c r="F139" i="3"/>
  <c r="F140" i="3"/>
  <c r="F141" i="3"/>
  <c r="F142" i="3"/>
  <c r="F143" i="3"/>
  <c r="F144" i="3"/>
  <c r="F145" i="3"/>
  <c r="F32" i="3"/>
  <c r="F146" i="3"/>
  <c r="F147" i="3"/>
  <c r="F47" i="3"/>
  <c r="F148" i="3"/>
  <c r="F73" i="3"/>
  <c r="F48" i="3"/>
  <c r="F149" i="3"/>
  <c r="F150" i="3"/>
  <c r="F33" i="3"/>
  <c r="F151" i="3"/>
  <c r="F152" i="3"/>
  <c r="F153" i="3"/>
  <c r="F154" i="3"/>
  <c r="F155" i="3"/>
  <c r="F156" i="3"/>
  <c r="F157" i="3"/>
  <c r="F158" i="3"/>
  <c r="F159" i="3"/>
  <c r="F20" i="3"/>
  <c r="F49" i="3"/>
  <c r="F160" i="3"/>
  <c r="F161" i="3"/>
  <c r="F74" i="3"/>
  <c r="F162" i="3"/>
  <c r="F163" i="3"/>
  <c r="F164" i="3"/>
  <c r="F165" i="3"/>
  <c r="F166" i="3"/>
  <c r="F167" i="3"/>
  <c r="F168" i="3"/>
  <c r="F169" i="3"/>
  <c r="F170" i="3"/>
  <c r="F75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34" i="3"/>
  <c r="F187" i="3"/>
  <c r="F188" i="3"/>
  <c r="F189" i="3"/>
  <c r="F50" i="3"/>
  <c r="F190" i="3"/>
  <c r="F35" i="3"/>
  <c r="F25" i="3"/>
  <c r="F191" i="3"/>
  <c r="F192" i="3"/>
  <c r="F193" i="3"/>
  <c r="F194" i="3"/>
  <c r="F195" i="3"/>
  <c r="F196" i="3"/>
  <c r="F197" i="3"/>
  <c r="F198" i="3"/>
  <c r="F199" i="3"/>
  <c r="F6" i="3"/>
  <c r="F76" i="3"/>
  <c r="F200" i="3"/>
  <c r="F77" i="3"/>
  <c r="F51" i="3"/>
  <c r="F36" i="3"/>
  <c r="F37" i="3"/>
  <c r="F201" i="3"/>
  <c r="F38" i="3"/>
  <c r="F202" i="3"/>
  <c r="F203" i="3"/>
  <c r="F52" i="3"/>
  <c r="F204" i="3"/>
  <c r="F5" i="3"/>
  <c r="F205" i="3"/>
  <c r="F206" i="3"/>
  <c r="F207" i="3"/>
  <c r="F208" i="3"/>
  <c r="F209" i="3"/>
  <c r="F210" i="3"/>
  <c r="F211" i="3"/>
  <c r="F3" i="3"/>
  <c r="F21" i="3"/>
  <c r="F212" i="3"/>
  <c r="F213" i="3"/>
  <c r="F214" i="3"/>
  <c r="F215" i="3"/>
  <c r="F216" i="3"/>
  <c r="F217" i="3"/>
  <c r="F218" i="3"/>
  <c r="F219" i="3"/>
  <c r="F78" i="3"/>
  <c r="F220" i="3"/>
  <c r="F221" i="3"/>
  <c r="F222" i="3"/>
  <c r="F223" i="3"/>
  <c r="F224" i="3"/>
  <c r="F225" i="3"/>
  <c r="F226" i="3"/>
  <c r="F26" i="3"/>
  <c r="F11" i="3"/>
  <c r="F79" i="3"/>
  <c r="F22" i="3"/>
  <c r="F80" i="3"/>
  <c r="F12" i="3"/>
  <c r="F227" i="3"/>
  <c r="F228" i="3"/>
  <c r="F229" i="3"/>
  <c r="F230" i="3"/>
  <c r="F231" i="3"/>
  <c r="F232" i="3"/>
  <c r="F39" i="3"/>
  <c r="F233" i="3"/>
  <c r="F234" i="3"/>
  <c r="F81" i="3"/>
  <c r="F235" i="3"/>
  <c r="F236" i="3"/>
  <c r="F15" i="3"/>
  <c r="F237" i="3"/>
  <c r="F82" i="3"/>
  <c r="F53" i="3"/>
  <c r="F238" i="3"/>
  <c r="F239" i="3"/>
  <c r="F240" i="3"/>
  <c r="F241" i="3"/>
  <c r="F242" i="3"/>
  <c r="F83" i="3"/>
  <c r="F84" i="3"/>
  <c r="F243" i="3"/>
  <c r="F244" i="3"/>
  <c r="F245" i="3"/>
  <c r="F54" i="3"/>
  <c r="F27" i="3"/>
  <c r="F246" i="3"/>
  <c r="F85" i="3"/>
  <c r="F247" i="3"/>
  <c r="F86" i="3"/>
  <c r="F87" i="3"/>
  <c r="F248" i="3"/>
  <c r="F249" i="3"/>
  <c r="F88" i="3"/>
  <c r="F55" i="3"/>
  <c r="F56" i="3"/>
  <c r="F250" i="3"/>
  <c r="F251" i="3"/>
  <c r="F252" i="3"/>
  <c r="F253" i="3"/>
  <c r="F254" i="3"/>
  <c r="F255" i="3"/>
  <c r="F256" i="3"/>
  <c r="F89" i="3"/>
  <c r="F257" i="3"/>
  <c r="F90" i="3"/>
  <c r="F258" i="3"/>
  <c r="F91" i="3"/>
  <c r="F259" i="3"/>
  <c r="F260" i="3"/>
  <c r="F23" i="3"/>
  <c r="F261" i="3"/>
  <c r="F262" i="3"/>
  <c r="F263" i="3"/>
  <c r="F264" i="3"/>
  <c r="F57" i="3"/>
  <c r="F265" i="3"/>
  <c r="F266" i="3"/>
  <c r="F13" i="3"/>
  <c r="F267" i="3"/>
  <c r="F40" i="3"/>
  <c r="F268" i="3"/>
  <c r="F92" i="3"/>
  <c r="F269" i="3"/>
  <c r="F270" i="3"/>
  <c r="F271" i="3"/>
  <c r="F272" i="3"/>
  <c r="F273" i="3"/>
  <c r="F274" i="3"/>
  <c r="F275" i="3"/>
  <c r="F276" i="3"/>
  <c r="F277" i="3"/>
  <c r="F278" i="3"/>
  <c r="F9" i="3"/>
  <c r="F279" i="3"/>
  <c r="F280" i="3"/>
  <c r="F281" i="3"/>
  <c r="F14" i="3"/>
  <c r="F2" i="3"/>
  <c r="F58" i="3"/>
  <c r="F93" i="3"/>
  <c r="F94" i="3"/>
  <c r="F282" i="3"/>
  <c r="F283" i="3"/>
  <c r="F284" i="3"/>
  <c r="F285" i="3"/>
  <c r="F286" i="3"/>
  <c r="F287" i="3"/>
  <c r="F59" i="3"/>
  <c r="F288" i="3"/>
  <c r="F289" i="3"/>
  <c r="F290" i="3"/>
  <c r="F291" i="3"/>
  <c r="F292" i="3"/>
  <c r="F293" i="3"/>
  <c r="F95" i="3"/>
  <c r="F96" i="3"/>
  <c r="F294" i="3"/>
  <c r="F295" i="3"/>
  <c r="F60" i="3"/>
  <c r="F28" i="3"/>
  <c r="F296" i="3"/>
  <c r="F297" i="3"/>
  <c r="F298" i="3"/>
  <c r="F299" i="3"/>
  <c r="F300" i="3"/>
  <c r="F301" i="3"/>
  <c r="F302" i="3"/>
  <c r="F303" i="3"/>
  <c r="F304" i="3"/>
  <c r="F97" i="3"/>
  <c r="F98" i="3"/>
  <c r="F305" i="3"/>
  <c r="F306" i="3"/>
  <c r="F307" i="3"/>
  <c r="F308" i="3"/>
  <c r="F309" i="3"/>
  <c r="F16" i="3"/>
  <c r="F310" i="3"/>
  <c r="F311" i="3"/>
  <c r="F312" i="3"/>
  <c r="F313" i="3"/>
  <c r="F41" i="3"/>
  <c r="F61" i="3"/>
  <c r="F314" i="3"/>
  <c r="F315" i="3"/>
  <c r="F24" i="3"/>
  <c r="F316" i="3"/>
  <c r="F317" i="3"/>
  <c r="F42" i="3"/>
  <c r="F318" i="3"/>
  <c r="F319" i="3"/>
  <c r="F99" i="3"/>
  <c r="F320" i="3"/>
  <c r="F321" i="3"/>
  <c r="F322" i="3"/>
  <c r="F323" i="3"/>
  <c r="F100" i="3"/>
  <c r="F324" i="3"/>
  <c r="F325" i="3"/>
  <c r="F326" i="3"/>
  <c r="F327" i="3"/>
  <c r="F328" i="3"/>
  <c r="F329" i="3"/>
  <c r="F330" i="3"/>
  <c r="F101" i="3"/>
  <c r="F331" i="3"/>
  <c r="F332" i="3"/>
  <c r="F333" i="3"/>
  <c r="F62" i="3"/>
  <c r="F102" i="3"/>
  <c r="F334" i="3"/>
  <c r="F335" i="3"/>
  <c r="F336" i="3"/>
  <c r="F337" i="3"/>
  <c r="F63" i="3"/>
  <c r="F338" i="3"/>
  <c r="F339" i="3"/>
  <c r="F340" i="3"/>
  <c r="F341" i="3"/>
  <c r="F342" i="3"/>
  <c r="F343" i="3"/>
  <c r="F344" i="3"/>
  <c r="F345" i="3"/>
  <c r="F103" i="3"/>
  <c r="F346" i="3"/>
  <c r="F347" i="3"/>
  <c r="F348" i="3"/>
  <c r="F349" i="3"/>
  <c r="F64" i="3"/>
  <c r="F350" i="3"/>
  <c r="F351" i="3"/>
  <c r="F352" i="3"/>
  <c r="F353" i="3"/>
  <c r="F354" i="3"/>
  <c r="F355" i="3"/>
  <c r="F356" i="3"/>
  <c r="F357" i="3"/>
  <c r="F358" i="3"/>
  <c r="F359" i="3"/>
  <c r="F10" i="3"/>
  <c r="F29" i="3"/>
  <c r="F104" i="3"/>
  <c r="F19" i="3"/>
  <c r="F360" i="3"/>
  <c r="F361" i="3"/>
  <c r="F362" i="3"/>
  <c r="F105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65" i="3"/>
  <c r="F378" i="3"/>
  <c r="F379" i="3"/>
  <c r="F106" i="3"/>
  <c r="F380" i="3"/>
  <c r="F107" i="3"/>
  <c r="F381" i="3"/>
  <c r="F108" i="3"/>
  <c r="F8" i="3"/>
  <c r="F66" i="3"/>
  <c r="F382" i="3"/>
  <c r="F383" i="3"/>
  <c r="F384" i="3"/>
  <c r="F385" i="3"/>
  <c r="F386" i="3"/>
  <c r="F387" i="3"/>
  <c r="F109" i="3"/>
  <c r="F388" i="3"/>
  <c r="F389" i="3"/>
  <c r="F390" i="3"/>
  <c r="F391" i="3"/>
  <c r="F392" i="3"/>
  <c r="F393" i="3"/>
  <c r="F394" i="3"/>
  <c r="F395" i="3"/>
  <c r="F396" i="3"/>
  <c r="F397" i="3"/>
  <c r="F398" i="3"/>
  <c r="F17" i="3"/>
  <c r="F399" i="3"/>
  <c r="F400" i="3"/>
  <c r="F401" i="3"/>
  <c r="F402" i="3"/>
  <c r="F403" i="3"/>
  <c r="F404" i="3"/>
  <c r="F405" i="3"/>
  <c r="F406" i="3"/>
  <c r="F110" i="3"/>
  <c r="F407" i="3"/>
  <c r="F111" i="3"/>
  <c r="F408" i="3"/>
  <c r="F409" i="3"/>
  <c r="F112" i="3"/>
  <c r="F113" i="3"/>
  <c r="F30" i="3"/>
  <c r="F410" i="3"/>
  <c r="F411" i="3"/>
  <c r="F412" i="3"/>
  <c r="F4" i="3"/>
  <c r="F413" i="3"/>
  <c r="F414" i="3"/>
  <c r="F415" i="3"/>
  <c r="F416" i="3"/>
  <c r="F417" i="3"/>
  <c r="F418" i="3"/>
  <c r="F419" i="3"/>
  <c r="F420" i="3"/>
  <c r="F114" i="3"/>
  <c r="F421" i="3"/>
  <c r="F422" i="3"/>
  <c r="F423" i="3"/>
  <c r="F424" i="3"/>
  <c r="F43" i="3"/>
  <c r="F115" i="3"/>
  <c r="F18" i="3"/>
  <c r="F425" i="3"/>
  <c r="F426" i="3"/>
  <c r="F427" i="3"/>
  <c r="F428" i="3"/>
  <c r="F429" i="3"/>
  <c r="F430" i="3"/>
  <c r="F31" i="3"/>
  <c r="F431" i="3"/>
  <c r="F432" i="3"/>
  <c r="F433" i="3"/>
  <c r="F434" i="3"/>
  <c r="F435" i="3"/>
  <c r="F436" i="3"/>
  <c r="F437" i="3"/>
  <c r="F116" i="3"/>
  <c r="F438" i="3"/>
  <c r="F439" i="3"/>
  <c r="F440" i="3"/>
  <c r="F441" i="3"/>
  <c r="F117" i="3"/>
  <c r="G226" i="1"/>
  <c r="G231" i="1"/>
  <c r="G229" i="1"/>
  <c r="G230" i="1"/>
  <c r="G228" i="1"/>
  <c r="G145" i="1"/>
  <c r="G107" i="1"/>
  <c r="G325" i="1"/>
  <c r="G130" i="1"/>
  <c r="G243" i="1"/>
  <c r="G440" i="1"/>
  <c r="G244" i="1"/>
  <c r="G245" i="1"/>
  <c r="G246" i="1"/>
  <c r="G146" i="1"/>
  <c r="G494" i="1"/>
  <c r="G970" i="1"/>
  <c r="G415" i="1"/>
  <c r="G408" i="1"/>
  <c r="G11" i="1"/>
  <c r="G740" i="1"/>
  <c r="G668" i="1"/>
  <c r="G88" i="1"/>
  <c r="G135" i="1"/>
  <c r="G212" i="1"/>
  <c r="G102" i="1"/>
  <c r="G454" i="1"/>
  <c r="G199" i="1"/>
  <c r="G198" i="1"/>
  <c r="G962" i="1"/>
  <c r="G249" i="1"/>
  <c r="G758" i="1"/>
  <c r="G709" i="1"/>
  <c r="G210" i="1"/>
  <c r="G785" i="1"/>
  <c r="G875" i="1"/>
  <c r="G690" i="1"/>
  <c r="G866" i="1"/>
  <c r="G746" i="1"/>
  <c r="G773" i="1"/>
  <c r="G112" i="1"/>
  <c r="G13" i="1"/>
  <c r="G843" i="1"/>
  <c r="G256" i="1"/>
  <c r="G495" i="1"/>
  <c r="G261" i="1"/>
  <c r="G698" i="1"/>
  <c r="G865" i="1"/>
  <c r="G259" i="1"/>
  <c r="G96" i="1"/>
  <c r="G201" i="1"/>
  <c r="G742" i="1"/>
  <c r="G149" i="1"/>
  <c r="G238" i="1"/>
  <c r="G976" i="1"/>
  <c r="G258" i="1"/>
  <c r="G632" i="1"/>
  <c r="G786" i="1"/>
  <c r="G574" i="1"/>
  <c r="G975" i="1"/>
  <c r="G706" i="1"/>
  <c r="G457" i="1"/>
  <c r="G681" i="1"/>
  <c r="G655" i="1"/>
  <c r="G219" i="1"/>
  <c r="G965" i="1"/>
  <c r="G443" i="1"/>
  <c r="G697" i="1"/>
  <c r="G224" i="1"/>
  <c r="G502" i="1"/>
  <c r="G531" i="1"/>
  <c r="G532" i="1"/>
  <c r="G499" i="1"/>
  <c r="G689" i="1"/>
  <c r="G833" i="1"/>
  <c r="G653" i="1"/>
  <c r="G307" i="1"/>
  <c r="G148" i="1"/>
  <c r="G608" i="1"/>
  <c r="G225" i="1"/>
  <c r="G386" i="1"/>
  <c r="G207" i="1"/>
  <c r="G254" i="1"/>
  <c r="G529" i="1"/>
  <c r="G156" i="1"/>
  <c r="G552" i="1"/>
  <c r="G62" i="1"/>
  <c r="G967" i="1"/>
  <c r="G417" i="1"/>
  <c r="G388" i="1"/>
  <c r="G373" i="1"/>
  <c r="G533" i="1"/>
  <c r="G423" i="1"/>
  <c r="G493" i="1"/>
  <c r="G255" i="1"/>
  <c r="G78" i="1"/>
  <c r="G342" i="1"/>
  <c r="G759" i="1"/>
  <c r="G46" i="1"/>
  <c r="G456" i="1"/>
  <c r="G803" i="1"/>
  <c r="G830" i="1"/>
  <c r="G455" i="1"/>
  <c r="G355" i="1"/>
  <c r="G420" i="1"/>
  <c r="G251" i="1"/>
  <c r="G374" i="1"/>
  <c r="G101" i="1"/>
  <c r="G200" i="1"/>
  <c r="G828" i="1"/>
  <c r="G864" i="1"/>
  <c r="G379" i="1"/>
  <c r="G372" i="1"/>
  <c r="G75" i="1"/>
  <c r="G370" i="1"/>
  <c r="G49" i="1"/>
  <c r="G723" i="1"/>
  <c r="G781" i="1"/>
  <c r="G969" i="1"/>
  <c r="G40" i="1"/>
  <c r="G837" i="1"/>
  <c r="G404" i="1"/>
  <c r="G42" i="1"/>
  <c r="G340" i="1"/>
  <c r="G562" i="1"/>
  <c r="G262" i="1"/>
  <c r="G38" i="1"/>
  <c r="G649" i="1"/>
  <c r="G863" i="1"/>
  <c r="G565" i="1"/>
  <c r="G39" i="1"/>
  <c r="G679" i="1"/>
  <c r="G964" i="1"/>
  <c r="G558" i="1"/>
  <c r="G217" i="1"/>
  <c r="G500" i="1"/>
  <c r="G657" i="1"/>
  <c r="G834" i="1"/>
  <c r="G387" i="1"/>
  <c r="G83" i="1"/>
  <c r="G100" i="1"/>
  <c r="G97" i="1"/>
  <c r="G850" i="1"/>
  <c r="G197" i="1"/>
  <c r="G779" i="1"/>
  <c r="G369" i="1"/>
  <c r="G311" i="1"/>
  <c r="G741" i="1"/>
  <c r="G79" i="1"/>
  <c r="G250" i="1"/>
  <c r="G344" i="1"/>
  <c r="G321" i="1"/>
  <c r="G235" i="1"/>
  <c r="G322" i="1"/>
  <c r="G460" i="1"/>
  <c r="G627" i="1"/>
  <c r="G283" i="1"/>
  <c r="G867" i="1"/>
  <c r="G87" i="1"/>
  <c r="G483" i="1"/>
  <c r="G257" i="1"/>
  <c r="G214" i="1"/>
  <c r="G466" i="1"/>
  <c r="G234" i="1"/>
  <c r="G501" i="1"/>
  <c r="G99" i="1"/>
  <c r="G247" i="1"/>
  <c r="G526" i="1"/>
  <c r="G610" i="1"/>
  <c r="G213" i="1"/>
  <c r="G775" i="1"/>
  <c r="G405" i="1"/>
  <c r="G682" i="1"/>
  <c r="G84" i="1"/>
  <c r="G37" i="1"/>
  <c r="G618" i="1"/>
  <c r="G849" i="1"/>
  <c r="G851" i="1"/>
  <c r="G406" i="1"/>
  <c r="G419" i="1"/>
  <c r="G248" i="1"/>
  <c r="G753" i="1"/>
  <c r="G43" i="1"/>
  <c r="G414" i="1"/>
  <c r="G726" i="1"/>
  <c r="G421" i="1"/>
  <c r="G44" i="1"/>
  <c r="G252" i="1"/>
  <c r="G691" i="1"/>
  <c r="G667" i="1"/>
  <c r="G810" i="1"/>
  <c r="G345" i="1"/>
  <c r="G426" i="1"/>
  <c r="G700" i="1"/>
  <c r="G220" i="1"/>
  <c r="G683" i="1"/>
  <c r="G241" i="1"/>
  <c r="G516" i="1"/>
  <c r="G450" i="1"/>
  <c r="G48" i="1"/>
  <c r="G993" i="1"/>
  <c r="G477" i="1"/>
  <c r="G209" i="1"/>
  <c r="G341" i="1"/>
  <c r="G669" i="1"/>
  <c r="G637" i="1"/>
  <c r="G76" i="1"/>
  <c r="G559" i="1"/>
  <c r="G980" i="1"/>
  <c r="G484" i="1"/>
  <c r="G424" i="1"/>
  <c r="G777" i="1"/>
  <c r="G505" i="1"/>
  <c r="G504" i="1"/>
  <c r="G534" i="1"/>
  <c r="G659" i="1"/>
  <c r="G310" i="1"/>
  <c r="G158" i="1"/>
  <c r="G797" i="1"/>
  <c r="G907" i="1"/>
  <c r="G465" i="1"/>
  <c r="G836" i="1"/>
  <c r="G561" i="1"/>
  <c r="G253" i="1"/>
  <c r="G349" i="1"/>
  <c r="G464" i="1"/>
  <c r="G838" i="1"/>
  <c r="G688" i="1"/>
  <c r="G242" i="1"/>
  <c r="G98" i="1"/>
  <c r="G527" i="1"/>
  <c r="G41" i="1"/>
  <c r="G233" i="1"/>
  <c r="G710" i="1"/>
  <c r="G539" i="1"/>
  <c r="G416" i="1"/>
  <c r="G831" i="1"/>
  <c r="G218" i="1"/>
  <c r="G375" i="1"/>
  <c r="G835" i="1"/>
  <c r="G507" i="1"/>
  <c r="G463" i="1"/>
  <c r="G25" i="1"/>
  <c r="G734" i="1"/>
  <c r="G908" i="1"/>
  <c r="G631" i="1"/>
  <c r="G963" i="1"/>
  <c r="G45" i="1"/>
  <c r="G385" i="1"/>
  <c r="G240" i="1"/>
  <c r="G232" i="1"/>
  <c r="G916" i="1"/>
  <c r="G537" i="1"/>
  <c r="G376" i="1"/>
  <c r="G770" i="1"/>
  <c r="G634" i="1"/>
  <c r="G366" i="1"/>
  <c r="G365" i="1"/>
  <c r="G85" i="1"/>
  <c r="G625" i="1"/>
  <c r="G300" i="1"/>
  <c r="G289" i="1"/>
  <c r="G297" i="1"/>
  <c r="G295" i="1"/>
  <c r="G278" i="1"/>
  <c r="G319" i="1"/>
  <c r="G335" i="1"/>
  <c r="G277" i="1"/>
  <c r="G189" i="1"/>
  <c r="G193" i="1"/>
  <c r="G168" i="1"/>
  <c r="G308" i="1"/>
  <c r="G320" i="1"/>
  <c r="G605" i="1"/>
  <c r="G557" i="1"/>
  <c r="G601" i="1"/>
  <c r="G544" i="1"/>
  <c r="G543" i="1"/>
  <c r="G542" i="1"/>
  <c r="G540" i="1"/>
  <c r="G817" i="1"/>
  <c r="G113" i="1"/>
  <c r="G114" i="1"/>
  <c r="G121" i="1"/>
  <c r="G743" i="1"/>
  <c r="G14" i="1"/>
  <c r="G857" i="1"/>
  <c r="G109" i="1"/>
  <c r="G518" i="1"/>
  <c r="G878" i="1"/>
  <c r="G162" i="1"/>
  <c r="G961" i="1"/>
  <c r="G861" i="1"/>
  <c r="G840" i="1"/>
  <c r="G672" i="1"/>
  <c r="G497" i="1"/>
  <c r="G480" i="1"/>
  <c r="G125" i="1"/>
  <c r="G348" i="1"/>
  <c r="G1000" i="1"/>
  <c r="G680" i="1"/>
  <c r="G876" i="1"/>
  <c r="G17" i="1"/>
  <c r="G523" i="1"/>
  <c r="G2" i="1"/>
  <c r="G994" i="1"/>
  <c r="G66" i="1"/>
  <c r="G475" i="1"/>
  <c r="G751" i="1"/>
  <c r="G806" i="1"/>
  <c r="G957" i="1"/>
  <c r="G363" i="1"/>
  <c r="G352" i="1"/>
  <c r="G639" i="1"/>
  <c r="G630" i="1"/>
  <c r="G995" i="1"/>
  <c r="G216" i="1"/>
  <c r="G305" i="1"/>
  <c r="G292" i="1"/>
  <c r="G293" i="1"/>
  <c r="G301" i="1"/>
  <c r="G294" i="1"/>
  <c r="G298" i="1"/>
  <c r="G315" i="1"/>
  <c r="G318" i="1"/>
  <c r="G180" i="1"/>
  <c r="G192" i="1"/>
  <c r="G169" i="1"/>
  <c r="G167" i="1"/>
  <c r="G181" i="1"/>
  <c r="G190" i="1"/>
  <c r="G582" i="1"/>
  <c r="G603" i="1"/>
  <c r="G600" i="1"/>
  <c r="G602" i="1"/>
  <c r="G541" i="1"/>
  <c r="G407" i="1"/>
  <c r="G959" i="1"/>
  <c r="G958" i="1"/>
  <c r="G818" i="1"/>
  <c r="G447" i="1"/>
  <c r="G503" i="1"/>
  <c r="G115" i="1"/>
  <c r="G6" i="1"/>
  <c r="G19" i="1"/>
  <c r="G28" i="1"/>
  <c r="G33" i="1"/>
  <c r="G356" i="1"/>
  <c r="G431" i="1"/>
  <c r="G433" i="1"/>
  <c r="G665" i="1"/>
  <c r="G641" i="1"/>
  <c r="G660" i="1"/>
  <c r="G951" i="1"/>
  <c r="G820" i="1"/>
  <c r="G877" i="1"/>
  <c r="G884" i="1"/>
  <c r="G955" i="1"/>
  <c r="G956" i="1"/>
  <c r="G816" i="1"/>
  <c r="G491" i="1"/>
  <c r="G9" i="1"/>
  <c r="G428" i="1"/>
  <c r="G755" i="1"/>
  <c r="G796" i="1"/>
  <c r="G868" i="1"/>
  <c r="G473" i="1"/>
  <c r="G644" i="1"/>
  <c r="G144" i="1"/>
  <c r="G71" i="1"/>
  <c r="G143" i="1"/>
  <c r="G65" i="1"/>
  <c r="G27" i="1"/>
  <c r="G508" i="1"/>
  <c r="G410" i="1"/>
  <c r="G136" i="1"/>
  <c r="G458" i="1"/>
  <c r="G459" i="1"/>
  <c r="G731" i="1"/>
  <c r="G790" i="1"/>
  <c r="G692" i="1"/>
  <c r="G693" i="1"/>
  <c r="G299" i="1"/>
  <c r="G337" i="1"/>
  <c r="G165" i="1"/>
  <c r="G170" i="1"/>
  <c r="G172" i="1"/>
  <c r="G184" i="1"/>
  <c r="G179" i="1"/>
  <c r="G182" i="1"/>
  <c r="G328" i="1"/>
  <c r="G313" i="1"/>
  <c r="G594" i="1"/>
  <c r="G591" i="1"/>
  <c r="G590" i="1"/>
  <c r="G586" i="1"/>
  <c r="G587" i="1"/>
  <c r="G581" i="1"/>
  <c r="G578" i="1"/>
  <c r="G554" i="1"/>
  <c r="G555" i="1"/>
  <c r="G604" i="1"/>
  <c r="G570" i="1"/>
  <c r="G718" i="1"/>
  <c r="G154" i="1"/>
  <c r="G152" i="1"/>
  <c r="G389" i="1"/>
  <c r="G360" i="1"/>
  <c r="G122" i="1"/>
  <c r="G31" i="1"/>
  <c r="G116" i="1"/>
  <c r="G26" i="1"/>
  <c r="G538" i="1"/>
  <c r="G757" i="1"/>
  <c r="G347" i="1"/>
  <c r="G437" i="1"/>
  <c r="G482" i="1"/>
  <c r="G756" i="1"/>
  <c r="G825" i="1"/>
  <c r="G881" i="1"/>
  <c r="G882" i="1"/>
  <c r="G133" i="1"/>
  <c r="G842" i="1"/>
  <c r="G766" i="1"/>
  <c r="G846" i="1"/>
  <c r="G852" i="1"/>
  <c r="G805" i="1"/>
  <c r="G811" i="1"/>
  <c r="G647" i="1"/>
  <c r="G768" i="1"/>
  <c r="G267" i="1"/>
  <c r="G658" i="1"/>
  <c r="G853" i="1"/>
  <c r="G479" i="1"/>
  <c r="G272" i="1"/>
  <c r="G126" i="1"/>
  <c r="G714" i="1"/>
  <c r="G364" i="1"/>
  <c r="G411" i="1"/>
  <c r="G685" i="1"/>
  <c r="G996" i="1"/>
  <c r="G997" i="1"/>
  <c r="G733" i="1"/>
  <c r="G732" i="1"/>
  <c r="G844" i="1"/>
  <c r="G80" i="1"/>
  <c r="G260" i="1"/>
  <c r="G237" i="1"/>
  <c r="G788" i="1"/>
  <c r="G789" i="1"/>
  <c r="G694" i="1"/>
  <c r="G304" i="1"/>
  <c r="G296" i="1"/>
  <c r="G288" i="1"/>
  <c r="G334" i="1"/>
  <c r="G279" i="1"/>
  <c r="G276" i="1"/>
  <c r="G280" i="1"/>
  <c r="G282" i="1"/>
  <c r="G281" i="1"/>
  <c r="G701" i="1"/>
  <c r="G702" i="1"/>
  <c r="G185" i="1"/>
  <c r="G164" i="1"/>
  <c r="G166" i="1"/>
  <c r="G173" i="1"/>
  <c r="G174" i="1"/>
  <c r="G597" i="1"/>
  <c r="G595" i="1"/>
  <c r="G563" i="1"/>
  <c r="G560" i="1"/>
  <c r="G598" i="1"/>
  <c r="G556" i="1"/>
  <c r="G551" i="1"/>
  <c r="G546" i="1"/>
  <c r="G549" i="1"/>
  <c r="G635" i="1"/>
  <c r="G622" i="1"/>
  <c r="G153" i="1"/>
  <c r="G150" i="1"/>
  <c r="G151" i="1"/>
  <c r="G68" i="1"/>
  <c r="G795" i="1"/>
  <c r="G509" i="1"/>
  <c r="G413" i="1"/>
  <c r="G870" i="1"/>
  <c r="G513" i="1"/>
  <c r="G720" i="1"/>
  <c r="G991" i="1"/>
  <c r="G821" i="1"/>
  <c r="G814" i="1"/>
  <c r="G81" i="1"/>
  <c r="G713" i="1"/>
  <c r="G895" i="1"/>
  <c r="G4" i="1"/>
  <c r="G123" i="1"/>
  <c r="G3" i="1"/>
  <c r="G973" i="1"/>
  <c r="G269" i="1"/>
  <c r="G15" i="1"/>
  <c r="G367" i="1"/>
  <c r="G854" i="1"/>
  <c r="G74" i="1"/>
  <c r="G815" i="1"/>
  <c r="G105" i="1"/>
  <c r="G712" i="1"/>
  <c r="G711" i="1"/>
  <c r="G239" i="1"/>
  <c r="G263" i="1"/>
  <c r="G794" i="1"/>
  <c r="G104" i="1"/>
  <c r="G285" i="1"/>
  <c r="G286" i="1"/>
  <c r="G336" i="1"/>
  <c r="G274" i="1"/>
  <c r="G178" i="1"/>
  <c r="G187" i="1"/>
  <c r="G188" i="1"/>
  <c r="G275" i="1"/>
  <c r="G331" i="1"/>
  <c r="G330" i="1"/>
  <c r="G569" i="1"/>
  <c r="G568" i="1"/>
  <c r="G550" i="1"/>
  <c r="G564" i="1"/>
  <c r="G599" i="1"/>
  <c r="G717" i="1"/>
  <c r="G67" i="1"/>
  <c r="G430" i="1"/>
  <c r="G801" i="1"/>
  <c r="G20" i="1"/>
  <c r="G23" i="1"/>
  <c r="G522" i="1"/>
  <c r="G155" i="1"/>
  <c r="G271" i="1"/>
  <c r="G686" i="1"/>
  <c r="G747" i="1"/>
  <c r="G928" i="1"/>
  <c r="G390" i="1"/>
  <c r="G769" i="1"/>
  <c r="G36" i="1"/>
  <c r="G648" i="1"/>
  <c r="G58" i="1"/>
  <c r="G266" i="1"/>
  <c r="G873" i="1"/>
  <c r="G63" i="1"/>
  <c r="G754" i="1"/>
  <c r="G646" i="1"/>
  <c r="G978" i="1"/>
  <c r="G110" i="1"/>
  <c r="G848" i="1"/>
  <c r="K3" i="3" l="1"/>
  <c r="K7" i="3"/>
</calcChain>
</file>

<file path=xl/sharedStrings.xml><?xml version="1.0" encoding="utf-8"?>
<sst xmlns="http://schemas.openxmlformats.org/spreadsheetml/2006/main" count="34672" uniqueCount="7576">
  <si>
    <t>column_1</t>
  </si>
  <si>
    <t>column_2</t>
  </si>
  <si>
    <t>column_3</t>
  </si>
  <si>
    <t>column_4</t>
  </si>
  <si>
    <t>column_5</t>
  </si>
  <si>
    <t>column_82</t>
  </si>
  <si>
    <t>column_83</t>
  </si>
  <si>
    <t>column_103</t>
  </si>
  <si>
    <t>URL</t>
  </si>
  <si>
    <t>24.01.25 17:00:49</t>
  </si>
  <si>
    <t>Letzter Preis</t>
  </si>
  <si>
    <t>VerÃ¤nderung zum Vortag</t>
  </si>
  <si>
    <t>24.01.25 17:30:00</t>
  </si>
  <si>
    <t>0,00</t>
  </si>
  <si>
    <t>Differenz zum Vortag</t>
  </si>
  <si>
    <t>0.00 / 0.00%</t>
  </si>
  <si>
    <t>0 / 0%</t>
  </si>
  <si>
    <t>Schlusspreis des letzten Handelstages</t>
  </si>
  <si>
    <t>Tagestief/-hoch</t>
  </si>
  <si>
    <t>99,90 / 99,912</t>
  </si>
  <si>
    <t>52-Wochentief/-hoch</t>
  </si>
  <si>
    <t>97,219 / 99,912</t>
  </si>
  <si>
    <t>Handelszeiten</t>
  </si>
  <si>
    <t>08:00-17:30</t>
  </si>
  <si>
    <t>Kupon</t>
  </si>
  <si>
    <t>Erster Zinstermin</t>
  </si>
  <si>
    <t>15.02.2016</t>
  </si>
  <si>
    <t>Anzahl Zinstermine</t>
  </si>
  <si>
    <t>JÃ¤hrlich</t>
  </si>
  <si>
    <t>Zinslauf ab</t>
  </si>
  <si>
    <t>16.01.2015</t>
  </si>
  <si>
    <t>99,32</t>
  </si>
  <si>
    <t>98,44</t>
  </si>
  <si>
    <t>Emittent</t>
  </si>
  <si>
    <t>Deutschland, Bundesrepublik</t>
  </si>
  <si>
    <t>Branche</t>
  </si>
  <si>
    <t>Bundesanleihen</t>
  </si>
  <si>
    <t>Markt</t>
  </si>
  <si>
    <t>Regulierter Markt</t>
  </si>
  <si>
    <t>Subsegment</t>
  </si>
  <si>
    <t>Mindestanlagesumme</t>
  </si>
  <si>
    <t>Notierungseinheit</t>
  </si>
  <si>
    <t>Prozentnotiert</t>
  </si>
  <si>
    <t>Emissionsdatum</t>
  </si>
  <si>
    <t>Emissionsvolumen</t>
  </si>
  <si>
    <t>30.500.000.000</t>
  </si>
  <si>
    <t>Umlaufendes Volumen</t>
  </si>
  <si>
    <t>EmissionswÃ¤hrung</t>
  </si>
  <si>
    <t>EUR</t>
  </si>
  <si>
    <t>DepotwÃ¤hrung</t>
  </si>
  <si>
    <t>Notierungsaufnahme</t>
  </si>
  <si>
    <t>14.01.2015</t>
  </si>
  <si>
    <t>FÃ¤lligkeit</t>
  </si>
  <si>
    <t>15.02.2025</t>
  </si>
  <si>
    <t>SchuldnerkÃ¼ndigungsart</t>
  </si>
  <si>
    <t>SonderkÃ¼ndigung</t>
  </si>
  <si>
    <t>Nachrangig</t>
  </si>
  <si>
    <t>Kleinste handelbare Einheit</t>
  </si>
  <si>
    <t>Spezialist</t>
  </si>
  <si>
    <t>BAADER BANK AG</t>
  </si>
  <si>
    <t>Handelsmodell</t>
  </si>
  <si>
    <t>Fortlaufende Auktion</t>
  </si>
  <si>
    <t>https://www.boerse-frankfurt.de/anleihe/de0001102374-deutschland-bundesrepublik-0-5-15-25</t>
  </si>
  <si>
    <t>100,59</t>
  </si>
  <si>
    <t>100,58 / 100,641</t>
  </si>
  <si>
    <t>99,73 / 101,062</t>
  </si>
  <si>
    <t>12.12.2024</t>
  </si>
  <si>
    <t>19.10.2023</t>
  </si>
  <si>
    <t>100,58</t>
  </si>
  <si>
    <t>100,19</t>
  </si>
  <si>
    <t>99,73</t>
  </si>
  <si>
    <t>100,96</t>
  </si>
  <si>
    <t>19.000.000.000</t>
  </si>
  <si>
    <t>17.10.2023</t>
  </si>
  <si>
    <t>12.12.2025</t>
  </si>
  <si>
    <t>https://www.boerse-frankfurt.de/anleihe/de000bu22031-deutschland-bundesrepublik-3-1-23-25</t>
  </si>
  <si>
    <t>24.01.25 17:00:50</t>
  </si>
  <si>
    <t>100,08</t>
  </si>
  <si>
    <t>100,08 / 100,10</t>
  </si>
  <si>
    <t>99,316 / 100,173</t>
  </si>
  <si>
    <t>12.06.2024</t>
  </si>
  <si>
    <t>27.04.2023</t>
  </si>
  <si>
    <t>100,03</t>
  </si>
  <si>
    <t>99,66</t>
  </si>
  <si>
    <t>100,17</t>
  </si>
  <si>
    <t>100,66</t>
  </si>
  <si>
    <t>17.500.000.000</t>
  </si>
  <si>
    <t>25.04.2023</t>
  </si>
  <si>
    <t>12.06.2025</t>
  </si>
  <si>
    <t>https://www.boerse-frankfurt.de/anleihe/de000bu22015-deutschland-bundesrepublik-2-8-23-25</t>
  </si>
  <si>
    <t>100,37</t>
  </si>
  <si>
    <t>100,36 / 100,40</t>
  </si>
  <si>
    <t>99,695 / 100,728</t>
  </si>
  <si>
    <t>18.09.2024</t>
  </si>
  <si>
    <t>20.07.2023</t>
  </si>
  <si>
    <t>100,36</t>
  </si>
  <si>
    <t>100,06</t>
  </si>
  <si>
    <t>99,58</t>
  </si>
  <si>
    <t>100,62</t>
  </si>
  <si>
    <t>100,97</t>
  </si>
  <si>
    <t>17.000.000.000</t>
  </si>
  <si>
    <t>18.07.2023</t>
  </si>
  <si>
    <t>18.09.2025</t>
  </si>
  <si>
    <t>https://www.boerse-frankfurt.de/anleihe/de000bu22023-deutschland-bundesrepublik-3-1-23-25</t>
  </si>
  <si>
    <t>24.01.25 17:00:51</t>
  </si>
  <si>
    <t>99,963 / 99,98</t>
  </si>
  <si>
    <t>99,043 / 100,03</t>
  </si>
  <si>
    <t>13.03.2024</t>
  </si>
  <si>
    <t>02.02.2023</t>
  </si>
  <si>
    <t>99,77</t>
  </si>
  <si>
    <t>100,00</t>
  </si>
  <si>
    <t>100,95</t>
  </si>
  <si>
    <t>31.01.2023</t>
  </si>
  <si>
    <t>13.03.2025</t>
  </si>
  <si>
    <t>https://www.boerse-frankfurt.de/anleihe/de000bu22007-deutschland-bundesrepublik-2-5-23-25</t>
  </si>
  <si>
    <t>24.01.25 17:25:06</t>
  </si>
  <si>
    <t>94,94</t>
  </si>
  <si>
    <t>0.15 / 0.16%</t>
  </si>
  <si>
    <t>94,74 / 95,08</t>
  </si>
  <si>
    <t>93,50 / 102,26</t>
  </si>
  <si>
    <t>15.02.2024</t>
  </si>
  <si>
    <t>HalbjÃ¤hrlich</t>
  </si>
  <si>
    <t>15.08.2023</t>
  </si>
  <si>
    <t>93,66</t>
  </si>
  <si>
    <t>93,50</t>
  </si>
  <si>
    <t>91,38</t>
  </si>
  <si>
    <t>95,51</t>
  </si>
  <si>
    <t>98,21</t>
  </si>
  <si>
    <t>102,26</t>
  </si>
  <si>
    <t>United States of America</t>
  </si>
  <si>
    <t>WÃ¤hrungsanleihen</t>
  </si>
  <si>
    <t>Freiverkehr</t>
  </si>
  <si>
    <t>122.149.798.800</t>
  </si>
  <si>
    <t>USD</t>
  </si>
  <si>
    <t>08.08.2023</t>
  </si>
  <si>
    <t>15.08.2033</t>
  </si>
  <si>
    <t>ICF BANK AG WERTPAPIERHANDELSBANK</t>
  </si>
  <si>
    <t>https://www.boerse-frankfurt.de/anleihe/us91282cht18-united-states-of-america-3-875-23-33</t>
  </si>
  <si>
    <t>24.01.25 17:27:01</t>
  </si>
  <si>
    <t>106,10 / 106,689</t>
  </si>
  <si>
    <t>104,959 / 114,174</t>
  </si>
  <si>
    <t>04.07.2011</t>
  </si>
  <si>
    <t>04.07.2010</t>
  </si>
  <si>
    <t>105,24</t>
  </si>
  <si>
    <t>20.000.000.000</t>
  </si>
  <si>
    <t>21.07.2010</t>
  </si>
  <si>
    <t>04.07.2042</t>
  </si>
  <si>
    <t>https://www.boerse-frankfurt.de/anleihe/de0001135432-deutschland-bundesrepublik-3-25-10-42</t>
  </si>
  <si>
    <t>0.01 / 0.01%</t>
  </si>
  <si>
    <t>99,48 / 99,502</t>
  </si>
  <si>
    <t>96,39 / 99,502</t>
  </si>
  <si>
    <t>11.04.2021</t>
  </si>
  <si>
    <t>31.01.2020</t>
  </si>
  <si>
    <t>99,30</t>
  </si>
  <si>
    <t>98,78</t>
  </si>
  <si>
    <t>97,73</t>
  </si>
  <si>
    <t>96,39</t>
  </si>
  <si>
    <t>23.000.000.000</t>
  </si>
  <si>
    <t>29.01.2020</t>
  </si>
  <si>
    <t>11.04.2025</t>
  </si>
  <si>
    <t>https://www.boerse-frankfurt.de/anleihe/de0001141810-deutschland-bundesrepublik-0-000-20-25</t>
  </si>
  <si>
    <t>24.01.25 17:00:14</t>
  </si>
  <si>
    <t>99,21</t>
  </si>
  <si>
    <t>99,16 / 99,61</t>
  </si>
  <si>
    <t>98,60 / 102,14</t>
  </si>
  <si>
    <t>21.03.2025</t>
  </si>
  <si>
    <t>23.09.2024</t>
  </si>
  <si>
    <t>98,60</t>
  </si>
  <si>
    <t>100,63</t>
  </si>
  <si>
    <t>102,14</t>
  </si>
  <si>
    <t>Coca-Cola Europacific Partners PLC</t>
  </si>
  <si>
    <t>600.000.000</t>
  </si>
  <si>
    <t>21.03.2032</t>
  </si>
  <si>
    <t>Special call</t>
  </si>
  <si>
    <t>WALTER LUDWIG GMBH WERTPAPIERHANDELSBANK</t>
  </si>
  <si>
    <t>https://www.boerse-frankfurt.de/anleihe/xs2905425612-coca-cola-europacific-partners-plc-3-25-24-32</t>
  </si>
  <si>
    <t>24.01.25 15:11:30</t>
  </si>
  <si>
    <t>94,85</t>
  </si>
  <si>
    <t>24.01.25 17:29:46</t>
  </si>
  <si>
    <t>94,85 / 94,95</t>
  </si>
  <si>
    <t>90,32 / 95,02</t>
  </si>
  <si>
    <t>19.02.2021</t>
  </si>
  <si>
    <t>19.02.2020</t>
  </si>
  <si>
    <t>94,25</t>
  </si>
  <si>
    <t>93,99</t>
  </si>
  <si>
    <t>92,27</t>
  </si>
  <si>
    <t>90,32</t>
  </si>
  <si>
    <t>84,61</t>
  </si>
  <si>
    <t>82,66</t>
  </si>
  <si>
    <t>94,95</t>
  </si>
  <si>
    <t>95,02</t>
  </si>
  <si>
    <t>98,51</t>
  </si>
  <si>
    <t>BNP Paribas S.A.</t>
  </si>
  <si>
    <t>1.250.000.000</t>
  </si>
  <si>
    <t>16.11.2020</t>
  </si>
  <si>
    <t>19.02.2028</t>
  </si>
  <si>
    <t>Nein</t>
  </si>
  <si>
    <t>WOLFGANG STEUBING AG</t>
  </si>
  <si>
    <t>0.039 / 0.04%</t>
  </si>
  <si>
    <t>98,306 / 98,325</t>
  </si>
  <si>
    <t>93,96 / 98,325</t>
  </si>
  <si>
    <t>31.12.2020</t>
  </si>
  <si>
    <t>30.06.2020</t>
  </si>
  <si>
    <t>97,23</t>
  </si>
  <si>
    <t>95,79</t>
  </si>
  <si>
    <t>93,96</t>
  </si>
  <si>
    <t>89,91</t>
  </si>
  <si>
    <t>89,02</t>
  </si>
  <si>
    <t>53.428.393.400</t>
  </si>
  <si>
    <t>30.06.2025</t>
  </si>
  <si>
    <t>24.01.25 12:14:03</t>
  </si>
  <si>
    <t>99,86</t>
  </si>
  <si>
    <t>99,86 / 99,86</t>
  </si>
  <si>
    <t>97,90 / 100,04</t>
  </si>
  <si>
    <t>11:00-13:00</t>
  </si>
  <si>
    <t>17.02.2024</t>
  </si>
  <si>
    <t>17.02.2023</t>
  </si>
  <si>
    <t>99,80</t>
  </si>
  <si>
    <t>98,64</t>
  </si>
  <si>
    <t>97,90</t>
  </si>
  <si>
    <t>96,08</t>
  </si>
  <si>
    <t>100,01</t>
  </si>
  <si>
    <t>100,04</t>
  </si>
  <si>
    <t>DZ BANK AG Deutsche Zentral-Genossenschaftsbank, Frankfurt am Main</t>
  </si>
  <si>
    <t>Schuldverschreibungen von Sonderinstituten</t>
  </si>
  <si>
    <t>500.000.000</t>
  </si>
  <si>
    <t>20.02.2023</t>
  </si>
  <si>
    <t>87,485 / 88,405</t>
  </si>
  <si>
    <t>87,335 / 98,955</t>
  </si>
  <si>
    <t>15.01.2021</t>
  </si>
  <si>
    <t>15.10.2020</t>
  </si>
  <si>
    <t>Cheplapharm Arzneimittel GmbH</t>
  </si>
  <si>
    <t>(Industrie-) und Bankschuldverschreibungen</t>
  </si>
  <si>
    <t>575.000.000</t>
  </si>
  <si>
    <t>99,53</t>
  </si>
  <si>
    <t>99,50 / 99,77</t>
  </si>
  <si>
    <t>/</t>
  </si>
  <si>
    <t>31.01.2026</t>
  </si>
  <si>
    <t>31.01.2025</t>
  </si>
  <si>
    <t>Hamburg Commercial Bank AG</t>
  </si>
  <si>
    <t>24.01.2025</t>
  </si>
  <si>
    <t>99,20</t>
  </si>
  <si>
    <t>99,195 / 99,22</t>
  </si>
  <si>
    <t>96,878 / 99,26</t>
  </si>
  <si>
    <t>15.08.2016</t>
  </si>
  <si>
    <t>17.07.2015</t>
  </si>
  <si>
    <t>99,13</t>
  </si>
  <si>
    <t>99,26</t>
  </si>
  <si>
    <t>105,55</t>
  </si>
  <si>
    <t>15.07.2015</t>
  </si>
  <si>
    <t>15.08.2025</t>
  </si>
  <si>
    <t>24.01.25 17:25:01</t>
  </si>
  <si>
    <t>99,95 / 100,20</t>
  </si>
  <si>
    <t>99,00 / 100,84</t>
  </si>
  <si>
    <t>09.07.2021</t>
  </si>
  <si>
    <t>09.04.2020</t>
  </si>
  <si>
    <t>99,05</t>
  </si>
  <si>
    <t>99,00</t>
  </si>
  <si>
    <t>92,18</t>
  </si>
  <si>
    <t>100,45</t>
  </si>
  <si>
    <t>100,65</t>
  </si>
  <si>
    <t>100,84</t>
  </si>
  <si>
    <t>100,85</t>
  </si>
  <si>
    <t>106,46</t>
  </si>
  <si>
    <t>Grenke Finance PLC</t>
  </si>
  <si>
    <t>449.250.000</t>
  </si>
  <si>
    <t>353.076.000</t>
  </si>
  <si>
    <t>07.04.2020</t>
  </si>
  <si>
    <t>09.07.2025</t>
  </si>
  <si>
    <t>99,447 / 99,564</t>
  </si>
  <si>
    <t>98,935 / 100,20</t>
  </si>
  <si>
    <t>10.12.2025</t>
  </si>
  <si>
    <t>24.10.2024</t>
  </si>
  <si>
    <t>100,20</t>
  </si>
  <si>
    <t>22.10.2024</t>
  </si>
  <si>
    <t>100,174 / 100,23</t>
  </si>
  <si>
    <t>98,79 / 100,614</t>
  </si>
  <si>
    <t>19.03.2025</t>
  </si>
  <si>
    <t>01.02.2024</t>
  </si>
  <si>
    <t>99,47</t>
  </si>
  <si>
    <t>98,79</t>
  </si>
  <si>
    <t>100,365 / 100,779</t>
  </si>
  <si>
    <t>99,71 / 104,952</t>
  </si>
  <si>
    <t>05.07.2024</t>
  </si>
  <si>
    <t>99,71</t>
  </si>
  <si>
    <t>104,92</t>
  </si>
  <si>
    <t>35.000.000.000</t>
  </si>
  <si>
    <t>03.07.2024</t>
  </si>
  <si>
    <t>24.01.25 17:25:00</t>
  </si>
  <si>
    <t>97,716 / 98,20</t>
  </si>
  <si>
    <t>94,72 / 98,20</t>
  </si>
  <si>
    <t>04.03.2020</t>
  </si>
  <si>
    <t>04.03.2019</t>
  </si>
  <si>
    <t>94,72</t>
  </si>
  <si>
    <t>98,20</t>
  </si>
  <si>
    <t>Commerzbank AG</t>
  </si>
  <si>
    <t>24.01.25 17:25:04</t>
  </si>
  <si>
    <t>95,15</t>
  </si>
  <si>
    <t>95,15 / 95,25</t>
  </si>
  <si>
    <t>92,165 / 95,98</t>
  </si>
  <si>
    <t>15.05.2021</t>
  </si>
  <si>
    <t>16.04.2020</t>
  </si>
  <si>
    <t>94,78</t>
  </si>
  <si>
    <t>95,76</t>
  </si>
  <si>
    <t>95,98</t>
  </si>
  <si>
    <t>101,93</t>
  </si>
  <si>
    <t>Irland, Republik</t>
  </si>
  <si>
    <t>7.750.500.000</t>
  </si>
  <si>
    <t>24.01.25 08:51:45</t>
  </si>
  <si>
    <t>106,67</t>
  </si>
  <si>
    <t>24.01.25 17:29:47</t>
  </si>
  <si>
    <t>1.85 / 1.76%</t>
  </si>
  <si>
    <t>106,67 / 106,67</t>
  </si>
  <si>
    <t>104,76 / 110,38</t>
  </si>
  <si>
    <t>27.09.2023</t>
  </si>
  <si>
    <t>27.09.2022</t>
  </si>
  <si>
    <t>104,76</t>
  </si>
  <si>
    <t>93,21</t>
  </si>
  <si>
    <t>107,25</t>
  </si>
  <si>
    <t>108,41</t>
  </si>
  <si>
    <t>110,38</t>
  </si>
  <si>
    <t>RumÃ¤nien, Republik</t>
  </si>
  <si>
    <t>2.870.006.000</t>
  </si>
  <si>
    <t>24.01.25 17:07:02</t>
  </si>
  <si>
    <t>103,13</t>
  </si>
  <si>
    <t>0.15 / 0.15%</t>
  </si>
  <si>
    <t>102,72 / 103,33</t>
  </si>
  <si>
    <t>99,20 / 106,21</t>
  </si>
  <si>
    <t>11.06.2025</t>
  </si>
  <si>
    <t>101,58</t>
  </si>
  <si>
    <t>104,63</t>
  </si>
  <si>
    <t>106,21</t>
  </si>
  <si>
    <t>Fraport AG Frankfurt Airport Services Worldwide</t>
  </si>
  <si>
    <t>650.000.000</t>
  </si>
  <si>
    <t>07.06.2024</t>
  </si>
  <si>
    <t>24.01.25 16:38:42</t>
  </si>
  <si>
    <t>101,53</t>
  </si>
  <si>
    <t>0.37 / 0.37%</t>
  </si>
  <si>
    <t>101,13 / 101,53</t>
  </si>
  <si>
    <t>99,49 / 102,39</t>
  </si>
  <si>
    <t>17.05.2024</t>
  </si>
  <si>
    <t>17.05.2023</t>
  </si>
  <si>
    <t>101,02</t>
  </si>
  <si>
    <t>100,39</t>
  </si>
  <si>
    <t>99,49</t>
  </si>
  <si>
    <t>97,97</t>
  </si>
  <si>
    <t>102,39</t>
  </si>
  <si>
    <t>Honeywell International Inc.</t>
  </si>
  <si>
    <t>18.05.2023</t>
  </si>
  <si>
    <t>24.01.25 08:00:40</t>
  </si>
  <si>
    <t>97,598 / 97,598</t>
  </si>
  <si>
    <t>93,50 / 97,627</t>
  </si>
  <si>
    <t>12.01.2022</t>
  </si>
  <si>
    <t>12.01.2021</t>
  </si>
  <si>
    <t>95,33</t>
  </si>
  <si>
    <t>87,43</t>
  </si>
  <si>
    <t>Volkswagen Leasing GmbH</t>
  </si>
  <si>
    <t>750.000.000</t>
  </si>
  <si>
    <t>06.01.2021</t>
  </si>
  <si>
    <t>12.01.2026</t>
  </si>
  <si>
    <t>ODDO BHF SE</t>
  </si>
  <si>
    <t>24.01.25 09:35:37</t>
  </si>
  <si>
    <t>99,50</t>
  </si>
  <si>
    <t>24.01.25 17:29:48</t>
  </si>
  <si>
    <t>99,50 / 99,50</t>
  </si>
  <si>
    <t>98,08 / 101,70</t>
  </si>
  <si>
    <t>31.10.2025</t>
  </si>
  <si>
    <t>31.10.2024</t>
  </si>
  <si>
    <t>98,08</t>
  </si>
  <si>
    <t>101,70</t>
  </si>
  <si>
    <t>Kingspan Securities (Ireland) DAC</t>
  </si>
  <si>
    <t>97,47</t>
  </si>
  <si>
    <t>97,29 / 97,54</t>
  </si>
  <si>
    <t>95,98 / 101,79</t>
  </si>
  <si>
    <t>25.11.2024</t>
  </si>
  <si>
    <t>25.11.2023</t>
  </si>
  <si>
    <t>101,29</t>
  </si>
  <si>
    <t>101,79</t>
  </si>
  <si>
    <t>Frankreich, Republik</t>
  </si>
  <si>
    <t>43.751.000.000</t>
  </si>
  <si>
    <t>10.06.2024</t>
  </si>
  <si>
    <t>97,62</t>
  </si>
  <si>
    <t>97,575 / 97,841</t>
  </si>
  <si>
    <t>94,48 / 98,048</t>
  </si>
  <si>
    <t>30.10.2020</t>
  </si>
  <si>
    <t>30.04.2020</t>
  </si>
  <si>
    <t>96,94</t>
  </si>
  <si>
    <t>96,71</t>
  </si>
  <si>
    <t>95,83</t>
  </si>
  <si>
    <t>94,48</t>
  </si>
  <si>
    <t>90,85</t>
  </si>
  <si>
    <t>89,28</t>
  </si>
  <si>
    <t>104,53</t>
  </si>
  <si>
    <t>Firmenich Productions Participations S.A.S.</t>
  </si>
  <si>
    <t>94,50</t>
  </si>
  <si>
    <t>94,50 / 95,20</t>
  </si>
  <si>
    <t>91,79 / 98,13</t>
  </si>
  <si>
    <t>07.04.2021</t>
  </si>
  <si>
    <t>93,97</t>
  </si>
  <si>
    <t>93,37</t>
  </si>
  <si>
    <t>91,79</t>
  </si>
  <si>
    <t>87,07</t>
  </si>
  <si>
    <t>86,30</t>
  </si>
  <si>
    <t>96,55</t>
  </si>
  <si>
    <t>98,13</t>
  </si>
  <si>
    <t>112,94</t>
  </si>
  <si>
    <t>Airbus SE</t>
  </si>
  <si>
    <t>1.000.000.000</t>
  </si>
  <si>
    <t>99,56</t>
  </si>
  <si>
    <t>0.24 / 0.24%</t>
  </si>
  <si>
    <t>99,275 / 99,56</t>
  </si>
  <si>
    <t>97,67 / 103,42</t>
  </si>
  <si>
    <t>03.10.2024</t>
  </si>
  <si>
    <t>03.04.2024</t>
  </si>
  <si>
    <t>97,67</t>
  </si>
  <si>
    <t>100,89</t>
  </si>
  <si>
    <t>103,42</t>
  </si>
  <si>
    <t>Quebec, Provinz</t>
  </si>
  <si>
    <t>3.750.000.000</t>
  </si>
  <si>
    <t>02.04.2024</t>
  </si>
  <si>
    <t>0.005 / 0.01%</t>
  </si>
  <si>
    <t>98,35 / 98,385</t>
  </si>
  <si>
    <t>95,227 / 98,397</t>
  </si>
  <si>
    <t>10.10.2021</t>
  </si>
  <si>
    <t>10.07.2020</t>
  </si>
  <si>
    <t>98,27</t>
  </si>
  <si>
    <t>97,74</t>
  </si>
  <si>
    <t>96,53</t>
  </si>
  <si>
    <t>92,19</t>
  </si>
  <si>
    <t>102,10</t>
  </si>
  <si>
    <t>27.500.000.000</t>
  </si>
  <si>
    <t>08.07.2020</t>
  </si>
  <si>
    <t>10.10.2025</t>
  </si>
  <si>
    <t>24.01.25 11:44:14</t>
  </si>
  <si>
    <t>100,78</t>
  </si>
  <si>
    <t>100,78 / 101,05</t>
  </si>
  <si>
    <t>98,56 / 102,27</t>
  </si>
  <si>
    <t>27.09.2024</t>
  </si>
  <si>
    <t>16.04.2024</t>
  </si>
  <si>
    <t>99,69</t>
  </si>
  <si>
    <t>98,56</t>
  </si>
  <si>
    <t>102,27</t>
  </si>
  <si>
    <t>Porsche Automobil Holding SE</t>
  </si>
  <si>
    <t>850.000.000</t>
  </si>
  <si>
    <t>24.01.25 13:34:15</t>
  </si>
  <si>
    <t>100,50</t>
  </si>
  <si>
    <t>100,50 / 100,50</t>
  </si>
  <si>
    <t>99,64 / 100,98</t>
  </si>
  <si>
    <t>15.01.2026</t>
  </si>
  <si>
    <t>15.01.2025</t>
  </si>
  <si>
    <t>99,64</t>
  </si>
  <si>
    <t>100,98</t>
  </si>
  <si>
    <t>Evonik Industries AG</t>
  </si>
  <si>
    <t>10.01.2025</t>
  </si>
  <si>
    <t>24.01.25 15:47:01</t>
  </si>
  <si>
    <t>100,02</t>
  </si>
  <si>
    <t>1.02 / 1.03%</t>
  </si>
  <si>
    <t>99,06 / 100,02</t>
  </si>
  <si>
    <t>97,06 / 104,74</t>
  </si>
  <si>
    <t>10.12.2023</t>
  </si>
  <si>
    <t>08.06.2023</t>
  </si>
  <si>
    <t>98,07</t>
  </si>
  <si>
    <t>97,06</t>
  </si>
  <si>
    <t>93,55</t>
  </si>
  <si>
    <t>100,30</t>
  </si>
  <si>
    <t>101,69</t>
  </si>
  <si>
    <t>104,74</t>
  </si>
  <si>
    <t>John Deere Capital Corp.</t>
  </si>
  <si>
    <t>07.06.2023</t>
  </si>
  <si>
    <t>100,014 / 100,03</t>
  </si>
  <si>
    <t>98,70 / 100,192</t>
  </si>
  <si>
    <t>01.07.2021</t>
  </si>
  <si>
    <t>01.07.2020</t>
  </si>
  <si>
    <t>98,70</t>
  </si>
  <si>
    <t>96,37</t>
  </si>
  <si>
    <t>107,63</t>
  </si>
  <si>
    <t>MTU Aero Engines AG</t>
  </si>
  <si>
    <t>25.06.2020</t>
  </si>
  <si>
    <t>24.01.25 17:20:01</t>
  </si>
  <si>
    <t>24.01.25 17:29:43</t>
  </si>
  <si>
    <t>269,501 / 274,50</t>
  </si>
  <si>
    <t>251,00 / 300,00</t>
  </si>
  <si>
    <t>01.07.2000</t>
  </si>
  <si>
    <t>262,00</t>
  </si>
  <si>
    <t>251,00</t>
  </si>
  <si>
    <t>220,01</t>
  </si>
  <si>
    <t>281,00</t>
  </si>
  <si>
    <t>300,00</t>
  </si>
  <si>
    <t>367,50</t>
  </si>
  <si>
    <t>Bertelsmann SE &amp; Co. KGaA</t>
  </si>
  <si>
    <t>Holdinggesellschaften</t>
  </si>
  <si>
    <t>285.860.290</t>
  </si>
  <si>
    <t>23.05.2011</t>
  </si>
  <si>
    <t>24.01.25 15:36:40</t>
  </si>
  <si>
    <t>99,563 / 99,583</t>
  </si>
  <si>
    <t>97,733 / 99,663</t>
  </si>
  <si>
    <t>27.10.2015</t>
  </si>
  <si>
    <t>27.04.2015</t>
  </si>
  <si>
    <t>95,14</t>
  </si>
  <si>
    <t>Citigroup Inc.</t>
  </si>
  <si>
    <t>1.500.000.000</t>
  </si>
  <si>
    <t>95,145 / 95,44</t>
  </si>
  <si>
    <t>91,755 / 96,675</t>
  </si>
  <si>
    <t>13.12.2018</t>
  </si>
  <si>
    <t>13.12.2017</t>
  </si>
  <si>
    <t>95,05</t>
  </si>
  <si>
    <t>89,33</t>
  </si>
  <si>
    <t>96,10</t>
  </si>
  <si>
    <t>104,79</t>
  </si>
  <si>
    <t>Deutsche Post AG</t>
  </si>
  <si>
    <t>08.12.2017</t>
  </si>
  <si>
    <t>99,87</t>
  </si>
  <si>
    <t>99,865 / 100,135</t>
  </si>
  <si>
    <t>99,865 / 100,255</t>
  </si>
  <si>
    <t>22.07.2025</t>
  </si>
  <si>
    <t>22.01.2025</t>
  </si>
  <si>
    <t>BMW International Investment B.V.</t>
  </si>
  <si>
    <t>17.01.2025</t>
  </si>
  <si>
    <t>101,32</t>
  </si>
  <si>
    <t>101,32 / 102,00</t>
  </si>
  <si>
    <t>97,61 / 105,55</t>
  </si>
  <si>
    <t>19.07.2025</t>
  </si>
  <si>
    <t>19.06.2024</t>
  </si>
  <si>
    <t>100,38</t>
  </si>
  <si>
    <t>97,61</t>
  </si>
  <si>
    <t>103,33</t>
  </si>
  <si>
    <t>Heidelberg Materials AG</t>
  </si>
  <si>
    <t>700.000.000</t>
  </si>
  <si>
    <t>17.06.2024</t>
  </si>
  <si>
    <t>104,66</t>
  </si>
  <si>
    <t>104,66 / 106,00</t>
  </si>
  <si>
    <t>101,32 / 111,31</t>
  </si>
  <si>
    <t>23.11.2024</t>
  </si>
  <si>
    <t>23.11.2023</t>
  </si>
  <si>
    <t>103,34</t>
  </si>
  <si>
    <t>99,59</t>
  </si>
  <si>
    <t>107,16</t>
  </si>
  <si>
    <t>111,31</t>
  </si>
  <si>
    <t>Deutsche Bahn Finance GmbH</t>
  </si>
  <si>
    <t>17.11.2023</t>
  </si>
  <si>
    <t>24.01.25 16:38:29</t>
  </si>
  <si>
    <t>105,49</t>
  </si>
  <si>
    <t>0.42 / 0.40%</t>
  </si>
  <si>
    <t>105,03 / 105,49</t>
  </si>
  <si>
    <t>100,05 / 106,29</t>
  </si>
  <si>
    <t>02.05.2025</t>
  </si>
  <si>
    <t>02.05.2024</t>
  </si>
  <si>
    <t>104,52</t>
  </si>
  <si>
    <t>104,47</t>
  </si>
  <si>
    <t>103,19</t>
  </si>
  <si>
    <t>100,05</t>
  </si>
  <si>
    <t>106,29</t>
  </si>
  <si>
    <t>24.01.25 17:25:17</t>
  </si>
  <si>
    <t>104,61</t>
  </si>
  <si>
    <t>104,61 / 104,64</t>
  </si>
  <si>
    <t>101,99 / 107,41</t>
  </si>
  <si>
    <t>28.09.2024</t>
  </si>
  <si>
    <t>28.09.2023</t>
  </si>
  <si>
    <t>101,99</t>
  </si>
  <si>
    <t>97,09</t>
  </si>
  <si>
    <t>105,44</t>
  </si>
  <si>
    <t>107,41</t>
  </si>
  <si>
    <t>Deutsche BÃ¶rse AG</t>
  </si>
  <si>
    <t>24.01.25 15:29:52</t>
  </si>
  <si>
    <t>102,70</t>
  </si>
  <si>
    <t>0.05 / 0.05%</t>
  </si>
  <si>
    <t>102,53 / 102,70</t>
  </si>
  <si>
    <t>99,03 / 105,61</t>
  </si>
  <si>
    <t>26.07.2024</t>
  </si>
  <si>
    <t>26.01.2024</t>
  </si>
  <si>
    <t>101,17</t>
  </si>
  <si>
    <t>99,03</t>
  </si>
  <si>
    <t>102,96</t>
  </si>
  <si>
    <t>105,61</t>
  </si>
  <si>
    <t>CoÃ¶peratieve Rabobank U.A.</t>
  </si>
  <si>
    <t>24.01.2024</t>
  </si>
  <si>
    <t>101,86</t>
  </si>
  <si>
    <t>101,62 / 102,28</t>
  </si>
  <si>
    <t>98,35 / 105,09</t>
  </si>
  <si>
    <t>02.12.2023</t>
  </si>
  <si>
    <t>02.12.2022</t>
  </si>
  <si>
    <t>98,35</t>
  </si>
  <si>
    <t>91,68</t>
  </si>
  <si>
    <t>103,31</t>
  </si>
  <si>
    <t>105,09</t>
  </si>
  <si>
    <t>Vodafone International Financing DAC</t>
  </si>
  <si>
    <t>100,764 / 100,849</t>
  </si>
  <si>
    <t>99,56 / 101,389</t>
  </si>
  <si>
    <t>18.06.2025</t>
  </si>
  <si>
    <t>25.04.2024</t>
  </si>
  <si>
    <t>100,75</t>
  </si>
  <si>
    <t>100,24</t>
  </si>
  <si>
    <t>24.01.25 17:00:16</t>
  </si>
  <si>
    <t>100,22</t>
  </si>
  <si>
    <t>100,16 / 100,30</t>
  </si>
  <si>
    <t>98,92 / 101,84</t>
  </si>
  <si>
    <t>30.09.2025</t>
  </si>
  <si>
    <t>30.09.2024</t>
  </si>
  <si>
    <t>98,92</t>
  </si>
  <si>
    <t>100,52</t>
  </si>
  <si>
    <t>101,84</t>
  </si>
  <si>
    <t>RCI Banque S.A.</t>
  </si>
  <si>
    <t>800.000.000</t>
  </si>
  <si>
    <t>19.09.2024</t>
  </si>
  <si>
    <t>24.01.25 09:55:54</t>
  </si>
  <si>
    <t>100,00 / 100,09</t>
  </si>
  <si>
    <t>100,00 / 100,23</t>
  </si>
  <si>
    <t>23.01.2026</t>
  </si>
  <si>
    <t>23.01.2025</t>
  </si>
  <si>
    <t>100,23</t>
  </si>
  <si>
    <t>Norsk Hydro ASA</t>
  </si>
  <si>
    <t>99,19</t>
  </si>
  <si>
    <t>99,185 / 99,375</t>
  </si>
  <si>
    <t>98,85 / 100,50</t>
  </si>
  <si>
    <t>27.01.2025</t>
  </si>
  <si>
    <t>27.11.2024</t>
  </si>
  <si>
    <t>99,08</t>
  </si>
  <si>
    <t>98,85</t>
  </si>
  <si>
    <t>100,16</t>
  </si>
  <si>
    <t>Deutsche Pfandbriefbank AG</t>
  </si>
  <si>
    <t>Pfandbriefe von Hypothekenbankenoder</t>
  </si>
  <si>
    <t>98,936 / 99,10</t>
  </si>
  <si>
    <t>96,89 / 99,355</t>
  </si>
  <si>
    <t>24.05.2023</t>
  </si>
  <si>
    <t>24.05.2022</t>
  </si>
  <si>
    <t>97,95</t>
  </si>
  <si>
    <t>96,89</t>
  </si>
  <si>
    <t>94,14</t>
  </si>
  <si>
    <t>93,75</t>
  </si>
  <si>
    <t>RWE AG</t>
  </si>
  <si>
    <t>24.01.25 17:25:05</t>
  </si>
  <si>
    <t>93,00</t>
  </si>
  <si>
    <t>0.24 / 0.26%</t>
  </si>
  <si>
    <t>92,76 / 93,75</t>
  </si>
  <si>
    <t>83,25 / 100,25</t>
  </si>
  <si>
    <t>19.12.2024</t>
  </si>
  <si>
    <t>VierteljÃ¤hrlich</t>
  </si>
  <si>
    <t>92,76</t>
  </si>
  <si>
    <t>83,25</t>
  </si>
  <si>
    <t>95,00</t>
  </si>
  <si>
    <t>96,30</t>
  </si>
  <si>
    <t>100,25</t>
  </si>
  <si>
    <t>Mutares SE &amp; Co. KGaA</t>
  </si>
  <si>
    <t>300.000.000</t>
  </si>
  <si>
    <t>135.000.000</t>
  </si>
  <si>
    <t>10.09.2024</t>
  </si>
  <si>
    <t>96,82</t>
  </si>
  <si>
    <t>96,82 / 97,64</t>
  </si>
  <si>
    <t>94,59 / 99,96</t>
  </si>
  <si>
    <t>03.08.2023</t>
  </si>
  <si>
    <t>03.08.2022</t>
  </si>
  <si>
    <t>95,95</t>
  </si>
  <si>
    <t>94,59</t>
  </si>
  <si>
    <t>87,78</t>
  </si>
  <si>
    <t>86,82</t>
  </si>
  <si>
    <t>98,18</t>
  </si>
  <si>
    <t>99,96</t>
  </si>
  <si>
    <t>103,74</t>
  </si>
  <si>
    <t>The Toronto-Dominion Bank</t>
  </si>
  <si>
    <t>29.07.2022</t>
  </si>
  <si>
    <t>96,24</t>
  </si>
  <si>
    <t>96,195 / 96,30</t>
  </si>
  <si>
    <t>93,34 / 97,025</t>
  </si>
  <si>
    <t>15.07.2017</t>
  </si>
  <si>
    <t>09.02.2017</t>
  </si>
  <si>
    <t>96,11</t>
  </si>
  <si>
    <t>95,80</t>
  </si>
  <si>
    <t>94,74</t>
  </si>
  <si>
    <t>93,34</t>
  </si>
  <si>
    <t>96,75</t>
  </si>
  <si>
    <t>Niederlande, KÃ¶nigreich der</t>
  </si>
  <si>
    <t>17.705.926.000</t>
  </si>
  <si>
    <t>06.02.2017</t>
  </si>
  <si>
    <t>24.01.25 11:41:10</t>
  </si>
  <si>
    <t>100,90</t>
  </si>
  <si>
    <t>0.173 / 0.17%</t>
  </si>
  <si>
    <t>100,90 / 100,917</t>
  </si>
  <si>
    <t>99,42 / 101,307</t>
  </si>
  <si>
    <t>11.10.2024</t>
  </si>
  <si>
    <t>11.01.2024</t>
  </si>
  <si>
    <t>99,42</t>
  </si>
  <si>
    <t>96,345 / 96,675</t>
  </si>
  <si>
    <t>92,85 / 97,90</t>
  </si>
  <si>
    <t>01.11.2018</t>
  </si>
  <si>
    <t>01.08.2018</t>
  </si>
  <si>
    <t>95,46</t>
  </si>
  <si>
    <t>92,85</t>
  </si>
  <si>
    <t>85,00</t>
  </si>
  <si>
    <t>97,01</t>
  </si>
  <si>
    <t>107,56</t>
  </si>
  <si>
    <t>The Goldman Sachs Group Inc.</t>
  </si>
  <si>
    <t>27.07.2018</t>
  </si>
  <si>
    <t>94,74 / 95,44</t>
  </si>
  <si>
    <t>90,545 / 96,585</t>
  </si>
  <si>
    <t>05.01.2019</t>
  </si>
  <si>
    <t>93,60</t>
  </si>
  <si>
    <t>Prologis Euro Finance LLC</t>
  </si>
  <si>
    <t>93,56</t>
  </si>
  <si>
    <t>0.30 / 0.32%</t>
  </si>
  <si>
    <t>93,17 / 93,65</t>
  </si>
  <si>
    <t>91,66 / 105,20</t>
  </si>
  <si>
    <t>91,66</t>
  </si>
  <si>
    <t>88,03</t>
  </si>
  <si>
    <t>94,64</t>
  </si>
  <si>
    <t>105,20</t>
  </si>
  <si>
    <t>43.651.372.500</t>
  </si>
  <si>
    <t>29.08.2023</t>
  </si>
  <si>
    <t>94,63</t>
  </si>
  <si>
    <t>0.06 / 0.06%</t>
  </si>
  <si>
    <t>94,50 / 94,80</t>
  </si>
  <si>
    <t>85,52 / 95,08</t>
  </si>
  <si>
    <t>12.11.2020</t>
  </si>
  <si>
    <t>12.11.2019</t>
  </si>
  <si>
    <t>93,01</t>
  </si>
  <si>
    <t>91,56</t>
  </si>
  <si>
    <t>85,52</t>
  </si>
  <si>
    <t>84,24</t>
  </si>
  <si>
    <t>76,01</t>
  </si>
  <si>
    <t>94,80</t>
  </si>
  <si>
    <t>95,08</t>
  </si>
  <si>
    <t>Bayer AG</t>
  </si>
  <si>
    <t>92,50</t>
  </si>
  <si>
    <t>92,50 / 93,38</t>
  </si>
  <si>
    <t>92,50 / 100,36</t>
  </si>
  <si>
    <t>24.09.2025</t>
  </si>
  <si>
    <t>24.09.2024</t>
  </si>
  <si>
    <t>96,91</t>
  </si>
  <si>
    <t>100,34</t>
  </si>
  <si>
    <t>674.802.000</t>
  </si>
  <si>
    <t>99,09</t>
  </si>
  <si>
    <t>0.185 / 0.19%</t>
  </si>
  <si>
    <t>99,01 / 99,14</t>
  </si>
  <si>
    <t>96,67 / 101,24</t>
  </si>
  <si>
    <t>15.03.2023</t>
  </si>
  <si>
    <t>08.09.2022</t>
  </si>
  <si>
    <t>98,53</t>
  </si>
  <si>
    <t>96,67</t>
  </si>
  <si>
    <t>94,99</t>
  </si>
  <si>
    <t>101,24</t>
  </si>
  <si>
    <t>900.000.000</t>
  </si>
  <si>
    <t>24.01.25 17:00:13</t>
  </si>
  <si>
    <t>87,775 / 88,14</t>
  </si>
  <si>
    <t>84,37 / 89,925</t>
  </si>
  <si>
    <t>08.05.2020</t>
  </si>
  <si>
    <t>08.05.2019</t>
  </si>
  <si>
    <t>84,37</t>
  </si>
  <si>
    <t>78,47</t>
  </si>
  <si>
    <t>77,41</t>
  </si>
  <si>
    <t>102,03</t>
  </si>
  <si>
    <t>BP Capital Markets PLC</t>
  </si>
  <si>
    <t>1.100.000.000</t>
  </si>
  <si>
    <t>86,20</t>
  </si>
  <si>
    <t>86,20 / 86,905</t>
  </si>
  <si>
    <t>82,855 / 88,02</t>
  </si>
  <si>
    <t>14.01.2021</t>
  </si>
  <si>
    <t>14.01.2020</t>
  </si>
  <si>
    <t>85,60</t>
  </si>
  <si>
    <t>77,73</t>
  </si>
  <si>
    <t>75,75</t>
  </si>
  <si>
    <t>88,02</t>
  </si>
  <si>
    <t>99,61</t>
  </si>
  <si>
    <t>Allianz Finance II B.V.</t>
  </si>
  <si>
    <t>10.01.2020</t>
  </si>
  <si>
    <t>86,07</t>
  </si>
  <si>
    <t>85,95 / 86,44</t>
  </si>
  <si>
    <t>81,87 / 88,65</t>
  </si>
  <si>
    <t>03.12.2020</t>
  </si>
  <si>
    <t>03.12.2019</t>
  </si>
  <si>
    <t>85,28</t>
  </si>
  <si>
    <t>84,27</t>
  </si>
  <si>
    <t>81,87</t>
  </si>
  <si>
    <t>76,50</t>
  </si>
  <si>
    <t>73,84</t>
  </si>
  <si>
    <t>87,39</t>
  </si>
  <si>
    <t>88,65</t>
  </si>
  <si>
    <t>99,67</t>
  </si>
  <si>
    <t>Stryker Corp.</t>
  </si>
  <si>
    <t>24.01.25 13:52:23</t>
  </si>
  <si>
    <t>79,68</t>
  </si>
  <si>
    <t>0.12 / 0.15%</t>
  </si>
  <si>
    <t>79,49 / 79,68</t>
  </si>
  <si>
    <t>75,81 / 82,14</t>
  </si>
  <si>
    <t>17.06.2020</t>
  </si>
  <si>
    <t>17.06.2019</t>
  </si>
  <si>
    <t>77,75</t>
  </si>
  <si>
    <t>75,81</t>
  </si>
  <si>
    <t>68,05</t>
  </si>
  <si>
    <t>64,00</t>
  </si>
  <si>
    <t>79,77</t>
  </si>
  <si>
    <t>82,14</t>
  </si>
  <si>
    <t>106,49</t>
  </si>
  <si>
    <t>Zurich Finance [Ireland] DAC</t>
  </si>
  <si>
    <t>24.01.25 16:43:27</t>
  </si>
  <si>
    <t>0.048 / 0.05%</t>
  </si>
  <si>
    <t>97,198 / 97,328</t>
  </si>
  <si>
    <t>93,745 / 98,11</t>
  </si>
  <si>
    <t>23.04.2017</t>
  </si>
  <si>
    <t>25.10.2016</t>
  </si>
  <si>
    <t>90,99</t>
  </si>
  <si>
    <t>98,11</t>
  </si>
  <si>
    <t>103,49</t>
  </si>
  <si>
    <t>Wells Fargo &amp; Co.</t>
  </si>
  <si>
    <t>3.500.000.000</t>
  </si>
  <si>
    <t>99,723 / 99,898</t>
  </si>
  <si>
    <t>97,895 / 101,258</t>
  </si>
  <si>
    <t>13.04.2024</t>
  </si>
  <si>
    <t>19.01.2023</t>
  </si>
  <si>
    <t>101,54</t>
  </si>
  <si>
    <t>25.000.000.000</t>
  </si>
  <si>
    <t>17.01.2023</t>
  </si>
  <si>
    <t>99,79 / 100,25</t>
  </si>
  <si>
    <t>99,79 / 101,93</t>
  </si>
  <si>
    <t>18.10.2025</t>
  </si>
  <si>
    <t>99,79</t>
  </si>
  <si>
    <t>3.000.000.000</t>
  </si>
  <si>
    <t>21.01.2025</t>
  </si>
  <si>
    <t>92,245 / 92,465</t>
  </si>
  <si>
    <t>89,335 / 93,937</t>
  </si>
  <si>
    <t>15.02.2020</t>
  </si>
  <si>
    <t>11.01.2019</t>
  </si>
  <si>
    <t>92,12</t>
  </si>
  <si>
    <t>86,16</t>
  </si>
  <si>
    <t>29.500.000.000</t>
  </si>
  <si>
    <t>24.01.25 15:40:48</t>
  </si>
  <si>
    <t>98,40</t>
  </si>
  <si>
    <t>98,40 / 98,43</t>
  </si>
  <si>
    <t>97,49 / 102,50</t>
  </si>
  <si>
    <t>27.10.2023</t>
  </si>
  <si>
    <t>27.10.2022</t>
  </si>
  <si>
    <t>98,05</t>
  </si>
  <si>
    <t>97,49</t>
  </si>
  <si>
    <t>95,21</t>
  </si>
  <si>
    <t>102,50</t>
  </si>
  <si>
    <t>106,07</t>
  </si>
  <si>
    <t>Norddeutsche Landesbank -Girozentrale-</t>
  </si>
  <si>
    <t>50.000.000</t>
  </si>
  <si>
    <t>24.01.25 16:26:39</t>
  </si>
  <si>
    <t>99,92</t>
  </si>
  <si>
    <t>99,60 / 100,00</t>
  </si>
  <si>
    <t>95,40 / 102,275</t>
  </si>
  <si>
    <t>12.02.2017</t>
  </si>
  <si>
    <t>12.02.2016</t>
  </si>
  <si>
    <t>95,40</t>
  </si>
  <si>
    <t>89,88</t>
  </si>
  <si>
    <t>85,35</t>
  </si>
  <si>
    <t>116,14</t>
  </si>
  <si>
    <t>94,917 / 95,081</t>
  </si>
  <si>
    <t>92,151 / 96,113</t>
  </si>
  <si>
    <t>15.02.2019</t>
  </si>
  <si>
    <t>12.01.2018</t>
  </si>
  <si>
    <t>105,27</t>
  </si>
  <si>
    <t>28.500.000.000</t>
  </si>
  <si>
    <t>10.01.2018</t>
  </si>
  <si>
    <t>101,30</t>
  </si>
  <si>
    <t>101,30 / 101,55</t>
  </si>
  <si>
    <t>100,00 / 101,95</t>
  </si>
  <si>
    <t>04.01.2025</t>
  </si>
  <si>
    <t>100,27</t>
  </si>
  <si>
    <t>101,65</t>
  </si>
  <si>
    <t>101,95</t>
  </si>
  <si>
    <t>100,82</t>
  </si>
  <si>
    <t>100,60 / 101,24</t>
  </si>
  <si>
    <t>98,54 / 104,74</t>
  </si>
  <si>
    <t>22.05.2024</t>
  </si>
  <si>
    <t>22.05.2023</t>
  </si>
  <si>
    <t>99,23</t>
  </si>
  <si>
    <t>98,54</t>
  </si>
  <si>
    <t>92,48</t>
  </si>
  <si>
    <t>101,94</t>
  </si>
  <si>
    <t>105,37</t>
  </si>
  <si>
    <t>BMW Finance N.V.</t>
  </si>
  <si>
    <t>99,63</t>
  </si>
  <si>
    <t>99,63 / 100,69</t>
  </si>
  <si>
    <t>97,835 / 102,435</t>
  </si>
  <si>
    <t>19.03.2015</t>
  </si>
  <si>
    <t>19.03.2014</t>
  </si>
  <si>
    <t>95,45</t>
  </si>
  <si>
    <t>101,87</t>
  </si>
  <si>
    <t>117,80</t>
  </si>
  <si>
    <t>24.01.25 12:06:51</t>
  </si>
  <si>
    <t>1.03 / 1.04%</t>
  </si>
  <si>
    <t>100,20 / 100,20</t>
  </si>
  <si>
    <t>98,31 / 100,20</t>
  </si>
  <si>
    <t>05.10.2023</t>
  </si>
  <si>
    <t>05.07.2023</t>
  </si>
  <si>
    <t>99,06</t>
  </si>
  <si>
    <t>98,31</t>
  </si>
  <si>
    <t>06.07.2023</t>
  </si>
  <si>
    <t>99,71 / 100,00</t>
  </si>
  <si>
    <t>97,985 / 101,10</t>
  </si>
  <si>
    <t>101,10</t>
  </si>
  <si>
    <t>97,58</t>
  </si>
  <si>
    <t>0.07 / 0.07%</t>
  </si>
  <si>
    <t>97,485 / 97,84</t>
  </si>
  <si>
    <t>95,55 / 98,16</t>
  </si>
  <si>
    <t>01.10.2019</t>
  </si>
  <si>
    <t>01.04.2019</t>
  </si>
  <si>
    <t>95,55</t>
  </si>
  <si>
    <t>98,16</t>
  </si>
  <si>
    <t>107,87</t>
  </si>
  <si>
    <t>Volkswagen Financial Services AG</t>
  </si>
  <si>
    <t>98,169 / 98,391</t>
  </si>
  <si>
    <t>94,504 / 98,40</t>
  </si>
  <si>
    <t>11.09.2021</t>
  </si>
  <si>
    <t>11.03.2021</t>
  </si>
  <si>
    <t>96,05</t>
  </si>
  <si>
    <t>24.01.25 11:12:36</t>
  </si>
  <si>
    <t>97,77</t>
  </si>
  <si>
    <t>0.27 / 0.28%</t>
  </si>
  <si>
    <t>97,50 / 97,77</t>
  </si>
  <si>
    <t>93,91 / 98,09</t>
  </si>
  <si>
    <t>31.01.2021</t>
  </si>
  <si>
    <t>20.10.2020</t>
  </si>
  <si>
    <t>97,08</t>
  </si>
  <si>
    <t>96,69</t>
  </si>
  <si>
    <t>95,24</t>
  </si>
  <si>
    <t>93,91</t>
  </si>
  <si>
    <t>90,54</t>
  </si>
  <si>
    <t>98,09</t>
  </si>
  <si>
    <t>100,40</t>
  </si>
  <si>
    <t>Spanien, KÃ¶nigreich</t>
  </si>
  <si>
    <t>21.299.791.000</t>
  </si>
  <si>
    <t>17.11.2020</t>
  </si>
  <si>
    <t>24.01.25 17:17:35</t>
  </si>
  <si>
    <t>97,354 / 97,42</t>
  </si>
  <si>
    <t>94,148 / 97,56</t>
  </si>
  <si>
    <t>10.04.2022</t>
  </si>
  <si>
    <t>95,49</t>
  </si>
  <si>
    <t>97,56</t>
  </si>
  <si>
    <t>28.000.000.000</t>
  </si>
  <si>
    <t>13.01.2021</t>
  </si>
  <si>
    <t>97,717 / 97,82</t>
  </si>
  <si>
    <t>95,12 / 97,958</t>
  </si>
  <si>
    <t>19.06.2020</t>
  </si>
  <si>
    <t>19.06.2019</t>
  </si>
  <si>
    <t>97,07</t>
  </si>
  <si>
    <t>96,29</t>
  </si>
  <si>
    <t>95,12</t>
  </si>
  <si>
    <t>91,26</t>
  </si>
  <si>
    <t>90,00</t>
  </si>
  <si>
    <t>73,768 / 74,326</t>
  </si>
  <si>
    <t>72,357 / 81,83</t>
  </si>
  <si>
    <t>15.08.2018</t>
  </si>
  <si>
    <t>15.08.2017</t>
  </si>
  <si>
    <t>66,72</t>
  </si>
  <si>
    <t>77,40</t>
  </si>
  <si>
    <t>81,83</t>
  </si>
  <si>
    <t>37.500.000.000</t>
  </si>
  <si>
    <t>20.09.2017</t>
  </si>
  <si>
    <t>96,06</t>
  </si>
  <si>
    <t>96,055 / 96,065</t>
  </si>
  <si>
    <t>92,18 / 96,395</t>
  </si>
  <si>
    <t>26.05.2018</t>
  </si>
  <si>
    <t>26.05.2017</t>
  </si>
  <si>
    <t>95,78</t>
  </si>
  <si>
    <t>94,92</t>
  </si>
  <si>
    <t>92,54</t>
  </si>
  <si>
    <t>85,95</t>
  </si>
  <si>
    <t>96,25</t>
  </si>
  <si>
    <t>Litauen, Republik</t>
  </si>
  <si>
    <t>23.05.2017</t>
  </si>
  <si>
    <t>24.01.25 17:25:07</t>
  </si>
  <si>
    <t>83,00</t>
  </si>
  <si>
    <t>83,00 / 84,30</t>
  </si>
  <si>
    <t>81,00 / 101,85</t>
  </si>
  <si>
    <t>30.06.2006</t>
  </si>
  <si>
    <t>30.06.2005</t>
  </si>
  <si>
    <t>81,00</t>
  </si>
  <si>
    <t>101,85</t>
  </si>
  <si>
    <t>SÃ¼dzucker International Finance B.V.</t>
  </si>
  <si>
    <t>98,80</t>
  </si>
  <si>
    <t>98,75 / 98,85</t>
  </si>
  <si>
    <t>95,80 / 100,00</t>
  </si>
  <si>
    <t>18.01.2025</t>
  </si>
  <si>
    <t>18.01.2024</t>
  </si>
  <si>
    <t>97,05</t>
  </si>
  <si>
    <t>99,75</t>
  </si>
  <si>
    <t>Landesbank Hessen-ThÃ¼ringen Girozentrale</t>
  </si>
  <si>
    <t>100.000.000</t>
  </si>
  <si>
    <t>21.711.000</t>
  </si>
  <si>
    <t>24.01.25 17:08:51</t>
  </si>
  <si>
    <t>105,75</t>
  </si>
  <si>
    <t>0.15 / 0.14%</t>
  </si>
  <si>
    <t>105,50 / 105,75</t>
  </si>
  <si>
    <t>100,00 / 106,25</t>
  </si>
  <si>
    <t>02.10.2025</t>
  </si>
  <si>
    <t>02.10.2024</t>
  </si>
  <si>
    <t>104,75</t>
  </si>
  <si>
    <t>106,25</t>
  </si>
  <si>
    <t>Semper idem Underberg AG</t>
  </si>
  <si>
    <t>35.000.000</t>
  </si>
  <si>
    <t>97,798 / 97,917</t>
  </si>
  <si>
    <t>94,27 / 97,932</t>
  </si>
  <si>
    <t>03.12.2021</t>
  </si>
  <si>
    <t>97,20</t>
  </si>
  <si>
    <t>95,73</t>
  </si>
  <si>
    <t>94,27</t>
  </si>
  <si>
    <t>90,76</t>
  </si>
  <si>
    <t>99,82</t>
  </si>
  <si>
    <t>NestlÃ© Finance International Ltd.</t>
  </si>
  <si>
    <t>24.11.2020</t>
  </si>
  <si>
    <t>24.01.25 10:55:01</t>
  </si>
  <si>
    <t>99,223 / 99,225</t>
  </si>
  <si>
    <t>96,849 / 99,318</t>
  </si>
  <si>
    <t>15.08.2019</t>
  </si>
  <si>
    <t>16.08.2018</t>
  </si>
  <si>
    <t>94,16</t>
  </si>
  <si>
    <t>104,15</t>
  </si>
  <si>
    <t>82,98</t>
  </si>
  <si>
    <t>82,80 / 83,52</t>
  </si>
  <si>
    <t>80,55 / 86,44</t>
  </si>
  <si>
    <t>12.05.2017</t>
  </si>
  <si>
    <t>12.05.2016</t>
  </si>
  <si>
    <t>81,84</t>
  </si>
  <si>
    <t>80,55</t>
  </si>
  <si>
    <t>74,91</t>
  </si>
  <si>
    <t>84,40</t>
  </si>
  <si>
    <t>86,25</t>
  </si>
  <si>
    <t>86,44</t>
  </si>
  <si>
    <t>109,73</t>
  </si>
  <si>
    <t>Nordrhein-Westfalen, Land</t>
  </si>
  <si>
    <t>24.01.25 17:02:36</t>
  </si>
  <si>
    <t>94,56 / 94,645</t>
  </si>
  <si>
    <t>90,10 / 95,495</t>
  </si>
  <si>
    <t>26.01.2020</t>
  </si>
  <si>
    <t>03.09.2019</t>
  </si>
  <si>
    <t>93,49</t>
  </si>
  <si>
    <t>90,10</t>
  </si>
  <si>
    <t>81,21</t>
  </si>
  <si>
    <t>94,82</t>
  </si>
  <si>
    <t>99,98</t>
  </si>
  <si>
    <t>HELLA GmbH &amp; Co. KGaA</t>
  </si>
  <si>
    <t>24.01.25 17:12:21</t>
  </si>
  <si>
    <t>102,55</t>
  </si>
  <si>
    <t>24.01.25 17:20:31</t>
  </si>
  <si>
    <t>0.125 / 0.12%</t>
  </si>
  <si>
    <t>102,425 / 102,605</t>
  </si>
  <si>
    <t>99,025 / 105,12</t>
  </si>
  <si>
    <t>21.05.2025</t>
  </si>
  <si>
    <t>21.05.2024</t>
  </si>
  <si>
    <t>105,12</t>
  </si>
  <si>
    <t>Deutsche Lufthansa AG</t>
  </si>
  <si>
    <t>82,69</t>
  </si>
  <si>
    <t>82,69 / 83,16</t>
  </si>
  <si>
    <t>79,84 / 85,39</t>
  </si>
  <si>
    <t>12.05.2021</t>
  </si>
  <si>
    <t>12.05.2020</t>
  </si>
  <si>
    <t>82,02</t>
  </si>
  <si>
    <t>81,86</t>
  </si>
  <si>
    <t>79,84</t>
  </si>
  <si>
    <t>74,38</t>
  </si>
  <si>
    <t>73,66</t>
  </si>
  <si>
    <t>83,95</t>
  </si>
  <si>
    <t>85,39</t>
  </si>
  <si>
    <t>97,55</t>
  </si>
  <si>
    <t>24.01.25 12:43:31</t>
  </si>
  <si>
    <t>109,10</t>
  </si>
  <si>
    <t>24.01.25 17:29:45</t>
  </si>
  <si>
    <t>0.41 / 0.38%</t>
  </si>
  <si>
    <t>108,53 / 109,10</t>
  </si>
  <si>
    <t>105,52 / 111,62</t>
  </si>
  <si>
    <t>05.10.2024</t>
  </si>
  <si>
    <t>107,74</t>
  </si>
  <si>
    <t>107,07</t>
  </si>
  <si>
    <t>105,52</t>
  </si>
  <si>
    <t>99,70</t>
  </si>
  <si>
    <t>111,62</t>
  </si>
  <si>
    <t>Fresenius SE &amp; Co. KGaA</t>
  </si>
  <si>
    <t>24.01.25 11:18:21</t>
  </si>
  <si>
    <t>99,94</t>
  </si>
  <si>
    <t>99,50 / 99,94</t>
  </si>
  <si>
    <t>96,95 / 102,60</t>
  </si>
  <si>
    <t>10.01.2024</t>
  </si>
  <si>
    <t>98,49</t>
  </si>
  <si>
    <t>96,95</t>
  </si>
  <si>
    <t>100,69</t>
  </si>
  <si>
    <t>102,60</t>
  </si>
  <si>
    <t>Mercedes-Benz International Finance B.V.</t>
  </si>
  <si>
    <t>24.01.25 15:13:56</t>
  </si>
  <si>
    <t>89,20</t>
  </si>
  <si>
    <t>89,20 / 89,20</t>
  </si>
  <si>
    <t>85,81 / 90,24</t>
  </si>
  <si>
    <t>04.07.2022</t>
  </si>
  <si>
    <t>25.05.2021</t>
  </si>
  <si>
    <t>88,61</t>
  </si>
  <si>
    <t>88,58</t>
  </si>
  <si>
    <t>87,33</t>
  </si>
  <si>
    <t>85,81</t>
  </si>
  <si>
    <t>81,26</t>
  </si>
  <si>
    <t>90,20</t>
  </si>
  <si>
    <t>90,24</t>
  </si>
  <si>
    <t>EuropÃ¤ische Union</t>
  </si>
  <si>
    <t>8.137.000.000</t>
  </si>
  <si>
    <t>20.05.2021</t>
  </si>
  <si>
    <t>94,73 / 95,06</t>
  </si>
  <si>
    <t>91,55 / 95,82</t>
  </si>
  <si>
    <t>05.07.2020</t>
  </si>
  <si>
    <t>05.07.2019</t>
  </si>
  <si>
    <t>93,33</t>
  </si>
  <si>
    <t>91,55</t>
  </si>
  <si>
    <t>95,31</t>
  </si>
  <si>
    <t>95,82</t>
  </si>
  <si>
    <t>101,36</t>
  </si>
  <si>
    <t>Deutsche Telekom AG</t>
  </si>
  <si>
    <t>1.006.905.000</t>
  </si>
  <si>
    <t>99,895 / 100,245</t>
  </si>
  <si>
    <t>98,745 / 101,335</t>
  </si>
  <si>
    <t>06.04.2021</t>
  </si>
  <si>
    <t>06.04.2020</t>
  </si>
  <si>
    <t>99,24</t>
  </si>
  <si>
    <t>95,30</t>
  </si>
  <si>
    <t>93,92</t>
  </si>
  <si>
    <t>100,48</t>
  </si>
  <si>
    <t>101,89</t>
  </si>
  <si>
    <t>114,83</t>
  </si>
  <si>
    <t>103,26</t>
  </si>
  <si>
    <t>103,26 / 103,37</t>
  </si>
  <si>
    <t>96,00 / 107,20</t>
  </si>
  <si>
    <t>24.02.2013</t>
  </si>
  <si>
    <t>24.02.2012</t>
  </si>
  <si>
    <t>102,51</t>
  </si>
  <si>
    <t>96,00</t>
  </si>
  <si>
    <t>94,00</t>
  </si>
  <si>
    <t>105,50</t>
  </si>
  <si>
    <t>107,20</t>
  </si>
  <si>
    <t>110,00</t>
  </si>
  <si>
    <t>117,00</t>
  </si>
  <si>
    <t>Griechenland, Republik</t>
  </si>
  <si>
    <t>3.168.680.520</t>
  </si>
  <si>
    <t>103,22</t>
  </si>
  <si>
    <t>102,47 / 103,32</t>
  </si>
  <si>
    <t>99,70 / 105,05</t>
  </si>
  <si>
    <t>28.03.2024</t>
  </si>
  <si>
    <t>28.03.2023</t>
  </si>
  <si>
    <t>101,59</t>
  </si>
  <si>
    <t>93,79</t>
  </si>
  <si>
    <t>104,01</t>
  </si>
  <si>
    <t>105,05</t>
  </si>
  <si>
    <t>20.000.000</t>
  </si>
  <si>
    <t>24.01.25 15:06:20</t>
  </si>
  <si>
    <t>68,896 / 73,593</t>
  </si>
  <si>
    <t>68,603 / 77,00</t>
  </si>
  <si>
    <t>Keine Zinstermine</t>
  </si>
  <si>
    <t>04.01.2005</t>
  </si>
  <si>
    <t>77,00</t>
  </si>
  <si>
    <t>28.250.000.000</t>
  </si>
  <si>
    <t>24.01.25 17:24:19</t>
  </si>
  <si>
    <t>0.235 / 0.29%</t>
  </si>
  <si>
    <t>81,165 / 81,34</t>
  </si>
  <si>
    <t>77,69 / 84,96</t>
  </si>
  <si>
    <t>15.02.2021</t>
  </si>
  <si>
    <t>15.08.2020</t>
  </si>
  <si>
    <t>80,29</t>
  </si>
  <si>
    <t>77,69</t>
  </si>
  <si>
    <t>74,95</t>
  </si>
  <si>
    <t>81,50</t>
  </si>
  <si>
    <t>84,96</t>
  </si>
  <si>
    <t>91,71</t>
  </si>
  <si>
    <t>132.443.653.200</t>
  </si>
  <si>
    <t>100,655 / 100,693</t>
  </si>
  <si>
    <t>99,298 / 100,96</t>
  </si>
  <si>
    <t>28.07.2024</t>
  </si>
  <si>
    <t>27.02.2024</t>
  </si>
  <si>
    <t>100,86</t>
  </si>
  <si>
    <t>Italien, Republik</t>
  </si>
  <si>
    <t>4.000.000.000</t>
  </si>
  <si>
    <t>99,46 / 99,94</t>
  </si>
  <si>
    <t>97,755 / 100,75</t>
  </si>
  <si>
    <t>05.08.2024</t>
  </si>
  <si>
    <t>99,46</t>
  </si>
  <si>
    <t>98,82</t>
  </si>
  <si>
    <t>Kreditanstalt fÃ¼r Wiederaufbau</t>
  </si>
  <si>
    <t>7.000.000.000</t>
  </si>
  <si>
    <t>99,265 / 99,76</t>
  </si>
  <si>
    <t>99,13 / 99,89</t>
  </si>
  <si>
    <t>14.01.2025</t>
  </si>
  <si>
    <t>99,89</t>
  </si>
  <si>
    <t>6.000.000.000</t>
  </si>
  <si>
    <t>98,87</t>
  </si>
  <si>
    <t>98,86 / 98,90</t>
  </si>
  <si>
    <t>96,35 / 98,90</t>
  </si>
  <si>
    <t>01.07.2024</t>
  </si>
  <si>
    <t>98,71</t>
  </si>
  <si>
    <t>98,15</t>
  </si>
  <si>
    <t>96,43</t>
  </si>
  <si>
    <t>96,35</t>
  </si>
  <si>
    <t>98,90</t>
  </si>
  <si>
    <t>17.07.2024</t>
  </si>
  <si>
    <t>8.000.000.000</t>
  </si>
  <si>
    <t>10.07.2024</t>
  </si>
  <si>
    <t>0.001 / 0.00%</t>
  </si>
  <si>
    <t>100,056 / 100,12</t>
  </si>
  <si>
    <t>98,80 / 100,47</t>
  </si>
  <si>
    <t>19.11.2022</t>
  </si>
  <si>
    <t>25.10.2022</t>
  </si>
  <si>
    <t>99,33</t>
  </si>
  <si>
    <t>100,31</t>
  </si>
  <si>
    <t>100,47</t>
  </si>
  <si>
    <t>101,18</t>
  </si>
  <si>
    <t>0.19 / 0.19%</t>
  </si>
  <si>
    <t>100,99 / 102,27</t>
  </si>
  <si>
    <t>99,54 / 110,14</t>
  </si>
  <si>
    <t>15.08.2006</t>
  </si>
  <si>
    <t>02.03.2006</t>
  </si>
  <si>
    <t>99,54</t>
  </si>
  <si>
    <t>96,47</t>
  </si>
  <si>
    <t>104,99</t>
  </si>
  <si>
    <t>110,14</t>
  </si>
  <si>
    <t>113,24</t>
  </si>
  <si>
    <t>134,96</t>
  </si>
  <si>
    <t>European Investment Bank (EIB)</t>
  </si>
  <si>
    <t>96,388 / 96,474</t>
  </si>
  <si>
    <t>92,335 / 96,58</t>
  </si>
  <si>
    <t>01.02.2022</t>
  </si>
  <si>
    <t>01.08.2021</t>
  </si>
  <si>
    <t>96,07</t>
  </si>
  <si>
    <t>87,46</t>
  </si>
  <si>
    <t>96,57</t>
  </si>
  <si>
    <t>96,58</t>
  </si>
  <si>
    <t>4.500.000.000</t>
  </si>
  <si>
    <t>99,83 / 100,08</t>
  </si>
  <si>
    <t>96,975 / 102,145</t>
  </si>
  <si>
    <t>15.01.2024</t>
  </si>
  <si>
    <t>06.04.2023</t>
  </si>
  <si>
    <t>95,97</t>
  </si>
  <si>
    <t>12.236.000.000</t>
  </si>
  <si>
    <t>24.01.25 17:26:53</t>
  </si>
  <si>
    <t>96,97</t>
  </si>
  <si>
    <t>96,90 / 97,20</t>
  </si>
  <si>
    <t>94,16 / 100,06</t>
  </si>
  <si>
    <t>31.10.2022</t>
  </si>
  <si>
    <t>14.06.2022</t>
  </si>
  <si>
    <t>95,90</t>
  </si>
  <si>
    <t>89,01</t>
  </si>
  <si>
    <t>106,85</t>
  </si>
  <si>
    <t>23.187.696.000</t>
  </si>
  <si>
    <t>96,83</t>
  </si>
  <si>
    <t>0.145 / 0.15%</t>
  </si>
  <si>
    <t>96,83 / 97,33</t>
  </si>
  <si>
    <t>93,52 / 99,295</t>
  </si>
  <si>
    <t>25.01.2017</t>
  </si>
  <si>
    <t>25.07.2016</t>
  </si>
  <si>
    <t>95,91</t>
  </si>
  <si>
    <t>93,52</t>
  </si>
  <si>
    <t>87,69</t>
  </si>
  <si>
    <t>97,33</t>
  </si>
  <si>
    <t>98,04</t>
  </si>
  <si>
    <t>107,48</t>
  </si>
  <si>
    <t>0.13 / 0.13%</t>
  </si>
  <si>
    <t>97,00 / 97,08</t>
  </si>
  <si>
    <t>94,345 / 98,65</t>
  </si>
  <si>
    <t>20.11.2022</t>
  </si>
  <si>
    <t>28.04.2022</t>
  </si>
  <si>
    <t>96,01</t>
  </si>
  <si>
    <t>93,07</t>
  </si>
  <si>
    <t>97,40</t>
  </si>
  <si>
    <t>98,65</t>
  </si>
  <si>
    <t>101,14</t>
  </si>
  <si>
    <t>5.000.000.000</t>
  </si>
  <si>
    <t>102,24</t>
  </si>
  <si>
    <t>102,22 / 102,63</t>
  </si>
  <si>
    <t>100,68 / 105,63</t>
  </si>
  <si>
    <t>30.05.2024</t>
  </si>
  <si>
    <t>30.05.2023</t>
  </si>
  <si>
    <t>101,27</t>
  </si>
  <si>
    <t>100,68</t>
  </si>
  <si>
    <t>96,87</t>
  </si>
  <si>
    <t>103,25</t>
  </si>
  <si>
    <t>105,63</t>
  </si>
  <si>
    <t>105,66</t>
  </si>
  <si>
    <t>24.01.25 10:56:00</t>
  </si>
  <si>
    <t>0.66 / 0.69%</t>
  </si>
  <si>
    <t>95,20 / 95,79</t>
  </si>
  <si>
    <t>92,78 / 97,81</t>
  </si>
  <si>
    <t>15.11.2018</t>
  </si>
  <si>
    <t>15.05.2018</t>
  </si>
  <si>
    <t>94,62</t>
  </si>
  <si>
    <t>92,78</t>
  </si>
  <si>
    <t>91,09</t>
  </si>
  <si>
    <t>95,89</t>
  </si>
  <si>
    <t>97,81</t>
  </si>
  <si>
    <t>107,05</t>
  </si>
  <si>
    <t>75.002.230.800</t>
  </si>
  <si>
    <t>24.01.25 12:15:56</t>
  </si>
  <si>
    <t>100,94</t>
  </si>
  <si>
    <t>100,94 / 100,94</t>
  </si>
  <si>
    <t>99,42 / 101,50</t>
  </si>
  <si>
    <t>31.07.2024</t>
  </si>
  <si>
    <t>02.08.2023</t>
  </si>
  <si>
    <t>100,88</t>
  </si>
  <si>
    <t>100,14</t>
  </si>
  <si>
    <t>101,50</t>
  </si>
  <si>
    <t>94,99 / 95,165</t>
  </si>
  <si>
    <t>92,19 / 96,72</t>
  </si>
  <si>
    <t>28.08.2019</t>
  </si>
  <si>
    <t>28.08.2018</t>
  </si>
  <si>
    <t>95,60</t>
  </si>
  <si>
    <t>96,65</t>
  </si>
  <si>
    <t>96,72</t>
  </si>
  <si>
    <t>96,80</t>
  </si>
  <si>
    <t>106,09</t>
  </si>
  <si>
    <t>24.01.25 09:23:26</t>
  </si>
  <si>
    <t>73,00</t>
  </si>
  <si>
    <t>73,00 / 73,00</t>
  </si>
  <si>
    <t>55,00 / 74,50</t>
  </si>
  <si>
    <t>17.11.2018</t>
  </si>
  <si>
    <t>17.11.2017</t>
  </si>
  <si>
    <t>63,00</t>
  </si>
  <si>
    <t>60,10</t>
  </si>
  <si>
    <t>55,00</t>
  </si>
  <si>
    <t>74,00</t>
  </si>
  <si>
    <t>74,50</t>
  </si>
  <si>
    <t>88,00</t>
  </si>
  <si>
    <t>107,00</t>
  </si>
  <si>
    <t>VEDES AG</t>
  </si>
  <si>
    <t>12.500.148</t>
  </si>
  <si>
    <t>16.11.2017</t>
  </si>
  <si>
    <t>87,75</t>
  </si>
  <si>
    <t>87,70 / 88,80</t>
  </si>
  <si>
    <t>83,55 / 89,55</t>
  </si>
  <si>
    <t>29.05.2020</t>
  </si>
  <si>
    <t>29.05.2019</t>
  </si>
  <si>
    <t>87,30</t>
  </si>
  <si>
    <t>85,45</t>
  </si>
  <si>
    <t>83,55</t>
  </si>
  <si>
    <t>78,75</t>
  </si>
  <si>
    <t>77,95</t>
  </si>
  <si>
    <t>88,80</t>
  </si>
  <si>
    <t>89,55</t>
  </si>
  <si>
    <t>5.900.000</t>
  </si>
  <si>
    <t>24.01.25 10:16:49</t>
  </si>
  <si>
    <t>0.50 / 0.51%</t>
  </si>
  <si>
    <t>97,75 / 99,50</t>
  </si>
  <si>
    <t>97,75 / 100,25</t>
  </si>
  <si>
    <t>17.03.2025</t>
  </si>
  <si>
    <t>16.12.2024</t>
  </si>
  <si>
    <t>97,75</t>
  </si>
  <si>
    <t>Equipe Holdings 3 B.V.</t>
  </si>
  <si>
    <t>250.000.000</t>
  </si>
  <si>
    <t>100,70 / 100,905</t>
  </si>
  <si>
    <t>99,44 / 105,135</t>
  </si>
  <si>
    <t>30.04.2024</t>
  </si>
  <si>
    <t>99,44</t>
  </si>
  <si>
    <t>101,12</t>
  </si>
  <si>
    <t>70.332.305.800</t>
  </si>
  <si>
    <t>91,934 / 95,164</t>
  </si>
  <si>
    <t>89,869 / 95,80</t>
  </si>
  <si>
    <t>04.01.1998</t>
  </si>
  <si>
    <t>91,40</t>
  </si>
  <si>
    <t>14.316.172.674</t>
  </si>
  <si>
    <t>323.000.000</t>
  </si>
  <si>
    <t>61,53</t>
  </si>
  <si>
    <t>0.27 / 0.44%</t>
  </si>
  <si>
    <t>61,29 / 61,53</t>
  </si>
  <si>
    <t>60,08 / 71,92</t>
  </si>
  <si>
    <t>60,08</t>
  </si>
  <si>
    <t>57,25</t>
  </si>
  <si>
    <t>62,50</t>
  </si>
  <si>
    <t>66,92</t>
  </si>
  <si>
    <t>71,92</t>
  </si>
  <si>
    <t>77,26</t>
  </si>
  <si>
    <t>104,06</t>
  </si>
  <si>
    <t>63.331.356.800</t>
  </si>
  <si>
    <t>06.08.2019</t>
  </si>
  <si>
    <t>24.01.25 17:26:52</t>
  </si>
  <si>
    <t>101,41 / 101,615</t>
  </si>
  <si>
    <t>99,58 / 102,85</t>
  </si>
  <si>
    <t>15.12.2023</t>
  </si>
  <si>
    <t>24.04.2023</t>
  </si>
  <si>
    <t>100,77</t>
  </si>
  <si>
    <t>102,19</t>
  </si>
  <si>
    <t>102,85</t>
  </si>
  <si>
    <t>European Financial Stability Facility [EFSF]</t>
  </si>
  <si>
    <t>18.04.2023</t>
  </si>
  <si>
    <t>101,82 / 102,00</t>
  </si>
  <si>
    <t>99,47 / 105,59</t>
  </si>
  <si>
    <t>03.09.2025</t>
  </si>
  <si>
    <t>03.09.2024</t>
  </si>
  <si>
    <t>100,61</t>
  </si>
  <si>
    <t>103,28</t>
  </si>
  <si>
    <t>105,59</t>
  </si>
  <si>
    <t>99,993 / 100,303</t>
  </si>
  <si>
    <t>98,30 / 102,927</t>
  </si>
  <si>
    <t>15.11.2024</t>
  </si>
  <si>
    <t>28.07.2023</t>
  </si>
  <si>
    <t>99,68</t>
  </si>
  <si>
    <t>98,30</t>
  </si>
  <si>
    <t>96,61</t>
  </si>
  <si>
    <t>102,80</t>
  </si>
  <si>
    <t>24.01.25 11:04:30</t>
  </si>
  <si>
    <t>0.045 / 0.05%</t>
  </si>
  <si>
    <t>99,795 / 100,02</t>
  </si>
  <si>
    <t>99,63 / 100,89</t>
  </si>
  <si>
    <t>25.07.2024</t>
  </si>
  <si>
    <t>25.01.2024</t>
  </si>
  <si>
    <t>Hessen, Land</t>
  </si>
  <si>
    <t>24.01.25 15:13:48</t>
  </si>
  <si>
    <t>0.36 / 0.36%</t>
  </si>
  <si>
    <t>99,45 / 99,86</t>
  </si>
  <si>
    <t>98,30 / 101,10</t>
  </si>
  <si>
    <t>27.08.2025</t>
  </si>
  <si>
    <t>27.08.2024</t>
  </si>
  <si>
    <t>100,54</t>
  </si>
  <si>
    <t>23.08.2024</t>
  </si>
  <si>
    <t>99,00 / 99,42</t>
  </si>
  <si>
    <t>98,36 / 99,64</t>
  </si>
  <si>
    <t>17.01.2026</t>
  </si>
  <si>
    <t>98,36</t>
  </si>
  <si>
    <t>98,819 / 98,992</t>
  </si>
  <si>
    <t>95,575 / 98,992</t>
  </si>
  <si>
    <t>27.06.2020</t>
  </si>
  <si>
    <t>27.09.2019</t>
  </si>
  <si>
    <t>91,46</t>
  </si>
  <si>
    <t>Continental AG</t>
  </si>
  <si>
    <t>0.002 / 0.00%</t>
  </si>
  <si>
    <t>97,50 / 97,61</t>
  </si>
  <si>
    <t>94,01 / 97,61</t>
  </si>
  <si>
    <t>11.01.2022</t>
  </si>
  <si>
    <t>11.01.2021</t>
  </si>
  <si>
    <t>96,76</t>
  </si>
  <si>
    <t>95,50</t>
  </si>
  <si>
    <t>94,01</t>
  </si>
  <si>
    <t>90,15</t>
  </si>
  <si>
    <t>89,79</t>
  </si>
  <si>
    <t>99,37</t>
  </si>
  <si>
    <t>97,10</t>
  </si>
  <si>
    <t>97,05 / 97,20</t>
  </si>
  <si>
    <t>93,25 / 97,75</t>
  </si>
  <si>
    <t>08.09.2023</t>
  </si>
  <si>
    <t>93,25</t>
  </si>
  <si>
    <t>89,00</t>
  </si>
  <si>
    <t>24.01.25 17:00:22</t>
  </si>
  <si>
    <t>96,05 / 97,00</t>
  </si>
  <si>
    <t>89,04 / 97,00</t>
  </si>
  <si>
    <t>25.01.2006</t>
  </si>
  <si>
    <t>25.01.2005</t>
  </si>
  <si>
    <t>94,15</t>
  </si>
  <si>
    <t>89,61</t>
  </si>
  <si>
    <t>89,04</t>
  </si>
  <si>
    <t>75,00</t>
  </si>
  <si>
    <t>97,00</t>
  </si>
  <si>
    <t>102,28</t>
  </si>
  <si>
    <t>AXA S.A.</t>
  </si>
  <si>
    <t>24.01.25 09:36:42</t>
  </si>
  <si>
    <t>100,87</t>
  </si>
  <si>
    <t>0.68 / 0.68%</t>
  </si>
  <si>
    <t>100,22 / 100,87</t>
  </si>
  <si>
    <t>99,71 / 100,87</t>
  </si>
  <si>
    <t>18.03.2025</t>
  </si>
  <si>
    <t>16.01.2025</t>
  </si>
  <si>
    <t>24.01.25 17:00:17</t>
  </si>
  <si>
    <t>98,52</t>
  </si>
  <si>
    <t>98,50 / 98,66</t>
  </si>
  <si>
    <t>96,785 / 98,84</t>
  </si>
  <si>
    <t>16.10.2019</t>
  </si>
  <si>
    <t>16.10.2018</t>
  </si>
  <si>
    <t>98,77</t>
  </si>
  <si>
    <t>98,84</t>
  </si>
  <si>
    <t>98,67</t>
  </si>
  <si>
    <t>98,55 / 98,83</t>
  </si>
  <si>
    <t>97,47 / 103,28</t>
  </si>
  <si>
    <t>25.05.2023</t>
  </si>
  <si>
    <t>25.05.2022</t>
  </si>
  <si>
    <t>101,97</t>
  </si>
  <si>
    <t>105,33</t>
  </si>
  <si>
    <t>42.504.000.000</t>
  </si>
  <si>
    <t>13.04.2023</t>
  </si>
  <si>
    <t>100,44</t>
  </si>
  <si>
    <t>100,29 / 100,78</t>
  </si>
  <si>
    <t>98,38 / 103,39</t>
  </si>
  <si>
    <t>12.01.2024</t>
  </si>
  <si>
    <t>12.01.2023</t>
  </si>
  <si>
    <t>99,76</t>
  </si>
  <si>
    <t>98,38</t>
  </si>
  <si>
    <t>103,39</t>
  </si>
  <si>
    <t>09.01.2023</t>
  </si>
  <si>
    <t>24.01.25 12:39:26</t>
  </si>
  <si>
    <t>104,40</t>
  </si>
  <si>
    <t>103,50 / 104,40</t>
  </si>
  <si>
    <t>100,00 / 105,00</t>
  </si>
  <si>
    <t>18.12.2025</t>
  </si>
  <si>
    <t>18.12.2024</t>
  </si>
  <si>
    <t>100,10</t>
  </si>
  <si>
    <t>105,00</t>
  </si>
  <si>
    <t>Netfonds AG</t>
  </si>
  <si>
    <t>30.000.000</t>
  </si>
  <si>
    <t>15.000.000</t>
  </si>
  <si>
    <t>BANKHAUS SCHEICH WERTPAPIERSPEZ. AG</t>
  </si>
  <si>
    <t>100,55</t>
  </si>
  <si>
    <t>0.21 / 0.21%</t>
  </si>
  <si>
    <t>100,395 / 100,71</t>
  </si>
  <si>
    <t>98,37 / 102,90</t>
  </si>
  <si>
    <t>98,37</t>
  </si>
  <si>
    <t>96,27</t>
  </si>
  <si>
    <t>100,71</t>
  </si>
  <si>
    <t>101,48</t>
  </si>
  <si>
    <t>102,90</t>
  </si>
  <si>
    <t>24.01.25 15:31:07</t>
  </si>
  <si>
    <t>99,56 / 99,79</t>
  </si>
  <si>
    <t>97,80 / 103,55</t>
  </si>
  <si>
    <t>04.12.2024</t>
  </si>
  <si>
    <t>98,57</t>
  </si>
  <si>
    <t>97,80</t>
  </si>
  <si>
    <t>101,16</t>
  </si>
  <si>
    <t>103,55</t>
  </si>
  <si>
    <t>15.906.000.000</t>
  </si>
  <si>
    <t>29.02.2024</t>
  </si>
  <si>
    <t>24.01.25 17:27:51</t>
  </si>
  <si>
    <t>99,22</t>
  </si>
  <si>
    <t>99,18 / 99,32</t>
  </si>
  <si>
    <t>29.01.2026</t>
  </si>
  <si>
    <t>29.01.2025</t>
  </si>
  <si>
    <t>96,345 / 96,445</t>
  </si>
  <si>
    <t>93,335 / 96,90</t>
  </si>
  <si>
    <t>22.02.2018</t>
  </si>
  <si>
    <t>21.02.2017</t>
  </si>
  <si>
    <t>94,60</t>
  </si>
  <si>
    <t>89,77</t>
  </si>
  <si>
    <t>96,85</t>
  </si>
  <si>
    <t>96,90</t>
  </si>
  <si>
    <t>24.01.25 15:20:19</t>
  </si>
  <si>
    <t>99,62</t>
  </si>
  <si>
    <t>0.14 / 0.14%</t>
  </si>
  <si>
    <t>99,455 / 99,62</t>
  </si>
  <si>
    <t>97,55 / 101,58</t>
  </si>
  <si>
    <t>98,66</t>
  </si>
  <si>
    <t>Nordic Investment Bank</t>
  </si>
  <si>
    <t>24.01.25 15:43:12</t>
  </si>
  <si>
    <t>74,99</t>
  </si>
  <si>
    <t>24.01.25 17:18:39</t>
  </si>
  <si>
    <t>0.49 / 0.66%</t>
  </si>
  <si>
    <t>73,75 / 74,99</t>
  </si>
  <si>
    <t>24,00 / 97,00</t>
  </si>
  <si>
    <t>22.04.2021</t>
  </si>
  <si>
    <t>22.10.2020</t>
  </si>
  <si>
    <t>24,00</t>
  </si>
  <si>
    <t>108,00</t>
  </si>
  <si>
    <t>Pierer Industrie AG</t>
  </si>
  <si>
    <t>102,00</t>
  </si>
  <si>
    <t>101,50 / 102,55</t>
  </si>
  <si>
    <t>97,50 / 106,25</t>
  </si>
  <si>
    <t>08.11.2024</t>
  </si>
  <si>
    <t>08.05.2024</t>
  </si>
  <si>
    <t>97,50</t>
  </si>
  <si>
    <t>105,10</t>
  </si>
  <si>
    <t>ABO Energy GmbH &amp; Co. KGaA</t>
  </si>
  <si>
    <t>80.000.000</t>
  </si>
  <si>
    <t>100,50 / 101,15</t>
  </si>
  <si>
    <t>96,50 / 103,50</t>
  </si>
  <si>
    <t>11.01.2025</t>
  </si>
  <si>
    <t>11.07.2024</t>
  </si>
  <si>
    <t>99,60</t>
  </si>
  <si>
    <t>98,00</t>
  </si>
  <si>
    <t>96,50</t>
  </si>
  <si>
    <t>103,50</t>
  </si>
  <si>
    <t>The Platform Group AG</t>
  </si>
  <si>
    <t>70.000.000</t>
  </si>
  <si>
    <t>02.07.2024</t>
  </si>
  <si>
    <t>101,655 / 102,26</t>
  </si>
  <si>
    <t>99,985 / 103,345</t>
  </si>
  <si>
    <t>20.09.2023</t>
  </si>
  <si>
    <t>20.09.2022</t>
  </si>
  <si>
    <t>102,86</t>
  </si>
  <si>
    <t>Fresenius Medical Care AG</t>
  </si>
  <si>
    <t>14.09.2022</t>
  </si>
  <si>
    <t>83,605 / 83,91</t>
  </si>
  <si>
    <t>79,45 / 86,06</t>
  </si>
  <si>
    <t>18.10.2021</t>
  </si>
  <si>
    <t>83,30</t>
  </si>
  <si>
    <t>83,02</t>
  </si>
  <si>
    <t>81,85</t>
  </si>
  <si>
    <t>79,45</t>
  </si>
  <si>
    <t>75,77</t>
  </si>
  <si>
    <t>86,06</t>
  </si>
  <si>
    <t>86,63</t>
  </si>
  <si>
    <t>97,03</t>
  </si>
  <si>
    <t>8.893.470.000</t>
  </si>
  <si>
    <t>07.01.2021</t>
  </si>
  <si>
    <t>24.01.25 12:11:25</t>
  </si>
  <si>
    <t>99,38</t>
  </si>
  <si>
    <t>0.011 / 0.01%</t>
  </si>
  <si>
    <t>99,38 / 99,38</t>
  </si>
  <si>
    <t>96,84 / 99,38</t>
  </si>
  <si>
    <t>19.07.2023</t>
  </si>
  <si>
    <t>19.07.2022</t>
  </si>
  <si>
    <t>99,01</t>
  </si>
  <si>
    <t>97,94</t>
  </si>
  <si>
    <t>96,84</t>
  </si>
  <si>
    <t>94,11</t>
  </si>
  <si>
    <t>99,91</t>
  </si>
  <si>
    <t>20.07.2022</t>
  </si>
  <si>
    <t>98,713 / 99,081</t>
  </si>
  <si>
    <t>97,18 / 102,745</t>
  </si>
  <si>
    <t>13.01.2023</t>
  </si>
  <si>
    <t>97,18</t>
  </si>
  <si>
    <t>94,52</t>
  </si>
  <si>
    <t>38.250.000.000</t>
  </si>
  <si>
    <t>97,85 / 97,90</t>
  </si>
  <si>
    <t>93,75 / 98,05</t>
  </si>
  <si>
    <t>27.04.2019</t>
  </si>
  <si>
    <t>27.04.2018</t>
  </si>
  <si>
    <t>102,45</t>
  </si>
  <si>
    <t>24.01.25 14:31:25</t>
  </si>
  <si>
    <t>0.775 / 0.80%</t>
  </si>
  <si>
    <t>96,61 / 97,33</t>
  </si>
  <si>
    <t>94,355 / 97,74</t>
  </si>
  <si>
    <t>12.10.2017</t>
  </si>
  <si>
    <t>12.04.2017</t>
  </si>
  <si>
    <t>95,44</t>
  </si>
  <si>
    <t>105,85</t>
  </si>
  <si>
    <t>Landwirtschaftliche Rentenbank</t>
  </si>
  <si>
    <t>1.505.000.000</t>
  </si>
  <si>
    <t>AUD</t>
  </si>
  <si>
    <t>24.01.25 14:21:44</t>
  </si>
  <si>
    <t>95,80 / 95,80</t>
  </si>
  <si>
    <t>92,11 / 96,12</t>
  </si>
  <si>
    <t>15.12.2021</t>
  </si>
  <si>
    <t>15.03.2021</t>
  </si>
  <si>
    <t>92,11</t>
  </si>
  <si>
    <t>88,21</t>
  </si>
  <si>
    <t>96,02</t>
  </si>
  <si>
    <t>96,12</t>
  </si>
  <si>
    <t>100,49</t>
  </si>
  <si>
    <t>EuropÃ¤ischer StabilitÃ¤tsmechanismus [ESM]</t>
  </si>
  <si>
    <t>10.03.2021</t>
  </si>
  <si>
    <t>24.01.25 11:38:52</t>
  </si>
  <si>
    <t>103,48</t>
  </si>
  <si>
    <t>103,48 / 103,99</t>
  </si>
  <si>
    <t>99,81 / 105,18</t>
  </si>
  <si>
    <t>26.08.2023</t>
  </si>
  <si>
    <t>26.05.2023</t>
  </si>
  <si>
    <t>102,72</t>
  </si>
  <si>
    <t>102,61</t>
  </si>
  <si>
    <t>99,81</t>
  </si>
  <si>
    <t>104,05</t>
  </si>
  <si>
    <t>105,01</t>
  </si>
  <si>
    <t>105,18</t>
  </si>
  <si>
    <t>24.01.25 14:11:51</t>
  </si>
  <si>
    <t>102,68 / 102,77</t>
  </si>
  <si>
    <t>100,64 / 104,96</t>
  </si>
  <si>
    <t>01.03.2024</t>
  </si>
  <si>
    <t>100,64</t>
  </si>
  <si>
    <t>103,61</t>
  </si>
  <si>
    <t>104,96</t>
  </si>
  <si>
    <t>E.ON SE</t>
  </si>
  <si>
    <t>24.08.2023</t>
  </si>
  <si>
    <t>0.08 / 0.08%</t>
  </si>
  <si>
    <t>96,465 / 96,571</t>
  </si>
  <si>
    <t>92,34 / 96,92</t>
  </si>
  <si>
    <t>15.12.2020</t>
  </si>
  <si>
    <t>16.09.2020</t>
  </si>
  <si>
    <t>95,01</t>
  </si>
  <si>
    <t>92,34</t>
  </si>
  <si>
    <t>87,35</t>
  </si>
  <si>
    <t>96,92</t>
  </si>
  <si>
    <t>101,05</t>
  </si>
  <si>
    <t>101,00 / 101,29</t>
  </si>
  <si>
    <t>98,545 / 102,41</t>
  </si>
  <si>
    <t>12.01.2025</t>
  </si>
  <si>
    <t>100,26</t>
  </si>
  <si>
    <t>102,41</t>
  </si>
  <si>
    <t>97,185 / 97,285</t>
  </si>
  <si>
    <t>94,47 / 97,722</t>
  </si>
  <si>
    <t>20.10.2016</t>
  </si>
  <si>
    <t>23.02.2016</t>
  </si>
  <si>
    <t>96,98</t>
  </si>
  <si>
    <t>94,47</t>
  </si>
  <si>
    <t>91,42</t>
  </si>
  <si>
    <t>Ã–sterreich, Republik</t>
  </si>
  <si>
    <t>16.405.895.000</t>
  </si>
  <si>
    <t>108,13</t>
  </si>
  <si>
    <t>108,13 / 108,87</t>
  </si>
  <si>
    <t>104,69 / 112,00</t>
  </si>
  <si>
    <t>21.11.2024</t>
  </si>
  <si>
    <t>21.11.2023</t>
  </si>
  <si>
    <t>107,49</t>
  </si>
  <si>
    <t>106,13</t>
  </si>
  <si>
    <t>104,69</t>
  </si>
  <si>
    <t>109,76</t>
  </si>
  <si>
    <t>112,00</t>
  </si>
  <si>
    <t>Heidelberg Materials Finance Luxembourg S.A.</t>
  </si>
  <si>
    <t>15.11.2023</t>
  </si>
  <si>
    <t>106,805 / 107,45</t>
  </si>
  <si>
    <t>105,615 / 108,27</t>
  </si>
  <si>
    <t>27.06.2008</t>
  </si>
  <si>
    <t>27.06.2007</t>
  </si>
  <si>
    <t>108,02</t>
  </si>
  <si>
    <t>108,15</t>
  </si>
  <si>
    <t>108,27</t>
  </si>
  <si>
    <t>109,90</t>
  </si>
  <si>
    <t>118,90</t>
  </si>
  <si>
    <t>Schweizerische Eidgenossenschaft</t>
  </si>
  <si>
    <t>3.080.520.000</t>
  </si>
  <si>
    <t>2.865.520.000</t>
  </si>
  <si>
    <t>CHF</t>
  </si>
  <si>
    <t>24.01.25 17:26:54</t>
  </si>
  <si>
    <t>103,185 / 103,39</t>
  </si>
  <si>
    <t>101,415 / 105,07</t>
  </si>
  <si>
    <t>31.05.2024</t>
  </si>
  <si>
    <t>10.10.2023</t>
  </si>
  <si>
    <t>102,87</t>
  </si>
  <si>
    <t>104,26</t>
  </si>
  <si>
    <t>105,07</t>
  </si>
  <si>
    <t>24.054.544.000</t>
  </si>
  <si>
    <t>101,62</t>
  </si>
  <si>
    <t>101,62 / 102,44</t>
  </si>
  <si>
    <t>98,03 / 104,25</t>
  </si>
  <si>
    <t>31.05.2023</t>
  </si>
  <si>
    <t>20.01.2023</t>
  </si>
  <si>
    <t>101,00</t>
  </si>
  <si>
    <t>100,12</t>
  </si>
  <si>
    <t>98,03</t>
  </si>
  <si>
    <t>102,71</t>
  </si>
  <si>
    <t>104,25</t>
  </si>
  <si>
    <t>101,06</t>
  </si>
  <si>
    <t>101,03 / 101,70</t>
  </si>
  <si>
    <t>99,90 / 102,25</t>
  </si>
  <si>
    <t>22.11.2023</t>
  </si>
  <si>
    <t>22.11.2022</t>
  </si>
  <si>
    <t>99,90</t>
  </si>
  <si>
    <t>98,59</t>
  </si>
  <si>
    <t>102,25</t>
  </si>
  <si>
    <t>102,68</t>
  </si>
  <si>
    <t>EnBW International Finance B.V.</t>
  </si>
  <si>
    <t>91,69</t>
  </si>
  <si>
    <t>91,63 / 91,88</t>
  </si>
  <si>
    <t>89,83 / 94,195</t>
  </si>
  <si>
    <t>25.05.2016</t>
  </si>
  <si>
    <t>25.05.2015</t>
  </si>
  <si>
    <t>90,75</t>
  </si>
  <si>
    <t>89,83</t>
  </si>
  <si>
    <t>87,52</t>
  </si>
  <si>
    <t>92,49</t>
  </si>
  <si>
    <t>95,27</t>
  </si>
  <si>
    <t>112,28</t>
  </si>
  <si>
    <t>61.915.000.000</t>
  </si>
  <si>
    <t>100,263 / 100,834</t>
  </si>
  <si>
    <t>100,035 / 102,911</t>
  </si>
  <si>
    <t>11.10.2025</t>
  </si>
  <si>
    <t>18.07.2024</t>
  </si>
  <si>
    <t>24.000.000.000</t>
  </si>
  <si>
    <t>24.01.25 17:26:55</t>
  </si>
  <si>
    <t>100,437 / 100,57</t>
  </si>
  <si>
    <t>98,935 / 101,12</t>
  </si>
  <si>
    <t>16.05.2023</t>
  </si>
  <si>
    <t>14.108.000.000</t>
  </si>
  <si>
    <t>24.01.25 15:12:15</t>
  </si>
  <si>
    <t>99,69 / 100,16</t>
  </si>
  <si>
    <t>99,69 / 100,63</t>
  </si>
  <si>
    <t>22.01.2026</t>
  </si>
  <si>
    <t>24.01.25 10:38:32</t>
  </si>
  <si>
    <t>99,85</t>
  </si>
  <si>
    <t>99,85 / 99,85</t>
  </si>
  <si>
    <t>96,56 / 103,77</t>
  </si>
  <si>
    <t>29.01.2024</t>
  </si>
  <si>
    <t>96,56</t>
  </si>
  <si>
    <t>101,20</t>
  </si>
  <si>
    <t>103,77</t>
  </si>
  <si>
    <t>103,35</t>
  </si>
  <si>
    <t>0.35 / 0.34%</t>
  </si>
  <si>
    <t>103,00 / 104,00</t>
  </si>
  <si>
    <t>101,75 / 106,00</t>
  </si>
  <si>
    <t>31.12.2023</t>
  </si>
  <si>
    <t>12.07.2023</t>
  </si>
  <si>
    <t>101,75</t>
  </si>
  <si>
    <t>104,00</t>
  </si>
  <si>
    <t>104,90</t>
  </si>
  <si>
    <t>106,00</t>
  </si>
  <si>
    <t>DEAG Deutsche Entertainment AG</t>
  </si>
  <si>
    <t>95,26</t>
  </si>
  <si>
    <t>95,23 / 95,46</t>
  </si>
  <si>
    <t>91,51 / 95,67</t>
  </si>
  <si>
    <t>31.01.2022</t>
  </si>
  <si>
    <t>26.10.2021</t>
  </si>
  <si>
    <t>94,43</t>
  </si>
  <si>
    <t>92,99</t>
  </si>
  <si>
    <t>91,51</t>
  </si>
  <si>
    <t>95,54</t>
  </si>
  <si>
    <t>95,67</t>
  </si>
  <si>
    <t>22.790.169.000</t>
  </si>
  <si>
    <t>01.11.2021</t>
  </si>
  <si>
    <t>0.26 / 0.26%</t>
  </si>
  <si>
    <t>100,46 / 100,69</t>
  </si>
  <si>
    <t>99,545 / 106,78</t>
  </si>
  <si>
    <t>30.11.2024</t>
  </si>
  <si>
    <t>103,10</t>
  </si>
  <si>
    <t>106,78</t>
  </si>
  <si>
    <t>46.609.832.500</t>
  </si>
  <si>
    <t>29.05.2024</t>
  </si>
  <si>
    <t>0.125 / 0.13%</t>
  </si>
  <si>
    <t>99,836 / 100,342</t>
  </si>
  <si>
    <t>99,503 / 103,279</t>
  </si>
  <si>
    <t>15.08.1995</t>
  </si>
  <si>
    <t>15.02.1995</t>
  </si>
  <si>
    <t>107,28</t>
  </si>
  <si>
    <t>119,03</t>
  </si>
  <si>
    <t>11.725.170.000</t>
  </si>
  <si>
    <t>9.509.170.000</t>
  </si>
  <si>
    <t>97,12</t>
  </si>
  <si>
    <t>0.20 / 0.21%</t>
  </si>
  <si>
    <t>96,98 / 97,12</t>
  </si>
  <si>
    <t>94,71 / 100,18</t>
  </si>
  <si>
    <t>12.04.2023</t>
  </si>
  <si>
    <t>94,71</t>
  </si>
  <si>
    <t>93,18</t>
  </si>
  <si>
    <t>97,32</t>
  </si>
  <si>
    <t>98,01</t>
  </si>
  <si>
    <t>100,18</t>
  </si>
  <si>
    <t>International Bank for Reconstruction and Development</t>
  </si>
  <si>
    <t>11.04.2023</t>
  </si>
  <si>
    <t>97,15</t>
  </si>
  <si>
    <t>0.26 / 0.27%</t>
  </si>
  <si>
    <t>96,82 / 97,18</t>
  </si>
  <si>
    <t>94,19 / 100,89</t>
  </si>
  <si>
    <t>15.05.2025</t>
  </si>
  <si>
    <t>94,19</t>
  </si>
  <si>
    <t>97,78</t>
  </si>
  <si>
    <t>91.485.670.200</t>
  </si>
  <si>
    <t>100,01 / 100,05</t>
  </si>
  <si>
    <t>99,44 / 100,16</t>
  </si>
  <si>
    <t>27.03.2021</t>
  </si>
  <si>
    <t>27.03.2020</t>
  </si>
  <si>
    <t>98,32</t>
  </si>
  <si>
    <t>97,79</t>
  </si>
  <si>
    <t>109,77</t>
  </si>
  <si>
    <t>2.000.000.000</t>
  </si>
  <si>
    <t>27.03.2025</t>
  </si>
  <si>
    <t>24.01.25 15:16:52</t>
  </si>
  <si>
    <t>0.025 / 0.02%</t>
  </si>
  <si>
    <t>99,78 / 100,475</t>
  </si>
  <si>
    <t>99,78 / 100,60</t>
  </si>
  <si>
    <t>28.07.2025</t>
  </si>
  <si>
    <t>28.01.2025</t>
  </si>
  <si>
    <t>99,78</t>
  </si>
  <si>
    <t>100,60</t>
  </si>
  <si>
    <t>Saskatchewan, Provinz</t>
  </si>
  <si>
    <t>0.033 / 0.03%</t>
  </si>
  <si>
    <t>98,381 / 98,433</t>
  </si>
  <si>
    <t>95,87 / 98,65</t>
  </si>
  <si>
    <t>31.07.2019</t>
  </si>
  <si>
    <t>31.01.2019</t>
  </si>
  <si>
    <t>97,89</t>
  </si>
  <si>
    <t>97,04</t>
  </si>
  <si>
    <t>95,87</t>
  </si>
  <si>
    <t>94,28</t>
  </si>
  <si>
    <t>93,86</t>
  </si>
  <si>
    <t>104,64</t>
  </si>
  <si>
    <t>31.000.104.200</t>
  </si>
  <si>
    <t>0.235 / 0.24%</t>
  </si>
  <si>
    <t>99,785 / 99,975</t>
  </si>
  <si>
    <t>98,67 / 100,115</t>
  </si>
  <si>
    <t>15.07.2025</t>
  </si>
  <si>
    <t>24.01.25 17:03:28</t>
  </si>
  <si>
    <t>97,73 / 97,77</t>
  </si>
  <si>
    <t>94,88 / 97,87</t>
  </si>
  <si>
    <t>02.03.2017</t>
  </si>
  <si>
    <t>02.03.2016</t>
  </si>
  <si>
    <t>97,54</t>
  </si>
  <si>
    <t>97,22</t>
  </si>
  <si>
    <t>94,88</t>
  </si>
  <si>
    <t>91,44</t>
  </si>
  <si>
    <t>97,87</t>
  </si>
  <si>
    <t>102,64</t>
  </si>
  <si>
    <t>5.500.000.000</t>
  </si>
  <si>
    <t>24.02.2016</t>
  </si>
  <si>
    <t>24.01.25 14:27:01</t>
  </si>
  <si>
    <t>101,915 / 102,115</t>
  </si>
  <si>
    <t>100,115 / 104,485</t>
  </si>
  <si>
    <t>04.12.2023</t>
  </si>
  <si>
    <t>19.09.2023</t>
  </si>
  <si>
    <t>97,27</t>
  </si>
  <si>
    <t>103,11</t>
  </si>
  <si>
    <t>15.369.000.000</t>
  </si>
  <si>
    <t>93,675 / 94,005</t>
  </si>
  <si>
    <t>89,505 / 95,885</t>
  </si>
  <si>
    <t>22.05.2019</t>
  </si>
  <si>
    <t>22.05.2018</t>
  </si>
  <si>
    <t>92,41</t>
  </si>
  <si>
    <t>82,56</t>
  </si>
  <si>
    <t>108,16</t>
  </si>
  <si>
    <t>BASF SE</t>
  </si>
  <si>
    <t>83,76</t>
  </si>
  <si>
    <t>83,70 / 84,00</t>
  </si>
  <si>
    <t>80,61 / 85,85</t>
  </si>
  <si>
    <t>22.06.2021</t>
  </si>
  <si>
    <t>83,10</t>
  </si>
  <si>
    <t>82,40</t>
  </si>
  <si>
    <t>80,61</t>
  </si>
  <si>
    <t>76,05</t>
  </si>
  <si>
    <t>84,64</t>
  </si>
  <si>
    <t>85,85</t>
  </si>
  <si>
    <t>17.06.2021</t>
  </si>
  <si>
    <t>92,14</t>
  </si>
  <si>
    <t>92,115 / 92,31</t>
  </si>
  <si>
    <t>88,92 / 93,43</t>
  </si>
  <si>
    <t>20.02.2020</t>
  </si>
  <si>
    <t>05.02.2019</t>
  </si>
  <si>
    <t>90,80</t>
  </si>
  <si>
    <t>90,55</t>
  </si>
  <si>
    <t>88,92</t>
  </si>
  <si>
    <t>93,43</t>
  </si>
  <si>
    <t>103,95</t>
  </si>
  <si>
    <t>15.091.577.000</t>
  </si>
  <si>
    <t>67,00</t>
  </si>
  <si>
    <t>67,00 / 70,00</t>
  </si>
  <si>
    <t>60,00 / 89,00</t>
  </si>
  <si>
    <t>05.02.2022</t>
  </si>
  <si>
    <t>05.02.2021</t>
  </si>
  <si>
    <t>62,60</t>
  </si>
  <si>
    <t>60,00</t>
  </si>
  <si>
    <t>82,00</t>
  </si>
  <si>
    <t>86,00</t>
  </si>
  <si>
    <t>92,00</t>
  </si>
  <si>
    <t>PANDION AG</t>
  </si>
  <si>
    <t>45.000.000</t>
  </si>
  <si>
    <t>27.01.2021</t>
  </si>
  <si>
    <t>86,45</t>
  </si>
  <si>
    <t>0.30 / 0.35%</t>
  </si>
  <si>
    <t>85,99 / 86,52</t>
  </si>
  <si>
    <t>84,41 / 100,58</t>
  </si>
  <si>
    <t>15.05.2023</t>
  </si>
  <si>
    <t>15.11.2022</t>
  </si>
  <si>
    <t>84,41</t>
  </si>
  <si>
    <t>82,42</t>
  </si>
  <si>
    <t>87,72</t>
  </si>
  <si>
    <t>94,13</t>
  </si>
  <si>
    <t>109,02</t>
  </si>
  <si>
    <t>110,95</t>
  </si>
  <si>
    <t>64.339.912.000</t>
  </si>
  <si>
    <t>102,55 / 102,93</t>
  </si>
  <si>
    <t>100,34 / 105,94</t>
  </si>
  <si>
    <t>13.02.2024</t>
  </si>
  <si>
    <t>13.02.2023</t>
  </si>
  <si>
    <t>101,64</t>
  </si>
  <si>
    <t>92,60</t>
  </si>
  <si>
    <t>105,94</t>
  </si>
  <si>
    <t>24.01.25 13:40:02</t>
  </si>
  <si>
    <t>0.008 / 0.01%</t>
  </si>
  <si>
    <t>101,485 / 101,761</t>
  </si>
  <si>
    <t>101,007 / 102,245</t>
  </si>
  <si>
    <t>25.03.2024</t>
  </si>
  <si>
    <t>25.09.2023</t>
  </si>
  <si>
    <t>102,07</t>
  </si>
  <si>
    <t>102,40</t>
  </si>
  <si>
    <t>24.01.25 12:48:37</t>
  </si>
  <si>
    <t>101,34</t>
  </si>
  <si>
    <t>0.65 / 0.65%</t>
  </si>
  <si>
    <t>100,73 / 101,34</t>
  </si>
  <si>
    <t>96,53 / 104,50</t>
  </si>
  <si>
    <t>25.03.2025</t>
  </si>
  <si>
    <t>101,43</t>
  </si>
  <si>
    <t>104,50</t>
  </si>
  <si>
    <t>21.03.2024</t>
  </si>
  <si>
    <t>91,49</t>
  </si>
  <si>
    <t>91,45 / 91,885</t>
  </si>
  <si>
    <t>88,68 / 92,61</t>
  </si>
  <si>
    <t>16.01.2016</t>
  </si>
  <si>
    <t>88,68</t>
  </si>
  <si>
    <t>82,03</t>
  </si>
  <si>
    <t>92,61</t>
  </si>
  <si>
    <t>105,92</t>
  </si>
  <si>
    <t>Volkswagen International Finance N.V.</t>
  </si>
  <si>
    <t>100,15 / 100,59</t>
  </si>
  <si>
    <t>97,82 / 106,25</t>
  </si>
  <si>
    <t>99,10</t>
  </si>
  <si>
    <t>97,82</t>
  </si>
  <si>
    <t>102,57</t>
  </si>
  <si>
    <t>4.150.000.000</t>
  </si>
  <si>
    <t>24.01.25 12:16:36</t>
  </si>
  <si>
    <t>100,14 / 100,14</t>
  </si>
  <si>
    <t>98,90 / 100,25</t>
  </si>
  <si>
    <t>15.08.2024</t>
  </si>
  <si>
    <t>17.08.2023</t>
  </si>
  <si>
    <t>100,11</t>
  </si>
  <si>
    <t>99,43</t>
  </si>
  <si>
    <t>97,98</t>
  </si>
  <si>
    <t>100,21</t>
  </si>
  <si>
    <t>18.08.2023</t>
  </si>
  <si>
    <t>24.01.25 14:37:18</t>
  </si>
  <si>
    <t>99,93</t>
  </si>
  <si>
    <t>0.47 / 0.47%</t>
  </si>
  <si>
    <t>99,42 / 99,93</t>
  </si>
  <si>
    <t>98,08 / 100,13</t>
  </si>
  <si>
    <t>16.06.2025</t>
  </si>
  <si>
    <t>100,13</t>
  </si>
  <si>
    <t>Ungarn, Republik</t>
  </si>
  <si>
    <t>24.01.25 15:53:47</t>
  </si>
  <si>
    <t>99,63 / 99,63</t>
  </si>
  <si>
    <t>98,17 / 100,07</t>
  </si>
  <si>
    <t>24.08.2022</t>
  </si>
  <si>
    <t>98,17</t>
  </si>
  <si>
    <t>100,07</t>
  </si>
  <si>
    <t>24.01.25 17:02:45</t>
  </si>
  <si>
    <t>90,27 / 90,45</t>
  </si>
  <si>
    <t>85,93 / 92,03</t>
  </si>
  <si>
    <t>31.10.2019</t>
  </si>
  <si>
    <t>88,54</t>
  </si>
  <si>
    <t>85,93</t>
  </si>
  <si>
    <t>82,80</t>
  </si>
  <si>
    <t>91,16</t>
  </si>
  <si>
    <t>92,03</t>
  </si>
  <si>
    <t>102,30</t>
  </si>
  <si>
    <t>25.484.312.000</t>
  </si>
  <si>
    <t>99,25</t>
  </si>
  <si>
    <t>99,20 / 99,25</t>
  </si>
  <si>
    <t>96,00 / 99,25</t>
  </si>
  <si>
    <t>22.04.2023</t>
  </si>
  <si>
    <t>22.04.2022</t>
  </si>
  <si>
    <t>98,45</t>
  </si>
  <si>
    <t>97,35</t>
  </si>
  <si>
    <t>92,25</t>
  </si>
  <si>
    <t>9.237.000</t>
  </si>
  <si>
    <t>22.04.2025</t>
  </si>
  <si>
    <t>86,045 / 86,245</t>
  </si>
  <si>
    <t>82,57 / 87,97</t>
  </si>
  <si>
    <t>15.09.2020</t>
  </si>
  <si>
    <t>02.09.2020</t>
  </si>
  <si>
    <t>85,55</t>
  </si>
  <si>
    <t>85,51</t>
  </si>
  <si>
    <t>82,57</t>
  </si>
  <si>
    <t>78,40</t>
  </si>
  <si>
    <t>87,06</t>
  </si>
  <si>
    <t>87,97</t>
  </si>
  <si>
    <t>99,51</t>
  </si>
  <si>
    <t>Finnland, Republik</t>
  </si>
  <si>
    <t>5.946.000.000</t>
  </si>
  <si>
    <t>31.08.2020</t>
  </si>
  <si>
    <t>98,05 / 98,20</t>
  </si>
  <si>
    <t>94,45 / 98,60</t>
  </si>
  <si>
    <t>24.06.2023</t>
  </si>
  <si>
    <t>24.06.2022</t>
  </si>
  <si>
    <t>94,45</t>
  </si>
  <si>
    <t>90,40</t>
  </si>
  <si>
    <t>101,22 / 101,43</t>
  </si>
  <si>
    <t>99,13 / 103,465</t>
  </si>
  <si>
    <t>23.05.2024</t>
  </si>
  <si>
    <t>96,42</t>
  </si>
  <si>
    <t>5.302.824.000</t>
  </si>
  <si>
    <t>100,20 / 100,91</t>
  </si>
  <si>
    <t>98,97 / 101,40</t>
  </si>
  <si>
    <t>16.01.2026</t>
  </si>
  <si>
    <t>98,97</t>
  </si>
  <si>
    <t>101,40</t>
  </si>
  <si>
    <t>76,40</t>
  </si>
  <si>
    <t>76,20 / 76,60</t>
  </si>
  <si>
    <t>70,70 / 79,10</t>
  </si>
  <si>
    <t>09.03.2023</t>
  </si>
  <si>
    <t>09.03.2022</t>
  </si>
  <si>
    <t>75,40</t>
  </si>
  <si>
    <t>75,20</t>
  </si>
  <si>
    <t>73,80</t>
  </si>
  <si>
    <t>70,70</t>
  </si>
  <si>
    <t>59,30</t>
  </si>
  <si>
    <t>77,80</t>
  </si>
  <si>
    <t>79,10</t>
  </si>
  <si>
    <t>25.000.000</t>
  </si>
  <si>
    <t>93,278 / 93,476</t>
  </si>
  <si>
    <t>90,282 / 94,65</t>
  </si>
  <si>
    <t>13.07.2018</t>
  </si>
  <si>
    <t>91,83</t>
  </si>
  <si>
    <t>94,65</t>
  </si>
  <si>
    <t>103,88</t>
  </si>
  <si>
    <t>11.07.2018</t>
  </si>
  <si>
    <t>24.01.25 13:39:09</t>
  </si>
  <si>
    <t>1.04 / 1.14%</t>
  </si>
  <si>
    <t>91,36 / 92,48</t>
  </si>
  <si>
    <t>86,62 / 93,53</t>
  </si>
  <si>
    <t>08.09.2021</t>
  </si>
  <si>
    <t>91,23</t>
  </si>
  <si>
    <t>90,96</t>
  </si>
  <si>
    <t>89,71</t>
  </si>
  <si>
    <t>86,62</t>
  </si>
  <si>
    <t>93,53</t>
  </si>
  <si>
    <t>98,73</t>
  </si>
  <si>
    <t>LANXESS AG</t>
  </si>
  <si>
    <t>03.09.2021</t>
  </si>
  <si>
    <t>91,13</t>
  </si>
  <si>
    <t>91,13 / 91,295</t>
  </si>
  <si>
    <t>87,72 / 92,21</t>
  </si>
  <si>
    <t>20.10.2022</t>
  </si>
  <si>
    <t>26.01.2022</t>
  </si>
  <si>
    <t>90,68</t>
  </si>
  <si>
    <t>89,26</t>
  </si>
  <si>
    <t>83,46</t>
  </si>
  <si>
    <t>91,74</t>
  </si>
  <si>
    <t>92,21</t>
  </si>
  <si>
    <t>100,33</t>
  </si>
  <si>
    <t>11.546.213.000</t>
  </si>
  <si>
    <t>99,94 / 100,10</t>
  </si>
  <si>
    <t>98,47 / 100,915</t>
  </si>
  <si>
    <t>23.02.2023</t>
  </si>
  <si>
    <t>23.11.2022</t>
  </si>
  <si>
    <t>99,36</t>
  </si>
  <si>
    <t>98,47</t>
  </si>
  <si>
    <t>Mercedes-Benz Finance Canada Inc.</t>
  </si>
  <si>
    <t>24.01.25 13:00:01</t>
  </si>
  <si>
    <t>103,62</t>
  </si>
  <si>
    <t>103,585 / 103,89</t>
  </si>
  <si>
    <t>101,07 / 106,24</t>
  </si>
  <si>
    <t>21.09.2023</t>
  </si>
  <si>
    <t>21.09.2022</t>
  </si>
  <si>
    <t>101,07</t>
  </si>
  <si>
    <t>106,24</t>
  </si>
  <si>
    <t>86,70</t>
  </si>
  <si>
    <t>86,70 / 87,10</t>
  </si>
  <si>
    <t>83,50 / 89,80</t>
  </si>
  <si>
    <t>19.05.2017</t>
  </si>
  <si>
    <t>19.05.2016</t>
  </si>
  <si>
    <t>83,50</t>
  </si>
  <si>
    <t>76,80</t>
  </si>
  <si>
    <t>73,10</t>
  </si>
  <si>
    <t>88,40</t>
  </si>
  <si>
    <t>88,90</t>
  </si>
  <si>
    <t>89,80</t>
  </si>
  <si>
    <t>97,70</t>
  </si>
  <si>
    <t>24.01.25 11:10:18</t>
  </si>
  <si>
    <t>85,00 / 85,00</t>
  </si>
  <si>
    <t>78,00 / 95,10</t>
  </si>
  <si>
    <t>01.12.2021</t>
  </si>
  <si>
    <t>01.12.2020</t>
  </si>
  <si>
    <t>84,15</t>
  </si>
  <si>
    <t>83,75</t>
  </si>
  <si>
    <t>78,00</t>
  </si>
  <si>
    <t>38,00</t>
  </si>
  <si>
    <t>91,99</t>
  </si>
  <si>
    <t>95,10</t>
  </si>
  <si>
    <t>PAUL Tech AG</t>
  </si>
  <si>
    <t>30.11.2020</t>
  </si>
  <si>
    <t>24.01.25 17:04:08</t>
  </si>
  <si>
    <t>63,95</t>
  </si>
  <si>
    <t>0.05 / 0.08%</t>
  </si>
  <si>
    <t>63,58 / 63,96</t>
  </si>
  <si>
    <t>61,74 / 68,17</t>
  </si>
  <si>
    <t>20.07.2021</t>
  </si>
  <si>
    <t>62,61</t>
  </si>
  <si>
    <t>61,74</t>
  </si>
  <si>
    <t>55,12</t>
  </si>
  <si>
    <t>65,37</t>
  </si>
  <si>
    <t>68,17</t>
  </si>
  <si>
    <t>16.003.000.000</t>
  </si>
  <si>
    <t>0.075 / 0.07%</t>
  </si>
  <si>
    <t>101,001 / 101,50</t>
  </si>
  <si>
    <t>98,29 / 101,61</t>
  </si>
  <si>
    <t>21.12.2018</t>
  </si>
  <si>
    <t>02.07.2018</t>
  </si>
  <si>
    <t>98,29</t>
  </si>
  <si>
    <t>101,61</t>
  </si>
  <si>
    <t>3.400.000.000</t>
  </si>
  <si>
    <t>ZAR</t>
  </si>
  <si>
    <t>103,92 / 104,135</t>
  </si>
  <si>
    <t>101,88 / 106,47</t>
  </si>
  <si>
    <t>20.10.2024</t>
  </si>
  <si>
    <t>101,88</t>
  </si>
  <si>
    <t>106,47</t>
  </si>
  <si>
    <t>7.166.223.000</t>
  </si>
  <si>
    <t>0.175 / 0.18%</t>
  </si>
  <si>
    <t>95,51 / 95,685</t>
  </si>
  <si>
    <t>93,18 / 98,925</t>
  </si>
  <si>
    <t>15.05.2019</t>
  </si>
  <si>
    <t>91,48</t>
  </si>
  <si>
    <t>98,99</t>
  </si>
  <si>
    <t>80.503.854.300</t>
  </si>
  <si>
    <t>24.01.25 17:13:26</t>
  </si>
  <si>
    <t>100,00 / 100,00</t>
  </si>
  <si>
    <t>40,00 / 100,00</t>
  </si>
  <si>
    <t>01.11.2024</t>
  </si>
  <si>
    <t>50,00</t>
  </si>
  <si>
    <t>40,00</t>
  </si>
  <si>
    <t>RL New Money Issuance S.A.</t>
  </si>
  <si>
    <t>19.11.2024</t>
  </si>
  <si>
    <t>7.911.050</t>
  </si>
  <si>
    <t>20.11.2024</t>
  </si>
  <si>
    <t>24.01.25 17:26:57</t>
  </si>
  <si>
    <t>101,50 / 101,61</t>
  </si>
  <si>
    <t>99,35 / 103,28</t>
  </si>
  <si>
    <t>101,33</t>
  </si>
  <si>
    <t>100,73</t>
  </si>
  <si>
    <t>99,35</t>
  </si>
  <si>
    <t>97,52</t>
  </si>
  <si>
    <t>102,36</t>
  </si>
  <si>
    <t>102,98</t>
  </si>
  <si>
    <t>09.11.2022</t>
  </si>
  <si>
    <t>24.01.25 12:08:14</t>
  </si>
  <si>
    <t>0.48 / 0.48%</t>
  </si>
  <si>
    <t>100,69 / 101,16</t>
  </si>
  <si>
    <t>99,90 / 101,53</t>
  </si>
  <si>
    <t>101,60</t>
  </si>
  <si>
    <t>100,43 / 101,12</t>
  </si>
  <si>
    <t>99,07 / 102,675</t>
  </si>
  <si>
    <t>99,07</t>
  </si>
  <si>
    <t>101,49</t>
  </si>
  <si>
    <t>05.06.2024</t>
  </si>
  <si>
    <t>99,15 / 99,20</t>
  </si>
  <si>
    <t>96,95 / 99,20</t>
  </si>
  <si>
    <t>30.06.2024</t>
  </si>
  <si>
    <t>30.06.2023</t>
  </si>
  <si>
    <t>75,30</t>
  </si>
  <si>
    <t>75,15 / 75,55</t>
  </si>
  <si>
    <t>70,50 / 78,45</t>
  </si>
  <si>
    <t>26.08.2022</t>
  </si>
  <si>
    <t>26.08.2021</t>
  </si>
  <si>
    <t>72,40</t>
  </si>
  <si>
    <t>70,50</t>
  </si>
  <si>
    <t>65,20</t>
  </si>
  <si>
    <t>64,50</t>
  </si>
  <si>
    <t>76,65</t>
  </si>
  <si>
    <t>78,45</t>
  </si>
  <si>
    <t>97,71</t>
  </si>
  <si>
    <t>97,51 / 97,71</t>
  </si>
  <si>
    <t>95,36 / 98,57</t>
  </si>
  <si>
    <t>18.07.2022</t>
  </si>
  <si>
    <t>96,31</t>
  </si>
  <si>
    <t>95,36</t>
  </si>
  <si>
    <t>92,95</t>
  </si>
  <si>
    <t>98,50</t>
  </si>
  <si>
    <t>98,95 / 99,30</t>
  </si>
  <si>
    <t>03.02.2026</t>
  </si>
  <si>
    <t>03.02.2025</t>
  </si>
  <si>
    <t>98,95</t>
  </si>
  <si>
    <t>97,145 / 97,242</t>
  </si>
  <si>
    <t>93,21 / 97,31</t>
  </si>
  <si>
    <t>01.04.2021</t>
  </si>
  <si>
    <t>01.03.2021</t>
  </si>
  <si>
    <t>88,59</t>
  </si>
  <si>
    <t>97,31</t>
  </si>
  <si>
    <t>03.03.2021</t>
  </si>
  <si>
    <t>95,01 / 95,46</t>
  </si>
  <si>
    <t>91,80 / 95,88</t>
  </si>
  <si>
    <t>06.05.2020</t>
  </si>
  <si>
    <t>06.11.2019</t>
  </si>
  <si>
    <t>93,62</t>
  </si>
  <si>
    <t>91,80</t>
  </si>
  <si>
    <t>88,20</t>
  </si>
  <si>
    <t>87,50</t>
  </si>
  <si>
    <t>95,88</t>
  </si>
  <si>
    <t>01.11.2019</t>
  </si>
  <si>
    <t>24.01.25 15:27:26</t>
  </si>
  <si>
    <t>0.425 / 0.43%</t>
  </si>
  <si>
    <t>99,40 / 99,775</t>
  </si>
  <si>
    <t>98,385 / 100,79</t>
  </si>
  <si>
    <t>100,79</t>
  </si>
  <si>
    <t>Caterpillar Financial Services Corp.</t>
  </si>
  <si>
    <t>24.01.25 12:05:14</t>
  </si>
  <si>
    <t>0.082 / 0.08%</t>
  </si>
  <si>
    <t>98,306 / 98,553</t>
  </si>
  <si>
    <t>95,67 / 98,813</t>
  </si>
  <si>
    <t>01.11.2016</t>
  </si>
  <si>
    <t>02.05.2016</t>
  </si>
  <si>
    <t>93,29</t>
  </si>
  <si>
    <t>0.23 / 0.23%</t>
  </si>
  <si>
    <t>98,01 / 98,215</t>
  </si>
  <si>
    <t>96,30 / 102,60</t>
  </si>
  <si>
    <t>30.04.2023</t>
  </si>
  <si>
    <t>34.983.022.800</t>
  </si>
  <si>
    <t>24.01.25 08:36:01</t>
  </si>
  <si>
    <t>93,19</t>
  </si>
  <si>
    <t>0.20 / 0.22%</t>
  </si>
  <si>
    <t>92,54 / 93,19</t>
  </si>
  <si>
    <t>92,47 / 99,61</t>
  </si>
  <si>
    <t>30.05.2025</t>
  </si>
  <si>
    <t>92,47</t>
  </si>
  <si>
    <t>96,14</t>
  </si>
  <si>
    <t>98,58</t>
  </si>
  <si>
    <t>322.288.000</t>
  </si>
  <si>
    <t>97,83</t>
  </si>
  <si>
    <t>97,82 / 97,84</t>
  </si>
  <si>
    <t>95,00 / 98,57</t>
  </si>
  <si>
    <t>31.10.2016</t>
  </si>
  <si>
    <t>26.07.2016</t>
  </si>
  <si>
    <t>97,69</t>
  </si>
  <si>
    <t>96,32</t>
  </si>
  <si>
    <t>106,30</t>
  </si>
  <si>
    <t>28.677.465.000</t>
  </si>
  <si>
    <t>0.194 / 0.20%</t>
  </si>
  <si>
    <t>95,574 / 98,00</t>
  </si>
  <si>
    <t>79,70 / 98,00</t>
  </si>
  <si>
    <t>25.08.2023</t>
  </si>
  <si>
    <t>25.08.2022</t>
  </si>
  <si>
    <t>93,39</t>
  </si>
  <si>
    <t>79,70</t>
  </si>
  <si>
    <t>72,09</t>
  </si>
  <si>
    <t>111,34</t>
  </si>
  <si>
    <t>European Bank for Reconstruction and Development</t>
  </si>
  <si>
    <t>5.425.000.000</t>
  </si>
  <si>
    <t>TRY</t>
  </si>
  <si>
    <t>116,19</t>
  </si>
  <si>
    <t>0.36 / 0.31%</t>
  </si>
  <si>
    <t>116,19 / 116,75</t>
  </si>
  <si>
    <t>114,72 / 124,425</t>
  </si>
  <si>
    <t>18.07.2001</t>
  </si>
  <si>
    <t>18.01.2001</t>
  </si>
  <si>
    <t>114,72</t>
  </si>
  <si>
    <t>113,87</t>
  </si>
  <si>
    <t>117,35</t>
  </si>
  <si>
    <t>119,06</t>
  </si>
  <si>
    <t>123,20</t>
  </si>
  <si>
    <t>128,60</t>
  </si>
  <si>
    <t>146,10</t>
  </si>
  <si>
    <t>Mercedes-Benz Finance North America LLC</t>
  </si>
  <si>
    <t>0.03 / 0.03%</t>
  </si>
  <si>
    <t>100,97 / 101,12</t>
  </si>
  <si>
    <t>98,78 / 101,86</t>
  </si>
  <si>
    <t>04.08.2023</t>
  </si>
  <si>
    <t>MÃ¼nchener Hypothekenbank eG</t>
  </si>
  <si>
    <t>10.11.2022</t>
  </si>
  <si>
    <t>24.01.25 15:44:52</t>
  </si>
  <si>
    <t>99,91 / 100,25</t>
  </si>
  <si>
    <t>98,19 / 103,59</t>
  </si>
  <si>
    <t>16.02.2024</t>
  </si>
  <si>
    <t>16.01.2023</t>
  </si>
  <si>
    <t>98,19</t>
  </si>
  <si>
    <t>101,09</t>
  </si>
  <si>
    <t>103,59</t>
  </si>
  <si>
    <t>24.01.25 15:46:34</t>
  </si>
  <si>
    <t>1.00 / 1.01%</t>
  </si>
  <si>
    <t>99,00 / 100,00</t>
  </si>
  <si>
    <t>74,50 / 102,00</t>
  </si>
  <si>
    <t>27.05.2024</t>
  </si>
  <si>
    <t>27.11.2023</t>
  </si>
  <si>
    <t>FCR Immobilien AG</t>
  </si>
  <si>
    <t>60.000.000</t>
  </si>
  <si>
    <t>99,81 / 100,02</t>
  </si>
  <si>
    <t>98,26 / 104,91</t>
  </si>
  <si>
    <t>22.06.2023</t>
  </si>
  <si>
    <t>98,26</t>
  </si>
  <si>
    <t>101,23</t>
  </si>
  <si>
    <t>103,46</t>
  </si>
  <si>
    <t>104,91</t>
  </si>
  <si>
    <t>Belgien, KÃ¶nigreich</t>
  </si>
  <si>
    <t>19.566.000.000</t>
  </si>
  <si>
    <t>97,091 / 97,145</t>
  </si>
  <si>
    <t>93,97 / 97,216</t>
  </si>
  <si>
    <t>13.07.2020</t>
  </si>
  <si>
    <t>13.06.2019</t>
  </si>
  <si>
    <t>96,44</t>
  </si>
  <si>
    <t>95,25</t>
  </si>
  <si>
    <t>91,04</t>
  </si>
  <si>
    <t>102,49</t>
  </si>
  <si>
    <t>24.01.25 08:10:27</t>
  </si>
  <si>
    <t>0.055 / 0.05%</t>
  </si>
  <si>
    <t>105,185 / 105,185</t>
  </si>
  <si>
    <t>104,345 / 108,855</t>
  </si>
  <si>
    <t>07.12.1998</t>
  </si>
  <si>
    <t>25.03.1998</t>
  </si>
  <si>
    <t>102,53</t>
  </si>
  <si>
    <t>106,55</t>
  </si>
  <si>
    <t>112,66</t>
  </si>
  <si>
    <t>130,79</t>
  </si>
  <si>
    <t>3.700.000.000</t>
  </si>
  <si>
    <t>2.274.321.000</t>
  </si>
  <si>
    <t>GBP</t>
  </si>
  <si>
    <t>24.01.25 17:08:40</t>
  </si>
  <si>
    <t>88,60</t>
  </si>
  <si>
    <t>0.06 / 0.07%</t>
  </si>
  <si>
    <t>88,32 / 88,60</t>
  </si>
  <si>
    <t>85,03 / 95,40</t>
  </si>
  <si>
    <t>15.03.2016</t>
  </si>
  <si>
    <t>86,56</t>
  </si>
  <si>
    <t>85,03</t>
  </si>
  <si>
    <t>75,98</t>
  </si>
  <si>
    <t>91,08</t>
  </si>
  <si>
    <t>135,03</t>
  </si>
  <si>
    <t>21.026.393.000</t>
  </si>
  <si>
    <t>1.00 / 1.00%</t>
  </si>
  <si>
    <t>101,00 / 102,85</t>
  </si>
  <si>
    <t>95,40 / 104,335</t>
  </si>
  <si>
    <t>25.10.2018</t>
  </si>
  <si>
    <t>25.10.2017</t>
  </si>
  <si>
    <t>91,50</t>
  </si>
  <si>
    <t>109,75</t>
  </si>
  <si>
    <t>IKB Deutsche Industriebank AG</t>
  </si>
  <si>
    <t>100,671 / 100,891</t>
  </si>
  <si>
    <t>99,445 / 101,275</t>
  </si>
  <si>
    <t>100,15</t>
  </si>
  <si>
    <t>101,08</t>
  </si>
  <si>
    <t>101,26 / 101,48</t>
  </si>
  <si>
    <t>100,47 / 104,41</t>
  </si>
  <si>
    <t>06.04.2000</t>
  </si>
  <si>
    <t>06.04.1999</t>
  </si>
  <si>
    <t>101,56</t>
  </si>
  <si>
    <t>102,59</t>
  </si>
  <si>
    <t>104,41</t>
  </si>
  <si>
    <t>200.000.000</t>
  </si>
  <si>
    <t>07.02.2024</t>
  </si>
  <si>
    <t>98,17 / 98,22</t>
  </si>
  <si>
    <t>95,00 / 98,70</t>
  </si>
  <si>
    <t>29.11.2019</t>
  </si>
  <si>
    <t>97,76</t>
  </si>
  <si>
    <t>92,84</t>
  </si>
  <si>
    <t>91,00</t>
  </si>
  <si>
    <t>103,30</t>
  </si>
  <si>
    <t>Symrise AG</t>
  </si>
  <si>
    <t>24.01.25 17:26:04</t>
  </si>
  <si>
    <t>47,00</t>
  </si>
  <si>
    <t>47,00 / 47,00</t>
  </si>
  <si>
    <t>31,50 / 72,50</t>
  </si>
  <si>
    <t>23.02.2022</t>
  </si>
  <si>
    <t>23.11.2021</t>
  </si>
  <si>
    <t>33,00</t>
  </si>
  <si>
    <t>31,50</t>
  </si>
  <si>
    <t>48,00</t>
  </si>
  <si>
    <t>55,99</t>
  </si>
  <si>
    <t>72,50</t>
  </si>
  <si>
    <t>Photon Energy N.V.</t>
  </si>
  <si>
    <t>65.000.000</t>
  </si>
  <si>
    <t>18.11.2021</t>
  </si>
  <si>
    <t>94,935 / 95,38</t>
  </si>
  <si>
    <t>91,715 / 97,12</t>
  </si>
  <si>
    <t>26.03.2019</t>
  </si>
  <si>
    <t>26.03.2018</t>
  </si>
  <si>
    <t>96,40</t>
  </si>
  <si>
    <t>96,62</t>
  </si>
  <si>
    <t>Prime Standard Unternehmensanleihen</t>
  </si>
  <si>
    <t>99,15</t>
  </si>
  <si>
    <t>99,12 / 99,66</t>
  </si>
  <si>
    <t>98,37 / 109,66</t>
  </si>
  <si>
    <t>17.07.2023</t>
  </si>
  <si>
    <t>98,10</t>
  </si>
  <si>
    <t>101,82</t>
  </si>
  <si>
    <t>107,12</t>
  </si>
  <si>
    <t>109,66</t>
  </si>
  <si>
    <t>110,05</t>
  </si>
  <si>
    <t>1.168.552.000</t>
  </si>
  <si>
    <t>24.01.25 17:14:31</t>
  </si>
  <si>
    <t>99,75 / 99,90</t>
  </si>
  <si>
    <t>97,16 / 100,85</t>
  </si>
  <si>
    <t>12.08.2015</t>
  </si>
  <si>
    <t>99,65</t>
  </si>
  <si>
    <t>97,16</t>
  </si>
  <si>
    <t>87,00</t>
  </si>
  <si>
    <t>102,45 / 102,45</t>
  </si>
  <si>
    <t>95,65 / 102,45</t>
  </si>
  <si>
    <t>15.05.1987</t>
  </si>
  <si>
    <t>15.05.1986</t>
  </si>
  <si>
    <t>95,65</t>
  </si>
  <si>
    <t>Koninklijke Luchtvaart Maatschappij N.V.</t>
  </si>
  <si>
    <t>96,00 / 97,45</t>
  </si>
  <si>
    <t>94,00 / 102,00</t>
  </si>
  <si>
    <t>17.11.2024</t>
  </si>
  <si>
    <t>GroÃŸ &amp; Partner GrundstÃ¼cksentwicklungsgesellschaft mbH</t>
  </si>
  <si>
    <t>39.079.000</t>
  </si>
  <si>
    <t>16.05.2024</t>
  </si>
  <si>
    <t>96,619 / 96,701</t>
  </si>
  <si>
    <t>93,135 / 96,881</t>
  </si>
  <si>
    <t>06.07.2022</t>
  </si>
  <si>
    <t>06.07.2021</t>
  </si>
  <si>
    <t>95,94</t>
  </si>
  <si>
    <t>89,40</t>
  </si>
  <si>
    <t>18.939.000.000</t>
  </si>
  <si>
    <t>24.01.25 08:17:54</t>
  </si>
  <si>
    <t>81,37</t>
  </si>
  <si>
    <t>1.33 / 1.66%</t>
  </si>
  <si>
    <t>81,37 / 81,37</t>
  </si>
  <si>
    <t>80,01 / 87,89</t>
  </si>
  <si>
    <t>29.10.2016</t>
  </si>
  <si>
    <t>29.10.2015</t>
  </si>
  <si>
    <t>80,01</t>
  </si>
  <si>
    <t>74,41</t>
  </si>
  <si>
    <t>66,39</t>
  </si>
  <si>
    <t>83,86</t>
  </si>
  <si>
    <t>86,36</t>
  </si>
  <si>
    <t>87,89</t>
  </si>
  <si>
    <t>1.861.222.000</t>
  </si>
  <si>
    <t>2.90 / 2.86%</t>
  </si>
  <si>
    <t>104,40 / 105,50</t>
  </si>
  <si>
    <t>96,00 / 109,20</t>
  </si>
  <si>
    <t>99,55</t>
  </si>
  <si>
    <t>107,30</t>
  </si>
  <si>
    <t>109,20</t>
  </si>
  <si>
    <t>24.01.25 12:12:26</t>
  </si>
  <si>
    <t>105,38</t>
  </si>
  <si>
    <t>105,38 / 105,38</t>
  </si>
  <si>
    <t>101,69 / 109,00</t>
  </si>
  <si>
    <t>02.12.2024</t>
  </si>
  <si>
    <t>104,71</t>
  </si>
  <si>
    <t>106,86</t>
  </si>
  <si>
    <t>109,00</t>
  </si>
  <si>
    <t>75.000.000</t>
  </si>
  <si>
    <t>05.12.2023</t>
  </si>
  <si>
    <t>24.01.25 11:59:34</t>
  </si>
  <si>
    <t>24.01.25 12:00:39</t>
  </si>
  <si>
    <t>1.96 / 1.90%</t>
  </si>
  <si>
    <t>104,96 / 104,96</t>
  </si>
  <si>
    <t>100,37 / 105,48</t>
  </si>
  <si>
    <t>03.07.2000</t>
  </si>
  <si>
    <t>02.07.1999</t>
  </si>
  <si>
    <t>105,48</t>
  </si>
  <si>
    <t>115,91</t>
  </si>
  <si>
    <t>Deutsche Bank AG</t>
  </si>
  <si>
    <t>375.000.000</t>
  </si>
  <si>
    <t>349.000.000</t>
  </si>
  <si>
    <t>0.50 / 0.56%</t>
  </si>
  <si>
    <t>89,50 / 93,95</t>
  </si>
  <si>
    <t>74,00 / 96,00</t>
  </si>
  <si>
    <t>08.11.2019</t>
  </si>
  <si>
    <t>08.11.2018</t>
  </si>
  <si>
    <t>84,00</t>
  </si>
  <si>
    <t>26,00</t>
  </si>
  <si>
    <t>SoWiTec group GmbH</t>
  </si>
  <si>
    <t>24.01.25 08:12:11</t>
  </si>
  <si>
    <t>104,49</t>
  </si>
  <si>
    <t>0.82 / 0.79%</t>
  </si>
  <si>
    <t>104,49 / 104,49</t>
  </si>
  <si>
    <t>100,11 / 104,75</t>
  </si>
  <si>
    <t>06.07.2024</t>
  </si>
  <si>
    <t>103,20</t>
  </si>
  <si>
    <t>24.01.25 15:43:06</t>
  </si>
  <si>
    <t>104,36</t>
  </si>
  <si>
    <t>103,91 / 104,36</t>
  </si>
  <si>
    <t>102,64 / 105,25</t>
  </si>
  <si>
    <t>102,95</t>
  </si>
  <si>
    <t>104,88</t>
  </si>
  <si>
    <t>105,13</t>
  </si>
  <si>
    <t>105,25</t>
  </si>
  <si>
    <t>24.01.25 13:19:39</t>
  </si>
  <si>
    <t>0.145 / 0.17%</t>
  </si>
  <si>
    <t>83,98 / 84,015</t>
  </si>
  <si>
    <t>81,31 / 88,695</t>
  </si>
  <si>
    <t>13.11.2021</t>
  </si>
  <si>
    <t>13.05.2021</t>
  </si>
  <si>
    <t>83,05</t>
  </si>
  <si>
    <t>81,31</t>
  </si>
  <si>
    <t>78,71</t>
  </si>
  <si>
    <t>85,92</t>
  </si>
  <si>
    <t>102,28 / 102,65</t>
  </si>
  <si>
    <t>100,96 / 103,41</t>
  </si>
  <si>
    <t>04.07.2023</t>
  </si>
  <si>
    <t>98,76</t>
  </si>
  <si>
    <t>102,99</t>
  </si>
  <si>
    <t>103,41</t>
  </si>
  <si>
    <t>107,38</t>
  </si>
  <si>
    <t>0.58 / 0.54%</t>
  </si>
  <si>
    <t>106,87 / 107,38</t>
  </si>
  <si>
    <t>104,33 / 115,87</t>
  </si>
  <si>
    <t>16.11.2008</t>
  </si>
  <si>
    <t>16.05.2008</t>
  </si>
  <si>
    <t>104,33</t>
  </si>
  <si>
    <t>90,26</t>
  </si>
  <si>
    <t>107,55</t>
  </si>
  <si>
    <t>111,26</t>
  </si>
  <si>
    <t>115,87</t>
  </si>
  <si>
    <t>135,61</t>
  </si>
  <si>
    <t>Philip Morris International Inc.</t>
  </si>
  <si>
    <t>101,29 / 101,62</t>
  </si>
  <si>
    <t>99,65 / 102,17</t>
  </si>
  <si>
    <t>102,17</t>
  </si>
  <si>
    <t>24.01.25 17:29:39</t>
  </si>
  <si>
    <t>99,385 / 102,31</t>
  </si>
  <si>
    <t>24.05.2025</t>
  </si>
  <si>
    <t>102,20</t>
  </si>
  <si>
    <t>102,31</t>
  </si>
  <si>
    <t>0.654 / 0.65%</t>
  </si>
  <si>
    <t>100,90 / 101,089</t>
  </si>
  <si>
    <t>98,985 / 101,67</t>
  </si>
  <si>
    <t>23.03.2017</t>
  </si>
  <si>
    <t>23.03.2016</t>
  </si>
  <si>
    <t>99,95</t>
  </si>
  <si>
    <t>101,67</t>
  </si>
  <si>
    <t>109,51</t>
  </si>
  <si>
    <t>100,604 / 100,715</t>
  </si>
  <si>
    <t>99,58 / 101,335</t>
  </si>
  <si>
    <t>17.09.2025</t>
  </si>
  <si>
    <t>23.07.2024</t>
  </si>
  <si>
    <t>24.01.25 08:55:23</t>
  </si>
  <si>
    <t>0.38 / 0.38%</t>
  </si>
  <si>
    <t>99,08 / 100,58</t>
  </si>
  <si>
    <t>97,715 / 101,70</t>
  </si>
  <si>
    <t>Atos SE</t>
  </si>
  <si>
    <t>100,04 / 100,45</t>
  </si>
  <si>
    <t>99,29 / 100,65</t>
  </si>
  <si>
    <t>16.04.2025</t>
  </si>
  <si>
    <t>99,29</t>
  </si>
  <si>
    <t>24.01.25 12:18:07</t>
  </si>
  <si>
    <t>100,34 / 100,34</t>
  </si>
  <si>
    <t>97,75 / 101,00</t>
  </si>
  <si>
    <t>17.01.2024</t>
  </si>
  <si>
    <t>98,72</t>
  </si>
  <si>
    <t>96,93</t>
  </si>
  <si>
    <t>24.01.25 11:47:29</t>
  </si>
  <si>
    <t>0.62 / 0.62%</t>
  </si>
  <si>
    <t>99,44 / 100,15</t>
  </si>
  <si>
    <t>99,32 / 100,23</t>
  </si>
  <si>
    <t>Rheinland-Pfalz, Land</t>
  </si>
  <si>
    <t>89,01 / 89,40</t>
  </si>
  <si>
    <t>86,09 / 91,18</t>
  </si>
  <si>
    <t>88,77</t>
  </si>
  <si>
    <t>88,01</t>
  </si>
  <si>
    <t>86,09</t>
  </si>
  <si>
    <t>90,25</t>
  </si>
  <si>
    <t>91,18</t>
  </si>
  <si>
    <t>08.01.2020</t>
  </si>
  <si>
    <t>24.01.25 12:13:14</t>
  </si>
  <si>
    <t>100,05 / 100,05</t>
  </si>
  <si>
    <t>98,22 / 100,31</t>
  </si>
  <si>
    <t>17.04.2025</t>
  </si>
  <si>
    <t>17.04.2024</t>
  </si>
  <si>
    <t>98,91</t>
  </si>
  <si>
    <t>98,22</t>
  </si>
  <si>
    <t>18.04.2024</t>
  </si>
  <si>
    <t>99,63 / 99,945</t>
  </si>
  <si>
    <t>99,63 / 100,20</t>
  </si>
  <si>
    <t>2.500.000.000</t>
  </si>
  <si>
    <t>99,85 / 99,90</t>
  </si>
  <si>
    <t>99,05 / 100,60</t>
  </si>
  <si>
    <t>245.000.000</t>
  </si>
  <si>
    <t>178.896.000</t>
  </si>
  <si>
    <t>99,70 / 99,70</t>
  </si>
  <si>
    <t>95,00 / 100,25</t>
  </si>
  <si>
    <t>17.07.2019</t>
  </si>
  <si>
    <t>17.07.2018</t>
  </si>
  <si>
    <t>98,12</t>
  </si>
  <si>
    <t>107,03</t>
  </si>
  <si>
    <t>Otto GmbH &amp; Co. KG</t>
  </si>
  <si>
    <t>97,65 / 99,66</t>
  </si>
  <si>
    <t>95,36 / 99,66</t>
  </si>
  <si>
    <t>28.07.2019</t>
  </si>
  <si>
    <t>97,51</t>
  </si>
  <si>
    <t>97,42</t>
  </si>
  <si>
    <t>91,94</t>
  </si>
  <si>
    <t>101,51</t>
  </si>
  <si>
    <t>Landesbank Baden-WÃ¼rttemberg</t>
  </si>
  <si>
    <t>24.000.000</t>
  </si>
  <si>
    <t>24.01.25 09:23:17</t>
  </si>
  <si>
    <t>0.31 / 0.31%</t>
  </si>
  <si>
    <t>99,11 / 99,42</t>
  </si>
  <si>
    <t>96,00 / 100,23</t>
  </si>
  <si>
    <t>22.02.2015</t>
  </si>
  <si>
    <t>20.11.2014</t>
  </si>
  <si>
    <t>97,88</t>
  </si>
  <si>
    <t>93,47</t>
  </si>
  <si>
    <t>107,84</t>
  </si>
  <si>
    <t>SAP SE</t>
  </si>
  <si>
    <t>94,17</t>
  </si>
  <si>
    <t>94,01 / 94,53</t>
  </si>
  <si>
    <t>91,26 / 97,61</t>
  </si>
  <si>
    <t>21.05.2023</t>
  </si>
  <si>
    <t>19.05.2022</t>
  </si>
  <si>
    <t>93,31</t>
  </si>
  <si>
    <t>89,46</t>
  </si>
  <si>
    <t>94,53</t>
  </si>
  <si>
    <t>95,29</t>
  </si>
  <si>
    <t>101,37</t>
  </si>
  <si>
    <t>1.150.000.000</t>
  </si>
  <si>
    <t>16.05.2022</t>
  </si>
  <si>
    <t>24.01.25 12:04:58</t>
  </si>
  <si>
    <t>99,16</t>
  </si>
  <si>
    <t>99,16 / 99,16</t>
  </si>
  <si>
    <t>97,82 / 99,93</t>
  </si>
  <si>
    <t>04.06.2025</t>
  </si>
  <si>
    <t>04.06.2024</t>
  </si>
  <si>
    <t>98,86</t>
  </si>
  <si>
    <t>89,785 / 90,175</t>
  </si>
  <si>
    <t>84,79 / 91,605</t>
  </si>
  <si>
    <t>21.01.2021</t>
  </si>
  <si>
    <t>21.01.2020</t>
  </si>
  <si>
    <t>87,02</t>
  </si>
  <si>
    <t>84,79</t>
  </si>
  <si>
    <t>74,68</t>
  </si>
  <si>
    <t>90,36</t>
  </si>
  <si>
    <t>99,11</t>
  </si>
  <si>
    <t>98,70 / 98,93</t>
  </si>
  <si>
    <t>98,285 / 99,855</t>
  </si>
  <si>
    <t>15.05.2024</t>
  </si>
  <si>
    <t>98,93</t>
  </si>
  <si>
    <t>99,74</t>
  </si>
  <si>
    <t>Berlin, Land</t>
  </si>
  <si>
    <t>96,75 / 96,80</t>
  </si>
  <si>
    <t>93,695 / 97,00</t>
  </si>
  <si>
    <t>16.03.2022</t>
  </si>
  <si>
    <t>16.03.2021</t>
  </si>
  <si>
    <t>96,33</t>
  </si>
  <si>
    <t>NOK</t>
  </si>
  <si>
    <t>97,755 / 97,822</t>
  </si>
  <si>
    <t>97,54 / 97,822</t>
  </si>
  <si>
    <t>01.01.2025</t>
  </si>
  <si>
    <t>97,533 / 97,695</t>
  </si>
  <si>
    <t>95,20 / 98,67</t>
  </si>
  <si>
    <t>15.10.2023</t>
  </si>
  <si>
    <t>30.06.2022</t>
  </si>
  <si>
    <t>95,20</t>
  </si>
  <si>
    <t>30.000.000.000</t>
  </si>
  <si>
    <t>24.01.25 14:44:30</t>
  </si>
  <si>
    <t>0.79 / 0.82%</t>
  </si>
  <si>
    <t>96,74 / 97,55</t>
  </si>
  <si>
    <t>93,61 / 97,80</t>
  </si>
  <si>
    <t>06.07.2017</t>
  </si>
  <si>
    <t>14.06.2016</t>
  </si>
  <si>
    <t>93,61</t>
  </si>
  <si>
    <t>90,37</t>
  </si>
  <si>
    <t>101,80</t>
  </si>
  <si>
    <t>97,041 / 97,09</t>
  </si>
  <si>
    <t>93,325 / 97,144</t>
  </si>
  <si>
    <t>20.05.2020</t>
  </si>
  <si>
    <t>95,07</t>
  </si>
  <si>
    <t>90,73</t>
  </si>
  <si>
    <t>100,93</t>
  </si>
  <si>
    <t>0.09 / 0.09%</t>
  </si>
  <si>
    <t>96,47 / 96,65</t>
  </si>
  <si>
    <t>93,44 / 96,93</t>
  </si>
  <si>
    <t>26.01.2016</t>
  </si>
  <si>
    <t>26.01.2015</t>
  </si>
  <si>
    <t>94,76</t>
  </si>
  <si>
    <t>93,44</t>
  </si>
  <si>
    <t>103,36</t>
  </si>
  <si>
    <t>95,90 / 96,50</t>
  </si>
  <si>
    <t>90,50 / 98,50</t>
  </si>
  <si>
    <t>12.09.2021</t>
  </si>
  <si>
    <t>12.03.2021</t>
  </si>
  <si>
    <t>90,50</t>
  </si>
  <si>
    <t>105,30</t>
  </si>
  <si>
    <t>Homann Holzwerkstoffe GmbH</t>
  </si>
  <si>
    <t>78.000.000</t>
  </si>
  <si>
    <t>96,283 / 96,36</t>
  </si>
  <si>
    <t>93,109 / 96,695</t>
  </si>
  <si>
    <t>09.10.2022</t>
  </si>
  <si>
    <t>96,18</t>
  </si>
  <si>
    <t>95,71</t>
  </si>
  <si>
    <t>07.07.2021</t>
  </si>
  <si>
    <t>0.12 / 0.12%</t>
  </si>
  <si>
    <t>100,385 / 100,47</t>
  </si>
  <si>
    <t>98,96 / 102,57</t>
  </si>
  <si>
    <t>15.10.2024</t>
  </si>
  <si>
    <t>15.04.2024</t>
  </si>
  <si>
    <t>98,96</t>
  </si>
  <si>
    <t>100,57</t>
  </si>
  <si>
    <t>58.951.295.800</t>
  </si>
  <si>
    <t>24.01.25 15:42:39</t>
  </si>
  <si>
    <t>0.86 / 0.86%</t>
  </si>
  <si>
    <t>99,58 / 100,38</t>
  </si>
  <si>
    <t>98,59 / 100,52</t>
  </si>
  <si>
    <t>09.01.2025</t>
  </si>
  <si>
    <t>Toyota Motor Credit Corp.</t>
  </si>
  <si>
    <t>95,66 / 96,17</t>
  </si>
  <si>
    <t>89,72 / 103,04</t>
  </si>
  <si>
    <t>01.03.2019</t>
  </si>
  <si>
    <t>01.09.2018</t>
  </si>
  <si>
    <t>89,72</t>
  </si>
  <si>
    <t>79,13</t>
  </si>
  <si>
    <t>103,04</t>
  </si>
  <si>
    <t>139,08</t>
  </si>
  <si>
    <t>13.342.136.000</t>
  </si>
  <si>
    <t>0.102 / 0.10%</t>
  </si>
  <si>
    <t>99,943 / 100,005</t>
  </si>
  <si>
    <t>99,46 / 100,11</t>
  </si>
  <si>
    <t>31.12.2024</t>
  </si>
  <si>
    <t>69.668.455.900</t>
  </si>
  <si>
    <t>24.01.25 08:08:34</t>
  </si>
  <si>
    <t>0.45 / 0.45%</t>
  </si>
  <si>
    <t>99,50 / 99,73</t>
  </si>
  <si>
    <t>98,25 / 107,66</t>
  </si>
  <si>
    <t>98,25</t>
  </si>
  <si>
    <t>106,99</t>
  </si>
  <si>
    <t>107,66</t>
  </si>
  <si>
    <t>331.448.000</t>
  </si>
  <si>
    <t>94,905 / 95,15</t>
  </si>
  <si>
    <t>91,96 / 95,765</t>
  </si>
  <si>
    <t>10.01.2019</t>
  </si>
  <si>
    <t>94,51</t>
  </si>
  <si>
    <t>94,41</t>
  </si>
  <si>
    <t>91,96</t>
  </si>
  <si>
    <t>99,31</t>
  </si>
  <si>
    <t>99,155 / 99,495</t>
  </si>
  <si>
    <t>96,78 / 99,91</t>
  </si>
  <si>
    <t>13.07.2016</t>
  </si>
  <si>
    <t>13.01.2016</t>
  </si>
  <si>
    <t>96,78</t>
  </si>
  <si>
    <t>106,22</t>
  </si>
  <si>
    <t>92,00 / 95,00</t>
  </si>
  <si>
    <t>70,00 / 96,00</t>
  </si>
  <si>
    <t>30.03.2024</t>
  </si>
  <si>
    <t>30.03.2023</t>
  </si>
  <si>
    <t>70,00</t>
  </si>
  <si>
    <t>28,50</t>
  </si>
  <si>
    <t>29.03.2023</t>
  </si>
  <si>
    <t>0.018 / 0.02%</t>
  </si>
  <si>
    <t>99,459 / 99,493</t>
  </si>
  <si>
    <t>97,748 / 99,552</t>
  </si>
  <si>
    <t>15.09.2022</t>
  </si>
  <si>
    <t>99,83</t>
  </si>
  <si>
    <t>41.000.028.000</t>
  </si>
  <si>
    <t>24.01.25 10:32:50</t>
  </si>
  <si>
    <t>78,85</t>
  </si>
  <si>
    <t>0.14 / 0.18%</t>
  </si>
  <si>
    <t>78,85 / 78,85</t>
  </si>
  <si>
    <t>74,97 / 82,01</t>
  </si>
  <si>
    <t>77,68</t>
  </si>
  <si>
    <t>77,39</t>
  </si>
  <si>
    <t>74,97</t>
  </si>
  <si>
    <t>68,82</t>
  </si>
  <si>
    <t>82,01</t>
  </si>
  <si>
    <t>92,46</t>
  </si>
  <si>
    <t>117,74 / 117,928</t>
  </si>
  <si>
    <t>117,548 / 123,302</t>
  </si>
  <si>
    <t>04.01.2001</t>
  </si>
  <si>
    <t>04.01.2000</t>
  </si>
  <si>
    <t>121,70</t>
  </si>
  <si>
    <t>11.750.000.000</t>
  </si>
  <si>
    <t>85,36</t>
  </si>
  <si>
    <t>85,36 / 85,58</t>
  </si>
  <si>
    <t>81,94 / 87,14</t>
  </si>
  <si>
    <t>10.01.2022</t>
  </si>
  <si>
    <t>83,89</t>
  </si>
  <si>
    <t>81,94</t>
  </si>
  <si>
    <t>77,65</t>
  </si>
  <si>
    <t>86,23</t>
  </si>
  <si>
    <t>87,14</t>
  </si>
  <si>
    <t>98,63</t>
  </si>
  <si>
    <t>93,85</t>
  </si>
  <si>
    <t>93,75 / 93,95</t>
  </si>
  <si>
    <t>89,65 / 94,75</t>
  </si>
  <si>
    <t>27.04.2022</t>
  </si>
  <si>
    <t>93,20</t>
  </si>
  <si>
    <t>91,30</t>
  </si>
  <si>
    <t>89,65</t>
  </si>
  <si>
    <t>85,25</t>
  </si>
  <si>
    <t>94,75</t>
  </si>
  <si>
    <t>8.291.000</t>
  </si>
  <si>
    <t>89,44</t>
  </si>
  <si>
    <t>0.34 / 0.38%</t>
  </si>
  <si>
    <t>89,06 / 89,52</t>
  </si>
  <si>
    <t>87,55 / 100,49</t>
  </si>
  <si>
    <t>87,55</t>
  </si>
  <si>
    <t>83,66</t>
  </si>
  <si>
    <t>90,47</t>
  </si>
  <si>
    <t>105,16</t>
  </si>
  <si>
    <t>40.605.283.700</t>
  </si>
  <si>
    <t>0.20 / 0.20%</t>
  </si>
  <si>
    <t>97,82 / 98,065</t>
  </si>
  <si>
    <t>96,09 / 102,685</t>
  </si>
  <si>
    <t>31.08.2023</t>
  </si>
  <si>
    <t>28.02.2023</t>
  </si>
  <si>
    <t>96,09</t>
  </si>
  <si>
    <t>94,34</t>
  </si>
  <si>
    <t>99,84</t>
  </si>
  <si>
    <t>42.652.373.500</t>
  </si>
  <si>
    <t>92,75</t>
  </si>
  <si>
    <t>92,65 / 93,50</t>
  </si>
  <si>
    <t>88,05 / 94,15</t>
  </si>
  <si>
    <t>11.07.2019</t>
  </si>
  <si>
    <t>92,45</t>
  </si>
  <si>
    <t>90,45</t>
  </si>
  <si>
    <t>88,05</t>
  </si>
  <si>
    <t>83,40</t>
  </si>
  <si>
    <t>83,35</t>
  </si>
  <si>
    <t>93,70</t>
  </si>
  <si>
    <t>102,65</t>
  </si>
  <si>
    <t>97,41 / 97,645</t>
  </si>
  <si>
    <t>95,64 / 102,02</t>
  </si>
  <si>
    <t>30.11.2022</t>
  </si>
  <si>
    <t>95,64</t>
  </si>
  <si>
    <t>97,92</t>
  </si>
  <si>
    <t>102,02</t>
  </si>
  <si>
    <t>38.699.411.300</t>
  </si>
  <si>
    <t>28.11.2022</t>
  </si>
  <si>
    <t>92,785 / 93,155</t>
  </si>
  <si>
    <t>88,305 / 94,96</t>
  </si>
  <si>
    <t>92,29</t>
  </si>
  <si>
    <t>91,70</t>
  </si>
  <si>
    <t>83,37</t>
  </si>
  <si>
    <t>94,96</t>
  </si>
  <si>
    <t>76,97</t>
  </si>
  <si>
    <t>76,97 / 77,59</t>
  </si>
  <si>
    <t>76,97 / 86,15</t>
  </si>
  <si>
    <t>11.03.2019</t>
  </si>
  <si>
    <t>11.10.2018</t>
  </si>
  <si>
    <t>71,52</t>
  </si>
  <si>
    <t>63,50</t>
  </si>
  <si>
    <t>81,10</t>
  </si>
  <si>
    <t>84,35</t>
  </si>
  <si>
    <t>84,55</t>
  </si>
  <si>
    <t>86,15</t>
  </si>
  <si>
    <t>24.01.25 12:18:56</t>
  </si>
  <si>
    <t>98,00 / 98,00</t>
  </si>
  <si>
    <t>90,00 / 100,00</t>
  </si>
  <si>
    <t>103,00</t>
  </si>
  <si>
    <t>Energiekontor Finanzanlagen VI GmbH &amp; Co. KG</t>
  </si>
  <si>
    <t>9.000.000</t>
  </si>
  <si>
    <t>95,70</t>
  </si>
  <si>
    <t>95,60 / 95,71</t>
  </si>
  <si>
    <t>91,40 / 95,71</t>
  </si>
  <si>
    <t>08.04.2021</t>
  </si>
  <si>
    <t>06.08.2020</t>
  </si>
  <si>
    <t>93,23</t>
  </si>
  <si>
    <t>86,89</t>
  </si>
  <si>
    <t>85,02</t>
  </si>
  <si>
    <t>AstraZeneca PLC</t>
  </si>
  <si>
    <t>1.200.000.000</t>
  </si>
  <si>
    <t>0.19 / 0.20%</t>
  </si>
  <si>
    <t>95,21 / 95,405</t>
  </si>
  <si>
    <t>93,04 / 99,15</t>
  </si>
  <si>
    <t>31.12.2022</t>
  </si>
  <si>
    <t>93,04</t>
  </si>
  <si>
    <t>95,58</t>
  </si>
  <si>
    <t>99,52</t>
  </si>
  <si>
    <t>42.974.146.400</t>
  </si>
  <si>
    <t>100,18 / 100,57</t>
  </si>
  <si>
    <t>97,56 / 104,59</t>
  </si>
  <si>
    <t>15.09.2024</t>
  </si>
  <si>
    <t>104,59</t>
  </si>
  <si>
    <t>6.585.000.000</t>
  </si>
  <si>
    <t>24.01.25 12:19:05</t>
  </si>
  <si>
    <t>97,21 / 101,37</t>
  </si>
  <si>
    <t>30.11.2023</t>
  </si>
  <si>
    <t>01.06.2023</t>
  </si>
  <si>
    <t>98,98</t>
  </si>
  <si>
    <t>97,21</t>
  </si>
  <si>
    <t>92,74</t>
  </si>
  <si>
    <t>02.06.2023</t>
  </si>
  <si>
    <t>0.18 / 0.18%</t>
  </si>
  <si>
    <t>99,13 / 99,305</t>
  </si>
  <si>
    <t>97,39 / 102,63</t>
  </si>
  <si>
    <t>31.01.2024</t>
  </si>
  <si>
    <t>31.07.2023</t>
  </si>
  <si>
    <t>97,39</t>
  </si>
  <si>
    <t>102,63</t>
  </si>
  <si>
    <t>42.999.671.100</t>
  </si>
  <si>
    <t>89,58</t>
  </si>
  <si>
    <t>89,535 / 89,865</t>
  </si>
  <si>
    <t>85,97 / 91,19</t>
  </si>
  <si>
    <t>14.06.2021</t>
  </si>
  <si>
    <t>89,27</t>
  </si>
  <si>
    <t>89,18</t>
  </si>
  <si>
    <t>85,97</t>
  </si>
  <si>
    <t>81,45</t>
  </si>
  <si>
    <t>90,59</t>
  </si>
  <si>
    <t>91,19</t>
  </si>
  <si>
    <t>88,25</t>
  </si>
  <si>
    <t>88,25 / 88,41</t>
  </si>
  <si>
    <t>84,34 / 89,00</t>
  </si>
  <si>
    <t>19.07.2021</t>
  </si>
  <si>
    <t>19.05.2021</t>
  </si>
  <si>
    <t>86,85</t>
  </si>
  <si>
    <t>86,50</t>
  </si>
  <si>
    <t>84,34</t>
  </si>
  <si>
    <t>78,16</t>
  </si>
  <si>
    <t>76,08</t>
  </si>
  <si>
    <t>88,55</t>
  </si>
  <si>
    <t>97,02</t>
  </si>
  <si>
    <t>97,65 / 97,84</t>
  </si>
  <si>
    <t>96,14 / 101,91</t>
  </si>
  <si>
    <t>16.01.2024</t>
  </si>
  <si>
    <t>99,28</t>
  </si>
  <si>
    <t>101,91</t>
  </si>
  <si>
    <t>16.204.000.000</t>
  </si>
  <si>
    <t>87,59</t>
  </si>
  <si>
    <t>87,55 / 87,815</t>
  </si>
  <si>
    <t>84,11 / 89,21</t>
  </si>
  <si>
    <t>20.02.2021</t>
  </si>
  <si>
    <t>05.02.2020</t>
  </si>
  <si>
    <t>87,01</t>
  </si>
  <si>
    <t>86,87</t>
  </si>
  <si>
    <t>85,83</t>
  </si>
  <si>
    <t>84,11</t>
  </si>
  <si>
    <t>89,21</t>
  </si>
  <si>
    <t>14.283.848.000</t>
  </si>
  <si>
    <t>86,80</t>
  </si>
  <si>
    <t>86,70 / 87,50</t>
  </si>
  <si>
    <t>82,30 / 88,25</t>
  </si>
  <si>
    <t>08.01.2021</t>
  </si>
  <si>
    <t>86,40</t>
  </si>
  <si>
    <t>84,25</t>
  </si>
  <si>
    <t>82,30</t>
  </si>
  <si>
    <t>77,35</t>
  </si>
  <si>
    <t>95,52</t>
  </si>
  <si>
    <t>95,52 / 96,11</t>
  </si>
  <si>
    <t>91,935 / 96,92</t>
  </si>
  <si>
    <t>87,96</t>
  </si>
  <si>
    <t>84,10</t>
  </si>
  <si>
    <t>0.15 / 0.17%</t>
  </si>
  <si>
    <t>90,13 / 90,255</t>
  </si>
  <si>
    <t>86,185 / 91,525</t>
  </si>
  <si>
    <t>31.05.2021</t>
  </si>
  <si>
    <t>89,42</t>
  </si>
  <si>
    <t>94,58</t>
  </si>
  <si>
    <t>63.453.886.200</t>
  </si>
  <si>
    <t>27.11.2020</t>
  </si>
  <si>
    <t>122,70</t>
  </si>
  <si>
    <t>121,17 / 122,90</t>
  </si>
  <si>
    <t>109,10 / 125,00</t>
  </si>
  <si>
    <t>24.01.2004</t>
  </si>
  <si>
    <t>24.01.2003</t>
  </si>
  <si>
    <t>120,11</t>
  </si>
  <si>
    <t>117,40</t>
  </si>
  <si>
    <t>93,93</t>
  </si>
  <si>
    <t>123,74</t>
  </si>
  <si>
    <t>125,00</t>
  </si>
  <si>
    <t>132,26</t>
  </si>
  <si>
    <t>Telecom Italia Finance S.A.</t>
  </si>
  <si>
    <t>1.050.000.000</t>
  </si>
  <si>
    <t>0,30</t>
  </si>
  <si>
    <t>0,30 / 0,30</t>
  </si>
  <si>
    <t>0,21 / 0,352</t>
  </si>
  <si>
    <t>15.10.2015</t>
  </si>
  <si>
    <t>0,28</t>
  </si>
  <si>
    <t>0,22</t>
  </si>
  <si>
    <t>0,21</t>
  </si>
  <si>
    <t>0,08</t>
  </si>
  <si>
    <t>0,32</t>
  </si>
  <si>
    <t>0,352</t>
  </si>
  <si>
    <t>0,42</t>
  </si>
  <si>
    <t>55.834.421.400</t>
  </si>
  <si>
    <t>50.516.857.415</t>
  </si>
  <si>
    <t>24.01.25 16:54:12</t>
  </si>
  <si>
    <t>100,67</t>
  </si>
  <si>
    <t>100,67 / 100,80</t>
  </si>
  <si>
    <t>98,38 / 104,19</t>
  </si>
  <si>
    <t>15.09.2023</t>
  </si>
  <si>
    <t>04.05.2023</t>
  </si>
  <si>
    <t>104,19</t>
  </si>
  <si>
    <t>104,67</t>
  </si>
  <si>
    <t>7.924.000.000</t>
  </si>
  <si>
    <t>28.04.2023</t>
  </si>
  <si>
    <t>99,525 / 99,535</t>
  </si>
  <si>
    <t>97,505 / 99,74</t>
  </si>
  <si>
    <t>01.04.2016</t>
  </si>
  <si>
    <t>01.04.2015</t>
  </si>
  <si>
    <t>98,23</t>
  </si>
  <si>
    <t>98,17 / 98,345</t>
  </si>
  <si>
    <t>96,605 / 100,645</t>
  </si>
  <si>
    <t>25.05.2014</t>
  </si>
  <si>
    <t>25.05.2013</t>
  </si>
  <si>
    <t>120,31</t>
  </si>
  <si>
    <t>62.459.000.000</t>
  </si>
  <si>
    <t>24.01.25 17:00:35</t>
  </si>
  <si>
    <t>109,394 / 109,56</t>
  </si>
  <si>
    <t>109,345 / 113,137</t>
  </si>
  <si>
    <t>04.01.1999</t>
  </si>
  <si>
    <t>96,44 / 96,98</t>
  </si>
  <si>
    <t>93,74 / 102,26</t>
  </si>
  <si>
    <t>02.08.2024</t>
  </si>
  <si>
    <t>02.02.2024</t>
  </si>
  <si>
    <t>95,86</t>
  </si>
  <si>
    <t>93,74</t>
  </si>
  <si>
    <t>102,16</t>
  </si>
  <si>
    <t>Queensland Treasury Corp.</t>
  </si>
  <si>
    <t>2.750.000.000</t>
  </si>
  <si>
    <t>97,30</t>
  </si>
  <si>
    <t>0.36 / 0.37%</t>
  </si>
  <si>
    <t>96,97 / 97,39</t>
  </si>
  <si>
    <t>94,70 / 104,54</t>
  </si>
  <si>
    <t>23.08.2016</t>
  </si>
  <si>
    <t>95,35</t>
  </si>
  <si>
    <t>94,70</t>
  </si>
  <si>
    <t>91,34</t>
  </si>
  <si>
    <t>97,96</t>
  </si>
  <si>
    <t>104,54</t>
  </si>
  <si>
    <t>121,19</t>
  </si>
  <si>
    <t>Apple Inc.</t>
  </si>
  <si>
    <t>72,53</t>
  </si>
  <si>
    <t>72,50 / 73,81</t>
  </si>
  <si>
    <t>70,25 / 83,67</t>
  </si>
  <si>
    <t>20.09.2018</t>
  </si>
  <si>
    <t>71,01</t>
  </si>
  <si>
    <t>70,25</t>
  </si>
  <si>
    <t>83,67</t>
  </si>
  <si>
    <t>152,59</t>
  </si>
  <si>
    <t>109,32</t>
  </si>
  <si>
    <t>0.24 / 0.22%</t>
  </si>
  <si>
    <t>109,14 / 109,54</t>
  </si>
  <si>
    <t>108,30 / 114,805</t>
  </si>
  <si>
    <t>01.05.2000</t>
  </si>
  <si>
    <t>01.11.1999</t>
  </si>
  <si>
    <t>108,30</t>
  </si>
  <si>
    <t>105,19</t>
  </si>
  <si>
    <t>131,27</t>
  </si>
  <si>
    <t>The Dow Chemical Co.</t>
  </si>
  <si>
    <t>97,48</t>
  </si>
  <si>
    <t>97,48 / 97,553</t>
  </si>
  <si>
    <t>93,168 / 97,554</t>
  </si>
  <si>
    <t>25.02.2021</t>
  </si>
  <si>
    <t>25.02.2020</t>
  </si>
  <si>
    <t>90,81</t>
  </si>
  <si>
    <t>45.590.000.000</t>
  </si>
  <si>
    <t>21.04.2020</t>
  </si>
  <si>
    <t>24.01.25 10:44:15</t>
  </si>
  <si>
    <t>99,655 / 104,125</t>
  </si>
  <si>
    <t>97,00 / 106,00</t>
  </si>
  <si>
    <t>01.04.2024</t>
  </si>
  <si>
    <t>02.01.2024</t>
  </si>
  <si>
    <t>PCC SE</t>
  </si>
  <si>
    <t>40.000.000</t>
  </si>
  <si>
    <t>0.37 / 0.39%</t>
  </si>
  <si>
    <t>95,07 / 95,45</t>
  </si>
  <si>
    <t>92,67 / 101,91</t>
  </si>
  <si>
    <t>09.06.2016</t>
  </si>
  <si>
    <t>09.12.2015</t>
  </si>
  <si>
    <t>93,54</t>
  </si>
  <si>
    <t>92,67</t>
  </si>
  <si>
    <t>86,88</t>
  </si>
  <si>
    <t>95,81</t>
  </si>
  <si>
    <t>118,17</t>
  </si>
  <si>
    <t>McDonald's Corp.</t>
  </si>
  <si>
    <t>84,04</t>
  </si>
  <si>
    <t>83,93 / 84,21</t>
  </si>
  <si>
    <t>82,60 / 87,52</t>
  </si>
  <si>
    <t>25.05.2018</t>
  </si>
  <si>
    <t>25.05.2017</t>
  </si>
  <si>
    <t>82,83</t>
  </si>
  <si>
    <t>82,60</t>
  </si>
  <si>
    <t>78,99</t>
  </si>
  <si>
    <t>87,22</t>
  </si>
  <si>
    <t>89,06</t>
  </si>
  <si>
    <t>110,09</t>
  </si>
  <si>
    <t>60.455.000.000</t>
  </si>
  <si>
    <t>99,485 / 99,573</t>
  </si>
  <si>
    <t>97,65 / 99,907</t>
  </si>
  <si>
    <t>15.07.2023</t>
  </si>
  <si>
    <t>28.09.2022</t>
  </si>
  <si>
    <t>98,42</t>
  </si>
  <si>
    <t>97,65</t>
  </si>
  <si>
    <t>4.885.124.000</t>
  </si>
  <si>
    <t>99,285 / 99,714</t>
  </si>
  <si>
    <t>98,71 / 100,01</t>
  </si>
  <si>
    <t>15.02.2026</t>
  </si>
  <si>
    <t>24.01.25 13:00:03</t>
  </si>
  <si>
    <t>99,07 / 99,07</t>
  </si>
  <si>
    <t>96,21 / 99,31</t>
  </si>
  <si>
    <t>14.06.2018</t>
  </si>
  <si>
    <t>97,26</t>
  </si>
  <si>
    <t>96,21</t>
  </si>
  <si>
    <t>102,91</t>
  </si>
  <si>
    <t>Knorr-Bremse AG</t>
  </si>
  <si>
    <t>98,20 / 99,10</t>
  </si>
  <si>
    <t>96,08 / 99,10</t>
  </si>
  <si>
    <t>06.08.2018</t>
  </si>
  <si>
    <t>97,34</t>
  </si>
  <si>
    <t>92,06</t>
  </si>
  <si>
    <t>10.000.000</t>
  </si>
  <si>
    <t>06.08.2025</t>
  </si>
  <si>
    <t>94,49 / 94,67</t>
  </si>
  <si>
    <t>91,74 / 95,77</t>
  </si>
  <si>
    <t>15.07.2018</t>
  </si>
  <si>
    <t>15.03.2018</t>
  </si>
  <si>
    <t>94,21</t>
  </si>
  <si>
    <t>93,14</t>
  </si>
  <si>
    <t>95,23</t>
  </si>
  <si>
    <t>95,77</t>
  </si>
  <si>
    <t>19.331.941.000</t>
  </si>
  <si>
    <t>97,18 / 97,70</t>
  </si>
  <si>
    <t>93,32 / 97,74</t>
  </si>
  <si>
    <t>01.08.2020</t>
  </si>
  <si>
    <t>14.02.2020</t>
  </si>
  <si>
    <t>93,32</t>
  </si>
  <si>
    <t>Ontario, Provinz</t>
  </si>
  <si>
    <t>CAD</t>
  </si>
  <si>
    <t>1.00 / 1.09%</t>
  </si>
  <si>
    <t>91,50 / 92,50</t>
  </si>
  <si>
    <t>81,105 / 96,00</t>
  </si>
  <si>
    <t>21.05.2022</t>
  </si>
  <si>
    <t>21.05.2021</t>
  </si>
  <si>
    <t>92,90</t>
  </si>
  <si>
    <t>94,49</t>
  </si>
  <si>
    <t>UBM Development AG</t>
  </si>
  <si>
    <t>150.000.000</t>
  </si>
  <si>
    <t>29.04.2021</t>
  </si>
  <si>
    <t>24.01.25 12:17:27</t>
  </si>
  <si>
    <t>100,71 / 100,71</t>
  </si>
  <si>
    <t>97,94 / 102,921</t>
  </si>
  <si>
    <t>21.12.2015</t>
  </si>
  <si>
    <t>22.01.2015</t>
  </si>
  <si>
    <t>8.350.000.000</t>
  </si>
  <si>
    <t>101,57</t>
  </si>
  <si>
    <t>101,57 / 101,95</t>
  </si>
  <si>
    <t>100,17 / 105,57</t>
  </si>
  <si>
    <t>101,35</t>
  </si>
  <si>
    <t>104,14</t>
  </si>
  <si>
    <t>105,57</t>
  </si>
  <si>
    <t>101,78</t>
  </si>
  <si>
    <t>101,78 / 101,83</t>
  </si>
  <si>
    <t>99,37 / 103,42</t>
  </si>
  <si>
    <t>25.01.2025</t>
  </si>
  <si>
    <t>101,66</t>
  </si>
  <si>
    <t>101,15</t>
  </si>
  <si>
    <t>Sixt SE</t>
  </si>
  <si>
    <t>22.01.2024</t>
  </si>
  <si>
    <t>86,73 / 86,875</t>
  </si>
  <si>
    <t>83,73 / 88,98</t>
  </si>
  <si>
    <t>18.12.2020</t>
  </si>
  <si>
    <t>16.01.2020</t>
  </si>
  <si>
    <t>85,78</t>
  </si>
  <si>
    <t>83,73</t>
  </si>
  <si>
    <t>78,81</t>
  </si>
  <si>
    <t>73,94</t>
  </si>
  <si>
    <t>88,98</t>
  </si>
  <si>
    <t>0.058 / 0.06%</t>
  </si>
  <si>
    <t>97,223 / 97,724</t>
  </si>
  <si>
    <t>94,877 / 98,045</t>
  </si>
  <si>
    <t>30.09.2019</t>
  </si>
  <si>
    <t>31.03.2019</t>
  </si>
  <si>
    <t>96,66</t>
  </si>
  <si>
    <t>92,43</t>
  </si>
  <si>
    <t>31.939.970.700</t>
  </si>
  <si>
    <t>100,05 / 100,24</t>
  </si>
  <si>
    <t>96,445 / 101,86</t>
  </si>
  <si>
    <t>21.01.2019</t>
  </si>
  <si>
    <t>99,57</t>
  </si>
  <si>
    <t>90,63</t>
  </si>
  <si>
    <t>113,53</t>
  </si>
  <si>
    <t>14.01.2019</t>
  </si>
  <si>
    <t>24.01.25 17:02:19</t>
  </si>
  <si>
    <t>84,90</t>
  </si>
  <si>
    <t>0.83 / 0.99%</t>
  </si>
  <si>
    <t>84,00 / 84,90</t>
  </si>
  <si>
    <t>78,83 / 87,55</t>
  </si>
  <si>
    <t>82,35</t>
  </si>
  <si>
    <t>78,83</t>
  </si>
  <si>
    <t>73,15</t>
  </si>
  <si>
    <t>71,07</t>
  </si>
  <si>
    <t>85,87</t>
  </si>
  <si>
    <t>84,47</t>
  </si>
  <si>
    <t>0.40 / 0.48%</t>
  </si>
  <si>
    <t>84,47 / 85,15</t>
  </si>
  <si>
    <t>72,44 / 87,86</t>
  </si>
  <si>
    <t>31.01.2016</t>
  </si>
  <si>
    <t>11.09.2015</t>
  </si>
  <si>
    <t>82,36</t>
  </si>
  <si>
    <t>72,44</t>
  </si>
  <si>
    <t>72,30</t>
  </si>
  <si>
    <t>85,63</t>
  </si>
  <si>
    <t>86,95</t>
  </si>
  <si>
    <t>87,86</t>
  </si>
  <si>
    <t>90,09</t>
  </si>
  <si>
    <t>South Africa, Republic of</t>
  </si>
  <si>
    <t>38.608.396.150</t>
  </si>
  <si>
    <t>24.01.25 11:13:00</t>
  </si>
  <si>
    <t>39,00</t>
  </si>
  <si>
    <t>39,00 / 39,00</t>
  </si>
  <si>
    <t>33,00 / 43,00</t>
  </si>
  <si>
    <t>31.12.2017</t>
  </si>
  <si>
    <t>01.09.2017</t>
  </si>
  <si>
    <t>42,00</t>
  </si>
  <si>
    <t>43,00</t>
  </si>
  <si>
    <t>65,00</t>
  </si>
  <si>
    <t>76,00</t>
  </si>
  <si>
    <t>Blue Energy Group AG</t>
  </si>
  <si>
    <t>29.09.2017</t>
  </si>
  <si>
    <t>75,03</t>
  </si>
  <si>
    <t>0.79 / 1.06%</t>
  </si>
  <si>
    <t>74,70 / 76,49</t>
  </si>
  <si>
    <t>35,75 / 81,00</t>
  </si>
  <si>
    <t>04.09.2020</t>
  </si>
  <si>
    <t>74,24</t>
  </si>
  <si>
    <t>63,38</t>
  </si>
  <si>
    <t>50,60</t>
  </si>
  <si>
    <t>35,75</t>
  </si>
  <si>
    <t>21,21</t>
  </si>
  <si>
    <t>17,50</t>
  </si>
  <si>
    <t>Argentinien, Republik</t>
  </si>
  <si>
    <t>90.389.740</t>
  </si>
  <si>
    <t>81.350.766</t>
  </si>
  <si>
    <t>95,88 / 96,75</t>
  </si>
  <si>
    <t>92,78 / 96,97</t>
  </si>
  <si>
    <t>12.10.2021</t>
  </si>
  <si>
    <t>12.10.2020</t>
  </si>
  <si>
    <t>94,36</t>
  </si>
  <si>
    <t>87,90</t>
  </si>
  <si>
    <t>100,35</t>
  </si>
  <si>
    <t>24.01.25 16:00:22</t>
  </si>
  <si>
    <t>9.91 / 11.46%</t>
  </si>
  <si>
    <t>86,57 / 96,42</t>
  </si>
  <si>
    <t>85,92 / 100,02</t>
  </si>
  <si>
    <t>05.04.2023</t>
  </si>
  <si>
    <t>05.04.2022</t>
  </si>
  <si>
    <t>Atenor S.A.</t>
  </si>
  <si>
    <t>55.000.000</t>
  </si>
  <si>
    <t>24.01.25 15:12:50</t>
  </si>
  <si>
    <t>64,00 / 64,00</t>
  </si>
  <si>
    <t>55,00 / 82,00</t>
  </si>
  <si>
    <t>22.01.2017</t>
  </si>
  <si>
    <t>22.07.2016</t>
  </si>
  <si>
    <t>51,00</t>
  </si>
  <si>
    <t>35,00</t>
  </si>
  <si>
    <t>69,80</t>
  </si>
  <si>
    <t>71,97</t>
  </si>
  <si>
    <t>Singulus Technologies AG</t>
  </si>
  <si>
    <t>12.000.000</t>
  </si>
  <si>
    <t>24.01.25 16:56:13</t>
  </si>
  <si>
    <t>95,51 / 95,68</t>
  </si>
  <si>
    <t>92,50 / 97,40</t>
  </si>
  <si>
    <t>03.04.2017</t>
  </si>
  <si>
    <t>88,73</t>
  </si>
  <si>
    <t>88,63</t>
  </si>
  <si>
    <t>106,11</t>
  </si>
  <si>
    <t>Deutsche Telekom International Finance B.V.</t>
  </si>
  <si>
    <t>93,27</t>
  </si>
  <si>
    <t>93,255 / 93,415</t>
  </si>
  <si>
    <t>89,535 / 94,04</t>
  </si>
  <si>
    <t>91,24</t>
  </si>
  <si>
    <t>86,03</t>
  </si>
  <si>
    <t>85,77</t>
  </si>
  <si>
    <t>94,04</t>
  </si>
  <si>
    <t>0.46 / 0.48%</t>
  </si>
  <si>
    <t>96,37 / 97,21</t>
  </si>
  <si>
    <t>95,09 / 101,41</t>
  </si>
  <si>
    <t>06.03.2025</t>
  </si>
  <si>
    <t>06.09.2024</t>
  </si>
  <si>
    <t>95,09</t>
  </si>
  <si>
    <t>97,64</t>
  </si>
  <si>
    <t>101,41</t>
  </si>
  <si>
    <t>General Motors Financial Co. Inc.</t>
  </si>
  <si>
    <t>05.09.2024</t>
  </si>
  <si>
    <t>24.01.25 09:39:20</t>
  </si>
  <si>
    <t>1.14 / 1.10%</t>
  </si>
  <si>
    <t>103,73 / 105,24</t>
  </si>
  <si>
    <t>98,76 / 106,12</t>
  </si>
  <si>
    <t>26.01.2025</t>
  </si>
  <si>
    <t>103,01</t>
  </si>
  <si>
    <t>106,12</t>
  </si>
  <si>
    <t>ZÃ¼rich, Stadt</t>
  </si>
  <si>
    <t>96,22</t>
  </si>
  <si>
    <t>0.22 / 0.23%</t>
  </si>
  <si>
    <t>95,81 / 96,37</t>
  </si>
  <si>
    <t>94,09 / 112,15</t>
  </si>
  <si>
    <t>94,09</t>
  </si>
  <si>
    <t>97,84</t>
  </si>
  <si>
    <t>112,15</t>
  </si>
  <si>
    <t>76.420.803.500</t>
  </si>
  <si>
    <t>07.05.2024</t>
  </si>
  <si>
    <t>50,10</t>
  </si>
  <si>
    <t>49,933 / 50,395</t>
  </si>
  <si>
    <t>48,369 / 56,849</t>
  </si>
  <si>
    <t>49,30</t>
  </si>
  <si>
    <t>42.500.000.000</t>
  </si>
  <si>
    <t>21.08.2019</t>
  </si>
  <si>
    <t>54,40</t>
  </si>
  <si>
    <t>0.29 / 0.54%</t>
  </si>
  <si>
    <t>54,00 / 55,00</t>
  </si>
  <si>
    <t>30,90 / 56,50</t>
  </si>
  <si>
    <t>31.03.2010</t>
  </si>
  <si>
    <t>30.09.2009</t>
  </si>
  <si>
    <t>52,34</t>
  </si>
  <si>
    <t>43,75</t>
  </si>
  <si>
    <t>35,11</t>
  </si>
  <si>
    <t>30,90</t>
  </si>
  <si>
    <t>25,07</t>
  </si>
  <si>
    <t>56,50</t>
  </si>
  <si>
    <t>1.427.127.806</t>
  </si>
  <si>
    <t>24.01.25 12:40:54</t>
  </si>
  <si>
    <t>107,31</t>
  </si>
  <si>
    <t>0.47 / 0.44%</t>
  </si>
  <si>
    <t>106,70 / 107,31</t>
  </si>
  <si>
    <t>103,20 / 109,57</t>
  </si>
  <si>
    <t>12.09.2024</t>
  </si>
  <si>
    <t>12.09.2023</t>
  </si>
  <si>
    <t>105,03</t>
  </si>
  <si>
    <t>108,05</t>
  </si>
  <si>
    <t>109,57</t>
  </si>
  <si>
    <t>1.750.000.000</t>
  </si>
  <si>
    <t>107,00 / 107,30</t>
  </si>
  <si>
    <t>106,00 / 109,55</t>
  </si>
  <si>
    <t>106,50</t>
  </si>
  <si>
    <t>109,25</t>
  </si>
  <si>
    <t>109,55</t>
  </si>
  <si>
    <t>Katjes International GmbH &amp; Co. KG</t>
  </si>
  <si>
    <t>89,15</t>
  </si>
  <si>
    <t>89,15 / 89,85</t>
  </si>
  <si>
    <t>87,00 / 98,25</t>
  </si>
  <si>
    <t>29.01.2023</t>
  </si>
  <si>
    <t>86,75</t>
  </si>
  <si>
    <t>90,52</t>
  </si>
  <si>
    <t>103,02</t>
  </si>
  <si>
    <t>GroÃŸbritannien und Nord-Irland, Vereinigtes KÃ¶nigreich</t>
  </si>
  <si>
    <t>32.464.556.000</t>
  </si>
  <si>
    <t>42,03</t>
  </si>
  <si>
    <t>42,03 / 43,40</t>
  </si>
  <si>
    <t>40,79 / 50,22</t>
  </si>
  <si>
    <t>20.04.2022</t>
  </si>
  <si>
    <t>20.04.2021</t>
  </si>
  <si>
    <t>41,29</t>
  </si>
  <si>
    <t>40,79</t>
  </si>
  <si>
    <t>33,87</t>
  </si>
  <si>
    <t>46,05</t>
  </si>
  <si>
    <t>50,22</t>
  </si>
  <si>
    <t>50,45</t>
  </si>
  <si>
    <t>91,52</t>
  </si>
  <si>
    <t>6.340.000.000</t>
  </si>
  <si>
    <t>24.01.25 12:13:40</t>
  </si>
  <si>
    <t>103,91 / 103,95</t>
  </si>
  <si>
    <t>103,12 / 106,28</t>
  </si>
  <si>
    <t>04.10.2024</t>
  </si>
  <si>
    <t>04.10.2023</t>
  </si>
  <si>
    <t>103,12</t>
  </si>
  <si>
    <t>105,14</t>
  </si>
  <si>
    <t>105,79</t>
  </si>
  <si>
    <t>106,28</t>
  </si>
  <si>
    <t>106,89</t>
  </si>
  <si>
    <t>Wienerberger AG</t>
  </si>
  <si>
    <t>350.000.000</t>
  </si>
  <si>
    <t>24.01.25 08:04:40</t>
  </si>
  <si>
    <t>102,44</t>
  </si>
  <si>
    <t>0.94 / 0.93%</t>
  </si>
  <si>
    <t>102,44 / 102,44</t>
  </si>
  <si>
    <t>98,99 / 105,12</t>
  </si>
  <si>
    <t>104,34</t>
  </si>
  <si>
    <t>98,95 / 101,60</t>
  </si>
  <si>
    <t>94,70 / 103,50</t>
  </si>
  <si>
    <t>24.01.25 11:00:01</t>
  </si>
  <si>
    <t>101,38</t>
  </si>
  <si>
    <t>100,73 / 101,38</t>
  </si>
  <si>
    <t>97,73 / 103,68</t>
  </si>
  <si>
    <t>102,09</t>
  </si>
  <si>
    <t>103,68</t>
  </si>
  <si>
    <t>100,84 / 101,10</t>
  </si>
  <si>
    <t>99,56 / 102,64</t>
  </si>
  <si>
    <t>100,56</t>
  </si>
  <si>
    <t>100,39 / 100,88</t>
  </si>
  <si>
    <t>98,73 / 104,44</t>
  </si>
  <si>
    <t>05.09.2025</t>
  </si>
  <si>
    <t>101,73</t>
  </si>
  <si>
    <t>104,44</t>
  </si>
  <si>
    <t>24.01.25 17:04:55</t>
  </si>
  <si>
    <t>100,80</t>
  </si>
  <si>
    <t>99,80 / 100,80</t>
  </si>
  <si>
    <t>97,25 / 102,30</t>
  </si>
  <si>
    <t>23.08.2023</t>
  </si>
  <si>
    <t>97,25</t>
  </si>
  <si>
    <t>21.088.000</t>
  </si>
  <si>
    <t>99,26 / 100,35</t>
  </si>
  <si>
    <t>87,00 / 108,00</t>
  </si>
  <si>
    <t>31.03.2023</t>
  </si>
  <si>
    <t>101,25</t>
  </si>
  <si>
    <t>101,90</t>
  </si>
  <si>
    <t>107,80</t>
  </si>
  <si>
    <t>21.03.2023</t>
  </si>
  <si>
    <t>98,765 / 100,335</t>
  </si>
  <si>
    <t>96,405 / 100,525</t>
  </si>
  <si>
    <t>04.07.2014</t>
  </si>
  <si>
    <t>04.07.2013</t>
  </si>
  <si>
    <t>24.01.25 12:20:53</t>
  </si>
  <si>
    <t>97,00 / 103,00</t>
  </si>
  <si>
    <t>01.12.2023</t>
  </si>
  <si>
    <t>01.12.2022</t>
  </si>
  <si>
    <t>Energiekontor Finanzanlagen IX GmbH &amp; Co. KG</t>
  </si>
  <si>
    <t>4.840.000</t>
  </si>
  <si>
    <t>24.11.2022</t>
  </si>
  <si>
    <t>91,50 / 100,80</t>
  </si>
  <si>
    <t>18.12.2021</t>
  </si>
  <si>
    <t>18.06.2021</t>
  </si>
  <si>
    <t>PHM Group Holding Oy</t>
  </si>
  <si>
    <t>340.000.000</t>
  </si>
  <si>
    <t>16.06.2021</t>
  </si>
  <si>
    <t>24.01.25 10:50:26</t>
  </si>
  <si>
    <t>99,63 / 99,64</t>
  </si>
  <si>
    <t>97,02 / 99,77</t>
  </si>
  <si>
    <t>28.02.2018</t>
  </si>
  <si>
    <t>28.02.2017</t>
  </si>
  <si>
    <t>99,207 / 99,357</t>
  </si>
  <si>
    <t>96,824 / 99,357</t>
  </si>
  <si>
    <t>99,645 / 99,725</t>
  </si>
  <si>
    <t>97,93 / 101,435</t>
  </si>
  <si>
    <t>97,93</t>
  </si>
  <si>
    <t>57.923.441.000</t>
  </si>
  <si>
    <t>98,00 / 98,01</t>
  </si>
  <si>
    <t>63,00 / 100,00</t>
  </si>
  <si>
    <t>05.05.2022</t>
  </si>
  <si>
    <t>05.05.2021</t>
  </si>
  <si>
    <t>Zeitfracht Logistik Holding GmbH</t>
  </si>
  <si>
    <t>30.04.2021</t>
  </si>
  <si>
    <t>24.01.25 10:34:47</t>
  </si>
  <si>
    <t>93,97 / 99,80</t>
  </si>
  <si>
    <t>96,81</t>
  </si>
  <si>
    <t>101,13</t>
  </si>
  <si>
    <t>24.01.25 09:31:50</t>
  </si>
  <si>
    <t>0.02 / 0.02%</t>
  </si>
  <si>
    <t>99,83 / 100,49</t>
  </si>
  <si>
    <t>98,79 / 101,05</t>
  </si>
  <si>
    <t>98,39</t>
  </si>
  <si>
    <t>53.966.637.500</t>
  </si>
  <si>
    <t>15.11.2025</t>
  </si>
  <si>
    <t>80,60</t>
  </si>
  <si>
    <t>80,45 / 81,55</t>
  </si>
  <si>
    <t>75,60 / 83,15</t>
  </si>
  <si>
    <t>23.12.2021</t>
  </si>
  <si>
    <t>23.12.2020</t>
  </si>
  <si>
    <t>79,90</t>
  </si>
  <si>
    <t>75,60</t>
  </si>
  <si>
    <t>70,30</t>
  </si>
  <si>
    <t>68,45</t>
  </si>
  <si>
    <t>83,15</t>
  </si>
  <si>
    <t>96,54</t>
  </si>
  <si>
    <t>96,53 / 96,65</t>
  </si>
  <si>
    <t>91,99 / 98,71</t>
  </si>
  <si>
    <t>23.08.2022</t>
  </si>
  <si>
    <t>23.05.2022</t>
  </si>
  <si>
    <t>95,99</t>
  </si>
  <si>
    <t>95,84</t>
  </si>
  <si>
    <t>94,79</t>
  </si>
  <si>
    <t>87,65</t>
  </si>
  <si>
    <t>84,59</t>
  </si>
  <si>
    <t>WÃ¼rth Finance International B.V.</t>
  </si>
  <si>
    <t>98,00 / 102,30</t>
  </si>
  <si>
    <t>85,89 / 102,30</t>
  </si>
  <si>
    <t>08.06.2008</t>
  </si>
  <si>
    <t>08.06.2007</t>
  </si>
  <si>
    <t>91,92</t>
  </si>
  <si>
    <t>91,07</t>
  </si>
  <si>
    <t>85,89</t>
  </si>
  <si>
    <t>83,82</t>
  </si>
  <si>
    <t>MXN</t>
  </si>
  <si>
    <t>99,55 / 101,00</t>
  </si>
  <si>
    <t>97,52 / 107,97</t>
  </si>
  <si>
    <t>15.08.2005</t>
  </si>
  <si>
    <t>09.02.2005</t>
  </si>
  <si>
    <t>94,38</t>
  </si>
  <si>
    <t>103,32</t>
  </si>
  <si>
    <t>107,97</t>
  </si>
  <si>
    <t>111,57</t>
  </si>
  <si>
    <t>130,02</t>
  </si>
  <si>
    <t>512.404.000</t>
  </si>
  <si>
    <t>24.01.25 17:02:58</t>
  </si>
  <si>
    <t>100,473 / 100,513</t>
  </si>
  <si>
    <t>99,75 / 101,76</t>
  </si>
  <si>
    <t>101,76</t>
  </si>
  <si>
    <t>71.392.445.700</t>
  </si>
  <si>
    <t>95,783 / 95,846</t>
  </si>
  <si>
    <t>91,50 / 96,195</t>
  </si>
  <si>
    <t>85,80</t>
  </si>
  <si>
    <t>95,16</t>
  </si>
  <si>
    <t>95,16 / 95,45</t>
  </si>
  <si>
    <t>93,00 / 96,93</t>
  </si>
  <si>
    <t>26.05.2016</t>
  </si>
  <si>
    <t>86,59</t>
  </si>
  <si>
    <t>77,18</t>
  </si>
  <si>
    <t>106,10</t>
  </si>
  <si>
    <t>1.870.259.000</t>
  </si>
  <si>
    <t>94,76 / 94,98</t>
  </si>
  <si>
    <t>92,10 / 95,915</t>
  </si>
  <si>
    <t>20.02.2019</t>
  </si>
  <si>
    <t>25.01.2018</t>
  </si>
  <si>
    <t>93,28</t>
  </si>
  <si>
    <t>92,10</t>
  </si>
  <si>
    <t>13.749.317.000</t>
  </si>
  <si>
    <t>0.081 / 0.08%</t>
  </si>
  <si>
    <t>98,036 / 98,536</t>
  </si>
  <si>
    <t>96,665 / 98,75</t>
  </si>
  <si>
    <t>11.09.2016</t>
  </si>
  <si>
    <t>11.03.2016</t>
  </si>
  <si>
    <t>97,44</t>
  </si>
  <si>
    <t>98,75</t>
  </si>
  <si>
    <t>105,82</t>
  </si>
  <si>
    <t>24.01.25 16:21:38</t>
  </si>
  <si>
    <t>0.076 / 0.08%</t>
  </si>
  <si>
    <t>97,902 / 97,949</t>
  </si>
  <si>
    <t>94,985 / 98,366</t>
  </si>
  <si>
    <t>22.10.2016</t>
  </si>
  <si>
    <t>22.04.2016</t>
  </si>
  <si>
    <t>91,87</t>
  </si>
  <si>
    <t>0.04 / 0.04%</t>
  </si>
  <si>
    <t>97,325 / 97,34</t>
  </si>
  <si>
    <t>93,02 / 97,34</t>
  </si>
  <si>
    <t>31.03.2021</t>
  </si>
  <si>
    <t>30.09.2020</t>
  </si>
  <si>
    <t>96,28</t>
  </si>
  <si>
    <t>93,02</t>
  </si>
  <si>
    <t>89,08</t>
  </si>
  <si>
    <t>88,04</t>
  </si>
  <si>
    <t>60.202.027.100</t>
  </si>
  <si>
    <t>92,635 / 92,735</t>
  </si>
  <si>
    <t>88,39 / 93,56</t>
  </si>
  <si>
    <t>18.01.2021</t>
  </si>
  <si>
    <t>91,72</t>
  </si>
  <si>
    <t>88,39</t>
  </si>
  <si>
    <t>82,63</t>
  </si>
  <si>
    <t>19.01.2021</t>
  </si>
  <si>
    <t>90,905 / 91,06</t>
  </si>
  <si>
    <t>86,47 / 92,26</t>
  </si>
  <si>
    <t>15.02.2022</t>
  </si>
  <si>
    <t>15.11.2021</t>
  </si>
  <si>
    <t>90,33</t>
  </si>
  <si>
    <t>89,90</t>
  </si>
  <si>
    <t>86,47</t>
  </si>
  <si>
    <t>91,61</t>
  </si>
  <si>
    <t>92,26</t>
  </si>
  <si>
    <t>97,28</t>
  </si>
  <si>
    <t>103,00 / 103,00</t>
  </si>
  <si>
    <t>89,48 / 104,99</t>
  </si>
  <si>
    <t>11.08.2023</t>
  </si>
  <si>
    <t>11.08.2022</t>
  </si>
  <si>
    <t>89,48</t>
  </si>
  <si>
    <t>112,50</t>
  </si>
  <si>
    <t>0.16 / 0.18%</t>
  </si>
  <si>
    <t>90,75 / 90,885</t>
  </si>
  <si>
    <t>87,07 / 92,525</t>
  </si>
  <si>
    <t>31.08.2021</t>
  </si>
  <si>
    <t>28.02.2021</t>
  </si>
  <si>
    <t>90,16</t>
  </si>
  <si>
    <t>90,05</t>
  </si>
  <si>
    <t>75.431.148.500</t>
  </si>
  <si>
    <t>24.02.2021</t>
  </si>
  <si>
    <t>90,43</t>
  </si>
  <si>
    <t>0.37 / 0.41%</t>
  </si>
  <si>
    <t>89,96 / 90,45</t>
  </si>
  <si>
    <t>88,40 / 105,67</t>
  </si>
  <si>
    <t>92,09</t>
  </si>
  <si>
    <t>105,67</t>
  </si>
  <si>
    <t>71.198.791.300</t>
  </si>
  <si>
    <t>0.14 / 0.16%</t>
  </si>
  <si>
    <t>90,06 / 90,20</t>
  </si>
  <si>
    <t>86,055 / 91,365</t>
  </si>
  <si>
    <t>31.10.2020</t>
  </si>
  <si>
    <t>89,36</t>
  </si>
  <si>
    <t>88,64</t>
  </si>
  <si>
    <t>83,58</t>
  </si>
  <si>
    <t>82,04</t>
  </si>
  <si>
    <t>58.387.976.800</t>
  </si>
  <si>
    <t>99,02</t>
  </si>
  <si>
    <t>99,02 / 99,40</t>
  </si>
  <si>
    <t>98,025 / 101,78</t>
  </si>
  <si>
    <t>24.01.25 14:45:14</t>
  </si>
  <si>
    <t>87,34</t>
  </si>
  <si>
    <t>0.34 / 0.39%</t>
  </si>
  <si>
    <t>86,84 / 87,34</t>
  </si>
  <si>
    <t>84,06 / 94,49</t>
  </si>
  <si>
    <t>17.05.2016</t>
  </si>
  <si>
    <t>17.11.2015</t>
  </si>
  <si>
    <t>84,06</t>
  </si>
  <si>
    <t>74,70</t>
  </si>
  <si>
    <t>96,17</t>
  </si>
  <si>
    <t>119,69</t>
  </si>
  <si>
    <t>103,53</t>
  </si>
  <si>
    <t>103,53 / 104,055</t>
  </si>
  <si>
    <t>100,01 / 106,86</t>
  </si>
  <si>
    <t>07.03.2025</t>
  </si>
  <si>
    <t>07.03.2024</t>
  </si>
  <si>
    <t>103,05</t>
  </si>
  <si>
    <t>105,22</t>
  </si>
  <si>
    <t>METRO AG</t>
  </si>
  <si>
    <t>05.03.2024</t>
  </si>
  <si>
    <t>24.01.25 11:54:53</t>
  </si>
  <si>
    <t>0.56 / 0.56%</t>
  </si>
  <si>
    <t>100,08 / 100,56</t>
  </si>
  <si>
    <t>98,05 / 103,24</t>
  </si>
  <si>
    <t>20.11.2025</t>
  </si>
  <si>
    <t>103,24</t>
  </si>
  <si>
    <t>24.01.25 12:15:01</t>
  </si>
  <si>
    <t>100,36 / 100,36</t>
  </si>
  <si>
    <t>98,56 / 100,73</t>
  </si>
  <si>
    <t>99,34</t>
  </si>
  <si>
    <t>96,96</t>
  </si>
  <si>
    <t>100,10 / 100,15</t>
  </si>
  <si>
    <t>07.08.2025</t>
  </si>
  <si>
    <t>07.08.2024</t>
  </si>
  <si>
    <t>24.964.000</t>
  </si>
  <si>
    <t>24.01.25 12:59:52</t>
  </si>
  <si>
    <t>97,939 / 98,038</t>
  </si>
  <si>
    <t>94,52 / 98,084</t>
  </si>
  <si>
    <t>03.02.2021</t>
  </si>
  <si>
    <t>12.06.2020</t>
  </si>
  <si>
    <t>91,32</t>
  </si>
  <si>
    <t>89,49</t>
  </si>
  <si>
    <t>102,13</t>
  </si>
  <si>
    <t>Covestro AG</t>
  </si>
  <si>
    <t>78,10</t>
  </si>
  <si>
    <t>0.07 / 0.09%</t>
  </si>
  <si>
    <t>77,95 / 78,22</t>
  </si>
  <si>
    <t>73,76 / 80,90</t>
  </si>
  <si>
    <t>05.06.2021</t>
  </si>
  <si>
    <t>05.06.2020</t>
  </si>
  <si>
    <t>76,64</t>
  </si>
  <si>
    <t>75,27</t>
  </si>
  <si>
    <t>73,76</t>
  </si>
  <si>
    <t>66,48</t>
  </si>
  <si>
    <t>58,19</t>
  </si>
  <si>
    <t>79,58</t>
  </si>
  <si>
    <t>80,90</t>
  </si>
  <si>
    <t>102,74</t>
  </si>
  <si>
    <t>0.22 / 0.29%</t>
  </si>
  <si>
    <t>76,89 / 77,32</t>
  </si>
  <si>
    <t>75,37 / 87,51</t>
  </si>
  <si>
    <t>15.02.2015</t>
  </si>
  <si>
    <t>15.08.2014</t>
  </si>
  <si>
    <t>75,37</t>
  </si>
  <si>
    <t>71,67</t>
  </si>
  <si>
    <t>78,07</t>
  </si>
  <si>
    <t>82,50</t>
  </si>
  <si>
    <t>87,51</t>
  </si>
  <si>
    <t>91,67</t>
  </si>
  <si>
    <t>118,11</t>
  </si>
  <si>
    <t>42.000.029.800</t>
  </si>
  <si>
    <t>24.01.25 11:59:31</t>
  </si>
  <si>
    <t>0.50 / 0.52%</t>
  </si>
  <si>
    <t>96,50 / 96,50</t>
  </si>
  <si>
    <t>95,50 / 100,50</t>
  </si>
  <si>
    <t>18.10.2022</t>
  </si>
  <si>
    <t>MS Industrie AG</t>
  </si>
  <si>
    <t>93,26</t>
  </si>
  <si>
    <t>93,26 / 95,00</t>
  </si>
  <si>
    <t>86,63 / 95,00</t>
  </si>
  <si>
    <t>01.10.1996</t>
  </si>
  <si>
    <t>92,23</t>
  </si>
  <si>
    <t>80,99</t>
  </si>
  <si>
    <t>10.10.1996</t>
  </si>
  <si>
    <t>DKK</t>
  </si>
  <si>
    <t>0.135 / 0.14%</t>
  </si>
  <si>
    <t>99,585 / 99,85</t>
  </si>
  <si>
    <t>99,055 / 100,50</t>
  </si>
  <si>
    <t>29.11.2024</t>
  </si>
  <si>
    <t>Landeskreditbank Baden-WÃ¼rttemberg - FÃ¶rderbank</t>
  </si>
  <si>
    <t>99,666 / 99,748</t>
  </si>
  <si>
    <t>97,23 / 99,793</t>
  </si>
  <si>
    <t>17.01.2016</t>
  </si>
  <si>
    <t>98,28</t>
  </si>
  <si>
    <t>94,98</t>
  </si>
  <si>
    <t>106,81</t>
  </si>
  <si>
    <t>Santander Holdings USA Inc.</t>
  </si>
  <si>
    <t>24.01.25 11:36:05</t>
  </si>
  <si>
    <t>98,24</t>
  </si>
  <si>
    <t>97,92 / 98,24</t>
  </si>
  <si>
    <t>96,11 / 114,13</t>
  </si>
  <si>
    <t>114,13</t>
  </si>
  <si>
    <t>66.443.644.600</t>
  </si>
  <si>
    <t>07.11.2023</t>
  </si>
  <si>
    <t>24.01.25 17:03:31</t>
  </si>
  <si>
    <t>93,64</t>
  </si>
  <si>
    <t>93,64 / 93,71</t>
  </si>
  <si>
    <t>89,18 / 94,40</t>
  </si>
  <si>
    <t>03.09.2020</t>
  </si>
  <si>
    <t>93,40</t>
  </si>
  <si>
    <t>93,24</t>
  </si>
  <si>
    <t>91,39</t>
  </si>
  <si>
    <t>76,56</t>
  </si>
  <si>
    <t>94,02</t>
  </si>
  <si>
    <t>94,40</t>
  </si>
  <si>
    <t>99,88</t>
  </si>
  <si>
    <t>HOCHTIEF AG</t>
  </si>
  <si>
    <t>24.01.25 13:48:02</t>
  </si>
  <si>
    <t>74,37</t>
  </si>
  <si>
    <t>74,01 / 74,37</t>
  </si>
  <si>
    <t>70,76 / 77,80</t>
  </si>
  <si>
    <t>30.07.2021</t>
  </si>
  <si>
    <t>72,75</t>
  </si>
  <si>
    <t>72,65</t>
  </si>
  <si>
    <t>70,76</t>
  </si>
  <si>
    <t>64,17</t>
  </si>
  <si>
    <t>75,33</t>
  </si>
  <si>
    <t>19.023.546.000</t>
  </si>
  <si>
    <t>15.04.2021</t>
  </si>
  <si>
    <t>73,35</t>
  </si>
  <si>
    <t>73,20 / 73,60</t>
  </si>
  <si>
    <t>68,35 / 76,35</t>
  </si>
  <si>
    <t>18.02.2022</t>
  </si>
  <si>
    <t>18.02.2021</t>
  </si>
  <si>
    <t>72,60</t>
  </si>
  <si>
    <t>70,35</t>
  </si>
  <si>
    <t>68,35</t>
  </si>
  <si>
    <t>62,00</t>
  </si>
  <si>
    <t>74,65</t>
  </si>
  <si>
    <t>76,35</t>
  </si>
  <si>
    <t>94,20</t>
  </si>
  <si>
    <t>95,504 / 96,067</t>
  </si>
  <si>
    <t>94,269 / 103,75</t>
  </si>
  <si>
    <t>27.04.2012</t>
  </si>
  <si>
    <t>103,75</t>
  </si>
  <si>
    <t>32.000.000.000</t>
  </si>
  <si>
    <t>94,35</t>
  </si>
  <si>
    <t>94,05 / 94,39</t>
  </si>
  <si>
    <t>92,94 / 102,51</t>
  </si>
  <si>
    <t>92,94</t>
  </si>
  <si>
    <t>128.890.374.900</t>
  </si>
  <si>
    <t>24.01.25 12:07:23</t>
  </si>
  <si>
    <t>92,00 / 94,00</t>
  </si>
  <si>
    <t>88,00 / 106,89</t>
  </si>
  <si>
    <t>22.07.2014</t>
  </si>
  <si>
    <t>22.01.2014</t>
  </si>
  <si>
    <t>78,20</t>
  </si>
  <si>
    <t>127,16</t>
  </si>
  <si>
    <t>ElectricitÃ© de France S.A. (E.D.F.)</t>
  </si>
  <si>
    <t>24.01.25 12:13:59</t>
  </si>
  <si>
    <t>89,525 / 89,625</t>
  </si>
  <si>
    <t>84,415 / 91,195</t>
  </si>
  <si>
    <t>26.04.2022</t>
  </si>
  <si>
    <t>26.04.2021</t>
  </si>
  <si>
    <t>89,14</t>
  </si>
  <si>
    <t>86,79</t>
  </si>
  <si>
    <t>90,30</t>
  </si>
  <si>
    <t>89,01 / 89,17</t>
  </si>
  <si>
    <t>85,665 / 90,78</t>
  </si>
  <si>
    <t>88,47</t>
  </si>
  <si>
    <t>85,67</t>
  </si>
  <si>
    <t>90,01</t>
  </si>
  <si>
    <t>90,78</t>
  </si>
  <si>
    <t>101,01</t>
  </si>
  <si>
    <t>25.569.165.000</t>
  </si>
  <si>
    <t>0.22 / 0.25%</t>
  </si>
  <si>
    <t>88,63 / 88,795</t>
  </si>
  <si>
    <t>85,57 / 92,09</t>
  </si>
  <si>
    <t>87,88</t>
  </si>
  <si>
    <t>85,57</t>
  </si>
  <si>
    <t>83,17</t>
  </si>
  <si>
    <t>89,89</t>
  </si>
  <si>
    <t>92.618.670.000</t>
  </si>
  <si>
    <t>24.01.25 12:28:11</t>
  </si>
  <si>
    <t>2,50</t>
  </si>
  <si>
    <t>1.20 / 92.31%</t>
  </si>
  <si>
    <t>1,30 / 2,50</t>
  </si>
  <si>
    <t>0,65 / 4,95</t>
  </si>
  <si>
    <t>13.05.2005</t>
  </si>
  <si>
    <t>1,10</t>
  </si>
  <si>
    <t>1,00</t>
  </si>
  <si>
    <t>0,75</t>
  </si>
  <si>
    <t>0,65</t>
  </si>
  <si>
    <t>0,10</t>
  </si>
  <si>
    <t>4,95</t>
  </si>
  <si>
    <t>7,50</t>
  </si>
  <si>
    <t>Hybrid Capital Funding II L.P.</t>
  </si>
  <si>
    <t>240.000.000</t>
  </si>
  <si>
    <t>71,56</t>
  </si>
  <si>
    <t>0.67 / 0.95%</t>
  </si>
  <si>
    <t>71,47 / 74,50</t>
  </si>
  <si>
    <t>61,285 / 74,50</t>
  </si>
  <si>
    <t>01.08.1997</t>
  </si>
  <si>
    <t>70,54</t>
  </si>
  <si>
    <t>69,86</t>
  </si>
  <si>
    <t>68,53</t>
  </si>
  <si>
    <t>The Development Bank of Southern Africa</t>
  </si>
  <si>
    <t>7.500.000.000</t>
  </si>
  <si>
    <t>86,70 / 86,89</t>
  </si>
  <si>
    <t>83,605 / 90,60</t>
  </si>
  <si>
    <t>85,66</t>
  </si>
  <si>
    <t>81,06</t>
  </si>
  <si>
    <t>87,05</t>
  </si>
  <si>
    <t>88,17</t>
  </si>
  <si>
    <t>90,60</t>
  </si>
  <si>
    <t>98,83</t>
  </si>
  <si>
    <t>87.628.595.700</t>
  </si>
  <si>
    <t>11.02.2020</t>
  </si>
  <si>
    <t>89,37</t>
  </si>
  <si>
    <t>0.32 / 0.36%</t>
  </si>
  <si>
    <t>89,37 / 90,13</t>
  </si>
  <si>
    <t>87,04 / 98,80</t>
  </si>
  <si>
    <t>04.12.2012</t>
  </si>
  <si>
    <t>04.06.2012</t>
  </si>
  <si>
    <t>87,04</t>
  </si>
  <si>
    <t>80,52</t>
  </si>
  <si>
    <t>94,66</t>
  </si>
  <si>
    <t>118,28</t>
  </si>
  <si>
    <t>Kraft Heinz Foods Co.</t>
  </si>
  <si>
    <t>1.973.700.000</t>
  </si>
  <si>
    <t>68,63</t>
  </si>
  <si>
    <t>68,49 / 68,80</t>
  </si>
  <si>
    <t>66,07 / 73,22</t>
  </si>
  <si>
    <t>15.01.2022</t>
  </si>
  <si>
    <t>67,62</t>
  </si>
  <si>
    <t>66,07</t>
  </si>
  <si>
    <t>61,20</t>
  </si>
  <si>
    <t>70,48</t>
  </si>
  <si>
    <t>73,22</t>
  </si>
  <si>
    <t>14.116.052.000</t>
  </si>
  <si>
    <t>19.04.2021</t>
  </si>
  <si>
    <t>0.009 / 0.01%</t>
  </si>
  <si>
    <t>99,759 / 99,794</t>
  </si>
  <si>
    <t>98,224 / 100,319</t>
  </si>
  <si>
    <t>15.06.2023</t>
  </si>
  <si>
    <t>15.12.2022</t>
  </si>
  <si>
    <t>39.998.855.200</t>
  </si>
  <si>
    <t>24.01.25 12:30:33</t>
  </si>
  <si>
    <t>0.075 / 0.09%</t>
  </si>
  <si>
    <t>86,45 / 86,495</t>
  </si>
  <si>
    <t>82,14 / 89,80</t>
  </si>
  <si>
    <t>01.11.2020</t>
  </si>
  <si>
    <t>87,70</t>
  </si>
  <si>
    <t>Biogen Inc.</t>
  </si>
  <si>
    <t>91,86 / 92,041</t>
  </si>
  <si>
    <t>88,756 / 93,258</t>
  </si>
  <si>
    <t>27.000.000.000</t>
  </si>
  <si>
    <t>27.04.2021</t>
  </si>
  <si>
    <t>101,74 / 102,05</t>
  </si>
  <si>
    <t>100,215 / 103,76</t>
  </si>
  <si>
    <t>101,44</t>
  </si>
  <si>
    <t>102,67</t>
  </si>
  <si>
    <t>103,76</t>
  </si>
  <si>
    <t>101,71</t>
  </si>
  <si>
    <t>101,535 / 101,855</t>
  </si>
  <si>
    <t>98,93 / 103,515</t>
  </si>
  <si>
    <t>22.07.2023</t>
  </si>
  <si>
    <t>24.01.25 14:08:16</t>
  </si>
  <si>
    <t>60,89</t>
  </si>
  <si>
    <t>0.12 / 0.20%</t>
  </si>
  <si>
    <t>60,44 / 60,89</t>
  </si>
  <si>
    <t>59,27 / 67,16</t>
  </si>
  <si>
    <t>22.06.2022</t>
  </si>
  <si>
    <t>22.02.2022</t>
  </si>
  <si>
    <t>59,27</t>
  </si>
  <si>
    <t>53,41</t>
  </si>
  <si>
    <t>62,21</t>
  </si>
  <si>
    <t>67,16</t>
  </si>
  <si>
    <t>69,15</t>
  </si>
  <si>
    <t>106,54</t>
  </si>
  <si>
    <t>10.639.000.000</t>
  </si>
  <si>
    <t>99,41</t>
  </si>
  <si>
    <t>99,41 / 100,04</t>
  </si>
  <si>
    <t>98,999 / 100,33</t>
  </si>
  <si>
    <t>20.08.2022</t>
  </si>
  <si>
    <t>104,23</t>
  </si>
  <si>
    <t>99,65 / 100,02</t>
  </si>
  <si>
    <t>97,27 / 103,54</t>
  </si>
  <si>
    <t>20.02.2025</t>
  </si>
  <si>
    <t>103,54</t>
  </si>
  <si>
    <t>13.796.803.700</t>
  </si>
  <si>
    <t>97,00 / 99,40</t>
  </si>
  <si>
    <t>96,00 / 103,25</t>
  </si>
  <si>
    <t>24.10.2022</t>
  </si>
  <si>
    <t>22.07.2022</t>
  </si>
  <si>
    <t>Fortaco Group Holdco Oyj</t>
  </si>
  <si>
    <t>127.500.000</t>
  </si>
  <si>
    <t>24.01.25 15:37:23</t>
  </si>
  <si>
    <t>97,00 / 97,00</t>
  </si>
  <si>
    <t>87,50 / 100,39</t>
  </si>
  <si>
    <t>18.04.2022</t>
  </si>
  <si>
    <t>Eleving Group</t>
  </si>
  <si>
    <t>24.01.25 17:16:56</t>
  </si>
  <si>
    <t>4.00 / 4.35%</t>
  </si>
  <si>
    <t>92,00 / 96,00</t>
  </si>
  <si>
    <t>88,495 / 96,67</t>
  </si>
  <si>
    <t>23.10.2021</t>
  </si>
  <si>
    <t>23.10.2020</t>
  </si>
  <si>
    <t>79,50</t>
  </si>
  <si>
    <t>1,60</t>
  </si>
  <si>
    <t>1,60 / 2,00</t>
  </si>
  <si>
    <t>0,239 / 4,50</t>
  </si>
  <si>
    <t>22.04.2005</t>
  </si>
  <si>
    <t>0,55</t>
  </si>
  <si>
    <t>0,239</t>
  </si>
  <si>
    <t>4,50</t>
  </si>
  <si>
    <t>7,40</t>
  </si>
  <si>
    <t>Hybrid Capital Funding I L.P.</t>
  </si>
  <si>
    <t>190.081.637</t>
  </si>
  <si>
    <t>0.17 / 0.17%</t>
  </si>
  <si>
    <t>99,44 / 99,56</t>
  </si>
  <si>
    <t>99,00 / 100,21</t>
  </si>
  <si>
    <t>72.094.446.200</t>
  </si>
  <si>
    <t>97,72</t>
  </si>
  <si>
    <t>0.067 / 0.07%</t>
  </si>
  <si>
    <t>97,691 / 97,728</t>
  </si>
  <si>
    <t>94,98 / 98,06</t>
  </si>
  <si>
    <t>30.04.2019</t>
  </si>
  <si>
    <t>98,06</t>
  </si>
  <si>
    <t>32.407.241.800</t>
  </si>
  <si>
    <t>24.01.25 14:54:35</t>
  </si>
  <si>
    <t>88,53</t>
  </si>
  <si>
    <t>0.28 / 0.32%</t>
  </si>
  <si>
    <t>88,15 / 88,53</t>
  </si>
  <si>
    <t>86,50 / 91,40</t>
  </si>
  <si>
    <t>08.02.2019</t>
  </si>
  <si>
    <t>08.02.2018</t>
  </si>
  <si>
    <t>88,15</t>
  </si>
  <si>
    <t>78,43</t>
  </si>
  <si>
    <t>69,28</t>
  </si>
  <si>
    <t>669.560.000</t>
  </si>
  <si>
    <t>06.02.2018</t>
  </si>
  <si>
    <t>0.17 / 0.18%</t>
  </si>
  <si>
    <t>92,015 / 92,21</t>
  </si>
  <si>
    <t>89,285 / 95,52</t>
  </si>
  <si>
    <t>15.11.2019</t>
  </si>
  <si>
    <t>87,13</t>
  </si>
  <si>
    <t>92,32</t>
  </si>
  <si>
    <t>104,93</t>
  </si>
  <si>
    <t>84.377.058.900</t>
  </si>
  <si>
    <t>0.11 / 0.11%</t>
  </si>
  <si>
    <t>98,52 / 98,60</t>
  </si>
  <si>
    <t>91,10 / 100,25</t>
  </si>
  <si>
    <t>28.03.2025</t>
  </si>
  <si>
    <t>91,10</t>
  </si>
  <si>
    <t>47,398 / 47,886</t>
  </si>
  <si>
    <t>45,964 / 54,475</t>
  </si>
  <si>
    <t>15.08.2022</t>
  </si>
  <si>
    <t>15.08.2021</t>
  </si>
  <si>
    <t>46,68</t>
  </si>
  <si>
    <t>50,41</t>
  </si>
  <si>
    <t>33.500.000.000</t>
  </si>
  <si>
    <t>06.09.2021</t>
  </si>
  <si>
    <t>96,985 / 97,885</t>
  </si>
  <si>
    <t>89,28 / 98,66</t>
  </si>
  <si>
    <t>23.01.2021</t>
  </si>
  <si>
    <t>23.01.2020</t>
  </si>
  <si>
    <t>6.700.000.000</t>
  </si>
  <si>
    <t>96,62 / 96,62</t>
  </si>
  <si>
    <t>92,402 / 98,918</t>
  </si>
  <si>
    <t>04.07.1997</t>
  </si>
  <si>
    <t>2.338.625.000</t>
  </si>
  <si>
    <t>24.01.25 08:36:03</t>
  </si>
  <si>
    <t>62,30</t>
  </si>
  <si>
    <t>62,30 / 62,30</t>
  </si>
  <si>
    <t>57,50 / 67,92</t>
  </si>
  <si>
    <t>01.09.2020</t>
  </si>
  <si>
    <t>60,50</t>
  </si>
  <si>
    <t>59,91</t>
  </si>
  <si>
    <t>57,50</t>
  </si>
  <si>
    <t>40,30</t>
  </si>
  <si>
    <t>63,76</t>
  </si>
  <si>
    <t>67,92</t>
  </si>
  <si>
    <t>92,79</t>
  </si>
  <si>
    <t>27.10.2020</t>
  </si>
  <si>
    <t>95,80 / 95,90</t>
  </si>
  <si>
    <t>93,72 / 96,965</t>
  </si>
  <si>
    <t>17.02.2018</t>
  </si>
  <si>
    <t>17.02.2017</t>
  </si>
  <si>
    <t>93,72</t>
  </si>
  <si>
    <t>95,92</t>
  </si>
  <si>
    <t>Norwegen, KÃ¶nigreich</t>
  </si>
  <si>
    <t>58.850.000.000</t>
  </si>
  <si>
    <t>110,88</t>
  </si>
  <si>
    <t>0.09 / 0.08%</t>
  </si>
  <si>
    <t>110,88 / 111,38</t>
  </si>
  <si>
    <t>108,855 / 113,815</t>
  </si>
  <si>
    <t>01.06.1998</t>
  </si>
  <si>
    <t>02.02.1998</t>
  </si>
  <si>
    <t>109,78</t>
  </si>
  <si>
    <t>111,86</t>
  </si>
  <si>
    <t>112,67</t>
  </si>
  <si>
    <t>129,12</t>
  </si>
  <si>
    <t>Canada, Government of...</t>
  </si>
  <si>
    <t>10.598.959.000</t>
  </si>
  <si>
    <t>27.02.2015</t>
  </si>
  <si>
    <t>24.01.25 14:43:13</t>
  </si>
  <si>
    <t>110,00 / 110,00</t>
  </si>
  <si>
    <t>105,10 / 122,12</t>
  </si>
  <si>
    <t>17.07.2005</t>
  </si>
  <si>
    <t>30.04.2004</t>
  </si>
  <si>
    <t>109,42</t>
  </si>
  <si>
    <t>84,46</t>
  </si>
  <si>
    <t>113,00</t>
  </si>
  <si>
    <t>115,00</t>
  </si>
  <si>
    <t>122,12</t>
  </si>
  <si>
    <t>123,38</t>
  </si>
  <si>
    <t>129,95</t>
  </si>
  <si>
    <t>24.01.25 12:28:55</t>
  </si>
  <si>
    <t>1,45</t>
  </si>
  <si>
    <t>0.45 / 45.00%</t>
  </si>
  <si>
    <t>1,00 / 1,45</t>
  </si>
  <si>
    <t>0,02 / 4,95</t>
  </si>
  <si>
    <t>Zinszahlung am Ende</t>
  </si>
  <si>
    <t>28.05.2024</t>
  </si>
  <si>
    <t>0,02</t>
  </si>
  <si>
    <t>1.350.00%</t>
  </si>
  <si>
    <t>NCO Invest S.A.</t>
  </si>
  <si>
    <t>43,07</t>
  </si>
  <si>
    <t>43,07 / 43,09</t>
  </si>
  <si>
    <t>39,79 / 70,37</t>
  </si>
  <si>
    <t>22.09.2024</t>
  </si>
  <si>
    <t>22.03.2024</t>
  </si>
  <si>
    <t>42,12</t>
  </si>
  <si>
    <t>41,12</t>
  </si>
  <si>
    <t>39,79</t>
  </si>
  <si>
    <t>48,36</t>
  </si>
  <si>
    <t>58,49</t>
  </si>
  <si>
    <t>70,37</t>
  </si>
  <si>
    <t>La Financiere Atalian S.A.</t>
  </si>
  <si>
    <t>836.390.831</t>
  </si>
  <si>
    <t>110,51</t>
  </si>
  <si>
    <t>0.28 / 0.25%</t>
  </si>
  <si>
    <t>110,51 / 111,36</t>
  </si>
  <si>
    <t>107,94 / 120,36</t>
  </si>
  <si>
    <t>29.09.2011</t>
  </si>
  <si>
    <t>29.03.2011</t>
  </si>
  <si>
    <t>107,94</t>
  </si>
  <si>
    <t>92,70</t>
  </si>
  <si>
    <t>111,68</t>
  </si>
  <si>
    <t>115,86</t>
  </si>
  <si>
    <t>120,36</t>
  </si>
  <si>
    <t>121,08</t>
  </si>
  <si>
    <t>158,51</t>
  </si>
  <si>
    <t>101,68</t>
  </si>
  <si>
    <t>101,68 / 102,05</t>
  </si>
  <si>
    <t>100,77 / 107,23</t>
  </si>
  <si>
    <t>25.11.2022</t>
  </si>
  <si>
    <t>107,23</t>
  </si>
  <si>
    <t>109,48</t>
  </si>
  <si>
    <t>47.250.000.000</t>
  </si>
  <si>
    <t>100,65 / 100,89</t>
  </si>
  <si>
    <t>98,07 / 104,04</t>
  </si>
  <si>
    <t>01.02.2023</t>
  </si>
  <si>
    <t>92,80</t>
  </si>
  <si>
    <t>104,04</t>
  </si>
  <si>
    <t>24.252.011.000</t>
  </si>
  <si>
    <t>0.10 / 0.10%</t>
  </si>
  <si>
    <t>99,55 / 99,60</t>
  </si>
  <si>
    <t>97,60 / 99,70</t>
  </si>
  <si>
    <t>04.11.2023</t>
  </si>
  <si>
    <t>04.11.2022</t>
  </si>
  <si>
    <t>97,60</t>
  </si>
  <si>
    <t>12.971.000</t>
  </si>
  <si>
    <t>04.11.2025</t>
  </si>
  <si>
    <t>98,49 / 98,96</t>
  </si>
  <si>
    <t>97,75 / 103,26</t>
  </si>
  <si>
    <t>98,82 / 99,20</t>
  </si>
  <si>
    <t>96,96 / 102,08</t>
  </si>
  <si>
    <t>04.02.2024</t>
  </si>
  <si>
    <t>102,08</t>
  </si>
  <si>
    <t>11.756.000.000</t>
  </si>
  <si>
    <t>93,00 / 95,60</t>
  </si>
  <si>
    <t>90,50 / 101,25</t>
  </si>
  <si>
    <t>29.10.2025</t>
  </si>
  <si>
    <t>29.10.2024</t>
  </si>
  <si>
    <t>29.10.2029</t>
  </si>
  <si>
    <t>99,99</t>
  </si>
  <si>
    <t>0.16 / 0.16%</t>
  </si>
  <si>
    <t>99,87 / 99,99</t>
  </si>
  <si>
    <t>99,355 / 99,99</t>
  </si>
  <si>
    <t>14.07.2025</t>
  </si>
  <si>
    <t>Asian Development Bank (ADB)</t>
  </si>
  <si>
    <t>97,83 / 97,965</t>
  </si>
  <si>
    <t>95,72 / 100,70</t>
  </si>
  <si>
    <t>30.09.2023</t>
  </si>
  <si>
    <t>95,72</t>
  </si>
  <si>
    <t>98,02</t>
  </si>
  <si>
    <t>100,70</t>
  </si>
  <si>
    <t>42.999.809.700</t>
  </si>
  <si>
    <t>0.135 / 0.15%</t>
  </si>
  <si>
    <t>91,785 / 92,255</t>
  </si>
  <si>
    <t>87,55 / 93,78</t>
  </si>
  <si>
    <t>16.01.2019</t>
  </si>
  <si>
    <t>89,35</t>
  </si>
  <si>
    <t>88,50</t>
  </si>
  <si>
    <t>84,05</t>
  </si>
  <si>
    <t>93,78</t>
  </si>
  <si>
    <t>Israel, Staat</t>
  </si>
  <si>
    <t>1.650.000.000</t>
  </si>
  <si>
    <t>24.01.25 12:57:19</t>
  </si>
  <si>
    <t>91,805 / 91,875</t>
  </si>
  <si>
    <t>88,89 / 93,715</t>
  </si>
  <si>
    <t>88,89</t>
  </si>
  <si>
    <t>84,53</t>
  </si>
  <si>
    <t>106,64</t>
  </si>
  <si>
    <t>29.112.349.000</t>
  </si>
  <si>
    <t>89,245 / 89,43</t>
  </si>
  <si>
    <t>84,695 / 91,21</t>
  </si>
  <si>
    <t>01.03.2020</t>
  </si>
  <si>
    <t>88,41</t>
  </si>
  <si>
    <t>88,13</t>
  </si>
  <si>
    <t>78,80</t>
  </si>
  <si>
    <t>90,07</t>
  </si>
  <si>
    <t>91,21</t>
  </si>
  <si>
    <t>17.095.169.000</t>
  </si>
  <si>
    <t>88,01 / 88,29</t>
  </si>
  <si>
    <t>80,45 / 90,925</t>
  </si>
  <si>
    <t>87,57</t>
  </si>
  <si>
    <t>80,45</t>
  </si>
  <si>
    <t>72,72</t>
  </si>
  <si>
    <t>66,28</t>
  </si>
  <si>
    <t>90,23</t>
  </si>
  <si>
    <t>90,23 / 90,83</t>
  </si>
  <si>
    <t>86,72 / 92,57</t>
  </si>
  <si>
    <t>08.08.2021</t>
  </si>
  <si>
    <t>08.02.2021</t>
  </si>
  <si>
    <t>89,70</t>
  </si>
  <si>
    <t>86,72</t>
  </si>
  <si>
    <t>81,93</t>
  </si>
  <si>
    <t>90,83</t>
  </si>
  <si>
    <t>91,14</t>
  </si>
  <si>
    <t>92,57</t>
  </si>
  <si>
    <t>88,45</t>
  </si>
  <si>
    <t>88,45 / 89,55</t>
  </si>
  <si>
    <t>86,36 / 96,39</t>
  </si>
  <si>
    <t>15.06.2017</t>
  </si>
  <si>
    <t>21.11.2016</t>
  </si>
  <si>
    <t>82,07</t>
  </si>
  <si>
    <t>92,04</t>
  </si>
  <si>
    <t>114,50</t>
  </si>
  <si>
    <t>Pfizer Inc.</t>
  </si>
  <si>
    <t>24.01.25 12:13:24</t>
  </si>
  <si>
    <t>3,00</t>
  </si>
  <si>
    <t>3,00 / 3,00</t>
  </si>
  <si>
    <t>1,665 / 3,00</t>
  </si>
  <si>
    <t>27.11.2015</t>
  </si>
  <si>
    <t>27.11.2014</t>
  </si>
  <si>
    <t>German Pellets GmbH</t>
  </si>
  <si>
    <t>24.01.25 11:12:07</t>
  </si>
  <si>
    <t>98,58 / 98,72</t>
  </si>
  <si>
    <t>96,93 / 111,41</t>
  </si>
  <si>
    <t>15.08.2011</t>
  </si>
  <si>
    <t>15.02.2011</t>
  </si>
  <si>
    <t>104,78</t>
  </si>
  <si>
    <t>111,41</t>
  </si>
  <si>
    <t>115,85</t>
  </si>
  <si>
    <t>142,52</t>
  </si>
  <si>
    <t>43.004.945.100</t>
  </si>
  <si>
    <t>24.01.25 13:03:17</t>
  </si>
  <si>
    <t>97,01 / 97,01</t>
  </si>
  <si>
    <t>50,00 / 99,00</t>
  </si>
  <si>
    <t>31.05.2022</t>
  </si>
  <si>
    <t>23,00</t>
  </si>
  <si>
    <t>niiio finance group AG</t>
  </si>
  <si>
    <t>5.000.000</t>
  </si>
  <si>
    <t>28.05.2021</t>
  </si>
  <si>
    <t>90,66</t>
  </si>
  <si>
    <t>0.49 / 0.54%</t>
  </si>
  <si>
    <t>90,48 / 90,66</t>
  </si>
  <si>
    <t>79,24 / 91,00</t>
  </si>
  <si>
    <t>79,24</t>
  </si>
  <si>
    <t>24.01.25 15:44:28</t>
  </si>
  <si>
    <t>5,00</t>
  </si>
  <si>
    <t>5,00 / 6,00</t>
  </si>
  <si>
    <t>5,00 / 11,00</t>
  </si>
  <si>
    <t>10.04.2018</t>
  </si>
  <si>
    <t>10.04.2017</t>
  </si>
  <si>
    <t>6,00</t>
  </si>
  <si>
    <t>11,00</t>
  </si>
  <si>
    <t>20,00</t>
  </si>
  <si>
    <t>34,00</t>
  </si>
  <si>
    <t>LifeJack AG</t>
  </si>
  <si>
    <t>15.05.2017</t>
  </si>
  <si>
    <t>24.01.25 14:43:34</t>
  </si>
  <si>
    <t>97,00 / 100,00</t>
  </si>
  <si>
    <t>95,00 / 102,00</t>
  </si>
  <si>
    <t>01.07.2023</t>
  </si>
  <si>
    <t>03.04.2023</t>
  </si>
  <si>
    <t>95,545 / 96,195</t>
  </si>
  <si>
    <t>87,66 / 96,66</t>
  </si>
  <si>
    <t>31.01.2014</t>
  </si>
  <si>
    <t>31.07.2013</t>
  </si>
  <si>
    <t>93,45</t>
  </si>
  <si>
    <t>87,66</t>
  </si>
  <si>
    <t>84,21</t>
  </si>
  <si>
    <t>96,49</t>
  </si>
  <si>
    <t>95.912.127.040</t>
  </si>
  <si>
    <t>24.01.25 14:26:55</t>
  </si>
  <si>
    <t>99,854 / 99,857</t>
  </si>
  <si>
    <t>97,882 / 99,857</t>
  </si>
  <si>
    <t>103,00 / 103,87</t>
  </si>
  <si>
    <t>99,66 / 111,28</t>
  </si>
  <si>
    <t>20.07.2006</t>
  </si>
  <si>
    <t>18.01.2006</t>
  </si>
  <si>
    <t>99,72</t>
  </si>
  <si>
    <t>104,35</t>
  </si>
  <si>
    <t>108,60</t>
  </si>
  <si>
    <t>111,28</t>
  </si>
  <si>
    <t>118,55</t>
  </si>
  <si>
    <t>Brasilien, FÃ¶derative Republik</t>
  </si>
  <si>
    <t>3.025.043.000</t>
  </si>
  <si>
    <t>2.129.573.000</t>
  </si>
  <si>
    <t>98,23 / 98,34</t>
  </si>
  <si>
    <t>94,76 / 98,34</t>
  </si>
  <si>
    <t>10.04.2020</t>
  </si>
  <si>
    <t>10.04.2019</t>
  </si>
  <si>
    <t>96,15</t>
  </si>
  <si>
    <t>98,34</t>
  </si>
  <si>
    <t>voestalpine AG</t>
  </si>
  <si>
    <t>24.01.25 16:36:50</t>
  </si>
  <si>
    <t>4.38 / 4.69%</t>
  </si>
  <si>
    <t>93,52 / 97,70</t>
  </si>
  <si>
    <t>89,66 / 97,94</t>
  </si>
  <si>
    <t>15.11.2006</t>
  </si>
  <si>
    <t>89,66</t>
  </si>
  <si>
    <t>72,99</t>
  </si>
  <si>
    <t>72,03</t>
  </si>
  <si>
    <t>GE Aerospace</t>
  </si>
  <si>
    <t>40,10</t>
  </si>
  <si>
    <t>40,10 / 41,11</t>
  </si>
  <si>
    <t>39,50 / 48,99</t>
  </si>
  <si>
    <t>30.06.2021</t>
  </si>
  <si>
    <t>39,50</t>
  </si>
  <si>
    <t>43,25</t>
  </si>
  <si>
    <t>48,30</t>
  </si>
  <si>
    <t>48,95</t>
  </si>
  <si>
    <t>48,99</t>
  </si>
  <si>
    <t>49,90</t>
  </si>
  <si>
    <t>86,71</t>
  </si>
  <si>
    <t>5.550.000.000</t>
  </si>
  <si>
    <t>24.01.25 11:22:27</t>
  </si>
  <si>
    <t>83,94</t>
  </si>
  <si>
    <t>0.10 / 0.12%</t>
  </si>
  <si>
    <t>83,61 / 83,94</t>
  </si>
  <si>
    <t>82,07 / 94,41</t>
  </si>
  <si>
    <t>15.02.2014</t>
  </si>
  <si>
    <t>78,11</t>
  </si>
  <si>
    <t>84,14</t>
  </si>
  <si>
    <t>126,34</t>
  </si>
  <si>
    <t>41.844.879.300</t>
  </si>
  <si>
    <t>24.01.25 16:28:32</t>
  </si>
  <si>
    <t>91,17</t>
  </si>
  <si>
    <t>24.01.25 16:54:55</t>
  </si>
  <si>
    <t>0.17 / 0.19%</t>
  </si>
  <si>
    <t>91,17 / 91,17</t>
  </si>
  <si>
    <t>87,00 / 98,50</t>
  </si>
  <si>
    <t>01.11.2017</t>
  </si>
  <si>
    <t>Energiekontor Finanzanlagen V GmbH &amp; Co. KG</t>
  </si>
  <si>
    <t>22.730.000</t>
  </si>
  <si>
    <t>24.01.25 14:48:25</t>
  </si>
  <si>
    <t>1,61</t>
  </si>
  <si>
    <t>0.01 / 0.63%</t>
  </si>
  <si>
    <t>1,60 / 1,61</t>
  </si>
  <si>
    <t>1,00 / 3,80</t>
  </si>
  <si>
    <t>11.06.2014</t>
  </si>
  <si>
    <t>11.06.2013</t>
  </si>
  <si>
    <t>0,801</t>
  </si>
  <si>
    <t>2,46</t>
  </si>
  <si>
    <t>2,90</t>
  </si>
  <si>
    <t>3,10</t>
  </si>
  <si>
    <t>3,80</t>
  </si>
  <si>
    <t>Rickmers Holding AG</t>
  </si>
  <si>
    <t>275.000.000</t>
  </si>
  <si>
    <t>0.015 / 0.02%</t>
  </si>
  <si>
    <t>99,288 / 99,353</t>
  </si>
  <si>
    <t>96,564 / 99,353</t>
  </si>
  <si>
    <t>15.11.2015</t>
  </si>
  <si>
    <t>15.05.2015</t>
  </si>
  <si>
    <t>66.081.989.400</t>
  </si>
  <si>
    <t>19.05.2015</t>
  </si>
  <si>
    <t>97,46</t>
  </si>
  <si>
    <t>97,34 / 97,61</t>
  </si>
  <si>
    <t>95,93 / 102,42</t>
  </si>
  <si>
    <t>95,93</t>
  </si>
  <si>
    <t>99,40</t>
  </si>
  <si>
    <t>102,42</t>
  </si>
  <si>
    <t>23.742.999.000</t>
  </si>
  <si>
    <t>100,98 / 101,41</t>
  </si>
  <si>
    <t>99,24 / 111,23</t>
  </si>
  <si>
    <t>15.08.2007</t>
  </si>
  <si>
    <t>15.02.2007</t>
  </si>
  <si>
    <t>105,95</t>
  </si>
  <si>
    <t>111,23</t>
  </si>
  <si>
    <t>116,23</t>
  </si>
  <si>
    <t>138,58</t>
  </si>
  <si>
    <t>16.589.456.000</t>
  </si>
  <si>
    <t>24.01.25 16:34:49</t>
  </si>
  <si>
    <t>3,50</t>
  </si>
  <si>
    <t>0.25 / 7.69%</t>
  </si>
  <si>
    <t>2,20 / 3,50</t>
  </si>
  <si>
    <t>1,60 / 52,00</t>
  </si>
  <si>
    <t>21.05.2020</t>
  </si>
  <si>
    <t>21.11.2019</t>
  </si>
  <si>
    <t>3,75</t>
  </si>
  <si>
    <t>14,00</t>
  </si>
  <si>
    <t>52,00</t>
  </si>
  <si>
    <t>Schlote Holding GmbH</t>
  </si>
  <si>
    <t>24.01.25 13:25:25</t>
  </si>
  <si>
    <t>0.361 / 2.61%</t>
  </si>
  <si>
    <t>14,196 / 14,218</t>
  </si>
  <si>
    <t>10,00 / 21,193</t>
  </si>
  <si>
    <t>15.02.1999</t>
  </si>
  <si>
    <t>06.08.1998</t>
  </si>
  <si>
    <t>10,00</t>
  </si>
  <si>
    <t>9,00</t>
  </si>
  <si>
    <t>Venezuela, Bolivarische Republik</t>
  </si>
  <si>
    <t>752.811.000</t>
  </si>
  <si>
    <t>24.01.25 13:26:36</t>
  </si>
  <si>
    <t>8,00</t>
  </si>
  <si>
    <t>4.00 / 100.00%</t>
  </si>
  <si>
    <t>2,00 / 8,00</t>
  </si>
  <si>
    <t>2,00 / 50,00</t>
  </si>
  <si>
    <t>29.03.2022</t>
  </si>
  <si>
    <t>2,00</t>
  </si>
  <si>
    <t>22,00</t>
  </si>
  <si>
    <t>EUSOLAG European Solar AG</t>
  </si>
  <si>
    <t>125.000.000</t>
  </si>
  <si>
    <t>04.04.2022</t>
  </si>
  <si>
    <t>86,40 / 88,65</t>
  </si>
  <si>
    <t>67,85 / 88,65</t>
  </si>
  <si>
    <t>01.10.2022</t>
  </si>
  <si>
    <t>01.10.2021</t>
  </si>
  <si>
    <t>83,16</t>
  </si>
  <si>
    <t>80,00</t>
  </si>
  <si>
    <t>74,21</t>
  </si>
  <si>
    <t>67,85</t>
  </si>
  <si>
    <t>43,28</t>
  </si>
  <si>
    <t>97,28 / 97,34</t>
  </si>
  <si>
    <t>93,10 / 101,30</t>
  </si>
  <si>
    <t>11.01.2018</t>
  </si>
  <si>
    <t>11.01.2017</t>
  </si>
  <si>
    <t>93,10</t>
  </si>
  <si>
    <t>91,81</t>
  </si>
  <si>
    <t>105,42</t>
  </si>
  <si>
    <t>2.050.000.000</t>
  </si>
  <si>
    <t>06.01.2017</t>
  </si>
  <si>
    <t>88,003 / 88,282</t>
  </si>
  <si>
    <t>85,09 / 90,363</t>
  </si>
  <si>
    <t>85,09</t>
  </si>
  <si>
    <t>24.01.25 10:30:44</t>
  </si>
  <si>
    <t>77,88</t>
  </si>
  <si>
    <t>5.33 / 7.35%</t>
  </si>
  <si>
    <t>73,73 / 77,88</t>
  </si>
  <si>
    <t>46,07 / 77,88</t>
  </si>
  <si>
    <t>01.08.2019</t>
  </si>
  <si>
    <t>69,85</t>
  </si>
  <si>
    <t>63,93</t>
  </si>
  <si>
    <t>58,20</t>
  </si>
  <si>
    <t>46,07</t>
  </si>
  <si>
    <t>27,00</t>
  </si>
  <si>
    <t>1.450.000.000</t>
  </si>
  <si>
    <t>15.01.2020</t>
  </si>
  <si>
    <t>24.01.25 09:37:17</t>
  </si>
  <si>
    <t>3,21</t>
  </si>
  <si>
    <t>3,21 / 3,21</t>
  </si>
  <si>
    <t>1,565 / 3,40</t>
  </si>
  <si>
    <t>01.04.2012</t>
  </si>
  <si>
    <t>01.04.2011</t>
  </si>
  <si>
    <t>3,40</t>
  </si>
  <si>
    <t>96,108 / 96,55</t>
  </si>
  <si>
    <t>95,568 / 99,50</t>
  </si>
  <si>
    <t>15.04.2022</t>
  </si>
  <si>
    <t>11.02.2021</t>
  </si>
  <si>
    <t>104,08</t>
  </si>
  <si>
    <t>135,63</t>
  </si>
  <si>
    <t>10.650.000.000</t>
  </si>
  <si>
    <t>09.02.2021</t>
  </si>
  <si>
    <t>24.01.25 11:11:20</t>
  </si>
  <si>
    <t>96,49 / 96,63</t>
  </si>
  <si>
    <t>95,06 / 107,27</t>
  </si>
  <si>
    <t>15.08.2008</t>
  </si>
  <si>
    <t>15.02.2008</t>
  </si>
  <si>
    <t>95,06</t>
  </si>
  <si>
    <t>91,90</t>
  </si>
  <si>
    <t>97,14</t>
  </si>
  <si>
    <t>107,27</t>
  </si>
  <si>
    <t>111,24</t>
  </si>
  <si>
    <t>134,33</t>
  </si>
  <si>
    <t>22.525.148.700</t>
  </si>
  <si>
    <t>64,39</t>
  </si>
  <si>
    <t>0.19 / 0.30%</t>
  </si>
  <si>
    <t>64,22 / 66,38</t>
  </si>
  <si>
    <t>49,51 / 66,38</t>
  </si>
  <si>
    <t>61,00</t>
  </si>
  <si>
    <t>56,00</t>
  </si>
  <si>
    <t>52,06</t>
  </si>
  <si>
    <t>49,51</t>
  </si>
  <si>
    <t>66,38</t>
  </si>
  <si>
    <t>21.12.2023</t>
  </si>
  <si>
    <t>24.01.25 11:13:11</t>
  </si>
  <si>
    <t>8,55</t>
  </si>
  <si>
    <t>8,50 / 8,55</t>
  </si>
  <si>
    <t>5,00 / 17,00</t>
  </si>
  <si>
    <t>10.06.2020</t>
  </si>
  <si>
    <t>10.12.2019</t>
  </si>
  <si>
    <t>5,10</t>
  </si>
  <si>
    <t>5,02</t>
  </si>
  <si>
    <t>1,01</t>
  </si>
  <si>
    <t>10,35</t>
  </si>
  <si>
    <t>15,00</t>
  </si>
  <si>
    <t>17,00</t>
  </si>
  <si>
    <t>84,49</t>
  </si>
  <si>
    <t>KSLK Trust GmbH</t>
  </si>
  <si>
    <t>24.01.25 10:10:12</t>
  </si>
  <si>
    <t>6,00 / 6,00</t>
  </si>
  <si>
    <t>0,10 / 20,00</t>
  </si>
  <si>
    <t>31.03.2014</t>
  </si>
  <si>
    <t>24.02.2014</t>
  </si>
  <si>
    <t>30,00</t>
  </si>
  <si>
    <t>SolarWorld AG</t>
  </si>
  <si>
    <t>StÃ¼cknotiert</t>
  </si>
  <si>
    <t>24.01.25 16:49:54</t>
  </si>
  <si>
    <t>0,01</t>
  </si>
  <si>
    <t>0,01 / 0,01</t>
  </si>
  <si>
    <t>0,01 / 0,30</t>
  </si>
  <si>
    <t>26.11.2013</t>
  </si>
  <si>
    <t>26.11.2012</t>
  </si>
  <si>
    <t>0,011</t>
  </si>
  <si>
    <t>RENÃ‰ LEZARD Mode GmbH</t>
  </si>
  <si>
    <t>24.01.25 12:00:47</t>
  </si>
  <si>
    <t>100,47 / 100,47</t>
  </si>
  <si>
    <t>99,96 / 100,71</t>
  </si>
  <si>
    <t>100,46</t>
  </si>
  <si>
    <t>DekaBank Deutsche Girozentrale</t>
  </si>
  <si>
    <t>24.01.25 09:08:44</t>
  </si>
  <si>
    <t>95,17</t>
  </si>
  <si>
    <t>95,17 / 95,17</t>
  </si>
  <si>
    <t>92,69 / 97,12</t>
  </si>
  <si>
    <t>04.12.2022</t>
  </si>
  <si>
    <t>94,57</t>
  </si>
  <si>
    <t>92,69</t>
  </si>
  <si>
    <t>102,84</t>
  </si>
  <si>
    <t>17.771.000.000</t>
  </si>
  <si>
    <t>24.01.25 09:08:43</t>
  </si>
  <si>
    <t>99,98 / 99,98</t>
  </si>
  <si>
    <t>99,43 / 102,09</t>
  </si>
  <si>
    <t>22.01.2016</t>
  </si>
  <si>
    <t>97,13</t>
  </si>
  <si>
    <t>100,28</t>
  </si>
  <si>
    <t>101,11</t>
  </si>
  <si>
    <t>101,92</t>
  </si>
  <si>
    <t>116,26</t>
  </si>
  <si>
    <t>CNP Assurances S.A.</t>
  </si>
  <si>
    <t>78,565 / 78,565</t>
  </si>
  <si>
    <t>24.09.2017</t>
  </si>
  <si>
    <t>24.09.2016</t>
  </si>
  <si>
    <t>13.291.050.000</t>
  </si>
  <si>
    <t>RON</t>
  </si>
  <si>
    <t>12.07.2022</t>
  </si>
  <si>
    <t>87,85</t>
  </si>
  <si>
    <t>87,71 / 88,37</t>
  </si>
  <si>
    <t>85,71 / 89,595</t>
  </si>
  <si>
    <t>12.02.2022</t>
  </si>
  <si>
    <t>12.08.2021</t>
  </si>
  <si>
    <t>86,96</t>
  </si>
  <si>
    <t>85,71</t>
  </si>
  <si>
    <t>80,64</t>
  </si>
  <si>
    <t>88,37</t>
  </si>
  <si>
    <t>88,94</t>
  </si>
  <si>
    <t>96,73</t>
  </si>
  <si>
    <t>Intel Corp.</t>
  </si>
  <si>
    <t>90,21</t>
  </si>
  <si>
    <t>90,21 / 90,21</t>
  </si>
  <si>
    <t>86,58 / 98,26</t>
  </si>
  <si>
    <t>15.03.2014</t>
  </si>
  <si>
    <t>11.09.2013</t>
  </si>
  <si>
    <t>88,30</t>
  </si>
  <si>
    <t>86,58</t>
  </si>
  <si>
    <t>74,75</t>
  </si>
  <si>
    <t>95,34</t>
  </si>
  <si>
    <t>118,19</t>
  </si>
  <si>
    <t>Lowe's Companies Inc.</t>
  </si>
  <si>
    <t>05.03.2015</t>
  </si>
  <si>
    <t>90,38</t>
  </si>
  <si>
    <t>90,38 / 90,995</t>
  </si>
  <si>
    <t>82,84 / 91,68</t>
  </si>
  <si>
    <t>82,84</t>
  </si>
  <si>
    <t>91,31</t>
  </si>
  <si>
    <t>Erste Group Bank AG</t>
  </si>
  <si>
    <t>72,37</t>
  </si>
  <si>
    <t>72,28 / 72,37</t>
  </si>
  <si>
    <t>68,52 / 75,46</t>
  </si>
  <si>
    <t>71,35</t>
  </si>
  <si>
    <t>69,92</t>
  </si>
  <si>
    <t>68,52</t>
  </si>
  <si>
    <t>62,37</t>
  </si>
  <si>
    <t>73,51</t>
  </si>
  <si>
    <t>75,46</t>
  </si>
  <si>
    <t>98,74</t>
  </si>
  <si>
    <t>24.01.25 08:00:22</t>
  </si>
  <si>
    <t>84,65</t>
  </si>
  <si>
    <t>84,65 / 84,65</t>
  </si>
  <si>
    <t>82,95 / 89,39</t>
  </si>
  <si>
    <t>22.06.2016</t>
  </si>
  <si>
    <t>16.09.2015</t>
  </si>
  <si>
    <t>83,53</t>
  </si>
  <si>
    <t>82,95</t>
  </si>
  <si>
    <t>77,67</t>
  </si>
  <si>
    <t>89,39</t>
  </si>
  <si>
    <t>120,84</t>
  </si>
  <si>
    <t>8.878.000.000</t>
  </si>
  <si>
    <t>85,40</t>
  </si>
  <si>
    <t>85,40 / 85,40</t>
  </si>
  <si>
    <t>81,77 / 87,12</t>
  </si>
  <si>
    <t>20.01.2022</t>
  </si>
  <si>
    <t>20.01.2021</t>
  </si>
  <si>
    <t>84,85</t>
  </si>
  <si>
    <t>83,54</t>
  </si>
  <si>
    <t>81,77</t>
  </si>
  <si>
    <t>77,29</t>
  </si>
  <si>
    <t>76,94</t>
  </si>
  <si>
    <t>87,12</t>
  </si>
  <si>
    <t>97,003 / 97,50</t>
  </si>
  <si>
    <t>93,47 / 97,69</t>
  </si>
  <si>
    <t>24.06.2018</t>
  </si>
  <si>
    <t>20.12.2017</t>
  </si>
  <si>
    <t>96,68</t>
  </si>
  <si>
    <t>87,03</t>
  </si>
  <si>
    <t>78,34</t>
  </si>
  <si>
    <t>97,66</t>
  </si>
  <si>
    <t>21.12.2017</t>
  </si>
  <si>
    <t>99,06 / 99,62</t>
  </si>
  <si>
    <t>97,85 / 99,78</t>
  </si>
  <si>
    <t>23.03.2018</t>
  </si>
  <si>
    <t>22.12.2017</t>
  </si>
  <si>
    <t>98,81</t>
  </si>
  <si>
    <t>97,85</t>
  </si>
  <si>
    <t>98,575 / 99,08</t>
  </si>
  <si>
    <t>96,62 / 99,08</t>
  </si>
  <si>
    <t>25.06.2018</t>
  </si>
  <si>
    <t>29.12.2017</t>
  </si>
  <si>
    <t>95,66</t>
  </si>
  <si>
    <t>95,31 / 95,80</t>
  </si>
  <si>
    <t>91,49 / 96,55</t>
  </si>
  <si>
    <t>23.12.2018</t>
  </si>
  <si>
    <t>09.01.2018</t>
  </si>
  <si>
    <t>94,83</t>
  </si>
  <si>
    <t>86,86</t>
  </si>
  <si>
    <t>104,68</t>
  </si>
  <si>
    <t>95,85 / 96,34</t>
  </si>
  <si>
    <t>92,36 / 97,10</t>
  </si>
  <si>
    <t>26.02.2018</t>
  </si>
  <si>
    <t>95,39</t>
  </si>
  <si>
    <t>94,24</t>
  </si>
  <si>
    <t>92,36</t>
  </si>
  <si>
    <t>87,21</t>
  </si>
  <si>
    <t>98,754 / 99,26</t>
  </si>
  <si>
    <t>96,33 / 99,26</t>
  </si>
  <si>
    <t>25.06.2019</t>
  </si>
  <si>
    <t>92,92</t>
  </si>
  <si>
    <t>92,81</t>
  </si>
  <si>
    <t>102,88</t>
  </si>
  <si>
    <t>0.005 / 0.00%</t>
  </si>
  <si>
    <t>101,165 / 101,165</t>
  </si>
  <si>
    <t>100,75 / 101,625</t>
  </si>
  <si>
    <t>13.11.2020</t>
  </si>
  <si>
    <t>13.05.2020</t>
  </si>
  <si>
    <t>97,54 / 97,54</t>
  </si>
  <si>
    <t>94,00 / 97,59</t>
  </si>
  <si>
    <t>15.05.2020</t>
  </si>
  <si>
    <t>97,38</t>
  </si>
  <si>
    <t>95,42</t>
  </si>
  <si>
    <t>97,59</t>
  </si>
  <si>
    <t>100,09</t>
  </si>
  <si>
    <t>92,60 / 92,60</t>
  </si>
  <si>
    <t>88,015 / 93,475</t>
  </si>
  <si>
    <t>93,17</t>
  </si>
  <si>
    <t>24.01.25 12:00:46</t>
  </si>
  <si>
    <t>87,01 / 87,01</t>
  </si>
  <si>
    <t>82,10 / 88,65</t>
  </si>
  <si>
    <t>27.05.2021</t>
  </si>
  <si>
    <t>27.05.2020</t>
  </si>
  <si>
    <t>86,29</t>
  </si>
  <si>
    <t>85,38</t>
  </si>
  <si>
    <t>82,10</t>
  </si>
  <si>
    <t>76,72</t>
  </si>
  <si>
    <t>87,67</t>
  </si>
  <si>
    <t>83,29</t>
  </si>
  <si>
    <t>83,29 / 83,29</t>
  </si>
  <si>
    <t>76,51 / 85,84</t>
  </si>
  <si>
    <t>25.05.2020</t>
  </si>
  <si>
    <t>82,24</t>
  </si>
  <si>
    <t>81,64</t>
  </si>
  <si>
    <t>76,51</t>
  </si>
  <si>
    <t>69,35</t>
  </si>
  <si>
    <t>84,29</t>
  </si>
  <si>
    <t>85,84</t>
  </si>
  <si>
    <t>98,89</t>
  </si>
  <si>
    <t>103,64</t>
  </si>
  <si>
    <t>103,64 / 103,64</t>
  </si>
  <si>
    <t>100,18 / 106,34</t>
  </si>
  <si>
    <t>23.06.2024</t>
  </si>
  <si>
    <t>23.06.2023</t>
  </si>
  <si>
    <t>106,34</t>
  </si>
  <si>
    <t>26.06.2023</t>
  </si>
  <si>
    <t>104,06 / 104,06</t>
  </si>
  <si>
    <t>99,94 / 107,25</t>
  </si>
  <si>
    <t>29.03.2024</t>
  </si>
  <si>
    <t>29.06.2023</t>
  </si>
  <si>
    <t>103,73</t>
  </si>
  <si>
    <t>103,60</t>
  </si>
  <si>
    <t>105,74</t>
  </si>
  <si>
    <t>100,02 / 100,02</t>
  </si>
  <si>
    <t>99,79 / 100,02</t>
  </si>
  <si>
    <t>11.07.2023</t>
  </si>
  <si>
    <t>100,06 / 100,06</t>
  </si>
  <si>
    <t>99,68 / 100,06</t>
  </si>
  <si>
    <t>26.02.2024</t>
  </si>
  <si>
    <t>28.08.2023</t>
  </si>
  <si>
    <t>108,23</t>
  </si>
  <si>
    <t>108,23 / 108,23</t>
  </si>
  <si>
    <t>98,50 / 108,83</t>
  </si>
  <si>
    <t>01.09.2024</t>
  </si>
  <si>
    <t>01.09.2023</t>
  </si>
  <si>
    <t>106,45</t>
  </si>
  <si>
    <t>102,94</t>
  </si>
  <si>
    <t>108,56</t>
  </si>
  <si>
    <t>108,83</t>
  </si>
  <si>
    <t>04.09.2023</t>
  </si>
  <si>
    <t>24.01.25 12:22:05</t>
  </si>
  <si>
    <t>24.01.25 12:22:31</t>
  </si>
  <si>
    <t>100,01 / 100,01</t>
  </si>
  <si>
    <t>99,01 / 100,03</t>
  </si>
  <si>
    <t>04.04.2023</t>
  </si>
  <si>
    <t>100,54 / 100,54</t>
  </si>
  <si>
    <t>98,99 / 100,86</t>
  </si>
  <si>
    <t>101,404 / 101,404</t>
  </si>
  <si>
    <t>100,318 / 101,869</t>
  </si>
  <si>
    <t>16.03.2024</t>
  </si>
  <si>
    <t>16.03.2023</t>
  </si>
  <si>
    <t>17.03.2023</t>
  </si>
  <si>
    <t>99,87 / 99,87</t>
  </si>
  <si>
    <t>98,33 / 99,88</t>
  </si>
  <si>
    <t>99,17</t>
  </si>
  <si>
    <t>98,33</t>
  </si>
  <si>
    <t>19.04.2023</t>
  </si>
  <si>
    <t>24.01.25 08:09:14</t>
  </si>
  <si>
    <t>0.70 / 0.72%</t>
  </si>
  <si>
    <t>96,00 / 100,25</t>
  </si>
  <si>
    <t>01.02.2025</t>
  </si>
  <si>
    <t>1.145.000</t>
  </si>
  <si>
    <t>98,15 / 98,20</t>
  </si>
  <si>
    <t>98,05 / 99,15</t>
  </si>
  <si>
    <t>30.01.2025</t>
  </si>
  <si>
    <t>30.10.2024</t>
  </si>
  <si>
    <t>95,75 / 95,85</t>
  </si>
  <si>
    <t>91,85 / 96,35</t>
  </si>
  <si>
    <t>21.04.2023</t>
  </si>
  <si>
    <t>21.04.2022</t>
  </si>
  <si>
    <t>91,85</t>
  </si>
  <si>
    <t>96,20</t>
  </si>
  <si>
    <t>15.366.000</t>
  </si>
  <si>
    <t>91,95</t>
  </si>
  <si>
    <t>91,85 / 92,10</t>
  </si>
  <si>
    <t>87,85 / 93,20</t>
  </si>
  <si>
    <t>91,60</t>
  </si>
  <si>
    <t>89,60</t>
  </si>
  <si>
    <t>83,60</t>
  </si>
  <si>
    <t>5.218.000</t>
  </si>
  <si>
    <t>89,25 / 89,55</t>
  </si>
  <si>
    <t>85,10 / 91,25</t>
  </si>
  <si>
    <t>88,85</t>
  </si>
  <si>
    <t>85,10</t>
  </si>
  <si>
    <t>80,70</t>
  </si>
  <si>
    <t>80,15</t>
  </si>
  <si>
    <t>91,25</t>
  </si>
  <si>
    <t>84,70</t>
  </si>
  <si>
    <t>84,55 / 84,90</t>
  </si>
  <si>
    <t>79,80 / 87,40</t>
  </si>
  <si>
    <t>22.03.2023</t>
  </si>
  <si>
    <t>22.03.2022</t>
  </si>
  <si>
    <t>81,90</t>
  </si>
  <si>
    <t>79,80</t>
  </si>
  <si>
    <t>74,80</t>
  </si>
  <si>
    <t>73,65</t>
  </si>
  <si>
    <t>87,40</t>
  </si>
  <si>
    <t>97,91</t>
  </si>
  <si>
    <t>97,25 / 97,94</t>
  </si>
  <si>
    <t>94,08 / 97,98</t>
  </si>
  <si>
    <t>12.01.2020</t>
  </si>
  <si>
    <t>07.11.2018</t>
  </si>
  <si>
    <t>95,59</t>
  </si>
  <si>
    <t>94,08</t>
  </si>
  <si>
    <t>90,06</t>
  </si>
  <si>
    <t>102,11</t>
  </si>
  <si>
    <t>97,25 / 97,95</t>
  </si>
  <si>
    <t>94,52 / 97,99</t>
  </si>
  <si>
    <t>12.11.2018</t>
  </si>
  <si>
    <t>90,77</t>
  </si>
  <si>
    <t>97,99</t>
  </si>
  <si>
    <t>101,39</t>
  </si>
  <si>
    <t>95,70 / 96,38</t>
  </si>
  <si>
    <t>92,48 / 96,88</t>
  </si>
  <si>
    <t>95,53</t>
  </si>
  <si>
    <t>88,35</t>
  </si>
  <si>
    <t>96,60</t>
  </si>
  <si>
    <t>96,88</t>
  </si>
  <si>
    <t>86,27 / 86,93</t>
  </si>
  <si>
    <t>82,01 / 89,90</t>
  </si>
  <si>
    <t>24.11.2019</t>
  </si>
  <si>
    <t>23.11.2018</t>
  </si>
  <si>
    <t>85,58</t>
  </si>
  <si>
    <t>87,91</t>
  </si>
  <si>
    <t>105,43</t>
  </si>
  <si>
    <t>98,09 / 98,81</t>
  </si>
  <si>
    <t>95,35 / 98,82</t>
  </si>
  <si>
    <t>23.11.2016</t>
  </si>
  <si>
    <t>96,79</t>
  </si>
  <si>
    <t>99,13 / 99,84</t>
  </si>
  <si>
    <t>96,22 / 99,85</t>
  </si>
  <si>
    <t>06.02.2019</t>
  </si>
  <si>
    <t>92,87</t>
  </si>
  <si>
    <t>98,35 / 99,87</t>
  </si>
  <si>
    <t>01.08.2024</t>
  </si>
  <si>
    <t>09.08.2024</t>
  </si>
  <si>
    <t>4.054.000.000</t>
  </si>
  <si>
    <t>07.02.2025</t>
  </si>
  <si>
    <t>24.01.25 08:32:44</t>
  </si>
  <si>
    <t>93,88</t>
  </si>
  <si>
    <t>93,88 / 93,88</t>
  </si>
  <si>
    <t>90,035 / 94,295</t>
  </si>
  <si>
    <t>04.10.2020</t>
  </si>
  <si>
    <t>04.10.2019</t>
  </si>
  <si>
    <t>93,65</t>
  </si>
  <si>
    <t>79,95</t>
  </si>
  <si>
    <t>Renault S.A.</t>
  </si>
  <si>
    <t>89,92</t>
  </si>
  <si>
    <t>89,82 / 89,92</t>
  </si>
  <si>
    <t>85,93 / 96,81</t>
  </si>
  <si>
    <t>23.07.2021</t>
  </si>
  <si>
    <t>23.07.2020</t>
  </si>
  <si>
    <t>90,69</t>
  </si>
  <si>
    <t>92,68</t>
  </si>
  <si>
    <t>ELO S.A.</t>
  </si>
  <si>
    <t>716.000.000</t>
  </si>
  <si>
    <t>91,70 / 91,70</t>
  </si>
  <si>
    <t>87,04 / 92,06</t>
  </si>
  <si>
    <t>80,74</t>
  </si>
  <si>
    <t>91,75</t>
  </si>
  <si>
    <t>SociÃ©tÃ© GÃ©nÃ©rale S.A.</t>
  </si>
  <si>
    <t>24.01.25 08:17:22</t>
  </si>
  <si>
    <t>102,42 / 102,42</t>
  </si>
  <si>
    <t>98,76 / 105,82</t>
  </si>
  <si>
    <t>BPCE S.A.</t>
  </si>
  <si>
    <t>19.01.2024</t>
  </si>
  <si>
    <t>99,205 / 99,205</t>
  </si>
  <si>
    <t>98,48 / 100,765</t>
  </si>
  <si>
    <t>12.02.2025</t>
  </si>
  <si>
    <t>12.11.2024</t>
  </si>
  <si>
    <t>98,48</t>
  </si>
  <si>
    <t>BPCE SFH</t>
  </si>
  <si>
    <t>06.11.2024</t>
  </si>
  <si>
    <t>98,55</t>
  </si>
  <si>
    <t>98,46 / 98,58</t>
  </si>
  <si>
    <t>98,07 / 101,43</t>
  </si>
  <si>
    <t>Bureau Veritas SA</t>
  </si>
  <si>
    <t>99,75 / 99,75</t>
  </si>
  <si>
    <t>98,50 / 100,25</t>
  </si>
  <si>
    <t>15.07.2024</t>
  </si>
  <si>
    <t>Noa Bidco AS</t>
  </si>
  <si>
    <t>1.250.000</t>
  </si>
  <si>
    <t>104,00 / 104,00</t>
  </si>
  <si>
    <t>100,00 / 104,50</t>
  </si>
  <si>
    <t>02.01.2025</t>
  </si>
  <si>
    <t>BlueNord ASA</t>
  </si>
  <si>
    <t>AuslÃ¤ndische Wandelanleihen/Optionsanleihen</t>
  </si>
  <si>
    <t>98,955 / 99,015</t>
  </si>
  <si>
    <t>96,335 / 100,535</t>
  </si>
  <si>
    <t>17.10.2018</t>
  </si>
  <si>
    <t>17.01.2018</t>
  </si>
  <si>
    <t>Portugal, Republik</t>
  </si>
  <si>
    <t>16.067.387.000</t>
  </si>
  <si>
    <t>0.12 / 0.13%</t>
  </si>
  <si>
    <t>89,83 / 89,83</t>
  </si>
  <si>
    <t>85,45 / 91,36</t>
  </si>
  <si>
    <t>01.03.2022</t>
  </si>
  <si>
    <t>18.08.2021</t>
  </si>
  <si>
    <t>80,69</t>
  </si>
  <si>
    <t>75,68</t>
  </si>
  <si>
    <t>91,36</t>
  </si>
  <si>
    <t>Air Lease Corp.</t>
  </si>
  <si>
    <t>91,26 / 91,26</t>
  </si>
  <si>
    <t>85,51 / 93,75</t>
  </si>
  <si>
    <t>01.04.2022</t>
  </si>
  <si>
    <t>19.08.2021</t>
  </si>
  <si>
    <t>77,55</t>
  </si>
  <si>
    <t>73,79</t>
  </si>
  <si>
    <t>94,33</t>
  </si>
  <si>
    <t>American Axle &amp; Manufacturing Inc.</t>
  </si>
  <si>
    <t>86,93</t>
  </si>
  <si>
    <t>0.35 / 0.40%</t>
  </si>
  <si>
    <t>86,52 / 86,93</t>
  </si>
  <si>
    <t>84,43 / 96,34</t>
  </si>
  <si>
    <t>01.10.2018</t>
  </si>
  <si>
    <t>84,43</t>
  </si>
  <si>
    <t>76,90</t>
  </si>
  <si>
    <t>92,64</t>
  </si>
  <si>
    <t>96,34</t>
  </si>
  <si>
    <t>123,24</t>
  </si>
  <si>
    <t>American International Group Inc.</t>
  </si>
  <si>
    <t>0.64 / 0.64%</t>
  </si>
  <si>
    <t>101,07 / 101,07</t>
  </si>
  <si>
    <t>98,98 / 103,48</t>
  </si>
  <si>
    <t>06.05.2022</t>
  </si>
  <si>
    <t>04.02.2022</t>
  </si>
  <si>
    <t>90,28</t>
  </si>
  <si>
    <t>Bank of America Corp.</t>
  </si>
  <si>
    <t>03.02.2022</t>
  </si>
  <si>
    <t>100,81</t>
  </si>
  <si>
    <t>0.33 / 0.33%</t>
  </si>
  <si>
    <t>100,81 / 100,81</t>
  </si>
  <si>
    <t>99,16 / 103,23</t>
  </si>
  <si>
    <t>01.08.2023</t>
  </si>
  <si>
    <t>103,23</t>
  </si>
  <si>
    <t>Bank of Montreal</t>
  </si>
  <si>
    <t>95,803 / 96,321</t>
  </si>
  <si>
    <t>91,297 / 96,329</t>
  </si>
  <si>
    <t>28.07.2021</t>
  </si>
  <si>
    <t>28.01.2021</t>
  </si>
  <si>
    <t>The Bank of New York Mellon Corp.</t>
  </si>
  <si>
    <t>64,38</t>
  </si>
  <si>
    <t>64,38 / 64,38</t>
  </si>
  <si>
    <t>62,06 / 71,18</t>
  </si>
  <si>
    <t>15.12.2016</t>
  </si>
  <si>
    <t>18.05.2016</t>
  </si>
  <si>
    <t>62,72</t>
  </si>
  <si>
    <t>62,06</t>
  </si>
  <si>
    <t>59,67</t>
  </si>
  <si>
    <t>57,92</t>
  </si>
  <si>
    <t>64,67</t>
  </si>
  <si>
    <t>68,02</t>
  </si>
  <si>
    <t>69,82</t>
  </si>
  <si>
    <t>71,18</t>
  </si>
  <si>
    <t>Boeing Co.</t>
  </si>
  <si>
    <t>400.000.000</t>
  </si>
  <si>
    <t>101,25 / 101,44</t>
  </si>
  <si>
    <t>99,035 / 104,51</t>
  </si>
  <si>
    <t>13.09.2023</t>
  </si>
  <si>
    <t>102,73</t>
  </si>
  <si>
    <t>104,51</t>
  </si>
  <si>
    <t>CNH Industrial Capital LLC</t>
  </si>
  <si>
    <t>99,89 / 99,89</t>
  </si>
  <si>
    <t>98,30 / 101,73</t>
  </si>
  <si>
    <t>Eversource Energy</t>
  </si>
  <si>
    <t>0.034 / 0.03%</t>
  </si>
  <si>
    <t>99,80 / 99,80</t>
  </si>
  <si>
    <t>98,203 / 99,80</t>
  </si>
  <si>
    <t>12.11.2014</t>
  </si>
  <si>
    <t>105,86</t>
  </si>
  <si>
    <t>General Motors Co.</t>
  </si>
  <si>
    <t>96,89 / 96,89</t>
  </si>
  <si>
    <t>94,88 / 102,00</t>
  </si>
  <si>
    <t>0.47 / 0.52%</t>
  </si>
  <si>
    <t>91,06 / 91,46</t>
  </si>
  <si>
    <t>87,46 / 101,45</t>
  </si>
  <si>
    <t>01.08.2014</t>
  </si>
  <si>
    <t>28.01.2014</t>
  </si>
  <si>
    <t>79,64</t>
  </si>
  <si>
    <t>91,93</t>
  </si>
  <si>
    <t>101,45</t>
  </si>
  <si>
    <t>124,69</t>
  </si>
  <si>
    <t>JPMorgan Chase &amp; Co.</t>
  </si>
  <si>
    <t>99,474 / 99,474</t>
  </si>
  <si>
    <t>97,09 / 99,493</t>
  </si>
  <si>
    <t>01.09.2015</t>
  </si>
  <si>
    <t>Kimberly-Clark Corp.</t>
  </si>
  <si>
    <t>01.03.2025</t>
  </si>
  <si>
    <t>0.25 / 0.27%</t>
  </si>
  <si>
    <t>92,54 / 93,60</t>
  </si>
  <si>
    <t>90,50 / 101,62</t>
  </si>
  <si>
    <t>15.07.2019</t>
  </si>
  <si>
    <t>132,72</t>
  </si>
  <si>
    <t>The Kroger Co.</t>
  </si>
  <si>
    <t>92,55</t>
  </si>
  <si>
    <t>92,55 / 92,55</t>
  </si>
  <si>
    <t>89,26 / 96,36</t>
  </si>
  <si>
    <t>85,11</t>
  </si>
  <si>
    <t>80,22</t>
  </si>
  <si>
    <t>96,36</t>
  </si>
  <si>
    <t>100,42</t>
  </si>
  <si>
    <t>Power Finance Corp. Ltd.</t>
  </si>
  <si>
    <t>100,07 / 100,58</t>
  </si>
  <si>
    <t>99,658 / 101,325</t>
  </si>
  <si>
    <t>10.05.2023</t>
  </si>
  <si>
    <t>103,08</t>
  </si>
  <si>
    <t>71,73</t>
  </si>
  <si>
    <t>0.46 / 0.65%</t>
  </si>
  <si>
    <t>71,06 / 71,73</t>
  </si>
  <si>
    <t>69,42 / 81,86</t>
  </si>
  <si>
    <t>24.10.2016</t>
  </si>
  <si>
    <t>69,42</t>
  </si>
  <si>
    <t>65,40</t>
  </si>
  <si>
    <t>72,71</t>
  </si>
  <si>
    <t>76,47</t>
  </si>
  <si>
    <t>84,19</t>
  </si>
  <si>
    <t>108,06</t>
  </si>
  <si>
    <t>United Parcel Service Inc.</t>
  </si>
  <si>
    <t>82,13</t>
  </si>
  <si>
    <t>0.37 / 0.45%</t>
  </si>
  <si>
    <t>81,74 / 82,13</t>
  </si>
  <si>
    <t>80,48 / 92,43</t>
  </si>
  <si>
    <t>15.02.2023</t>
  </si>
  <si>
    <t>80,48</t>
  </si>
  <si>
    <t>76,21</t>
  </si>
  <si>
    <t>40.693.873.400</t>
  </si>
  <si>
    <t>97,36 / 97,50</t>
  </si>
  <si>
    <t>95,23 / 100,31</t>
  </si>
  <si>
    <t>31.10.2023</t>
  </si>
  <si>
    <t>93,94</t>
  </si>
  <si>
    <t>47.182.513.200</t>
  </si>
  <si>
    <t>0.265 / 0.26%</t>
  </si>
  <si>
    <t>101,83 / 102,07</t>
  </si>
  <si>
    <t>100,64 / 107,74</t>
  </si>
  <si>
    <t>104,29</t>
  </si>
  <si>
    <t>37.955.128.600</t>
  </si>
  <si>
    <t>99,23 / 99,23</t>
  </si>
  <si>
    <t>96,75 / 100,62</t>
  </si>
  <si>
    <t>15.11.2020</t>
  </si>
  <si>
    <t>94,67</t>
  </si>
  <si>
    <t>92,62</t>
  </si>
  <si>
    <t>VMware Inc.</t>
  </si>
  <si>
    <t>88,60 / 88,66</t>
  </si>
  <si>
    <t>85,97 / 91,80</t>
  </si>
  <si>
    <t>30.03.2020</t>
  </si>
  <si>
    <t>86,92</t>
  </si>
  <si>
    <t>82,25</t>
  </si>
  <si>
    <t>81,27</t>
  </si>
  <si>
    <t>88,66</t>
  </si>
  <si>
    <t>89,81</t>
  </si>
  <si>
    <t>CorporaciÃ³n Nacional del Cobre de Chile</t>
  </si>
  <si>
    <t>561.516.000</t>
  </si>
  <si>
    <t>101,84 / 101,84</t>
  </si>
  <si>
    <t>100,42 / 106,45</t>
  </si>
  <si>
    <t>02.11.2023</t>
  </si>
  <si>
    <t>101,96</t>
  </si>
  <si>
    <t>Bimbo Bakeries USA Inc.</t>
  </si>
  <si>
    <t>450.000.000</t>
  </si>
  <si>
    <t>101,43 / 101,43</t>
  </si>
  <si>
    <t>100,62 / 102,98</t>
  </si>
  <si>
    <t>01.09.2021</t>
  </si>
  <si>
    <t>109,85</t>
  </si>
  <si>
    <t>Danaos Corp.</t>
  </si>
  <si>
    <t>100,338 / 100,392</t>
  </si>
  <si>
    <t>98,83 / 101,79</t>
  </si>
  <si>
    <t>04.12.2004</t>
  </si>
  <si>
    <t>04.12.2003</t>
  </si>
  <si>
    <t>Vodafone Group PLC</t>
  </si>
  <si>
    <t>249.998.000</t>
  </si>
  <si>
    <t>100,675 / 100,77</t>
  </si>
  <si>
    <t>96,715 / 101,595</t>
  </si>
  <si>
    <t>19.07.2013</t>
  </si>
  <si>
    <t>19.07.2012</t>
  </si>
  <si>
    <t>92,58</t>
  </si>
  <si>
    <t>The Export-Import Bank of Korea</t>
  </si>
  <si>
    <t>0.14 / 0.15%</t>
  </si>
  <si>
    <t>96,56 / 96,56</t>
  </si>
  <si>
    <t>94,60 / 98,10</t>
  </si>
  <si>
    <t>13.09.2013</t>
  </si>
  <si>
    <t>13.09.2012</t>
  </si>
  <si>
    <t>95,47</t>
  </si>
  <si>
    <t>88,91</t>
  </si>
  <si>
    <t>85,12</t>
  </si>
  <si>
    <t>98,68</t>
  </si>
  <si>
    <t>114,31</t>
  </si>
  <si>
    <t>Amgen Inc.</t>
  </si>
  <si>
    <t>94,88 / 94,88</t>
  </si>
  <si>
    <t>93,03 / 103,45</t>
  </si>
  <si>
    <t>26.09.2014</t>
  </si>
  <si>
    <t>26.03.2014</t>
  </si>
  <si>
    <t>93,03</t>
  </si>
  <si>
    <t>81,13</t>
  </si>
  <si>
    <t>102,23</t>
  </si>
  <si>
    <t>103,45</t>
  </si>
  <si>
    <t>122,15</t>
  </si>
  <si>
    <t>Standard Chartered PLC</t>
  </si>
  <si>
    <t>96,29 / 96,29</t>
  </si>
  <si>
    <t>92,75 / 96,58</t>
  </si>
  <si>
    <t>19.02.2016</t>
  </si>
  <si>
    <t>19.02.2015</t>
  </si>
  <si>
    <t>94,31</t>
  </si>
  <si>
    <t>National Australia Bank Ltd.</t>
  </si>
  <si>
    <t>96,52</t>
  </si>
  <si>
    <t>96,49 / 96,52</t>
  </si>
  <si>
    <t>92,44 / 99,82</t>
  </si>
  <si>
    <t>09.03.2017</t>
  </si>
  <si>
    <t>09.09.2016</t>
  </si>
  <si>
    <t>96,19</t>
  </si>
  <si>
    <t>95,57</t>
  </si>
  <si>
    <t>92,44</t>
  </si>
  <si>
    <t>87,47</t>
  </si>
  <si>
    <t>96,63</t>
  </si>
  <si>
    <t>104,87</t>
  </si>
  <si>
    <t>280.000.000</t>
  </si>
  <si>
    <t>97,31 / 97,33</t>
  </si>
  <si>
    <t>94,15 / 97,87</t>
  </si>
  <si>
    <t>19.01.2018</t>
  </si>
  <si>
    <t>19.01.2017</t>
  </si>
  <si>
    <t>97,19</t>
  </si>
  <si>
    <t>91,33</t>
  </si>
  <si>
    <t>88,72</t>
  </si>
  <si>
    <t>Italgas S.P.A.</t>
  </si>
  <si>
    <t>97,53</t>
  </si>
  <si>
    <t>97,53 / 97,53</t>
  </si>
  <si>
    <t>94,91 / 97,87</t>
  </si>
  <si>
    <t>28.10.2018</t>
  </si>
  <si>
    <t>28.06.2018</t>
  </si>
  <si>
    <t>97,41</t>
  </si>
  <si>
    <t>94,91</t>
  </si>
  <si>
    <t>104,98</t>
  </si>
  <si>
    <t>Iberdrola Finanzas S.A.</t>
  </si>
  <si>
    <t>95,145 / 95,225</t>
  </si>
  <si>
    <t>92,095 / 96,995</t>
  </si>
  <si>
    <t>85,08</t>
  </si>
  <si>
    <t>113,72</t>
  </si>
  <si>
    <t>ING Groep N.V.</t>
  </si>
  <si>
    <t>7,41</t>
  </si>
  <si>
    <t>0.07 / 0.95%</t>
  </si>
  <si>
    <t>7,38 / 7,50</t>
  </si>
  <si>
    <t>5,12 / 8,66</t>
  </si>
  <si>
    <t>01.01.2020</t>
  </si>
  <si>
    <t>6,38</t>
  </si>
  <si>
    <t>6,36</t>
  </si>
  <si>
    <t>5,12</t>
  </si>
  <si>
    <t>8,32</t>
  </si>
  <si>
    <t>8,43</t>
  </si>
  <si>
    <t>8,66</t>
  </si>
  <si>
    <t>12,57</t>
  </si>
  <si>
    <t>12,70</t>
  </si>
  <si>
    <t>African Development Bank</t>
  </si>
  <si>
    <t>17.01.2020</t>
  </si>
  <si>
    <t>93,685 / 94,27</t>
  </si>
  <si>
    <t>90,275 / 94,715</t>
  </si>
  <si>
    <t>93,42</t>
  </si>
  <si>
    <t>85,86</t>
  </si>
  <si>
    <t>94,56</t>
  </si>
  <si>
    <t>Carlsberg Breweries A/S</t>
  </si>
  <si>
    <t>97,99 / 97,99</t>
  </si>
  <si>
    <t>94,61 / 97,99</t>
  </si>
  <si>
    <t>12.02.2021</t>
  </si>
  <si>
    <t>12.08.2020</t>
  </si>
  <si>
    <t>94,61</t>
  </si>
  <si>
    <t>88,19</t>
  </si>
  <si>
    <t>CMB International Leasing Management Ltd.</t>
  </si>
  <si>
    <t>61,47</t>
  </si>
  <si>
    <t>61,47 / 61,47</t>
  </si>
  <si>
    <t>40,06 / 62,38</t>
  </si>
  <si>
    <t>30.08.2020</t>
  </si>
  <si>
    <t>55,71</t>
  </si>
  <si>
    <t>51,60</t>
  </si>
  <si>
    <t>49,54</t>
  </si>
  <si>
    <t>40,06</t>
  </si>
  <si>
    <t>29,12</t>
  </si>
  <si>
    <t>62,38</t>
  </si>
  <si>
    <t>70,53</t>
  </si>
  <si>
    <t>Ecuador, Republik</t>
  </si>
  <si>
    <t>8.458.865.000</t>
  </si>
  <si>
    <t>94,46</t>
  </si>
  <si>
    <t>94,46 / 94,46</t>
  </si>
  <si>
    <t>91,88 / 95,49</t>
  </si>
  <si>
    <t>06.05.2021</t>
  </si>
  <si>
    <t>91,97</t>
  </si>
  <si>
    <t>91,88</t>
  </si>
  <si>
    <t>82,81</t>
  </si>
  <si>
    <t>76,68</t>
  </si>
  <si>
    <t>ZF Finance GmbH</t>
  </si>
  <si>
    <t>80,54</t>
  </si>
  <si>
    <t>80,45 / 80,58</t>
  </si>
  <si>
    <t>77,77 / 84,01</t>
  </si>
  <si>
    <t>14.02.2022</t>
  </si>
  <si>
    <t>79,54</t>
  </si>
  <si>
    <t>77,77</t>
  </si>
  <si>
    <t>72,25</t>
  </si>
  <si>
    <t>71,64</t>
  </si>
  <si>
    <t>84,01</t>
  </si>
  <si>
    <t>94,467 / 94,467</t>
  </si>
  <si>
    <t>78,70 / 94,69</t>
  </si>
  <si>
    <t>09.08.2021</t>
  </si>
  <si>
    <t>91,01</t>
  </si>
  <si>
    <t>78,70</t>
  </si>
  <si>
    <t>67,12</t>
  </si>
  <si>
    <t>94,69</t>
  </si>
  <si>
    <t>The Very Group Funding PLC</t>
  </si>
  <si>
    <t>94,89</t>
  </si>
  <si>
    <t>94,89 / 94,89</t>
  </si>
  <si>
    <t>89,97 / 95,23</t>
  </si>
  <si>
    <t>05.10.2021</t>
  </si>
  <si>
    <t>92,08</t>
  </si>
  <si>
    <t>89,97</t>
  </si>
  <si>
    <t>82,49</t>
  </si>
  <si>
    <t>95,04</t>
  </si>
  <si>
    <t>American Tower Corp.</t>
  </si>
  <si>
    <t>99,69 / 99,69</t>
  </si>
  <si>
    <t>95,13 / 99,69</t>
  </si>
  <si>
    <t>03.02.2023</t>
  </si>
  <si>
    <t>98,94</t>
  </si>
  <si>
    <t>95,13</t>
  </si>
  <si>
    <t>Mitsubishi HC Capital UK PLC</t>
  </si>
  <si>
    <t>95,54 / 95,54</t>
  </si>
  <si>
    <t>92,86 / 96,88</t>
  </si>
  <si>
    <t>08.06.2022</t>
  </si>
  <si>
    <t>95,11</t>
  </si>
  <si>
    <t>94,26</t>
  </si>
  <si>
    <t>92,86</t>
  </si>
  <si>
    <t>KommuneKredit</t>
  </si>
  <si>
    <t>02.06.2022</t>
  </si>
  <si>
    <t>102,88 / 102,88</t>
  </si>
  <si>
    <t>101,23 / 106,74</t>
  </si>
  <si>
    <t>01.11.2022</t>
  </si>
  <si>
    <t>96,45</t>
  </si>
  <si>
    <t>104,42</t>
  </si>
  <si>
    <t>106,74</t>
  </si>
  <si>
    <t>109,97</t>
  </si>
  <si>
    <t>NIE Finance PLC</t>
  </si>
  <si>
    <t>99,525 / 99,525</t>
  </si>
  <si>
    <t>96,85 / 100,40</t>
  </si>
  <si>
    <t>Ãslandsbanki hf.</t>
  </si>
  <si>
    <t>0.13 / 0.12%</t>
  </si>
  <si>
    <t>104,445 / 104,445</t>
  </si>
  <si>
    <t>103,59 / 105,105</t>
  </si>
  <si>
    <t>13.03.2023</t>
  </si>
  <si>
    <t>103,86</t>
  </si>
  <si>
    <t>Nordmazedonien, Republik</t>
  </si>
  <si>
    <t>103,11 / 103,11</t>
  </si>
  <si>
    <t>100,64 / 104,66</t>
  </si>
  <si>
    <t>102,81</t>
  </si>
  <si>
    <t>WPP Finance S.A.</t>
  </si>
  <si>
    <t>106,07 / 106,07</t>
  </si>
  <si>
    <t>102,65 / 107,24</t>
  </si>
  <si>
    <t>23.05.2023</t>
  </si>
  <si>
    <t>105,11</t>
  </si>
  <si>
    <t>107,24</t>
  </si>
  <si>
    <t>Banco Santander S.A.</t>
  </si>
  <si>
    <t>0.105 / 0.10%</t>
  </si>
  <si>
    <t>104,68 / 104,68</t>
  </si>
  <si>
    <t>101,10 / 105,10</t>
  </si>
  <si>
    <t>15.03.2024</t>
  </si>
  <si>
    <t>104,12</t>
  </si>
  <si>
    <t>Rexel S.A.</t>
  </si>
  <si>
    <t>104,24</t>
  </si>
  <si>
    <t>104,24 / 104,24</t>
  </si>
  <si>
    <t>101,38 / 105,93</t>
  </si>
  <si>
    <t>28.11.2024</t>
  </si>
  <si>
    <t>28.11.2023</t>
  </si>
  <si>
    <t>103,96</t>
  </si>
  <si>
    <t>103,56</t>
  </si>
  <si>
    <t>105,93</t>
  </si>
  <si>
    <t>IHG Finance LLC</t>
  </si>
  <si>
    <t>99,71 / 99,71</t>
  </si>
  <si>
    <t>97,22 / 102,73</t>
  </si>
  <si>
    <t>Barclays PLC</t>
  </si>
  <si>
    <t>99,07 / 99,96</t>
  </si>
  <si>
    <t>97,74 / 103,02</t>
  </si>
  <si>
    <t>27.03.2024</t>
  </si>
  <si>
    <t>2.250.000.000</t>
  </si>
  <si>
    <t>0.32 / 0.31%</t>
  </si>
  <si>
    <t>103,88 / 103,88</t>
  </si>
  <si>
    <t>99,36 / 106,07</t>
  </si>
  <si>
    <t>24.07.2024</t>
  </si>
  <si>
    <t>24.04.2024</t>
  </si>
  <si>
    <t>Turkiye Vakiflar Bankasi T.A.O.</t>
  </si>
  <si>
    <t>550.000.000</t>
  </si>
  <si>
    <t>96,50 / 103,75</t>
  </si>
  <si>
    <t>Serbien, Republik</t>
  </si>
  <si>
    <t>75,54</t>
  </si>
  <si>
    <t>75,51 / 75,54</t>
  </si>
  <si>
    <t>74,68 / 79,90</t>
  </si>
  <si>
    <t>26.03.2022</t>
  </si>
  <si>
    <t>26.03.2021</t>
  </si>
  <si>
    <t>65,58</t>
  </si>
  <si>
    <t>60,52</t>
  </si>
  <si>
    <t>Vienna Insurance Group AG Wiener Versicherung Gruppe</t>
  </si>
  <si>
    <t>23.03.2021</t>
  </si>
  <si>
    <t>111,20</t>
  </si>
  <si>
    <t>111,20 / 111,325</t>
  </si>
  <si>
    <t>96,65 / 111,70</t>
  </si>
  <si>
    <t>109,95</t>
  </si>
  <si>
    <t>111,70</t>
  </si>
  <si>
    <t>99,565 / 99,70</t>
  </si>
  <si>
    <t>96,20 / 101,06</t>
  </si>
  <si>
    <t>07.04.2015</t>
  </si>
  <si>
    <t>07.04.2014</t>
  </si>
  <si>
    <t>116,60</t>
  </si>
  <si>
    <t>Elia Transmission Belgium N.V.</t>
  </si>
  <si>
    <t>97,265 / 97,85</t>
  </si>
  <si>
    <t>86,27 / 98,715</t>
  </si>
  <si>
    <t>86,27</t>
  </si>
  <si>
    <t>85,70</t>
  </si>
  <si>
    <t>82,90</t>
  </si>
  <si>
    <t>Macquarie Group Ltd.</t>
  </si>
  <si>
    <t>320.000.000</t>
  </si>
  <si>
    <t>94,365 / 94,595</t>
  </si>
  <si>
    <t>88,06 / 96,86</t>
  </si>
  <si>
    <t>29.07.2021</t>
  </si>
  <si>
    <t>88,06</t>
  </si>
  <si>
    <t>80,65</t>
  </si>
  <si>
    <t>75,90</t>
  </si>
  <si>
    <t>96,86</t>
  </si>
  <si>
    <t>LGT Bank AG</t>
  </si>
  <si>
    <t>102,00 / 102,60</t>
  </si>
  <si>
    <t>95,39 / 103,67</t>
  </si>
  <si>
    <t>25.07.2023</t>
  </si>
  <si>
    <t>25.07.2022</t>
  </si>
  <si>
    <t>94,29</t>
  </si>
  <si>
    <t>93,95</t>
  </si>
  <si>
    <t>103,67</t>
  </si>
  <si>
    <t>ZÃ¼rcher Kantonalbank</t>
  </si>
  <si>
    <t>99,15 / 99,15</t>
  </si>
  <si>
    <t>96,23 / 100,62</t>
  </si>
  <si>
    <t>98,41</t>
  </si>
  <si>
    <t>97,63</t>
  </si>
  <si>
    <t>96,23</t>
  </si>
  <si>
    <t>Sachsen, Freistaat</t>
  </si>
  <si>
    <t>88,70</t>
  </si>
  <si>
    <t>88,70 / 90,00</t>
  </si>
  <si>
    <t>81,37 / 90,00</t>
  </si>
  <si>
    <t>07.06.2006</t>
  </si>
  <si>
    <t>07.06.2005</t>
  </si>
  <si>
    <t>59,39</t>
  </si>
  <si>
    <t>Deutsche Postbank Funding Trust III</t>
  </si>
  <si>
    <t>0,601</t>
  </si>
  <si>
    <t>0,601 / 0,601</t>
  </si>
  <si>
    <t>0,01 / 1,20</t>
  </si>
  <si>
    <t>28.12.2019</t>
  </si>
  <si>
    <t>28.06.2019</t>
  </si>
  <si>
    <t>0,251</t>
  </si>
  <si>
    <t>0,05</t>
  </si>
  <si>
    <t>1,20</t>
  </si>
  <si>
    <t>1,25</t>
  </si>
  <si>
    <t>5,75</t>
  </si>
  <si>
    <t>1.102.00%</t>
  </si>
  <si>
    <t>1.903.33%</t>
  </si>
  <si>
    <t>VST Building Technologies AG</t>
  </si>
  <si>
    <t>94,045 / 94,54</t>
  </si>
  <si>
    <t>90,29 / 95,17</t>
  </si>
  <si>
    <t>16.01.2018</t>
  </si>
  <si>
    <t>90,29</t>
  </si>
  <si>
    <t>94,90</t>
  </si>
  <si>
    <t>103,38</t>
  </si>
  <si>
    <t>97,341 / 97,85</t>
  </si>
  <si>
    <t>94,035 / 98,26</t>
  </si>
  <si>
    <t>01.03.2018</t>
  </si>
  <si>
    <t>89,85</t>
  </si>
  <si>
    <t>87,44</t>
  </si>
  <si>
    <t>104,13</t>
  </si>
  <si>
    <t>96,00 / 96,50</t>
  </si>
  <si>
    <t>92,35 / 97,34</t>
  </si>
  <si>
    <t>02.03.2018</t>
  </si>
  <si>
    <t>92,35</t>
  </si>
  <si>
    <t>87,87</t>
  </si>
  <si>
    <t>87,37</t>
  </si>
  <si>
    <t>96,99</t>
  </si>
  <si>
    <t>106,97</t>
  </si>
  <si>
    <t>97,331 / 97,83</t>
  </si>
  <si>
    <t>94,25 / 97,96</t>
  </si>
  <si>
    <t>05.03.2018</t>
  </si>
  <si>
    <t>94,605 / 95,09</t>
  </si>
  <si>
    <t>90,02 / 96,01</t>
  </si>
  <si>
    <t>94,05</t>
  </si>
  <si>
    <t>90,02</t>
  </si>
  <si>
    <t>82,51</t>
  </si>
  <si>
    <t>71,36</t>
  </si>
  <si>
    <t>95,63</t>
  </si>
  <si>
    <t>94,935 / 95,42</t>
  </si>
  <si>
    <t>91,05 / 96,15</t>
  </si>
  <si>
    <t>08.03.2018</t>
  </si>
  <si>
    <t>91,05</t>
  </si>
  <si>
    <t>86,74</t>
  </si>
  <si>
    <t>86,52</t>
  </si>
  <si>
    <t>104,81</t>
  </si>
  <si>
    <t>101,855 / 101,855</t>
  </si>
  <si>
    <t>100,02 / 102,27</t>
  </si>
  <si>
    <t>14.05.2020</t>
  </si>
  <si>
    <t>88,95</t>
  </si>
  <si>
    <t>88,95 / 88,95</t>
  </si>
  <si>
    <t>84,47 / 90,37</t>
  </si>
  <si>
    <t>88,32</t>
  </si>
  <si>
    <t>79,61</t>
  </si>
  <si>
    <t>89,57</t>
  </si>
  <si>
    <t>82,33</t>
  </si>
  <si>
    <t>82,33 / 82,33</t>
  </si>
  <si>
    <t>76,42 / 84,91</t>
  </si>
  <si>
    <t>81,34</t>
  </si>
  <si>
    <t>81,09</t>
  </si>
  <si>
    <t>76,42</t>
  </si>
  <si>
    <t>69,70</t>
  </si>
  <si>
    <t>84,91</t>
  </si>
  <si>
    <t>0.006 / 0.01%</t>
  </si>
  <si>
    <t>99,246 / 99,246</t>
  </si>
  <si>
    <t>95,691 / 99,246</t>
  </si>
  <si>
    <t>97,36</t>
  </si>
  <si>
    <t>98,05 / 98,05</t>
  </si>
  <si>
    <t>94,31 / 98,05</t>
  </si>
  <si>
    <t>28.11.2020</t>
  </si>
  <si>
    <t>95,85</t>
  </si>
  <si>
    <t>90,46</t>
  </si>
  <si>
    <t>99,53 / 100,58</t>
  </si>
  <si>
    <t>21.07.2023</t>
  </si>
  <si>
    <t>104,16</t>
  </si>
  <si>
    <t>104,16 / 104,16</t>
  </si>
  <si>
    <t>101,29 / 106,55</t>
  </si>
  <si>
    <t>103,99</t>
  </si>
  <si>
    <t>103,81</t>
  </si>
  <si>
    <t>18.09.2023</t>
  </si>
  <si>
    <t>110,47</t>
  </si>
  <si>
    <t>110,47 / 110,47</t>
  </si>
  <si>
    <t>99,76 / 111,37</t>
  </si>
  <si>
    <t>107,86</t>
  </si>
  <si>
    <t>107,51</t>
  </si>
  <si>
    <t>103,80</t>
  </si>
  <si>
    <t>110,87</t>
  </si>
  <si>
    <t>111,37</t>
  </si>
  <si>
    <t>103,47</t>
  </si>
  <si>
    <t>103,47 / 103,47</t>
  </si>
  <si>
    <t>101,30 / 105,33</t>
  </si>
  <si>
    <t>102,97</t>
  </si>
  <si>
    <t>104,33 / 104,33</t>
  </si>
  <si>
    <t>101,48 / 106,87</t>
  </si>
  <si>
    <t>01.11.2023</t>
  </si>
  <si>
    <t>103,97</t>
  </si>
  <si>
    <t>106,87</t>
  </si>
  <si>
    <t>101,64 / 101,64</t>
  </si>
  <si>
    <t>98,18 / 103,50</t>
  </si>
  <si>
    <t>17.12.2024</t>
  </si>
  <si>
    <t>101,19</t>
  </si>
  <si>
    <t>100,32</t>
  </si>
  <si>
    <t>18.12.2023</t>
  </si>
  <si>
    <t>84,68</t>
  </si>
  <si>
    <t>84,68 / 84,68</t>
  </si>
  <si>
    <t>79,59 / 87,25</t>
  </si>
  <si>
    <t>25.08.2017</t>
  </si>
  <si>
    <t>25.08.2016</t>
  </si>
  <si>
    <t>84,09</t>
  </si>
  <si>
    <t>83,36</t>
  </si>
  <si>
    <t>79,59</t>
  </si>
  <si>
    <t>87,25</t>
  </si>
  <si>
    <t>26.08.2016</t>
  </si>
  <si>
    <t>96,00 / 96,00</t>
  </si>
  <si>
    <t>92,11 / 96,49</t>
  </si>
  <si>
    <t>04.09.2017</t>
  </si>
  <si>
    <t>07.09.2016</t>
  </si>
  <si>
    <t>89,94</t>
  </si>
  <si>
    <t>88,44</t>
  </si>
  <si>
    <t>95,39 / 95,39</t>
  </si>
  <si>
    <t>90,74 / 95,45</t>
  </si>
  <si>
    <t>10.02.2022</t>
  </si>
  <si>
    <t>10.02.2021</t>
  </si>
  <si>
    <t>90,74</t>
  </si>
  <si>
    <t>87,08</t>
  </si>
  <si>
    <t>85,05</t>
  </si>
  <si>
    <t>95,89 / 95,89</t>
  </si>
  <si>
    <t>92,18 / 95,89</t>
  </si>
  <si>
    <t>94,03</t>
  </si>
  <si>
    <t>89,38</t>
  </si>
  <si>
    <t>99,75 / 99,80</t>
  </si>
  <si>
    <t>99,65 / 100,55</t>
  </si>
  <si>
    <t>06.05.2025</t>
  </si>
  <si>
    <t>82.255.000</t>
  </si>
  <si>
    <t>99,70 / 99,75</t>
  </si>
  <si>
    <t>99,60 / 99,80</t>
  </si>
  <si>
    <t>20.150.000</t>
  </si>
  <si>
    <t>99,55 / 99,55</t>
  </si>
  <si>
    <t>99,40 / 99,70</t>
  </si>
  <si>
    <t>06.11.2025</t>
  </si>
  <si>
    <t>31.732.000</t>
  </si>
  <si>
    <t>97,45</t>
  </si>
  <si>
    <t>97,40 / 97,45</t>
  </si>
  <si>
    <t>97,20 / 99,00</t>
  </si>
  <si>
    <t>04.11.2024</t>
  </si>
  <si>
    <t>2.200.000</t>
  </si>
  <si>
    <t>99,45 / 99,50</t>
  </si>
  <si>
    <t>99,30 / 99,60</t>
  </si>
  <si>
    <t>99,45</t>
  </si>
  <si>
    <t>16.043.000</t>
  </si>
  <si>
    <t>99,45 / 99,70</t>
  </si>
  <si>
    <t>23.04.2025</t>
  </si>
  <si>
    <t>23.10.2024</t>
  </si>
  <si>
    <t>14.997.000</t>
  </si>
  <si>
    <t>98,75 / 100,50</t>
  </si>
  <si>
    <t>23.12.2025</t>
  </si>
  <si>
    <t>23.12.2024</t>
  </si>
  <si>
    <t>5.162.000</t>
  </si>
  <si>
    <t>98,80 / 98,80</t>
  </si>
  <si>
    <t>97,60 / 99,80</t>
  </si>
  <si>
    <t>7.230.000</t>
  </si>
  <si>
    <t>96,80 / 97,05</t>
  </si>
  <si>
    <t>96,70 / 98,65</t>
  </si>
  <si>
    <t>20.12.2025</t>
  </si>
  <si>
    <t>20.12.2024</t>
  </si>
  <si>
    <t>96,70</t>
  </si>
  <si>
    <t>1.020.000</t>
  </si>
  <si>
    <t>90,70</t>
  </si>
  <si>
    <t>90,60 / 90,90</t>
  </si>
  <si>
    <t>86,70 / 92,30</t>
  </si>
  <si>
    <t>29.04.2023</t>
  </si>
  <si>
    <t>29.04.2022</t>
  </si>
  <si>
    <t>82,45</t>
  </si>
  <si>
    <t>81,80</t>
  </si>
  <si>
    <t>91,65</t>
  </si>
  <si>
    <t>92,30</t>
  </si>
  <si>
    <t>2.886.000</t>
  </si>
  <si>
    <t>88,50 / 88,80</t>
  </si>
  <si>
    <t>84,15 / 90,75</t>
  </si>
  <si>
    <t>86,05</t>
  </si>
  <si>
    <t>78,65</t>
  </si>
  <si>
    <t>6.869.000</t>
  </si>
  <si>
    <t>88,00 / 88,35</t>
  </si>
  <si>
    <t>83,65 / 90,35</t>
  </si>
  <si>
    <t>83,65</t>
  </si>
  <si>
    <t>79,25</t>
  </si>
  <si>
    <t>78,05</t>
  </si>
  <si>
    <t>89,25</t>
  </si>
  <si>
    <t>90,35</t>
  </si>
  <si>
    <t>1.975.000</t>
  </si>
  <si>
    <t>92,77</t>
  </si>
  <si>
    <t>92,19 / 92,84</t>
  </si>
  <si>
    <t>88,16 / 94,45</t>
  </si>
  <si>
    <t>13.11.2019</t>
  </si>
  <si>
    <t>90,79</t>
  </si>
  <si>
    <t>88,16</t>
  </si>
  <si>
    <t>83,85</t>
  </si>
  <si>
    <t>45,36</t>
  </si>
  <si>
    <t>45,05 / 45,36</t>
  </si>
  <si>
    <t>43,34 / 51,66</t>
  </si>
  <si>
    <t>43,76</t>
  </si>
  <si>
    <t>43,34</t>
  </si>
  <si>
    <t>37,97</t>
  </si>
  <si>
    <t>47,89</t>
  </si>
  <si>
    <t>51,66</t>
  </si>
  <si>
    <t>52,13</t>
  </si>
  <si>
    <t>4.692.000.000</t>
  </si>
  <si>
    <t>04.02.2021</t>
  </si>
  <si>
    <t>98,878 / 98,888</t>
  </si>
  <si>
    <t>95,988 / 98,888</t>
  </si>
  <si>
    <t>26.09.2019</t>
  </si>
  <si>
    <t>26.09.2018</t>
  </si>
  <si>
    <t>VINCI S.A.</t>
  </si>
  <si>
    <t>92,265 / 92,38</t>
  </si>
  <si>
    <t>89,36 / 94,45</t>
  </si>
  <si>
    <t>85,64</t>
  </si>
  <si>
    <t>93,58</t>
  </si>
  <si>
    <t>110,07</t>
  </si>
  <si>
    <t>1.185.000.000</t>
  </si>
  <si>
    <t>83,70</t>
  </si>
  <si>
    <t>83,70 / 83,70</t>
  </si>
  <si>
    <t>80,37 / 85,29</t>
  </si>
  <si>
    <t>80,37</t>
  </si>
  <si>
    <t>75,79</t>
  </si>
  <si>
    <t>75,62</t>
  </si>
  <si>
    <t>85,29</t>
  </si>
  <si>
    <t>97,29</t>
  </si>
  <si>
    <t>SociÃ©tÃ© GÃ©nÃ©rale SFH S.A.</t>
  </si>
  <si>
    <t>87,26</t>
  </si>
  <si>
    <t>87,17 / 87,26</t>
  </si>
  <si>
    <t>81,77 / 90,72</t>
  </si>
  <si>
    <t>04.02.2020</t>
  </si>
  <si>
    <t>74,19</t>
  </si>
  <si>
    <t>68,65</t>
  </si>
  <si>
    <t>90,72</t>
  </si>
  <si>
    <t>4.700.000.000</t>
  </si>
  <si>
    <t>96,803 / 96,93</t>
  </si>
  <si>
    <t>93,355 / 97,33</t>
  </si>
  <si>
    <t>97,17</t>
  </si>
  <si>
    <t>19.141.928.000</t>
  </si>
  <si>
    <t>102,78</t>
  </si>
  <si>
    <t>102,78 / 102,78</t>
  </si>
  <si>
    <t>100,62 / 104,15</t>
  </si>
  <si>
    <t>99,14</t>
  </si>
  <si>
    <t>BPER Banca S.p.A.</t>
  </si>
  <si>
    <t>75,077 / 75,125</t>
  </si>
  <si>
    <t>66,291 / 75,581</t>
  </si>
  <si>
    <t>14.10.1997</t>
  </si>
  <si>
    <t>14.10.1996</t>
  </si>
  <si>
    <t>71,88</t>
  </si>
  <si>
    <t>64,97</t>
  </si>
  <si>
    <t>78,63</t>
  </si>
  <si>
    <t>AEGON Ltd.</t>
  </si>
  <si>
    <t>95,00 / 95,00</t>
  </si>
  <si>
    <t>93,00 / 102,50</t>
  </si>
  <si>
    <t>09.07.2024</t>
  </si>
  <si>
    <t>09.04.2024</t>
  </si>
  <si>
    <t>SLR Group GmbH</t>
  </si>
  <si>
    <t>98,50 / 98,50</t>
  </si>
  <si>
    <t>96,75 / 105,18</t>
  </si>
  <si>
    <t>23.02.2024</t>
  </si>
  <si>
    <t>American Water Capital Corp.</t>
  </si>
  <si>
    <t>93,74 / 93,74</t>
  </si>
  <si>
    <t>91,89 / 100,13</t>
  </si>
  <si>
    <t>91,89</t>
  </si>
  <si>
    <t>94,42</t>
  </si>
  <si>
    <t>Ares Management Corp.</t>
  </si>
  <si>
    <t>97,51 / 97,51</t>
  </si>
  <si>
    <t>93,35 / 105,70</t>
  </si>
  <si>
    <t>93,35</t>
  </si>
  <si>
    <t>105,70</t>
  </si>
  <si>
    <t>Arthur J. Gallagher &amp; Co.</t>
  </si>
  <si>
    <t>0.079 / 0.08%</t>
  </si>
  <si>
    <t>99,609 / 99,609</t>
  </si>
  <si>
    <t>97,90 / 101,26</t>
  </si>
  <si>
    <t>12.07.2024</t>
  </si>
  <si>
    <t>101,26</t>
  </si>
  <si>
    <t>09.01.2024</t>
  </si>
  <si>
    <t>0.46 / 0.54%</t>
  </si>
  <si>
    <t>85,88 / 86,20</t>
  </si>
  <si>
    <t>83,45 / 93,72</t>
  </si>
  <si>
    <t>15.12.2019</t>
  </si>
  <si>
    <t>16.05.2019</t>
  </si>
  <si>
    <t>84,07</t>
  </si>
  <si>
    <t>83,45</t>
  </si>
  <si>
    <t>78,39</t>
  </si>
  <si>
    <t>113,88</t>
  </si>
  <si>
    <t>Bristol-Myers Squibb Co.</t>
  </si>
  <si>
    <t>1.995.600.000</t>
  </si>
  <si>
    <t>31.07.2020</t>
  </si>
  <si>
    <t>96,16</t>
  </si>
  <si>
    <t>0.32 / 0.33%</t>
  </si>
  <si>
    <t>95,90 / 96,16</t>
  </si>
  <si>
    <t>92,52 / 97,43</t>
  </si>
  <si>
    <t>15.02.2018</t>
  </si>
  <si>
    <t>10.08.2017</t>
  </si>
  <si>
    <t>92,52</t>
  </si>
  <si>
    <t>89,03</t>
  </si>
  <si>
    <t>97,43</t>
  </si>
  <si>
    <t>Duke Energy Corp.</t>
  </si>
  <si>
    <t>15.08.2027</t>
  </si>
  <si>
    <t>107,54</t>
  </si>
  <si>
    <t>107,54 / 107,54</t>
  </si>
  <si>
    <t>105,46 / 115,50</t>
  </si>
  <si>
    <t>15.01.2005</t>
  </si>
  <si>
    <t>15.07.2004</t>
  </si>
  <si>
    <t>107,53</t>
  </si>
  <si>
    <t>105,46</t>
  </si>
  <si>
    <t>109,49</t>
  </si>
  <si>
    <t>112,38</t>
  </si>
  <si>
    <t>115,50</t>
  </si>
  <si>
    <t>133,12</t>
  </si>
  <si>
    <t>Endurance Specialty Holdings Ltd.</t>
  </si>
  <si>
    <t>98,63 / 98,63</t>
  </si>
  <si>
    <t>97,30 / 100,29</t>
  </si>
  <si>
    <t>30.07.2025</t>
  </si>
  <si>
    <t>100,29</t>
  </si>
  <si>
    <t>General Mills Inc.</t>
  </si>
  <si>
    <t>101,345 / 101,93</t>
  </si>
  <si>
    <t>99,135 / 105,355</t>
  </si>
  <si>
    <t>06.10.2023</t>
  </si>
  <si>
    <t>103,70</t>
  </si>
  <si>
    <t>98,22 / 98,79</t>
  </si>
  <si>
    <t>91,793 / 98,90</t>
  </si>
  <si>
    <t>89,84</t>
  </si>
  <si>
    <t>Kohl's Corp.</t>
  </si>
  <si>
    <t>88,20 / 88,20</t>
  </si>
  <si>
    <t>86,29 / 95,93</t>
  </si>
  <si>
    <t>10.02.2017</t>
  </si>
  <si>
    <t>76,74</t>
  </si>
  <si>
    <t>117,13</t>
  </si>
  <si>
    <t>MPLX L.P.</t>
  </si>
  <si>
    <t>86,22</t>
  </si>
  <si>
    <t>86,22 / 86,22</t>
  </si>
  <si>
    <t>72,21 / 99,46</t>
  </si>
  <si>
    <t>01.12.2015</t>
  </si>
  <si>
    <t>10.06.2015</t>
  </si>
  <si>
    <t>72,21</t>
  </si>
  <si>
    <t>92,82</t>
  </si>
  <si>
    <t>115,84</t>
  </si>
  <si>
    <t>Marathon Oil Corp.</t>
  </si>
  <si>
    <t>100,44 / 100,44</t>
  </si>
  <si>
    <t>98,00 / 102,92</t>
  </si>
  <si>
    <t>14.12.2023</t>
  </si>
  <si>
    <t>14.06.2023</t>
  </si>
  <si>
    <t>100,51</t>
  </si>
  <si>
    <t>102,92</t>
  </si>
  <si>
    <t>MassMutual Global Funding II</t>
  </si>
  <si>
    <t>88,79</t>
  </si>
  <si>
    <t>88,79 / 88,79</t>
  </si>
  <si>
    <t>86,49 / 102,02</t>
  </si>
  <si>
    <t>06.08.2017</t>
  </si>
  <si>
    <t>86,49</t>
  </si>
  <si>
    <t>95,48</t>
  </si>
  <si>
    <t>131,73</t>
  </si>
  <si>
    <t>Microsoft Corp.</t>
  </si>
  <si>
    <t>97,885 / 98,19</t>
  </si>
  <si>
    <t>94,945 / 99,13</t>
  </si>
  <si>
    <t>20.07.2017</t>
  </si>
  <si>
    <t>20.01.2017</t>
  </si>
  <si>
    <t>92,28</t>
  </si>
  <si>
    <t>106,27</t>
  </si>
  <si>
    <t>Morgan Stanley</t>
  </si>
  <si>
    <t>86,30 / 87,34</t>
  </si>
  <si>
    <t>84,34 / 98,65</t>
  </si>
  <si>
    <t>20.10.2018</t>
  </si>
  <si>
    <t>20.04.2018</t>
  </si>
  <si>
    <t>80,77</t>
  </si>
  <si>
    <t>88,51</t>
  </si>
  <si>
    <t>93,90</t>
  </si>
  <si>
    <t>123,75</t>
  </si>
  <si>
    <t>Uruguay, Republik</t>
  </si>
  <si>
    <t>2.587.584.169</t>
  </si>
  <si>
    <t>101,83 / 101,94</t>
  </si>
  <si>
    <t>100,18 / 107,69</t>
  </si>
  <si>
    <t>104,37</t>
  </si>
  <si>
    <t>107,69</t>
  </si>
  <si>
    <t>Sociedad Quimica y Minera de Chile S.A.</t>
  </si>
  <si>
    <t>07.11.2033</t>
  </si>
  <si>
    <t>59,37</t>
  </si>
  <si>
    <t>0.04 / 0.07%</t>
  </si>
  <si>
    <t>59,37 / 59,37</t>
  </si>
  <si>
    <t>58,19 / 65,09</t>
  </si>
  <si>
    <t>63,19</t>
  </si>
  <si>
    <t>65,09</t>
  </si>
  <si>
    <t>Sunnova Energy International Inc.</t>
  </si>
  <si>
    <t>0.26 / 0.31%</t>
  </si>
  <si>
    <t>84,54 / 85,41</t>
  </si>
  <si>
    <t>83,04 / 94,37</t>
  </si>
  <si>
    <t>15.09.2019</t>
  </si>
  <si>
    <t>83,04</t>
  </si>
  <si>
    <t>86,04</t>
  </si>
  <si>
    <t>94,37</t>
  </si>
  <si>
    <t>114,11</t>
  </si>
  <si>
    <t>Texas Instruments Inc.</t>
  </si>
  <si>
    <t>05.03.2019</t>
  </si>
  <si>
    <t>89,93 / 100,46</t>
  </si>
  <si>
    <t>01.11.2007</t>
  </si>
  <si>
    <t>09.04.2007</t>
  </si>
  <si>
    <t>89,93</t>
  </si>
  <si>
    <t>86,60</t>
  </si>
  <si>
    <t>86,28</t>
  </si>
  <si>
    <t>97,86</t>
  </si>
  <si>
    <t>102,79</t>
  </si>
  <si>
    <t>125,38</t>
  </si>
  <si>
    <t>Time Warner Cable LLC</t>
  </si>
  <si>
    <t>1.499.990.000</t>
  </si>
  <si>
    <t>89,61 / 89,61</t>
  </si>
  <si>
    <t>85,85 / 96,46</t>
  </si>
  <si>
    <t>08.08.2014</t>
  </si>
  <si>
    <t>78,60</t>
  </si>
  <si>
    <t>90,94</t>
  </si>
  <si>
    <t>96,46</t>
  </si>
  <si>
    <t>101,22</t>
  </si>
  <si>
    <t>125,97</t>
  </si>
  <si>
    <t>Tyson Foods Inc.</t>
  </si>
  <si>
    <t>81,75</t>
  </si>
  <si>
    <t>81,75 / 81,75</t>
  </si>
  <si>
    <t>80,38 / 86,84</t>
  </si>
  <si>
    <t>24.05.2021</t>
  </si>
  <si>
    <t>80,38</t>
  </si>
  <si>
    <t>76,49</t>
  </si>
  <si>
    <t>75,42</t>
  </si>
  <si>
    <t>83,96</t>
  </si>
  <si>
    <t>86,84</t>
  </si>
  <si>
    <t>Vereinigte Mexikanische Staaten</t>
  </si>
  <si>
    <t>3.396.062.000</t>
  </si>
  <si>
    <t>110,43</t>
  </si>
  <si>
    <t>110,43 / 110,43</t>
  </si>
  <si>
    <t>108,34 / 115,46</t>
  </si>
  <si>
    <t>15.12.2002</t>
  </si>
  <si>
    <t>21.06.2002</t>
  </si>
  <si>
    <t>108,50</t>
  </si>
  <si>
    <t>108,34</t>
  </si>
  <si>
    <t>103,27</t>
  </si>
  <si>
    <t>114,00</t>
  </si>
  <si>
    <t>115,46</t>
  </si>
  <si>
    <t>115,71</t>
  </si>
  <si>
    <t>133,31</t>
  </si>
  <si>
    <t>Verizon Communications Inc.</t>
  </si>
  <si>
    <t>215.316.000</t>
  </si>
  <si>
    <t>104,53 / 104,53</t>
  </si>
  <si>
    <t>100,26 / 105,10</t>
  </si>
  <si>
    <t>104,65</t>
  </si>
  <si>
    <t>109,46</t>
  </si>
  <si>
    <t>100,35 / 100,35</t>
  </si>
  <si>
    <t>98,54 / 106,09</t>
  </si>
  <si>
    <t>23.12.2023</t>
  </si>
  <si>
    <t>102,52</t>
  </si>
  <si>
    <t>Inversiones CMPC S.A.</t>
  </si>
  <si>
    <t>101,765 / 102,03</t>
  </si>
  <si>
    <t>99,99 / 104,50</t>
  </si>
  <si>
    <t>21.11.2022</t>
  </si>
  <si>
    <t>Penske Truck Leasing Co. L.P./PTL Finance Corp.</t>
  </si>
  <si>
    <t>0.04 / 0.05%</t>
  </si>
  <si>
    <t>88,73 / 88,73</t>
  </si>
  <si>
    <t>86,64 / 99,71</t>
  </si>
  <si>
    <t>18.01.2018</t>
  </si>
  <si>
    <t>18.07.2017</t>
  </si>
  <si>
    <t>86,64</t>
  </si>
  <si>
    <t>80,39</t>
  </si>
  <si>
    <t>78,95</t>
  </si>
  <si>
    <t>89,62</t>
  </si>
  <si>
    <t>93,87</t>
  </si>
  <si>
    <t>113,57</t>
  </si>
  <si>
    <t>Indonesien, Republik</t>
  </si>
  <si>
    <t>14.07.2017</t>
  </si>
  <si>
    <t>96,01 / 96,12</t>
  </si>
  <si>
    <t>92,635 / 96,36</t>
  </si>
  <si>
    <t>07.10.2017</t>
  </si>
  <si>
    <t>07.10.2016</t>
  </si>
  <si>
    <t>95,56</t>
  </si>
  <si>
    <t>95,56 / 95,56</t>
  </si>
  <si>
    <t>83,21 / 97,38</t>
  </si>
  <si>
    <t>01.02.2018</t>
  </si>
  <si>
    <t>89,23</t>
  </si>
  <si>
    <t>83,21</t>
  </si>
  <si>
    <t>FWD Ltd.</t>
  </si>
  <si>
    <t>96,74 / 96,77</t>
  </si>
  <si>
    <t>92,68 / 96,93</t>
  </si>
  <si>
    <t>29.08.2018</t>
  </si>
  <si>
    <t>88,86</t>
  </si>
  <si>
    <t>Raiffeisenlandesbank NiederÃ¶sterreich-Wien AG</t>
  </si>
  <si>
    <t>0.55 / 3.24%</t>
  </si>
  <si>
    <t>17,50 / 17,50</t>
  </si>
  <si>
    <t>16,95 / 57,28</t>
  </si>
  <si>
    <t>07.09.2019</t>
  </si>
  <si>
    <t>07.03.2019</t>
  </si>
  <si>
    <t>16,95</t>
  </si>
  <si>
    <t>45,57</t>
  </si>
  <si>
    <t>54,54</t>
  </si>
  <si>
    <t>57,28</t>
  </si>
  <si>
    <t>NWD Finance [BVI] Ltd.</t>
  </si>
  <si>
    <t>1.300.000.000</t>
  </si>
  <si>
    <t>1,04</t>
  </si>
  <si>
    <t>1,04 / 1,04</t>
  </si>
  <si>
    <t>0,02 / 1,40</t>
  </si>
  <si>
    <t>25.10.2019</t>
  </si>
  <si>
    <t>25.04.2019</t>
  </si>
  <si>
    <t>1,07</t>
  </si>
  <si>
    <t>1,37</t>
  </si>
  <si>
    <t>1,40</t>
  </si>
  <si>
    <t>12,32</t>
  </si>
  <si>
    <t>Ronshine China Holdings Ltd.</t>
  </si>
  <si>
    <t>20.12.2022</t>
  </si>
  <si>
    <t>90,74 / 95,81</t>
  </si>
  <si>
    <t>93,13</t>
  </si>
  <si>
    <t>85,74</t>
  </si>
  <si>
    <t>82,61</t>
  </si>
  <si>
    <t>87,67 / 87,67</t>
  </si>
  <si>
    <t>84,03 / 88,93</t>
  </si>
  <si>
    <t>14.02.2021</t>
  </si>
  <si>
    <t>84,03</t>
  </si>
  <si>
    <t>79,48</t>
  </si>
  <si>
    <t>87,92</t>
  </si>
  <si>
    <t>88,93</t>
  </si>
  <si>
    <t>Santander Consumer Bank AG</t>
  </si>
  <si>
    <t>52,44</t>
  </si>
  <si>
    <t>52,44 / 52,44</t>
  </si>
  <si>
    <t>50,22 / 58,55</t>
  </si>
  <si>
    <t>20.11.2021</t>
  </si>
  <si>
    <t>49,26</t>
  </si>
  <si>
    <t>44,02</t>
  </si>
  <si>
    <t>52,65</t>
  </si>
  <si>
    <t>55,01</t>
  </si>
  <si>
    <t>58,55</t>
  </si>
  <si>
    <t>62,96</t>
  </si>
  <si>
    <t>Paradigm Homes Charitable Housing Association Ltd.</t>
  </si>
  <si>
    <t>15.06.2021</t>
  </si>
  <si>
    <t>88,08 / 88,21</t>
  </si>
  <si>
    <t>84,36 / 88,79</t>
  </si>
  <si>
    <t>15.09.2021</t>
  </si>
  <si>
    <t>86,94</t>
  </si>
  <si>
    <t>84,36</t>
  </si>
  <si>
    <t>74,84</t>
  </si>
  <si>
    <t>East Japan Railway Co.</t>
  </si>
  <si>
    <t>83,74</t>
  </si>
  <si>
    <t>83,67 / 84,00</t>
  </si>
  <si>
    <t>78,00 / 85,76</t>
  </si>
  <si>
    <t>23.03.2022</t>
  </si>
  <si>
    <t>23.09.2021</t>
  </si>
  <si>
    <t>82,41</t>
  </si>
  <si>
    <t>71,05</t>
  </si>
  <si>
    <t>67,09</t>
  </si>
  <si>
    <t>85,76</t>
  </si>
  <si>
    <t>87,74</t>
  </si>
  <si>
    <t>87,74 / 88,34</t>
  </si>
  <si>
    <t>85,33 / 90,36</t>
  </si>
  <si>
    <t>11.03.2023</t>
  </si>
  <si>
    <t>11.03.2022</t>
  </si>
  <si>
    <t>87,16</t>
  </si>
  <si>
    <t>85,33</t>
  </si>
  <si>
    <t>81,63</t>
  </si>
  <si>
    <t>80,05</t>
  </si>
  <si>
    <t>10.03.2022</t>
  </si>
  <si>
    <t>82,61 / 83,30</t>
  </si>
  <si>
    <t>80,06 / 88,12</t>
  </si>
  <si>
    <t>80,06</t>
  </si>
  <si>
    <t>75,35</t>
  </si>
  <si>
    <t>69,62</t>
  </si>
  <si>
    <t>83,79</t>
  </si>
  <si>
    <t>88,12</t>
  </si>
  <si>
    <t>91,77</t>
  </si>
  <si>
    <t>24.01.25 08:32:43</t>
  </si>
  <si>
    <t>0.035 / 0.03%</t>
  </si>
  <si>
    <t>102,965 / 102,965</t>
  </si>
  <si>
    <t>101,68 / 104,595</t>
  </si>
  <si>
    <t>96,77</t>
  </si>
  <si>
    <t>99,17 / 99,17</t>
  </si>
  <si>
    <t>97,29 / 101,71</t>
  </si>
  <si>
    <t>105,648 / 105,648</t>
  </si>
  <si>
    <t>98,27 / 106,752</t>
  </si>
  <si>
    <t>06.03.2023</t>
  </si>
  <si>
    <t>103,37</t>
  </si>
  <si>
    <t>01.03.2023</t>
  </si>
  <si>
    <t>101,00 / 101,00</t>
  </si>
  <si>
    <t>99,25 / 103,46</t>
  </si>
  <si>
    <t>101,72</t>
  </si>
  <si>
    <t>975.000.000</t>
  </si>
  <si>
    <t>100,29 / 100,32</t>
  </si>
  <si>
    <t>98,33 / 100,96</t>
  </si>
  <si>
    <t>102,50 / 102,57</t>
  </si>
  <si>
    <t>101,64 / 103,82</t>
  </si>
  <si>
    <t>24.12.2024</t>
  </si>
  <si>
    <t>24.06.2024</t>
  </si>
  <si>
    <t>103,82</t>
  </si>
  <si>
    <t>Arada Sukuk 2 Ltd.</t>
  </si>
  <si>
    <t>98,99 / 98,99</t>
  </si>
  <si>
    <t>98,35 / 100,47</t>
  </si>
  <si>
    <t>17.10.2024</t>
  </si>
  <si>
    <t>'Navoiy kon-metallurgiya kombinati' aksiyadorlik jamiyati</t>
  </si>
  <si>
    <t>99,615 / 99,615</t>
  </si>
  <si>
    <t>99,01 / 99,665</t>
  </si>
  <si>
    <t>Japan Finance Organization for Municipalities</t>
  </si>
  <si>
    <t>94,03 / 94,03</t>
  </si>
  <si>
    <t>92,58 / 100,16</t>
  </si>
  <si>
    <t>12.10.2022</t>
  </si>
  <si>
    <t>92,71</t>
  </si>
  <si>
    <t>85,37</t>
  </si>
  <si>
    <t>FlÃ¤mische Gemeinschaft</t>
  </si>
  <si>
    <t>98,405 / 98,405</t>
  </si>
  <si>
    <t>93,30 / 98,765</t>
  </si>
  <si>
    <t>93,30</t>
  </si>
  <si>
    <t>325.000.000</t>
  </si>
  <si>
    <t>99,30 / 99,85</t>
  </si>
  <si>
    <t>93,405 / 100,15</t>
  </si>
  <si>
    <t>89,09</t>
  </si>
  <si>
    <t>Helvetia Schweizerische Versicherungsgesellschaft AG</t>
  </si>
  <si>
    <t>98,06 / 98,06</t>
  </si>
  <si>
    <t>89,84 / 100,61</t>
  </si>
  <si>
    <t>93,67</t>
  </si>
  <si>
    <t>76,04</t>
  </si>
  <si>
    <t>72,92</t>
  </si>
  <si>
    <t>106,04</t>
  </si>
  <si>
    <t>106,04 / 106,04</t>
  </si>
  <si>
    <t>100,20 / 107,74</t>
  </si>
  <si>
    <t>21.12.2022</t>
  </si>
  <si>
    <t>95,19</t>
  </si>
  <si>
    <t>Pfandbriefzentrale der schweizerischen Kantonalbanken</t>
  </si>
  <si>
    <t>648.000.000</t>
  </si>
  <si>
    <t>98,33 / 98,33</t>
  </si>
  <si>
    <t>95,06 / 99,10</t>
  </si>
  <si>
    <t>06.08.2021</t>
  </si>
  <si>
    <t>91,86</t>
  </si>
  <si>
    <t>24.01.25 12:22:30</t>
  </si>
  <si>
    <t>93,33 / 93,33</t>
  </si>
  <si>
    <t>89,905 / 94,45</t>
  </si>
  <si>
    <t>15.10.2021</t>
  </si>
  <si>
    <t>93,16</t>
  </si>
  <si>
    <t>85,82</t>
  </si>
  <si>
    <t>16.10.2020</t>
  </si>
  <si>
    <t>86,00 / 86,00</t>
  </si>
  <si>
    <t>01.05.1998</t>
  </si>
  <si>
    <t>114,90</t>
  </si>
  <si>
    <t>17.000.000</t>
  </si>
  <si>
    <t>9.827.122</t>
  </si>
  <si>
    <t>DEM</t>
  </si>
  <si>
    <t>88,80 / 88,80</t>
  </si>
  <si>
    <t>79,80 / 89,20</t>
  </si>
  <si>
    <t>02.12.2005</t>
  </si>
  <si>
    <t>02.12.2004</t>
  </si>
  <si>
    <t>82,75</t>
  </si>
  <si>
    <t>61,15</t>
  </si>
  <si>
    <t>Deutsche Postbank Funding Trust I</t>
  </si>
  <si>
    <t>98,96 / 98,976</t>
  </si>
  <si>
    <t>96,434 / 99,31</t>
  </si>
  <si>
    <t>04.09.2016</t>
  </si>
  <si>
    <t>04.09.2015</t>
  </si>
  <si>
    <t>Niedersachsen, Land</t>
  </si>
  <si>
    <t>88,75</t>
  </si>
  <si>
    <t>88,635 / 88,79</t>
  </si>
  <si>
    <t>85,91 / 90,76</t>
  </si>
  <si>
    <t>87,98</t>
  </si>
  <si>
    <t>85,91</t>
  </si>
  <si>
    <t>89,73</t>
  </si>
  <si>
    <t>17.03.2022</t>
  </si>
  <si>
    <t>94,165 / 94,65</t>
  </si>
  <si>
    <t>89,51 / 95,48</t>
  </si>
  <si>
    <t>93,69</t>
  </si>
  <si>
    <t>92,42</t>
  </si>
  <si>
    <t>89,51</t>
  </si>
  <si>
    <t>84,18</t>
  </si>
  <si>
    <t>98,192 / 98,192</t>
  </si>
  <si>
    <t>94,365 / 98,205</t>
  </si>
  <si>
    <t>14.11.2020</t>
  </si>
  <si>
    <t>28.05.2020</t>
  </si>
  <si>
    <t>104,61 / 104,61</t>
  </si>
  <si>
    <t>95,15 / 105,08</t>
  </si>
  <si>
    <t>91,03</t>
  </si>
  <si>
    <t>105,08</t>
  </si>
  <si>
    <t>105,54</t>
  </si>
  <si>
    <t>105,54 / 105,54</t>
  </si>
  <si>
    <t>96,10 / 106,03</t>
  </si>
  <si>
    <t>06.02.2023</t>
  </si>
  <si>
    <t>105,84</t>
  </si>
  <si>
    <t>106,03</t>
  </si>
  <si>
    <t>07.02.2023</t>
  </si>
  <si>
    <t>102,77</t>
  </si>
  <si>
    <t>102,77 / 102,77</t>
  </si>
  <si>
    <t>97,41 / 105,89</t>
  </si>
  <si>
    <t>102,06</t>
  </si>
  <si>
    <t>101,03</t>
  </si>
  <si>
    <t>104,20</t>
  </si>
  <si>
    <t>105,89</t>
  </si>
  <si>
    <t>08.02.2024</t>
  </si>
  <si>
    <t>110,24</t>
  </si>
  <si>
    <t>110,24 / 110,24</t>
  </si>
  <si>
    <t>100,83 / 111,08</t>
  </si>
  <si>
    <t>107,91</t>
  </si>
  <si>
    <t>107,68</t>
  </si>
  <si>
    <t>100,83</t>
  </si>
  <si>
    <t>110,62</t>
  </si>
  <si>
    <t>111,08</t>
  </si>
  <si>
    <t>20.11.2023</t>
  </si>
  <si>
    <t>102,24 / 102,24</t>
  </si>
  <si>
    <t>98,47 / 104,40</t>
  </si>
  <si>
    <t>12.12.2023</t>
  </si>
  <si>
    <t>13.12.2023</t>
  </si>
  <si>
    <t>101,18 / 101,18</t>
  </si>
  <si>
    <t>98,63 / 102,34</t>
  </si>
  <si>
    <t>15.12.2024</t>
  </si>
  <si>
    <t>102,34</t>
  </si>
  <si>
    <t>101,36 / 101,36</t>
  </si>
  <si>
    <t>97,72 / 104,26</t>
  </si>
  <si>
    <t>101,65 / 101,65</t>
  </si>
  <si>
    <t>100,24 / 102,51</t>
  </si>
  <si>
    <t>10.03.2024</t>
  </si>
  <si>
    <t>10.03.2023</t>
  </si>
  <si>
    <t>99,65 / 99,65</t>
  </si>
  <si>
    <t>99,40 / 99,80</t>
  </si>
  <si>
    <t>10.10.2024</t>
  </si>
  <si>
    <t>13.600.000</t>
  </si>
  <si>
    <t>99,10 / 99,70</t>
  </si>
  <si>
    <t>09.10.2025</t>
  </si>
  <si>
    <t>09.10.2024</t>
  </si>
  <si>
    <t>7.408.000</t>
  </si>
  <si>
    <t>97,05 / 97,25</t>
  </si>
  <si>
    <t>96,85 / 100,00</t>
  </si>
  <si>
    <t>8.002.000</t>
  </si>
  <si>
    <t>96,20 / 96,50</t>
  </si>
  <si>
    <t>95,95 / 99,70</t>
  </si>
  <si>
    <t>5.435.000</t>
  </si>
  <si>
    <t>94,70 / 95,05</t>
  </si>
  <si>
    <t>94,30 / 99,75</t>
  </si>
  <si>
    <t>94,30</t>
  </si>
  <si>
    <t>1.537.000</t>
  </si>
  <si>
    <t>98,25 / 98,45</t>
  </si>
  <si>
    <t>98,10 / 99,45</t>
  </si>
  <si>
    <t>06.06.2025</t>
  </si>
  <si>
    <t>06.12.2024</t>
  </si>
  <si>
    <t>15.068.000</t>
  </si>
  <si>
    <t>97,30 / 97,60</t>
  </si>
  <si>
    <t>97,30 / 100,30</t>
  </si>
  <si>
    <t>05.06.2025</t>
  </si>
  <si>
    <t>05.12.2024</t>
  </si>
  <si>
    <t>7.596.000</t>
  </si>
  <si>
    <t>96,75 / 97,10</t>
  </si>
  <si>
    <t>96,35 / 99,50</t>
  </si>
  <si>
    <t>05.12.2025</t>
  </si>
  <si>
    <t>1.799.000</t>
  </si>
  <si>
    <t>95,50 / 95,50</t>
  </si>
  <si>
    <t>94,70 / 99,45</t>
  </si>
  <si>
    <t>4.995.000</t>
  </si>
  <si>
    <t>93,85 / 94,05</t>
  </si>
  <si>
    <t>89,95 / 95,20</t>
  </si>
  <si>
    <t>89,95</t>
  </si>
  <si>
    <t>90,15 / 90,45</t>
  </si>
  <si>
    <t>85,60 / 92,20</t>
  </si>
  <si>
    <t>92,20</t>
  </si>
  <si>
    <t>99,10 / 99,15</t>
  </si>
  <si>
    <t>96,25 / 99,85</t>
  </si>
  <si>
    <t>03.06.2023</t>
  </si>
  <si>
    <t>03.06.2022</t>
  </si>
  <si>
    <t>8.757.000</t>
  </si>
  <si>
    <t>97,90 / 98,00</t>
  </si>
  <si>
    <t>94,60 / 98,20</t>
  </si>
  <si>
    <t>15.642.000</t>
  </si>
  <si>
    <t>96,65 / 96,80</t>
  </si>
  <si>
    <t>93,10 / 97,35</t>
  </si>
  <si>
    <t>3.448.000</t>
  </si>
  <si>
    <t>95,00 / 95,20</t>
  </si>
  <si>
    <t>90,85 / 96,15</t>
  </si>
  <si>
    <t>94,55</t>
  </si>
  <si>
    <t>86,90</t>
  </si>
  <si>
    <t>95,75</t>
  </si>
  <si>
    <t>24.01.25 12:07:58</t>
  </si>
  <si>
    <t>85,15 / 91,70</t>
  </si>
  <si>
    <t>11.02.2016</t>
  </si>
  <si>
    <t>11.02.2015</t>
  </si>
  <si>
    <t>87,10</t>
  </si>
  <si>
    <t>85,15</t>
  </si>
  <si>
    <t>Landesbank Saar</t>
  </si>
  <si>
    <t>96,60 / 100,00</t>
  </si>
  <si>
    <t>24.02.2015</t>
  </si>
  <si>
    <t>101,56 / 101,56</t>
  </si>
  <si>
    <t>99,52 / 102,29</t>
  </si>
  <si>
    <t>102,29</t>
  </si>
  <si>
    <t>Nykredit Realkredit A/S</t>
  </si>
  <si>
    <t>79,34 / 85,28</t>
  </si>
  <si>
    <t>30.04.2022</t>
  </si>
  <si>
    <t>16.04.2021</t>
  </si>
  <si>
    <t>81,38</t>
  </si>
  <si>
    <t>79,34</t>
  </si>
  <si>
    <t>74,02</t>
  </si>
  <si>
    <t>83,68</t>
  </si>
  <si>
    <t>Comunidad AutÃ³noma del PaÃ­s Vasco</t>
  </si>
  <si>
    <t>90,15 / 90,15</t>
  </si>
  <si>
    <t>86,90 / 92,98</t>
  </si>
  <si>
    <t>30.07.2023</t>
  </si>
  <si>
    <t>89,22</t>
  </si>
  <si>
    <t>81,05</t>
  </si>
  <si>
    <t>81,04</t>
  </si>
  <si>
    <t>92,98</t>
  </si>
  <si>
    <t>100,705 / 100,705</t>
  </si>
  <si>
    <t>98,59 / 102,22</t>
  </si>
  <si>
    <t>102,22</t>
  </si>
  <si>
    <t>99,345 / 99,365</t>
  </si>
  <si>
    <t>97,155 / 99,715</t>
  </si>
  <si>
    <t>19.05.2014</t>
  </si>
  <si>
    <t>Engie S.A.</t>
  </si>
  <si>
    <t>87,97 / 87,97</t>
  </si>
  <si>
    <t>85,62 / 89,91</t>
  </si>
  <si>
    <t>01.12.2017</t>
  </si>
  <si>
    <t>01.12.2016</t>
  </si>
  <si>
    <t>87,24</t>
  </si>
  <si>
    <t>85,62</t>
  </si>
  <si>
    <t>81,15</t>
  </si>
  <si>
    <t>88,49</t>
  </si>
  <si>
    <t>Caisse Francaise de Financement Local</t>
  </si>
  <si>
    <t>94,78 / 94,825</t>
  </si>
  <si>
    <t>91,515 / 95,50</t>
  </si>
  <si>
    <t>05.10.2018</t>
  </si>
  <si>
    <t>05.10.2017</t>
  </si>
  <si>
    <t>103,40</t>
  </si>
  <si>
    <t>ArkÃ©a Home Loans SFH S.A.</t>
  </si>
  <si>
    <t>27.09.2017</t>
  </si>
  <si>
    <t>92,83</t>
  </si>
  <si>
    <t>92,79 / 92,97</t>
  </si>
  <si>
    <t>90,155 / 93,88</t>
  </si>
  <si>
    <t>Bpifrance SACA</t>
  </si>
  <si>
    <t>875.000.000</t>
  </si>
  <si>
    <t>89,015 / 89,155</t>
  </si>
  <si>
    <t>85,47 / 90,185</t>
  </si>
  <si>
    <t>18.09.2020</t>
  </si>
  <si>
    <t>88,34</t>
  </si>
  <si>
    <t>85,47</t>
  </si>
  <si>
    <t>80,44</t>
  </si>
  <si>
    <t>APRR</t>
  </si>
  <si>
    <t>93,56 / 93,56</t>
  </si>
  <si>
    <t>87,50 / 93,71</t>
  </si>
  <si>
    <t>02.08.2021</t>
  </si>
  <si>
    <t>02.02.2021</t>
  </si>
  <si>
    <t>79,18</t>
  </si>
  <si>
    <t>76,15</t>
  </si>
  <si>
    <t>93,59</t>
  </si>
  <si>
    <t>93,71</t>
  </si>
  <si>
    <t>La Banque Postale</t>
  </si>
  <si>
    <t>102,10 / 102,10</t>
  </si>
  <si>
    <t>101,02 / 103,01</t>
  </si>
  <si>
    <t>06.04.2024</t>
  </si>
  <si>
    <t>0.055 / 0.06%</t>
  </si>
  <si>
    <t>95,91 / 95,91</t>
  </si>
  <si>
    <t>26.07.2012</t>
  </si>
  <si>
    <t>26.07.2011</t>
  </si>
  <si>
    <t>13.760.720.000</t>
  </si>
  <si>
    <t>0.48 / 0.53%</t>
  </si>
  <si>
    <t>90,97 / 91,33</t>
  </si>
  <si>
    <t>89,38 / 100,18</t>
  </si>
  <si>
    <t>15.09.2016</t>
  </si>
  <si>
    <t>89,50</t>
  </si>
  <si>
    <t>81,25</t>
  </si>
  <si>
    <t>120,02</t>
  </si>
  <si>
    <t>AT &amp; T Inc.</t>
  </si>
  <si>
    <t>1.208.505.000</t>
  </si>
  <si>
    <t>101,565 / 102,065</t>
  </si>
  <si>
    <t>100,20 / 103,88</t>
  </si>
  <si>
    <t>01.08.2007</t>
  </si>
  <si>
    <t>25.01.2007</t>
  </si>
  <si>
    <t>96,38</t>
  </si>
  <si>
    <t>102,15</t>
  </si>
  <si>
    <t>102,75</t>
  </si>
  <si>
    <t>110,91</t>
  </si>
  <si>
    <t>Howmet Aerospace Inc.</t>
  </si>
  <si>
    <t>625.000.000</t>
  </si>
  <si>
    <t>91,04 / 97,53</t>
  </si>
  <si>
    <t>87,17</t>
  </si>
  <si>
    <t>105,98</t>
  </si>
  <si>
    <t>0.11 / 0.13%</t>
  </si>
  <si>
    <t>86,47 / 86,47</t>
  </si>
  <si>
    <t>83,18 / 89,97</t>
  </si>
  <si>
    <t>30.03.2021</t>
  </si>
  <si>
    <t>85,13</t>
  </si>
  <si>
    <t>83,18</t>
  </si>
  <si>
    <t>78,52</t>
  </si>
  <si>
    <t>77,76</t>
  </si>
  <si>
    <t>86,54</t>
  </si>
  <si>
    <t>Cencora Inc.</t>
  </si>
  <si>
    <t>83,27</t>
  </si>
  <si>
    <t>0.09 / 0.11%</t>
  </si>
  <si>
    <t>83,27 / 83,27</t>
  </si>
  <si>
    <t>78,67 / 86,21</t>
  </si>
  <si>
    <t>04.10.2021</t>
  </si>
  <si>
    <t>81,61</t>
  </si>
  <si>
    <t>78,67</t>
  </si>
  <si>
    <t>69,59</t>
  </si>
  <si>
    <t>64,32</t>
  </si>
  <si>
    <t>86,21</t>
  </si>
  <si>
    <t>87,20</t>
  </si>
  <si>
    <t>Athene Global Funding</t>
  </si>
  <si>
    <t>100,03 / 100,03</t>
  </si>
  <si>
    <t>99,03 / 103,62</t>
  </si>
  <si>
    <t>Atlassian Corp.</t>
  </si>
  <si>
    <t>99,78 / 99,78</t>
  </si>
  <si>
    <t>98,23 / 100,03</t>
  </si>
  <si>
    <t>30.09.2015</t>
  </si>
  <si>
    <t>100,41</t>
  </si>
  <si>
    <t>109,35</t>
  </si>
  <si>
    <t>Block Financial LLC</t>
  </si>
  <si>
    <t>0.035 / 0.04%</t>
  </si>
  <si>
    <t>97,42 / 97,42</t>
  </si>
  <si>
    <t>95,70 / 99,86</t>
  </si>
  <si>
    <t>109,60</t>
  </si>
  <si>
    <t>Boston Scientific Corp.</t>
  </si>
  <si>
    <t>86,39</t>
  </si>
  <si>
    <t>86,39 / 86,39</t>
  </si>
  <si>
    <t>83,06 / 93,58</t>
  </si>
  <si>
    <t>07.01.2010</t>
  </si>
  <si>
    <t>07.10.2009</t>
  </si>
  <si>
    <t>83,06</t>
  </si>
  <si>
    <t>80,11</t>
  </si>
  <si>
    <t>77,31</t>
  </si>
  <si>
    <t>2.925.000.000</t>
  </si>
  <si>
    <t>2.503.911.000</t>
  </si>
  <si>
    <t>68,14</t>
  </si>
  <si>
    <t>0.15 / 0.22%</t>
  </si>
  <si>
    <t>67,88 / 68,14</t>
  </si>
  <si>
    <t>62,04 / 71,82</t>
  </si>
  <si>
    <t>66,17</t>
  </si>
  <si>
    <t>65,22</t>
  </si>
  <si>
    <t>62,04</t>
  </si>
  <si>
    <t>57,93</t>
  </si>
  <si>
    <t>68,74</t>
  </si>
  <si>
    <t>71,82</t>
  </si>
  <si>
    <t>91,27</t>
  </si>
  <si>
    <t>Charter Communications Operating LLC/Charter Communications Operating Capital Co</t>
  </si>
  <si>
    <t>1.350.000.000</t>
  </si>
  <si>
    <t>84,90 / 84,90</t>
  </si>
  <si>
    <t>82,015 / 88,745</t>
  </si>
  <si>
    <t>05.09.2021</t>
  </si>
  <si>
    <t>05.03.2021</t>
  </si>
  <si>
    <t>78,02</t>
  </si>
  <si>
    <t>85,21</t>
  </si>
  <si>
    <t>The Coca-Cola Co.</t>
  </si>
  <si>
    <t>97,50 / 97,50</t>
  </si>
  <si>
    <t>96,62 / 99,48</t>
  </si>
  <si>
    <t>21.10.2024</t>
  </si>
  <si>
    <t>99,48</t>
  </si>
  <si>
    <t>Ecopetrol S.A.</t>
  </si>
  <si>
    <t>97,84 / 97,84</t>
  </si>
  <si>
    <t>96,78 / 97,84</t>
  </si>
  <si>
    <t>Five9 Inc.</t>
  </si>
  <si>
    <t>747.500.000</t>
  </si>
  <si>
    <t>87,93</t>
  </si>
  <si>
    <t>87,93 / 87,93</t>
  </si>
  <si>
    <t>85,81 / 97,11</t>
  </si>
  <si>
    <t>01.03.2016</t>
  </si>
  <si>
    <t>14.09.2015</t>
  </si>
  <si>
    <t>79,93</t>
  </si>
  <si>
    <t>88,33</t>
  </si>
  <si>
    <t>97,11</t>
  </si>
  <si>
    <t>121,59</t>
  </si>
  <si>
    <t>Gilead Sciences Inc.</t>
  </si>
  <si>
    <t>0.34 / 0.32%</t>
  </si>
  <si>
    <t>107,80 / 108,18</t>
  </si>
  <si>
    <t>105,89 / 117,28</t>
  </si>
  <si>
    <t>15.11.2008</t>
  </si>
  <si>
    <t>13.05.2008</t>
  </si>
  <si>
    <t>102,54</t>
  </si>
  <si>
    <t>108,70</t>
  </si>
  <si>
    <t>117,28</t>
  </si>
  <si>
    <t>121,20</t>
  </si>
  <si>
    <t>142,46</t>
  </si>
  <si>
    <t>GlaxoSmithkline Capital Inc.</t>
  </si>
  <si>
    <t>97,27 / 97,27</t>
  </si>
  <si>
    <t>96,08 / 105,15</t>
  </si>
  <si>
    <t>100,72</t>
  </si>
  <si>
    <t>105,15</t>
  </si>
  <si>
    <t>Inter-American Development Bank</t>
  </si>
  <si>
    <t>98,58 / 101,68</t>
  </si>
  <si>
    <t>09.02.2024</t>
  </si>
  <si>
    <t>Eli Lilly and Company</t>
  </si>
  <si>
    <t>99,72 / 99,94</t>
  </si>
  <si>
    <t>99,478 / 100,11</t>
  </si>
  <si>
    <t>WarnerMedia Holdings Inc.</t>
  </si>
  <si>
    <t>100,40 / 100,40</t>
  </si>
  <si>
    <t>98,82 / 101,81</t>
  </si>
  <si>
    <t>01.10.2023</t>
  </si>
  <si>
    <t>100,92</t>
  </si>
  <si>
    <t>101,81</t>
  </si>
  <si>
    <t>National Fuel Gas Co.</t>
  </si>
  <si>
    <t>71,02</t>
  </si>
  <si>
    <t>71,02 / 71,02</t>
  </si>
  <si>
    <t>68,90 / 80,36</t>
  </si>
  <si>
    <t>68,90</t>
  </si>
  <si>
    <t>62,82</t>
  </si>
  <si>
    <t>71,85</t>
  </si>
  <si>
    <t>77,12</t>
  </si>
  <si>
    <t>80,36</t>
  </si>
  <si>
    <t>Raymond James Financial Inc.</t>
  </si>
  <si>
    <t>76,46</t>
  </si>
  <si>
    <t>76,46 / 76,46</t>
  </si>
  <si>
    <t>69,37 / 82,92</t>
  </si>
  <si>
    <t>01.04.2017</t>
  </si>
  <si>
    <t>13.09.2016</t>
  </si>
  <si>
    <t>74,43</t>
  </si>
  <si>
    <t>69,37</t>
  </si>
  <si>
    <t>65,27</t>
  </si>
  <si>
    <t>80,79</t>
  </si>
  <si>
    <t>82,92</t>
  </si>
  <si>
    <t>104,62</t>
  </si>
  <si>
    <t>Southern Company Gas Capital Corp.</t>
  </si>
  <si>
    <t>94,52 / 94,52</t>
  </si>
  <si>
    <t>92,01 / 103,38</t>
  </si>
  <si>
    <t>16.02.2023</t>
  </si>
  <si>
    <t>92,01</t>
  </si>
  <si>
    <t>83,01</t>
  </si>
  <si>
    <t>106,02</t>
  </si>
  <si>
    <t>Tucson Electric Power Co.</t>
  </si>
  <si>
    <t>97,25 / 97,25</t>
  </si>
  <si>
    <t>95,19 / 102,59</t>
  </si>
  <si>
    <t>15.03.2025</t>
  </si>
  <si>
    <t>100,53</t>
  </si>
  <si>
    <t>0.24 / 0.27%</t>
  </si>
  <si>
    <t>90,16 / 90,16</t>
  </si>
  <si>
    <t>88,04 / 94,01</t>
  </si>
  <si>
    <t>15.01.2023</t>
  </si>
  <si>
    <t>15.07.2022</t>
  </si>
  <si>
    <t>88,84</t>
  </si>
  <si>
    <t>85,04</t>
  </si>
  <si>
    <t>31.984.313.200</t>
  </si>
  <si>
    <t>0.52 / 0.56%</t>
  </si>
  <si>
    <t>92,88 / 93,40</t>
  </si>
  <si>
    <t>90,58 / 107,05</t>
  </si>
  <si>
    <t>90,58</t>
  </si>
  <si>
    <t>101,46</t>
  </si>
  <si>
    <t>UnitedHealth Group Inc.</t>
  </si>
  <si>
    <t>0.53 / 0.56%</t>
  </si>
  <si>
    <t>95,19 / 95,70</t>
  </si>
  <si>
    <t>93,13 / 102,14</t>
  </si>
  <si>
    <t>15.04.2025</t>
  </si>
  <si>
    <t>Waste Management Inc.</t>
  </si>
  <si>
    <t>96,71 / 96,71</t>
  </si>
  <si>
    <t>94,06 / 97,62</t>
  </si>
  <si>
    <t>01.01.2017</t>
  </si>
  <si>
    <t>20.06.2016</t>
  </si>
  <si>
    <t>94,81</t>
  </si>
  <si>
    <t>94,06</t>
  </si>
  <si>
    <t>90,87</t>
  </si>
  <si>
    <t>Evergy Kansas Central Inc.</t>
  </si>
  <si>
    <t>101,38 / 101,38</t>
  </si>
  <si>
    <t>97,78 / 103,64</t>
  </si>
  <si>
    <t>Aircastle Ltd.</t>
  </si>
  <si>
    <t>0.175 / 0.19%</t>
  </si>
  <si>
    <t>92,58 / 92,705</t>
  </si>
  <si>
    <t>86,05 / 96,24</t>
  </si>
  <si>
    <t>08.02.2020</t>
  </si>
  <si>
    <t>08.08.2019</t>
  </si>
  <si>
    <t>91,54</t>
  </si>
  <si>
    <t>Sinopec Group Overseas Development [2018] Ltd.</t>
  </si>
  <si>
    <t>2.000.000</t>
  </si>
  <si>
    <t>99,83 / 99,83</t>
  </si>
  <si>
    <t>99,02 / 100,09</t>
  </si>
  <si>
    <t>17.10.2020</t>
  </si>
  <si>
    <t>17.04.2020</t>
  </si>
  <si>
    <t>99,27</t>
  </si>
  <si>
    <t>108,14</t>
  </si>
  <si>
    <t>Banco Santander (Mexico) S.A., Institucion de Banca Multiple, Grupo Financiero S</t>
  </si>
  <si>
    <t>101,87 / 101,87</t>
  </si>
  <si>
    <t>100,47 / 104,26</t>
  </si>
  <si>
    <t>103,66</t>
  </si>
  <si>
    <t>Cinemark USA Inc.</t>
  </si>
  <si>
    <t>88,37 / 88,37</t>
  </si>
  <si>
    <t>85,98 / 92,01</t>
  </si>
  <si>
    <t>10.09.2020</t>
  </si>
  <si>
    <t>10.03.2020</t>
  </si>
  <si>
    <t>85,98</t>
  </si>
  <si>
    <t>82,27</t>
  </si>
  <si>
    <t>101,20 / 101,20</t>
  </si>
  <si>
    <t>98,50 / 108,92</t>
  </si>
  <si>
    <t>05.05.2008</t>
  </si>
  <si>
    <t>02.05.2007</t>
  </si>
  <si>
    <t>104,56</t>
  </si>
  <si>
    <t>108,92</t>
  </si>
  <si>
    <t>109,44</t>
  </si>
  <si>
    <t>Investor AB</t>
  </si>
  <si>
    <t>99,021 / 99,531</t>
  </si>
  <si>
    <t>96,136 / 99,531</t>
  </si>
  <si>
    <t>17.10.2015</t>
  </si>
  <si>
    <t>17.04.2015</t>
  </si>
  <si>
    <t>90,95</t>
  </si>
  <si>
    <t>94,43 / 94,43</t>
  </si>
  <si>
    <t>86,76 / 95,25</t>
  </si>
  <si>
    <t>08.12.2018</t>
  </si>
  <si>
    <t>90,61</t>
  </si>
  <si>
    <t>86,76</t>
  </si>
  <si>
    <t>70,40</t>
  </si>
  <si>
    <t>69,71</t>
  </si>
  <si>
    <t>Roadster Finance DAC</t>
  </si>
  <si>
    <t>0.13 / 0.14%</t>
  </si>
  <si>
    <t>95,65 / 95,65</t>
  </si>
  <si>
    <t>92,16 / 98,38</t>
  </si>
  <si>
    <t>05.09.2018</t>
  </si>
  <si>
    <t>92,16</t>
  </si>
  <si>
    <t>Nan Fung Treasury Ltd.</t>
  </si>
  <si>
    <t>90,29 / 90,29</t>
  </si>
  <si>
    <t>85,98 / 91,37</t>
  </si>
  <si>
    <t>05.06.2019</t>
  </si>
  <si>
    <t>89,76</t>
  </si>
  <si>
    <t>82,17</t>
  </si>
  <si>
    <t>91,37</t>
  </si>
  <si>
    <t>Swedish Covered Bond Corp.,The</t>
  </si>
  <si>
    <t>88,495 / 89,025</t>
  </si>
  <si>
    <t>84,70 / 90,29</t>
  </si>
  <si>
    <t>03.02.2020</t>
  </si>
  <si>
    <t>86,69</t>
  </si>
  <si>
    <t>77,94</t>
  </si>
  <si>
    <t>Telefonica Emisiones S.A.U.</t>
  </si>
  <si>
    <t>98,95 / 98,95</t>
  </si>
  <si>
    <t>91,66 / 99,52</t>
  </si>
  <si>
    <t>76,39</t>
  </si>
  <si>
    <t>Seplat Energy PLC</t>
  </si>
  <si>
    <t>95,58 / 95,58</t>
  </si>
  <si>
    <t>86,68 / 96,65</t>
  </si>
  <si>
    <t>90,98</t>
  </si>
  <si>
    <t>86,68</t>
  </si>
  <si>
    <t>70,89</t>
  </si>
  <si>
    <t>Dana Financing Luxembourg S.a.r.l.</t>
  </si>
  <si>
    <t>313.920.000</t>
  </si>
  <si>
    <t>91,22</t>
  </si>
  <si>
    <t>91,22 / 91,22</t>
  </si>
  <si>
    <t>86,17 / 91,87</t>
  </si>
  <si>
    <t>21.06.2022</t>
  </si>
  <si>
    <t>21.06.2021</t>
  </si>
  <si>
    <t>90,71</t>
  </si>
  <si>
    <t>88,83</t>
  </si>
  <si>
    <t>86,17</t>
  </si>
  <si>
    <t>80,72</t>
  </si>
  <si>
    <t>Skandinaviska Enskilda Banken AB</t>
  </si>
  <si>
    <t>93,35 / 93,35</t>
  </si>
  <si>
    <t>88,61 / 94,10</t>
  </si>
  <si>
    <t>02.11.2022</t>
  </si>
  <si>
    <t>13.09.2021</t>
  </si>
  <si>
    <t>93,09</t>
  </si>
  <si>
    <t>81,32</t>
  </si>
  <si>
    <t>94,10</t>
  </si>
  <si>
    <t>Mediobanca - Banca di Credito Finanziario S.p.A.</t>
  </si>
  <si>
    <t>95,936 / 95,996</t>
  </si>
  <si>
    <t>91,78 / 96,09</t>
  </si>
  <si>
    <t>14.09.2021</t>
  </si>
  <si>
    <t>91,78</t>
  </si>
  <si>
    <t>Royal Bank of Canada</t>
  </si>
  <si>
    <t>93,87 / 94,11</t>
  </si>
  <si>
    <t>90,705 / 95,58</t>
  </si>
  <si>
    <t>08.04.2022</t>
  </si>
  <si>
    <t>87,32</t>
  </si>
  <si>
    <t>Diageo Capital B.V.</t>
  </si>
  <si>
    <t>96,755 / 96,755</t>
  </si>
  <si>
    <t>93,75 / 98,505</t>
  </si>
  <si>
    <t>15.06.2022</t>
  </si>
  <si>
    <t>90,48</t>
  </si>
  <si>
    <t>Merck Financial Services GmbH</t>
  </si>
  <si>
    <t>101,16 / 101,33</t>
  </si>
  <si>
    <t>99,31 / 104,72</t>
  </si>
  <si>
    <t>104,72</t>
  </si>
  <si>
    <t>Temasek Financial [I] Ltd.</t>
  </si>
  <si>
    <t>103,92</t>
  </si>
  <si>
    <t>103,86 / 104,03</t>
  </si>
  <si>
    <t>101,62 / 105,345</t>
  </si>
  <si>
    <t>92,47 / 92,47</t>
  </si>
  <si>
    <t>89,47 / 102,23</t>
  </si>
  <si>
    <t>01.01.2024</t>
  </si>
  <si>
    <t>89,47</t>
  </si>
  <si>
    <t>102,94 / 103,00</t>
  </si>
  <si>
    <t>100,56 / 104,76</t>
  </si>
  <si>
    <t>29.11.2023</t>
  </si>
  <si>
    <t>Carrier Global Corp.</t>
  </si>
  <si>
    <t>100,82 / 100,82</t>
  </si>
  <si>
    <t>98,93 / 102,35</t>
  </si>
  <si>
    <t>102,35</t>
  </si>
  <si>
    <t>Novo Nordisk Finance [Netherlands] B.V.</t>
  </si>
  <si>
    <t>98,94 / 99,075</t>
  </si>
  <si>
    <t>81,60 / 100,035</t>
  </si>
  <si>
    <t>81,60</t>
  </si>
  <si>
    <t>30,50</t>
  </si>
  <si>
    <t>82,95 / 82,95</t>
  </si>
  <si>
    <t>80,12 / 85,00</t>
  </si>
  <si>
    <t>20.10.2021</t>
  </si>
  <si>
    <t>82,23</t>
  </si>
  <si>
    <t>80,12</t>
  </si>
  <si>
    <t>75,94</t>
  </si>
  <si>
    <t>83,59</t>
  </si>
  <si>
    <t>83,33 / 93,21</t>
  </si>
  <si>
    <t>03.12.2012</t>
  </si>
  <si>
    <t>20.06.2012</t>
  </si>
  <si>
    <t>86,73</t>
  </si>
  <si>
    <t>83,33</t>
  </si>
  <si>
    <t>New Brunswick, Provinz</t>
  </si>
  <si>
    <t>98,11 / 98,11</t>
  </si>
  <si>
    <t>94,08 / 98,675</t>
  </si>
  <si>
    <t>23.06.2021</t>
  </si>
  <si>
    <t>90,13</t>
  </si>
  <si>
    <t>ZÃ¼rich, Kanton</t>
  </si>
  <si>
    <t>360.000.000</t>
  </si>
  <si>
    <t>04.11.2020</t>
  </si>
  <si>
    <t>85,28 / 85,28</t>
  </si>
  <si>
    <t>75,09 / 90,79</t>
  </si>
  <si>
    <t>84,08</t>
  </si>
  <si>
    <t>83,07</t>
  </si>
  <si>
    <t>75,09</t>
  </si>
  <si>
    <t>67,42</t>
  </si>
  <si>
    <t>61,55</t>
  </si>
  <si>
    <t>370.000.000</t>
  </si>
  <si>
    <t>95,845 / 96,49</t>
  </si>
  <si>
    <t>91,08 / 97,59</t>
  </si>
  <si>
    <t>12.06.2021</t>
  </si>
  <si>
    <t>394.000.000</t>
  </si>
  <si>
    <t>88,47 / 89,10</t>
  </si>
  <si>
    <t>80,41 / 92,34</t>
  </si>
  <si>
    <t>87,76</t>
  </si>
  <si>
    <t>84,89</t>
  </si>
  <si>
    <t>80,41</t>
  </si>
  <si>
    <t>71,54</t>
  </si>
  <si>
    <t>67,90</t>
  </si>
  <si>
    <t>146.000.000</t>
  </si>
  <si>
    <t>98,315 / 98,77</t>
  </si>
  <si>
    <t>94,65 / 99,99</t>
  </si>
  <si>
    <t>18.11.2020</t>
  </si>
  <si>
    <t>84,02</t>
  </si>
  <si>
    <t>Sulzer AG</t>
  </si>
  <si>
    <t>87,20 / 92,98</t>
  </si>
  <si>
    <t>05.11.2021</t>
  </si>
  <si>
    <t>05.11.2020</t>
  </si>
  <si>
    <t>92,05</t>
  </si>
  <si>
    <t>91,20</t>
  </si>
  <si>
    <t>79,14</t>
  </si>
  <si>
    <t>78,97</t>
  </si>
  <si>
    <t>UBS Group AG</t>
  </si>
  <si>
    <t>108,24</t>
  </si>
  <si>
    <t>108,23 / 108,40</t>
  </si>
  <si>
    <t>106,455 / 117,00</t>
  </si>
  <si>
    <t>07.04.1999</t>
  </si>
  <si>
    <t>09.04.1998</t>
  </si>
  <si>
    <t>132,17</t>
  </si>
  <si>
    <t>Bayern, Freistaat</t>
  </si>
  <si>
    <t>76.693.782</t>
  </si>
  <si>
    <t>95,773 / 95,92</t>
  </si>
  <si>
    <t>92,988 / 96,75</t>
  </si>
  <si>
    <t>32.500.000.000</t>
  </si>
  <si>
    <t>90,174 / 90,414</t>
  </si>
  <si>
    <t>87,18 / 92,043</t>
  </si>
  <si>
    <t>12.07.2019</t>
  </si>
  <si>
    <t>87,18</t>
  </si>
  <si>
    <t>91,28</t>
  </si>
  <si>
    <t>10.07.2019</t>
  </si>
  <si>
    <t>24.01.25 11:19:31</t>
  </si>
  <si>
    <t>88,10</t>
  </si>
  <si>
    <t>88,10 / 88,10</t>
  </si>
  <si>
    <t>84,48 / 89,50</t>
  </si>
  <si>
    <t>84,48</t>
  </si>
  <si>
    <t>79,20</t>
  </si>
  <si>
    <t>24.01.25 11:59:55</t>
  </si>
  <si>
    <t>73,12</t>
  </si>
  <si>
    <t>73,12 / 73,12</t>
  </si>
  <si>
    <t>70,09 / 75,98</t>
  </si>
  <si>
    <t>17.12.2021</t>
  </si>
  <si>
    <t>17.12.2020</t>
  </si>
  <si>
    <t>72,29</t>
  </si>
  <si>
    <t>71,86</t>
  </si>
  <si>
    <t>70,09</t>
  </si>
  <si>
    <t>64,13</t>
  </si>
  <si>
    <t>74,28</t>
  </si>
  <si>
    <t>0.25 / 0.34%</t>
  </si>
  <si>
    <t>72,75 / 73,00</t>
  </si>
  <si>
    <t>71,42 / 78,00</t>
  </si>
  <si>
    <t>12.05.2022</t>
  </si>
  <si>
    <t>71,42</t>
  </si>
  <si>
    <t>66,63</t>
  </si>
  <si>
    <t>91,62</t>
  </si>
  <si>
    <t>91,60 / 91,77</t>
  </si>
  <si>
    <t>88,08 / 92,54</t>
  </si>
  <si>
    <t>16.06.2020</t>
  </si>
  <si>
    <t>89,82</t>
  </si>
  <si>
    <t>88,08</t>
  </si>
  <si>
    <t>99,00 / 99,50</t>
  </si>
  <si>
    <t>98,00 / 103,00</t>
  </si>
  <si>
    <t>06.07.2020</t>
  </si>
  <si>
    <t>DE-VAU-GE Gesundkostwerk Deutschland GmbH</t>
  </si>
  <si>
    <t>24.01.25 11:13:25</t>
  </si>
  <si>
    <t>83,755 / 83,755</t>
  </si>
  <si>
    <t>76,33 / 85,56</t>
  </si>
  <si>
    <t>01.09.2022</t>
  </si>
  <si>
    <t>76,33</t>
  </si>
  <si>
    <t>67,71</t>
  </si>
  <si>
    <t>85,56</t>
  </si>
  <si>
    <t>02.09.2021</t>
  </si>
  <si>
    <t>Monatlich</t>
  </si>
  <si>
    <t>Wendelstein 2024-1 UG</t>
  </si>
  <si>
    <t>9.275.000.000</t>
  </si>
  <si>
    <t>97,122 / 97,62</t>
  </si>
  <si>
    <t>93,89 / 97,73</t>
  </si>
  <si>
    <t>10.11.2017</t>
  </si>
  <si>
    <t>93,89</t>
  </si>
  <si>
    <t>89,24</t>
  </si>
  <si>
    <t>102,93</t>
  </si>
  <si>
    <t>13.11.2017</t>
  </si>
  <si>
    <t>95,22</t>
  </si>
  <si>
    <t>94,855 / 95,36</t>
  </si>
  <si>
    <t>91,21 / 96,05</t>
  </si>
  <si>
    <t>94,32</t>
  </si>
  <si>
    <t>86,26</t>
  </si>
  <si>
    <t>99,18</t>
  </si>
  <si>
    <t>98,664 / 99,18</t>
  </si>
  <si>
    <t>95,86 / 99,18</t>
  </si>
  <si>
    <t>99,20 / 99,73</t>
  </si>
  <si>
    <t>98,33 / 100,02</t>
  </si>
  <si>
    <t>27.11.2017</t>
  </si>
  <si>
    <t>83,88</t>
  </si>
  <si>
    <t>83,88 / 83,88</t>
  </si>
  <si>
    <t>78,24 / 86,02</t>
  </si>
  <si>
    <t>78,24</t>
  </si>
  <si>
    <t>71,93</t>
  </si>
  <si>
    <t>84,71</t>
  </si>
  <si>
    <t>86,02</t>
  </si>
  <si>
    <t>97,26 / 97,26</t>
  </si>
  <si>
    <t>93,64 / 97,33</t>
  </si>
  <si>
    <t>28.06.2021</t>
  </si>
  <si>
    <t>93,18 / 93,18</t>
  </si>
  <si>
    <t>89,15 / 94,01</t>
  </si>
  <si>
    <t>92,63</t>
  </si>
  <si>
    <t>92,12 / 92,12</t>
  </si>
  <si>
    <t>87,92 / 93,02</t>
  </si>
  <si>
    <t>27.09.2021</t>
  </si>
  <si>
    <t>20.07.2020</t>
  </si>
  <si>
    <t>90,18</t>
  </si>
  <si>
    <t>83,52</t>
  </si>
  <si>
    <t>21.07.2020</t>
  </si>
  <si>
    <t>96,39 / 96,39</t>
  </si>
  <si>
    <t>92,32 / 96,44</t>
  </si>
  <si>
    <t>95,62</t>
  </si>
  <si>
    <t>91,53</t>
  </si>
  <si>
    <t>91,53 / 91,53</t>
  </si>
  <si>
    <t>87,08 / 92,31</t>
  </si>
  <si>
    <t>24.07.2021</t>
  </si>
  <si>
    <t>24.07.2020</t>
  </si>
  <si>
    <t>90,89</t>
  </si>
  <si>
    <t>82,58</t>
  </si>
  <si>
    <t>82,47</t>
  </si>
  <si>
    <t>92,31</t>
  </si>
  <si>
    <t>92,33</t>
  </si>
  <si>
    <t>92,33 / 92,33</t>
  </si>
  <si>
    <t>88,85 / 93,27</t>
  </si>
  <si>
    <t>05.03.2020</t>
  </si>
  <si>
    <t>90,39</t>
  </si>
  <si>
    <t>85,27</t>
  </si>
  <si>
    <t>94,84</t>
  </si>
  <si>
    <t>94,84 / 94,84</t>
  </si>
  <si>
    <t>90,95 / 95,01</t>
  </si>
  <si>
    <t>18.02.2020</t>
  </si>
  <si>
    <t>94,54</t>
  </si>
  <si>
    <t>100,26 / 100,26</t>
  </si>
  <si>
    <t>96,26 / 102,26</t>
  </si>
  <si>
    <t>19.12.2022</t>
  </si>
  <si>
    <t>96,26</t>
  </si>
  <si>
    <t>102,57 / 102,57</t>
  </si>
  <si>
    <t>93,07 / 103,02</t>
  </si>
  <si>
    <t>103,85</t>
  </si>
  <si>
    <t>103,85 / 103,85</t>
  </si>
  <si>
    <t>98,63 / 106,99</t>
  </si>
  <si>
    <t>105,29</t>
  </si>
  <si>
    <t>102,25 / 102,25</t>
  </si>
  <si>
    <t>97,44 / 105,04</t>
  </si>
  <si>
    <t>103,58</t>
  </si>
  <si>
    <t>105,04</t>
  </si>
  <si>
    <t>86,43</t>
  </si>
  <si>
    <t>86,43 / 86,43</t>
  </si>
  <si>
    <t>79,69 / 89,18</t>
  </si>
  <si>
    <t>02.10.2019</t>
  </si>
  <si>
    <t>85,34</t>
  </si>
  <si>
    <t>79,69</t>
  </si>
  <si>
    <t>74,53</t>
  </si>
  <si>
    <t>87,36</t>
  </si>
  <si>
    <t>103,90</t>
  </si>
  <si>
    <t>08.10.2018</t>
  </si>
  <si>
    <t>99,53 / 100,03</t>
  </si>
  <si>
    <t>99,42 / 100,13</t>
  </si>
  <si>
    <t>25.03.2016</t>
  </si>
  <si>
    <t>05.02.2015</t>
  </si>
  <si>
    <t>98,85 / 98,95</t>
  </si>
  <si>
    <t>98,80 / 100,75</t>
  </si>
  <si>
    <t>13.942.000</t>
  </si>
  <si>
    <t>98,05 / 98,25</t>
  </si>
  <si>
    <t>97,95 / 99,70</t>
  </si>
  <si>
    <t>08.11.2025</t>
  </si>
  <si>
    <t>6.292.000</t>
  </si>
  <si>
    <t>87,10 / 87,50</t>
  </si>
  <si>
    <t>83,80 / 90,10</t>
  </si>
  <si>
    <t>06.01.2016</t>
  </si>
  <si>
    <t>85,90</t>
  </si>
  <si>
    <t>83,80</t>
  </si>
  <si>
    <t>77,30</t>
  </si>
  <si>
    <t>89,10</t>
  </si>
  <si>
    <t>96,50 / 96,65</t>
  </si>
  <si>
    <t>92,25 / 97,40</t>
  </si>
  <si>
    <t>87,60</t>
  </si>
  <si>
    <t>96,05 / 96,15</t>
  </si>
  <si>
    <t>92,25 / 96,65</t>
  </si>
  <si>
    <t>06.04.2022</t>
  </si>
  <si>
    <t>87,80</t>
  </si>
  <si>
    <t>2.070.000</t>
  </si>
  <si>
    <t>99,35 / 99,40</t>
  </si>
  <si>
    <t>96,45 / 99,40</t>
  </si>
  <si>
    <t>08.04.2023</t>
  </si>
  <si>
    <t>5.829.000</t>
  </si>
  <si>
    <t>83,80 / 84,20</t>
  </si>
  <si>
    <t>79,35 / 86,85</t>
  </si>
  <si>
    <t>11.04.2022</t>
  </si>
  <si>
    <t>83,20</t>
  </si>
  <si>
    <t>81,20</t>
  </si>
  <si>
    <t>79,35</t>
  </si>
  <si>
    <t>74,10</t>
  </si>
  <si>
    <t>73,25</t>
  </si>
  <si>
    <t>98,40 / 98,40</t>
  </si>
  <si>
    <t>95,40 / 98,40</t>
  </si>
  <si>
    <t>13.04.2022</t>
  </si>
  <si>
    <t>1.000.000</t>
  </si>
  <si>
    <t>96,50 / 99,25</t>
  </si>
  <si>
    <t>19.05.2023</t>
  </si>
  <si>
    <t>93,15</t>
  </si>
  <si>
    <t>97,60 / 97,75</t>
  </si>
  <si>
    <t>93,65 / 98,30</t>
  </si>
  <si>
    <t>16.06.2023</t>
  </si>
  <si>
    <t>16.06.2022</t>
  </si>
  <si>
    <t>89,45</t>
  </si>
  <si>
    <t>96,00 / 96,20</t>
  </si>
  <si>
    <t>92,10 / 97,35</t>
  </si>
  <si>
    <t>93,80</t>
  </si>
  <si>
    <t>87,95</t>
  </si>
  <si>
    <t>97,00 / 97,70</t>
  </si>
  <si>
    <t>94,03 / 97,76</t>
  </si>
  <si>
    <t>90,27</t>
  </si>
  <si>
    <t>100,63 / 100,63</t>
  </si>
  <si>
    <t>98,20 / 103,99</t>
  </si>
  <si>
    <t>16.02.2025</t>
  </si>
  <si>
    <t>101,42</t>
  </si>
  <si>
    <t>101,67 / 101,67</t>
  </si>
  <si>
    <t>99,54 / 103,18</t>
  </si>
  <si>
    <t>14.08.2023</t>
  </si>
  <si>
    <t>103,18</t>
  </si>
  <si>
    <t>96,20 / 96,20</t>
  </si>
  <si>
    <t>92,20 / 96,65</t>
  </si>
  <si>
    <t>23.12.2015</t>
  </si>
  <si>
    <t>43,73</t>
  </si>
  <si>
    <t>43,73 / 43,73</t>
  </si>
  <si>
    <t>41,10 / 52,00</t>
  </si>
  <si>
    <t>31.10.2021</t>
  </si>
  <si>
    <t>42,40</t>
  </si>
  <si>
    <t>41,10</t>
  </si>
  <si>
    <t>34,79</t>
  </si>
  <si>
    <t>45,19</t>
  </si>
  <si>
    <t>80,91</t>
  </si>
  <si>
    <t>510.000.000</t>
  </si>
  <si>
    <t>24.01.25 17:25:08</t>
  </si>
  <si>
    <t>102,32 / 102,60</t>
  </si>
  <si>
    <t>99,62 / 105,83</t>
  </si>
  <si>
    <t>101,47</t>
  </si>
  <si>
    <t>105,83</t>
  </si>
  <si>
    <t>10.02.2023</t>
  </si>
  <si>
    <t>101,14 / 101,14</t>
  </si>
  <si>
    <t>98,46 / 104,51</t>
  </si>
  <si>
    <t>30.04.2025</t>
  </si>
  <si>
    <t>19.02.2024</t>
  </si>
  <si>
    <t>98,46</t>
  </si>
  <si>
    <t>98,86 / 98,87</t>
  </si>
  <si>
    <t>96,207 / 98,931</t>
  </si>
  <si>
    <t>25.01.2016</t>
  </si>
  <si>
    <t>100,67 / 100,67</t>
  </si>
  <si>
    <t>99,22 / 102,725</t>
  </si>
  <si>
    <t>29.06.2024</t>
  </si>
  <si>
    <t>104,22</t>
  </si>
  <si>
    <t>SAGESS - SociÃ©tÃ© Anonyme de Gestion de Stocks de SÃ©curitÃ©</t>
  </si>
  <si>
    <t>88,62</t>
  </si>
  <si>
    <t>88,30 / 88,63</t>
  </si>
  <si>
    <t>86,42 / 98,33</t>
  </si>
  <si>
    <t>25.06.2024</t>
  </si>
  <si>
    <t>25.06.2023</t>
  </si>
  <si>
    <t>86,42</t>
  </si>
  <si>
    <t>9.917.000.000</t>
  </si>
  <si>
    <t>98,21 / 98,36</t>
  </si>
  <si>
    <t>96,12 / 101,18</t>
  </si>
  <si>
    <t>03.11.2019</t>
  </si>
  <si>
    <t>03.05.2019</t>
  </si>
  <si>
    <t>Boardwalk Pipelines LP</t>
  </si>
  <si>
    <t>100,14 / 100,67</t>
  </si>
  <si>
    <t>98,00 / 103,945</t>
  </si>
  <si>
    <t>11.10.2022</t>
  </si>
  <si>
    <t>104,55</t>
  </si>
  <si>
    <t>78,91</t>
  </si>
  <si>
    <t>0.39 / 0.50%</t>
  </si>
  <si>
    <t>78,47 / 78,91</t>
  </si>
  <si>
    <t>77,07 / 91,30</t>
  </si>
  <si>
    <t>14.12.2016</t>
  </si>
  <si>
    <t>77,07</t>
  </si>
  <si>
    <t>71,76</t>
  </si>
  <si>
    <t>83,87</t>
  </si>
  <si>
    <t>114,05</t>
  </si>
  <si>
    <t>Keurig Dr Pepper Inc.</t>
  </si>
  <si>
    <t>0.37 / 0.38%</t>
  </si>
  <si>
    <t>96,35 / 96,66</t>
  </si>
  <si>
    <t>94,97 / 102,48</t>
  </si>
  <si>
    <t>08.08.2024</t>
  </si>
  <si>
    <t>94,97</t>
  </si>
  <si>
    <t>102,48</t>
  </si>
  <si>
    <t>Enterprise Products Operating LLC</t>
  </si>
  <si>
    <t>111,76</t>
  </si>
  <si>
    <t>111,76 / 111,76</t>
  </si>
  <si>
    <t>110,67 / 117,33</t>
  </si>
  <si>
    <t>15.07.2000</t>
  </si>
  <si>
    <t>15.01.2000</t>
  </si>
  <si>
    <t>110,67</t>
  </si>
  <si>
    <t>109,83</t>
  </si>
  <si>
    <t>112,02</t>
  </si>
  <si>
    <t>114,02</t>
  </si>
  <si>
    <t>117,33</t>
  </si>
  <si>
    <t>121,86</t>
  </si>
  <si>
    <t>139,47</t>
  </si>
  <si>
    <t>Federal National Mortgage Association</t>
  </si>
  <si>
    <t>104,59 / 104,59</t>
  </si>
  <si>
    <t>101,77 / 110,10</t>
  </si>
  <si>
    <t>13.10.2023</t>
  </si>
  <si>
    <t>101,77</t>
  </si>
  <si>
    <t>108,31</t>
  </si>
  <si>
    <t>110,10</t>
  </si>
  <si>
    <t>Fox Corp.</t>
  </si>
  <si>
    <t>68,47</t>
  </si>
  <si>
    <t>68,47 / 68,47</t>
  </si>
  <si>
    <t>66,66 / 78,60</t>
  </si>
  <si>
    <t>15.03.2017</t>
  </si>
  <si>
    <t>66,66</t>
  </si>
  <si>
    <t>62,36</t>
  </si>
  <si>
    <t>68,99</t>
  </si>
  <si>
    <t>82,78</t>
  </si>
  <si>
    <t>The Home Depot Inc.</t>
  </si>
  <si>
    <t>77,99</t>
  </si>
  <si>
    <t>77,99 / 77,99</t>
  </si>
  <si>
    <t>76,37 / 87,94</t>
  </si>
  <si>
    <t>03.09.2017</t>
  </si>
  <si>
    <t>03.03.2017</t>
  </si>
  <si>
    <t>76,37</t>
  </si>
  <si>
    <t>73,44</t>
  </si>
  <si>
    <t>78,94</t>
  </si>
  <si>
    <t>83,63</t>
  </si>
  <si>
    <t>87,94</t>
  </si>
  <si>
    <t>113,96</t>
  </si>
  <si>
    <t>Johnson &amp; Johnson</t>
  </si>
  <si>
    <t>127,88</t>
  </si>
  <si>
    <t>0.27 / 0.21%</t>
  </si>
  <si>
    <t>127,88 / 127,88</t>
  </si>
  <si>
    <t>121,41 / 129,66</t>
  </si>
  <si>
    <t>121,41</t>
  </si>
  <si>
    <t>129,21</t>
  </si>
  <si>
    <t>129,66</t>
  </si>
  <si>
    <t>Live Nation Entertainment Inc.</t>
  </si>
  <si>
    <t>100,48 / 100,48</t>
  </si>
  <si>
    <t>99,17 / 102,85</t>
  </si>
  <si>
    <t>29.05.2023</t>
  </si>
  <si>
    <t>103,15</t>
  </si>
  <si>
    <t>29.11.2027</t>
  </si>
  <si>
    <t>96,65 / 96,65</t>
  </si>
  <si>
    <t>94,29 / 98,63</t>
  </si>
  <si>
    <t>17.08.2017</t>
  </si>
  <si>
    <t>96,13</t>
  </si>
  <si>
    <t>106,39</t>
  </si>
  <si>
    <t>O'Reilly Automotive Inc.[New]</t>
  </si>
  <si>
    <t>112,08</t>
  </si>
  <si>
    <t>0.53 / 0.48%</t>
  </si>
  <si>
    <t>112,08 / 112,08</t>
  </si>
  <si>
    <t>111,16 / 119,01</t>
  </si>
  <si>
    <t>12.08.2022</t>
  </si>
  <si>
    <t>111,16</t>
  </si>
  <si>
    <t>117,14</t>
  </si>
  <si>
    <t>119,01</t>
  </si>
  <si>
    <t>Post Holdings Inc.</t>
  </si>
  <si>
    <t>0.27 / 0.29%</t>
  </si>
  <si>
    <t>93,53 / 93,70</t>
  </si>
  <si>
    <t>91,38 / 96,84</t>
  </si>
  <si>
    <t>16.04.2019</t>
  </si>
  <si>
    <t>93,73</t>
  </si>
  <si>
    <t>Waste Connections Inc.</t>
  </si>
  <si>
    <t>0.155 / 0.16%</t>
  </si>
  <si>
    <t>98,49 / 98,765</t>
  </si>
  <si>
    <t>95,75 / 100,28</t>
  </si>
  <si>
    <t>22.07.2015</t>
  </si>
  <si>
    <t>99,75 / 100,125</t>
  </si>
  <si>
    <t>99,75 / 100,25</t>
  </si>
  <si>
    <t>24.07.2025</t>
  </si>
  <si>
    <t>60,60</t>
  </si>
  <si>
    <t>0.30 / 0.50%</t>
  </si>
  <si>
    <t>60,35 / 60,60</t>
  </si>
  <si>
    <t>58,85 / 67,93</t>
  </si>
  <si>
    <t>58,85</t>
  </si>
  <si>
    <t>52,54</t>
  </si>
  <si>
    <t>61,36</t>
  </si>
  <si>
    <t>65,14</t>
  </si>
  <si>
    <t>67,93</t>
  </si>
  <si>
    <t>Westlake Corp.</t>
  </si>
  <si>
    <t>100,86 / 100,86</t>
  </si>
  <si>
    <t>99,28 / 104,22</t>
  </si>
  <si>
    <t>16.10.2024</t>
  </si>
  <si>
    <t>Westpac Banking Corp.</t>
  </si>
  <si>
    <t>0.23 / 0.24%</t>
  </si>
  <si>
    <t>97,90 / 97,90</t>
  </si>
  <si>
    <t>95,85 / 102,38</t>
  </si>
  <si>
    <t>102,38</t>
  </si>
  <si>
    <t>Whirlpool Corp.</t>
  </si>
  <si>
    <t>97,63 / 97,84</t>
  </si>
  <si>
    <t>93,55 / 99,15</t>
  </si>
  <si>
    <t>09.07.2017</t>
  </si>
  <si>
    <t>09.01.2017</t>
  </si>
  <si>
    <t>96,04</t>
  </si>
  <si>
    <t>57,00</t>
  </si>
  <si>
    <t>88,09</t>
  </si>
  <si>
    <t>0.13 / 0.15%</t>
  </si>
  <si>
    <t>87,91 / 88,09</t>
  </si>
  <si>
    <t>86,67 / 89,55</t>
  </si>
  <si>
    <t>86,67</t>
  </si>
  <si>
    <t>88,22</t>
  </si>
  <si>
    <t>Millicom International Cellular S.A.</t>
  </si>
  <si>
    <t>393.019.000</t>
  </si>
  <si>
    <t>99,39</t>
  </si>
  <si>
    <t>99,39 / 99,39</t>
  </si>
  <si>
    <t>98,69 / 102,94</t>
  </si>
  <si>
    <t>98,69</t>
  </si>
  <si>
    <t>SMRC Automotive Holdings Netherlands B.V.</t>
  </si>
  <si>
    <t>101,88 / 101,88</t>
  </si>
  <si>
    <t>100,26 / 107,98</t>
  </si>
  <si>
    <t>107,98</t>
  </si>
  <si>
    <t>85,16</t>
  </si>
  <si>
    <t>85,16 / 85,16</t>
  </si>
  <si>
    <t>79,82 / 87,27</t>
  </si>
  <si>
    <t>84,12</t>
  </si>
  <si>
    <t>79,82</t>
  </si>
  <si>
    <t>71,79</t>
  </si>
  <si>
    <t>67,43</t>
  </si>
  <si>
    <t>85,32</t>
  </si>
  <si>
    <t>87,27</t>
  </si>
  <si>
    <t>Macquarie Bank Ltd.</t>
  </si>
  <si>
    <t>0.50 / 0.57%</t>
  </si>
  <si>
    <t>87,71 / 87,96</t>
  </si>
  <si>
    <t>80,04 / 92,61</t>
  </si>
  <si>
    <t>15.04.2018</t>
  </si>
  <si>
    <t>80,04</t>
  </si>
  <si>
    <t>Goodman US Finance Four LLC</t>
  </si>
  <si>
    <t>95,49 / 95,49</t>
  </si>
  <si>
    <t>93,12 / 107,05</t>
  </si>
  <si>
    <t>22.03.2013</t>
  </si>
  <si>
    <t>22.03.2012</t>
  </si>
  <si>
    <t>93,12</t>
  </si>
  <si>
    <t>89,64</t>
  </si>
  <si>
    <t>103,69</t>
  </si>
  <si>
    <t>113,50</t>
  </si>
  <si>
    <t>183,76</t>
  </si>
  <si>
    <t>SNCF RÃ©seau S.A.</t>
  </si>
  <si>
    <t>98,20 / 98,20</t>
  </si>
  <si>
    <t>95,54 / 98,84</t>
  </si>
  <si>
    <t>15.12.2017</t>
  </si>
  <si>
    <t>09.12.2016</t>
  </si>
  <si>
    <t>106,61</t>
  </si>
  <si>
    <t>Becton, Dickinson &amp; Co.</t>
  </si>
  <si>
    <t>94,605 / 94,605</t>
  </si>
  <si>
    <t>89,72 / 95,735</t>
  </si>
  <si>
    <t>20.07.2018</t>
  </si>
  <si>
    <t>93,63</t>
  </si>
  <si>
    <t>International Finance Corp.</t>
  </si>
  <si>
    <t>6.600.000.000</t>
  </si>
  <si>
    <t>81,83 / 82,66</t>
  </si>
  <si>
    <t>80,51 / 86,32</t>
  </si>
  <si>
    <t>14.08.2018</t>
  </si>
  <si>
    <t>14.02.2018</t>
  </si>
  <si>
    <t>80,59</t>
  </si>
  <si>
    <t>80,51</t>
  </si>
  <si>
    <t>74,35</t>
  </si>
  <si>
    <t>73,18</t>
  </si>
  <si>
    <t>86,32</t>
  </si>
  <si>
    <t>111,93</t>
  </si>
  <si>
    <t>Novartis Finance S.A.</t>
  </si>
  <si>
    <t>30.03.2022</t>
  </si>
  <si>
    <t>Purple Protected Asset S.A.</t>
  </si>
  <si>
    <t>39.432.000</t>
  </si>
  <si>
    <t>98,98 / 100,57</t>
  </si>
  <si>
    <t>China Development Bank</t>
  </si>
  <si>
    <t>CNY</t>
  </si>
  <si>
    <t>81,405 / 81,405</t>
  </si>
  <si>
    <t>78,94 / 82,55</t>
  </si>
  <si>
    <t>25.02.2022</t>
  </si>
  <si>
    <t>79,99</t>
  </si>
  <si>
    <t>71,75</t>
  </si>
  <si>
    <t>66,36</t>
  </si>
  <si>
    <t>81,41</t>
  </si>
  <si>
    <t>81,72</t>
  </si>
  <si>
    <t>82,55</t>
  </si>
  <si>
    <t>The Sage Group PLC</t>
  </si>
  <si>
    <t>89,69</t>
  </si>
  <si>
    <t>0.07 / 0.08%</t>
  </si>
  <si>
    <t>89,60 / 89,74</t>
  </si>
  <si>
    <t>83,10 / 89,74</t>
  </si>
  <si>
    <t>13.03.2022</t>
  </si>
  <si>
    <t>75,52</t>
  </si>
  <si>
    <t>69,05</t>
  </si>
  <si>
    <t>89,74</t>
  </si>
  <si>
    <t>94,12</t>
  </si>
  <si>
    <t>QBE Insurance Group Ltd.</t>
  </si>
  <si>
    <t>6,90</t>
  </si>
  <si>
    <t>0.31 / 4.70%</t>
  </si>
  <si>
    <t>6,64 / 6,90</t>
  </si>
  <si>
    <t>4,67 / 7,54</t>
  </si>
  <si>
    <t>5,91</t>
  </si>
  <si>
    <t>4,67</t>
  </si>
  <si>
    <t>7,46</t>
  </si>
  <si>
    <t>7,54</t>
  </si>
  <si>
    <t>10,49</t>
  </si>
  <si>
    <t>10,68</t>
  </si>
  <si>
    <t>16.09.2021</t>
  </si>
  <si>
    <t>96,06 / 96,22</t>
  </si>
  <si>
    <t>92,995 / 97,49</t>
  </si>
  <si>
    <t>16.11.2022</t>
  </si>
  <si>
    <t>Unilever Finance Netherlands B.V.</t>
  </si>
  <si>
    <t>98,245 / 98,82</t>
  </si>
  <si>
    <t>96,01 / 99,52</t>
  </si>
  <si>
    <t>01.06.2022</t>
  </si>
  <si>
    <t>ABN AMRO Bank N.V.</t>
  </si>
  <si>
    <t>109,06</t>
  </si>
  <si>
    <t>109,06 / 109,06</t>
  </si>
  <si>
    <t>105,99 / 110,87</t>
  </si>
  <si>
    <t>14.11.2023</t>
  </si>
  <si>
    <t>14.11.2022</t>
  </si>
  <si>
    <t>107,60</t>
  </si>
  <si>
    <t>105,99</t>
  </si>
  <si>
    <t>109,61</t>
  </si>
  <si>
    <t>Caixabank S.A.</t>
  </si>
  <si>
    <t>100,77 / 100,77</t>
  </si>
  <si>
    <t>99,54 / 101,19</t>
  </si>
  <si>
    <t>AB Svensk Exportkredit</t>
  </si>
  <si>
    <t>101,29 / 101,29</t>
  </si>
  <si>
    <t>99,39 / 102,89</t>
  </si>
  <si>
    <t>102,89</t>
  </si>
  <si>
    <t>98,835 / 98,835</t>
  </si>
  <si>
    <t>97,545 / 101,61</t>
  </si>
  <si>
    <t>Toyota Motor Finance [Netherlands] B.V.</t>
  </si>
  <si>
    <t>101,05 / 101,05</t>
  </si>
  <si>
    <t>99,28 / 103,03</t>
  </si>
  <si>
    <t>103,03</t>
  </si>
  <si>
    <t>DNB Boligkreditt A.S.</t>
  </si>
  <si>
    <t>0.33 / 0.31%</t>
  </si>
  <si>
    <t>108,34 / 108,34</t>
  </si>
  <si>
    <t>102,12 / 109,96</t>
  </si>
  <si>
    <t>14.12.2024</t>
  </si>
  <si>
    <t>14.06.2024</t>
  </si>
  <si>
    <t>107,64</t>
  </si>
  <si>
    <t>102,12</t>
  </si>
  <si>
    <t>109,96</t>
  </si>
  <si>
    <t>International Personal Finance PLC</t>
  </si>
  <si>
    <t>341.000.000</t>
  </si>
  <si>
    <t>101,185 / 101,185</t>
  </si>
  <si>
    <t>99,755 / 103,62</t>
  </si>
  <si>
    <t>American Honda Finance Corp.</t>
  </si>
  <si>
    <t>99,649 / 99,726</t>
  </si>
  <si>
    <t>96,98 / 100,425</t>
  </si>
  <si>
    <t>21.12.2024</t>
  </si>
  <si>
    <t>21.06.2023</t>
  </si>
  <si>
    <t>09.08.24 12:16:50</t>
  </si>
  <si>
    <t>Das Wertpapier ist vom Handel ausgesetzt.</t>
  </si>
  <si>
    <t>26.02.2014</t>
  </si>
  <si>
    <t>26.02.2013</t>
  </si>
  <si>
    <t>SociÃ©tÃ© Publique de Gestion de l'Eau -SPGE-</t>
  </si>
  <si>
    <t>28.02.2013</t>
  </si>
  <si>
    <t>93,99 / 94,11</t>
  </si>
  <si>
    <t>92,86 / 94,38</t>
  </si>
  <si>
    <t>Manulife Financial Corp.</t>
  </si>
  <si>
    <t>101,405 / 101,50</t>
  </si>
  <si>
    <t>98,615 / 102,08</t>
  </si>
  <si>
    <t>11.06.2012</t>
  </si>
  <si>
    <t>Tessin, Kanton</t>
  </si>
  <si>
    <t>101,09 / 101,45</t>
  </si>
  <si>
    <t>92,53 / 105,38</t>
  </si>
  <si>
    <t>05.03.2016</t>
  </si>
  <si>
    <t>92,53</t>
  </si>
  <si>
    <t>111,85</t>
  </si>
  <si>
    <t>Basel-Landschaft, Kanton</t>
  </si>
  <si>
    <t>97,60 / 97,60</t>
  </si>
  <si>
    <t>93,615 / 97,91</t>
  </si>
  <si>
    <t>88,46</t>
  </si>
  <si>
    <t>160.000.000</t>
  </si>
  <si>
    <t>104,10</t>
  </si>
  <si>
    <t>104,10 / 104,95</t>
  </si>
  <si>
    <t>97,96 / 106,17</t>
  </si>
  <si>
    <t>19.05.2024</t>
  </si>
  <si>
    <t>106,17</t>
  </si>
  <si>
    <t>BNG Bank N.V.</t>
  </si>
  <si>
    <t>102,22 / 102,295</t>
  </si>
  <si>
    <t>99,875 / 102,91</t>
  </si>
  <si>
    <t>18.06.2024</t>
  </si>
  <si>
    <t>102,83</t>
  </si>
  <si>
    <t>Novartis AG</t>
  </si>
  <si>
    <t>105,13 / 105,13</t>
  </si>
  <si>
    <t>99,92 / 106,57</t>
  </si>
  <si>
    <t>104,45</t>
  </si>
  <si>
    <t>103,16</t>
  </si>
  <si>
    <t>106,57</t>
  </si>
  <si>
    <t>435.000.000</t>
  </si>
  <si>
    <t>96,614 / 96,703</t>
  </si>
  <si>
    <t>93,435 / 96,95</t>
  </si>
  <si>
    <t>15.07.2016</t>
  </si>
  <si>
    <t>96,042 / 96,165</t>
  </si>
  <si>
    <t>93,146 / 96,765</t>
  </si>
  <si>
    <t>13.01.2017</t>
  </si>
  <si>
    <t>84,77</t>
  </si>
  <si>
    <t>84,77 / 84,77</t>
  </si>
  <si>
    <t>81,46 / 86,445</t>
  </si>
  <si>
    <t>81,46</t>
  </si>
  <si>
    <t>76,59</t>
  </si>
  <si>
    <t>95,64 / 95,64</t>
  </si>
  <si>
    <t>92,79 / 96,60</t>
  </si>
  <si>
    <t>20.04.2016</t>
  </si>
  <si>
    <t>20.04.2015</t>
  </si>
  <si>
    <t>103,87</t>
  </si>
  <si>
    <t>BMW US Capital LLC</t>
  </si>
  <si>
    <t>0.014 / 0.01%</t>
  </si>
  <si>
    <t>94,601 / 95,254</t>
  </si>
  <si>
    <t>80,16 / 95,47</t>
  </si>
  <si>
    <t>30.10.2021</t>
  </si>
  <si>
    <t>10.09.2021</t>
  </si>
  <si>
    <t>80,16</t>
  </si>
  <si>
    <t>60,42</t>
  </si>
  <si>
    <t>Delivery Hero SE</t>
  </si>
  <si>
    <t>83,85 / 84,04</t>
  </si>
  <si>
    <t>65,90 / 86,42</t>
  </si>
  <si>
    <t>72,28</t>
  </si>
  <si>
    <t>65,90</t>
  </si>
  <si>
    <t>57,85</t>
  </si>
  <si>
    <t>99,37 / 99,89</t>
  </si>
  <si>
    <t>98,46 / 99,95</t>
  </si>
  <si>
    <t>99,12</t>
  </si>
  <si>
    <t>99,102 / 99,60</t>
  </si>
  <si>
    <t>97,24 / 99,74</t>
  </si>
  <si>
    <t>29.12.2018</t>
  </si>
  <si>
    <t>29.11.2017</t>
  </si>
  <si>
    <t>97,24</t>
  </si>
  <si>
    <t>107,73</t>
  </si>
  <si>
    <t>99,251 / 99,75</t>
  </si>
  <si>
    <t>97,29 / 99,94</t>
  </si>
  <si>
    <t>85,23</t>
  </si>
  <si>
    <t>102,04</t>
  </si>
  <si>
    <t>98,545 / 99,05</t>
  </si>
  <si>
    <t>95,63 / 99,05</t>
  </si>
  <si>
    <t>04.12.2017</t>
  </si>
  <si>
    <t>83,24 / 89,655</t>
  </si>
  <si>
    <t>83,24</t>
  </si>
  <si>
    <t>99,705 / 102,295</t>
  </si>
  <si>
    <t>27.08.2020</t>
  </si>
  <si>
    <t>89,62 / 89,62</t>
  </si>
  <si>
    <t>84,84 / 91,03</t>
  </si>
  <si>
    <t>88,97</t>
  </si>
  <si>
    <t>84,84</t>
  </si>
  <si>
    <t>79,91</t>
  </si>
  <si>
    <t>98,54 / 98,54</t>
  </si>
  <si>
    <t>94,49 / 99,025</t>
  </si>
  <si>
    <t>22.07.2020</t>
  </si>
  <si>
    <t>422.300.000</t>
  </si>
  <si>
    <t>0.021 / 0.02%</t>
  </si>
  <si>
    <t>98,51 / 98,51</t>
  </si>
  <si>
    <t>94,71 / 98,51</t>
  </si>
  <si>
    <t>104,58</t>
  </si>
  <si>
    <t>104,58 / 104,58</t>
  </si>
  <si>
    <t>95,12 / 105,06</t>
  </si>
  <si>
    <t>10.02.2024</t>
  </si>
  <si>
    <t>104,89</t>
  </si>
  <si>
    <t>105,06</t>
  </si>
  <si>
    <t>103,98</t>
  </si>
  <si>
    <t>103,98 / 103,98</t>
  </si>
  <si>
    <t>100,63 / 106,64</t>
  </si>
  <si>
    <t>21.04.2024</t>
  </si>
  <si>
    <t>105,45</t>
  </si>
  <si>
    <t>104,09</t>
  </si>
  <si>
    <t>104,09 / 104,09</t>
  </si>
  <si>
    <t>100,75 / 106,76</t>
  </si>
  <si>
    <t>103,72</t>
  </si>
  <si>
    <t>106,76</t>
  </si>
  <si>
    <t>24.01.25 12:10:07</t>
  </si>
  <si>
    <t>99,67 / 99,67</t>
  </si>
  <si>
    <t>97,12 / 100,30</t>
  </si>
  <si>
    <t>04.05.2024</t>
  </si>
  <si>
    <t>100,796 / 100,796</t>
  </si>
  <si>
    <t>99,385 / 101,303</t>
  </si>
  <si>
    <t>18.05.2024</t>
  </si>
  <si>
    <t>102,09 / 102,09</t>
  </si>
  <si>
    <t>100,23 / 103,455</t>
  </si>
  <si>
    <t>99,70 / 103,02</t>
  </si>
  <si>
    <t>96,50 / 96,75</t>
  </si>
  <si>
    <t>96,25 / 99,55</t>
  </si>
  <si>
    <t>16.10.2025</t>
  </si>
  <si>
    <t>94,55 / 94,95</t>
  </si>
  <si>
    <t>94,05 / 98,60</t>
  </si>
  <si>
    <t>21.04.2025</t>
  </si>
  <si>
    <t>95,50 / 95,75</t>
  </si>
  <si>
    <t>95,00 / 99,65</t>
  </si>
  <si>
    <t>17.10.2025</t>
  </si>
  <si>
    <t>94,50 / 94,50</t>
  </si>
  <si>
    <t>92,20 / 100,00</t>
  </si>
  <si>
    <t>8.371.000</t>
  </si>
  <si>
    <t>99,55 / 100,25</t>
  </si>
  <si>
    <t>10.07.2025</t>
  </si>
  <si>
    <t>13.289.000</t>
  </si>
  <si>
    <t>88,30 / 88,70</t>
  </si>
  <si>
    <t>85,00 / 90,80</t>
  </si>
  <si>
    <t>78,90</t>
  </si>
  <si>
    <t>75,70</t>
  </si>
  <si>
    <t>21.443.000</t>
  </si>
  <si>
    <t>87,65 / 88,00</t>
  </si>
  <si>
    <t>83,55 / 90,40</t>
  </si>
  <si>
    <t>77,45</t>
  </si>
  <si>
    <t>89,05</t>
  </si>
  <si>
    <t>96,35 / 99,25</t>
  </si>
  <si>
    <t>12.05.2023</t>
  </si>
  <si>
    <t>27.889.000</t>
  </si>
  <si>
    <t>99,703 / 99,709</t>
  </si>
  <si>
    <t>96,85 / 99,709</t>
  </si>
  <si>
    <t>UniCredit Bank GmbH</t>
  </si>
  <si>
    <t>99,43 / 99,47</t>
  </si>
  <si>
    <t>98,50 / 100,93</t>
  </si>
  <si>
    <t>90,88</t>
  </si>
  <si>
    <t>90,88 / 91,51</t>
  </si>
  <si>
    <t>87,09 / 94,14</t>
  </si>
  <si>
    <t>90,12</t>
  </si>
  <si>
    <t>87,09</t>
  </si>
  <si>
    <t>81,36</t>
  </si>
  <si>
    <t>118,60</t>
  </si>
  <si>
    <t>73,95 / 74,07</t>
  </si>
  <si>
    <t>68,41 / 76,77</t>
  </si>
  <si>
    <t>72,76</t>
  </si>
  <si>
    <t>72,17</t>
  </si>
  <si>
    <t>68,41</t>
  </si>
  <si>
    <t>62,93</t>
  </si>
  <si>
    <t>60,01</t>
  </si>
  <si>
    <t>76,77</t>
  </si>
  <si>
    <t>Gecina S.A.</t>
  </si>
  <si>
    <t>92,52 / 92,52</t>
  </si>
  <si>
    <t>91,05 / 92,77</t>
  </si>
  <si>
    <t>91,35</t>
  </si>
  <si>
    <t>Orpar S.A.</t>
  </si>
  <si>
    <t>101,27 / 101,27</t>
  </si>
  <si>
    <t>96,045 / 103,355</t>
  </si>
  <si>
    <t>24.10.2023</t>
  </si>
  <si>
    <t>SATA Air Acores - Sociedade Acoriana de Transportes Aereos S.A.</t>
  </si>
  <si>
    <t>99,132 / 99,132</t>
  </si>
  <si>
    <t>97,138 / 99,384</t>
  </si>
  <si>
    <t>15.01.2019</t>
  </si>
  <si>
    <t>106,48</t>
  </si>
  <si>
    <t>541.141.000</t>
  </si>
  <si>
    <t>98,27 / 98,27</t>
  </si>
  <si>
    <t>98,07 / 99,07</t>
  </si>
  <si>
    <t>1.035.000.000</t>
  </si>
  <si>
    <t>89,89 / 90,17</t>
  </si>
  <si>
    <t>87,89 / 99,11</t>
  </si>
  <si>
    <t>16.09.2010</t>
  </si>
  <si>
    <t>81,42</t>
  </si>
  <si>
    <t>121,22</t>
  </si>
  <si>
    <t>85,52 / 86,09</t>
  </si>
  <si>
    <t>83,57 / 96,09</t>
  </si>
  <si>
    <t>18.08.2022</t>
  </si>
  <si>
    <t>83,57</t>
  </si>
  <si>
    <t>92,39</t>
  </si>
  <si>
    <t>0.11 / 0.12%</t>
  </si>
  <si>
    <t>92,39 / 92,39</t>
  </si>
  <si>
    <t>91,24 / 95,94</t>
  </si>
  <si>
    <t>01.04.2018</t>
  </si>
  <si>
    <t>88,78</t>
  </si>
  <si>
    <t>Marathon Petroleum Corp.</t>
  </si>
  <si>
    <t>0.25 / 0.25%</t>
  </si>
  <si>
    <t>100,00 / 100,16</t>
  </si>
  <si>
    <t>97,82 / 103,48</t>
  </si>
  <si>
    <t>26.08.2024</t>
  </si>
  <si>
    <t>AstraZeneca Finance LLC</t>
  </si>
  <si>
    <t>86,64 / 86,64</t>
  </si>
  <si>
    <t>83,15 / 89,29</t>
  </si>
  <si>
    <t>15.07.2020</t>
  </si>
  <si>
    <t>22.05.2020</t>
  </si>
  <si>
    <t>85,75</t>
  </si>
  <si>
    <t>77,97</t>
  </si>
  <si>
    <t>86,83</t>
  </si>
  <si>
    <t>88,14</t>
  </si>
  <si>
    <t>89,29</t>
  </si>
  <si>
    <t>Avalonbay Communities Inc.</t>
  </si>
  <si>
    <t>88,03 / 88,03</t>
  </si>
  <si>
    <t>82,99 / 90,92</t>
  </si>
  <si>
    <t>23.09.2020</t>
  </si>
  <si>
    <t>82,99</t>
  </si>
  <si>
    <t>74,27</t>
  </si>
  <si>
    <t>68,50</t>
  </si>
  <si>
    <t>89,11</t>
  </si>
  <si>
    <t>90,92</t>
  </si>
  <si>
    <t>97,40 / 97,49</t>
  </si>
  <si>
    <t>94,94 / 98,74</t>
  </si>
  <si>
    <t>15.09.2017</t>
  </si>
  <si>
    <t>28.03.2017</t>
  </si>
  <si>
    <t>92,65</t>
  </si>
  <si>
    <t>92,40</t>
  </si>
  <si>
    <t>BlackRock Finance Inc.</t>
  </si>
  <si>
    <t>93,57</t>
  </si>
  <si>
    <t>0.28 / 0.30%</t>
  </si>
  <si>
    <t>93,32 / 93,57</t>
  </si>
  <si>
    <t>90,70 / 98,87</t>
  </si>
  <si>
    <t>28.07.2022</t>
  </si>
  <si>
    <t>92,13</t>
  </si>
  <si>
    <t>102,01</t>
  </si>
  <si>
    <t>CSX Corp.</t>
  </si>
  <si>
    <t>950.000.000</t>
  </si>
  <si>
    <t>0.57 / 0.63%</t>
  </si>
  <si>
    <t>91,00 / 91,34</t>
  </si>
  <si>
    <t>89,12 / 99,08</t>
  </si>
  <si>
    <t>20.01.2016</t>
  </si>
  <si>
    <t>20.07.2015</t>
  </si>
  <si>
    <t>89,12</t>
  </si>
  <si>
    <t>85,19</t>
  </si>
  <si>
    <t>95,43</t>
  </si>
  <si>
    <t>118,27</t>
  </si>
  <si>
    <t>CVS Health Corp.</t>
  </si>
  <si>
    <t>652.220.000</t>
  </si>
  <si>
    <t>100,79 / 100,79</t>
  </si>
  <si>
    <t>98,90 / 107,34</t>
  </si>
  <si>
    <t>14.05.2024</t>
  </si>
  <si>
    <t>103,89</t>
  </si>
  <si>
    <t>107,34</t>
  </si>
  <si>
    <t>109,12</t>
  </si>
  <si>
    <t>Kolumbien, Republik</t>
  </si>
  <si>
    <t>1.900.000.000</t>
  </si>
  <si>
    <t>96,99 / 102,25</t>
  </si>
  <si>
    <t>Constellation Brands Inc.</t>
  </si>
  <si>
    <t>100,69 / 100,82</t>
  </si>
  <si>
    <t>98,74 / 104,60</t>
  </si>
  <si>
    <t>20.03.2019</t>
  </si>
  <si>
    <t>102,33</t>
  </si>
  <si>
    <t>104,60</t>
  </si>
  <si>
    <t>Dell International LLC/EMC Corp.</t>
  </si>
  <si>
    <t>1.744.490.000</t>
  </si>
  <si>
    <t>75,23</t>
  </si>
  <si>
    <t>0.13 / 0.17%</t>
  </si>
  <si>
    <t>75,13 / 75,41</t>
  </si>
  <si>
    <t>73,21 / 83,16</t>
  </si>
  <si>
    <t>73,21</t>
  </si>
  <si>
    <t>67,50</t>
  </si>
  <si>
    <t>76,23</t>
  </si>
  <si>
    <t>80,26</t>
  </si>
  <si>
    <t>Diamondback Energy Inc.</t>
  </si>
  <si>
    <t>99,26 / 99,26</t>
  </si>
  <si>
    <t>97,09 / 105,44</t>
  </si>
  <si>
    <t>Duke Energy Indiana LLC</t>
  </si>
  <si>
    <t>102,00 / 102,00</t>
  </si>
  <si>
    <t>101,26 / 105,01</t>
  </si>
  <si>
    <t>15.08.1996</t>
  </si>
  <si>
    <t>26.02.1996</t>
  </si>
  <si>
    <t>104,70</t>
  </si>
  <si>
    <t>105,80</t>
  </si>
  <si>
    <t>118,46</t>
  </si>
  <si>
    <t>Swiss Re America Holding Corp.</t>
  </si>
  <si>
    <t>97,41 / 97,41</t>
  </si>
  <si>
    <t>96,54 / 99,50</t>
  </si>
  <si>
    <t>81,56</t>
  </si>
  <si>
    <t>0.36 / 0.44%</t>
  </si>
  <si>
    <t>81,44 / 81,59</t>
  </si>
  <si>
    <t>79,88 / 100,90</t>
  </si>
  <si>
    <t>31.07.2016</t>
  </si>
  <si>
    <t>24.11.2015</t>
  </si>
  <si>
    <t>79,88</t>
  </si>
  <si>
    <t>84,93</t>
  </si>
  <si>
    <t>105,02</t>
  </si>
  <si>
    <t>132,61</t>
  </si>
  <si>
    <t>Grupo Televisa S.A.B. de C.V.</t>
  </si>
  <si>
    <t>0.215 / 0.24%</t>
  </si>
  <si>
    <t>89,995 / 90,175</t>
  </si>
  <si>
    <t>85,05 / 92,93</t>
  </si>
  <si>
    <t>20.08.2020</t>
  </si>
  <si>
    <t>76,14</t>
  </si>
  <si>
    <t>90,41</t>
  </si>
  <si>
    <t>92,93</t>
  </si>
  <si>
    <t>Host Hotels &amp; Resorts L.P.</t>
  </si>
  <si>
    <t>0.25 / 0.26%</t>
  </si>
  <si>
    <t>97,575 / 97,815</t>
  </si>
  <si>
    <t>95,80 / 99,75</t>
  </si>
  <si>
    <t>0.48 / 0.83%</t>
  </si>
  <si>
    <t>58,30 / 58,59</t>
  </si>
  <si>
    <t>56,19 / 67,74</t>
  </si>
  <si>
    <t>29.05.2022</t>
  </si>
  <si>
    <t>29.11.2021</t>
  </si>
  <si>
    <t>56,19</t>
  </si>
  <si>
    <t>52,68</t>
  </si>
  <si>
    <t>48,87</t>
  </si>
  <si>
    <t>59,09</t>
  </si>
  <si>
    <t>67,74</t>
  </si>
  <si>
    <t>69,20</t>
  </si>
  <si>
    <t>Moody's Corp.</t>
  </si>
  <si>
    <t>101,06 / 101,06</t>
  </si>
  <si>
    <t>98,58 / 104,94</t>
  </si>
  <si>
    <t>104,94</t>
  </si>
  <si>
    <t>Nextera Energy Capital Holdings Inc.</t>
  </si>
  <si>
    <t>0.024 / 0.02%</t>
  </si>
  <si>
    <t>100,118 / 100,455</t>
  </si>
  <si>
    <t>99,772 / 103,26</t>
  </si>
  <si>
    <t>21.01.2006</t>
  </si>
  <si>
    <t>19.07.2005</t>
  </si>
  <si>
    <t>105,90</t>
  </si>
  <si>
    <t>Peru, Republik</t>
  </si>
  <si>
    <t>1.792.780.000</t>
  </si>
  <si>
    <t>0.41 / 0.53%</t>
  </si>
  <si>
    <t>77,23 / 77,95</t>
  </si>
  <si>
    <t>75,63 / 88,36</t>
  </si>
  <si>
    <t>75,63</t>
  </si>
  <si>
    <t>78,79</t>
  </si>
  <si>
    <t>88,36</t>
  </si>
  <si>
    <t>117,18</t>
  </si>
  <si>
    <t>96,96 / 96,96</t>
  </si>
  <si>
    <t>94,49 / 108,50</t>
  </si>
  <si>
    <t>11.06.2024</t>
  </si>
  <si>
    <t>104,73</t>
  </si>
  <si>
    <t>Puget Sound Energy Inc.</t>
  </si>
  <si>
    <t>89,15 / 89,67</t>
  </si>
  <si>
    <t>82,56 / 91,245</t>
  </si>
  <si>
    <t>20.11.2020</t>
  </si>
  <si>
    <t>14.08.2020</t>
  </si>
  <si>
    <t>82,43</t>
  </si>
  <si>
    <t>80,18</t>
  </si>
  <si>
    <t>89,67</t>
  </si>
  <si>
    <t>90,03</t>
  </si>
  <si>
    <t>QUALCOMM Inc.</t>
  </si>
  <si>
    <t>952.411.000</t>
  </si>
  <si>
    <t>85,30</t>
  </si>
  <si>
    <t>85,30 / 85,30</t>
  </si>
  <si>
    <t>83,77 / 96,21</t>
  </si>
  <si>
    <t>15.05.2014</t>
  </si>
  <si>
    <t>15.11.2013</t>
  </si>
  <si>
    <t>83,77</t>
  </si>
  <si>
    <t>79,85</t>
  </si>
  <si>
    <t>128,41</t>
  </si>
  <si>
    <t>41.994.786.900</t>
  </si>
  <si>
    <t>96,02 / 96,18</t>
  </si>
  <si>
    <t>95,275 / 99,94</t>
  </si>
  <si>
    <t>31.03.2025</t>
  </si>
  <si>
    <t>71.444.682.000</t>
  </si>
  <si>
    <t>98,15 / 98,22</t>
  </si>
  <si>
    <t>95,68 / 100,28</t>
  </si>
  <si>
    <t>01.12.2018</t>
  </si>
  <si>
    <t>01.06.2018</t>
  </si>
  <si>
    <t>95,68</t>
  </si>
  <si>
    <t>108,36</t>
  </si>
  <si>
    <t>Valero Energy Corporation</t>
  </si>
  <si>
    <t>83,50 / 83,50</t>
  </si>
  <si>
    <t>80,05 / 86,40</t>
  </si>
  <si>
    <t>03.10.2021</t>
  </si>
  <si>
    <t>75,47</t>
  </si>
  <si>
    <t>83,61</t>
  </si>
  <si>
    <t>85,06</t>
  </si>
  <si>
    <t>NTT Finance Corp.</t>
  </si>
  <si>
    <t>76,95</t>
  </si>
  <si>
    <t>0.37 / 0.48%</t>
  </si>
  <si>
    <t>76,56 / 76,95</t>
  </si>
  <si>
    <t>73,43 / 82,58</t>
  </si>
  <si>
    <t>75,16</t>
  </si>
  <si>
    <t>73,43</t>
  </si>
  <si>
    <t>61,13</t>
  </si>
  <si>
    <t>77,87</t>
  </si>
  <si>
    <t>80,03</t>
  </si>
  <si>
    <t>Broadcom Inc.</t>
  </si>
  <si>
    <t>61,52</t>
  </si>
  <si>
    <t>0.24 / 0.39%</t>
  </si>
  <si>
    <t>61,23 / 61,52</t>
  </si>
  <si>
    <t>58,52 / 69,80</t>
  </si>
  <si>
    <t>59,99</t>
  </si>
  <si>
    <t>58,52</t>
  </si>
  <si>
    <t>67,06</t>
  </si>
  <si>
    <t>71,16</t>
  </si>
  <si>
    <t>Hong Kong Special Administrative Region of the People's Republic of China</t>
  </si>
  <si>
    <t>101,28</t>
  </si>
  <si>
    <t>101,22 / 101,34</t>
  </si>
  <si>
    <t>99,29 / 102,76</t>
  </si>
  <si>
    <t>15.03.2008</t>
  </si>
  <si>
    <t>15.03.2007</t>
  </si>
  <si>
    <t>102,76</t>
  </si>
  <si>
    <t>117,01</t>
  </si>
  <si>
    <t>77,96 / 78,54</t>
  </si>
  <si>
    <t>75,83 / 83,56</t>
  </si>
  <si>
    <t>15.09.2015</t>
  </si>
  <si>
    <t>08.09.2014</t>
  </si>
  <si>
    <t>76,82</t>
  </si>
  <si>
    <t>75,83</t>
  </si>
  <si>
    <t>83,56</t>
  </si>
  <si>
    <t>125,90</t>
  </si>
  <si>
    <t>2.150.000.000</t>
  </si>
  <si>
    <t>99,96 / 99,96</t>
  </si>
  <si>
    <t>98,51 / 99,96</t>
  </si>
  <si>
    <t>06.02.2016</t>
  </si>
  <si>
    <t>06.02.2015</t>
  </si>
  <si>
    <t>Citigroup Global Markets Holdings Inc.</t>
  </si>
  <si>
    <t>98,05 / 98,07</t>
  </si>
  <si>
    <t>90,93 / 98,50</t>
  </si>
  <si>
    <t>19.07.2017</t>
  </si>
  <si>
    <t>90,93</t>
  </si>
  <si>
    <t>79,07</t>
  </si>
  <si>
    <t>77,44</t>
  </si>
  <si>
    <t>Aroundtown SA</t>
  </si>
  <si>
    <t>191.500.000</t>
  </si>
  <si>
    <t>98,74 / 98,80</t>
  </si>
  <si>
    <t>93,91 / 99,66</t>
  </si>
  <si>
    <t>08.08.2018</t>
  </si>
  <si>
    <t>China Cinda Finance [2017] I Ltd.</t>
  </si>
  <si>
    <t>91,09 / 91,09</t>
  </si>
  <si>
    <t>87,09 / 92,65</t>
  </si>
  <si>
    <t>05.11.2019</t>
  </si>
  <si>
    <t>05.11.2018</t>
  </si>
  <si>
    <t>81,96</t>
  </si>
  <si>
    <t>80,46</t>
  </si>
  <si>
    <t>Royal Schiphol Group N.V.</t>
  </si>
  <si>
    <t>97,52 / 97,69</t>
  </si>
  <si>
    <t>92,39 / 98,84</t>
  </si>
  <si>
    <t>02.05.2020</t>
  </si>
  <si>
    <t>02.05.2019</t>
  </si>
  <si>
    <t>82,87</t>
  </si>
  <si>
    <t>98,43</t>
  </si>
  <si>
    <t>108,82</t>
  </si>
  <si>
    <t>ASR Nederland N.V.</t>
  </si>
  <si>
    <t>86,96 / 87,32</t>
  </si>
  <si>
    <t>83,41 / 89,72</t>
  </si>
  <si>
    <t>02.07.2020</t>
  </si>
  <si>
    <t>02.07.2019</t>
  </si>
  <si>
    <t>83,41</t>
  </si>
  <si>
    <t>78,78</t>
  </si>
  <si>
    <t>Medtronic Global Holdings SCA</t>
  </si>
  <si>
    <t>87,715 / 88,355</t>
  </si>
  <si>
    <t>84,065 / 89,515</t>
  </si>
  <si>
    <t>87,56</t>
  </si>
  <si>
    <t>87,31</t>
  </si>
  <si>
    <t>80,13</t>
  </si>
  <si>
    <t>Atlas Copco Finance DAC</t>
  </si>
  <si>
    <t>85,46</t>
  </si>
  <si>
    <t>85,46 / 85,46</t>
  </si>
  <si>
    <t>81,88 / 87,34</t>
  </si>
  <si>
    <t>18.09.2019</t>
  </si>
  <si>
    <t>84,74</t>
  </si>
  <si>
    <t>81,88</t>
  </si>
  <si>
    <t>75,92</t>
  </si>
  <si>
    <t>DH Europe Finance II S.Ã  r.L.</t>
  </si>
  <si>
    <t>98,07 / 98,07</t>
  </si>
  <si>
    <t>94,23 / 98,07</t>
  </si>
  <si>
    <t>94,23</t>
  </si>
  <si>
    <t>89,34</t>
  </si>
  <si>
    <t>Shanghai Port Group [BVI] Development 2 Co. Ltd.</t>
  </si>
  <si>
    <t>99,879 / 99,955</t>
  </si>
  <si>
    <t>99,655 / 101,08</t>
  </si>
  <si>
    <t>30.07.2020</t>
  </si>
  <si>
    <t>Teva Pharmaceutical Finance Netherlands II B.V.</t>
  </si>
  <si>
    <t>61,22</t>
  </si>
  <si>
    <t>61,05 / 61,24</t>
  </si>
  <si>
    <t>58,94 / 67,63</t>
  </si>
  <si>
    <t>09.10.2021</t>
  </si>
  <si>
    <t>09.10.2020</t>
  </si>
  <si>
    <t>58,94</t>
  </si>
  <si>
    <t>51,35</t>
  </si>
  <si>
    <t>67,63</t>
  </si>
  <si>
    <t>96,41</t>
  </si>
  <si>
    <t>PepsiCo Inc.</t>
  </si>
  <si>
    <t>0.18 / 0.21%</t>
  </si>
  <si>
    <t>83,83 / 84,02</t>
  </si>
  <si>
    <t>77,50 / 84,33</t>
  </si>
  <si>
    <t>82,31</t>
  </si>
  <si>
    <t>79,74</t>
  </si>
  <si>
    <t>77,50</t>
  </si>
  <si>
    <t>69,10</t>
  </si>
  <si>
    <t>61,21</t>
  </si>
  <si>
    <t>84,33</t>
  </si>
  <si>
    <t>0.09 / 0.10%</t>
  </si>
  <si>
    <t>92,825 / 92,825</t>
  </si>
  <si>
    <t>89,84 / 94,28</t>
  </si>
  <si>
    <t>Bellis Finco PLC</t>
  </si>
  <si>
    <t>84,055 / 89,425</t>
  </si>
  <si>
    <t>79,30</t>
  </si>
  <si>
    <t>The Procter &amp; Gamble Co.</t>
  </si>
  <si>
    <t>105,73</t>
  </si>
  <si>
    <t>105,73 / 105,73</t>
  </si>
  <si>
    <t>103,30 / 107,57</t>
  </si>
  <si>
    <t>14.10.2023</t>
  </si>
  <si>
    <t>14.10.2022</t>
  </si>
  <si>
    <t>106,38</t>
  </si>
  <si>
    <t>107,57</t>
  </si>
  <si>
    <t>Banco Bilbao Vizcaya Argentaria S.A. (BBVA)</t>
  </si>
  <si>
    <t>100,88 / 100,91</t>
  </si>
  <si>
    <t>99,67 / 101,37</t>
  </si>
  <si>
    <t>26.01.2023</t>
  </si>
  <si>
    <t>Raiffeisen Bank International AG</t>
  </si>
  <si>
    <t>103,965 / 103,965</t>
  </si>
  <si>
    <t>101,20 / 105,53</t>
  </si>
  <si>
    <t>105,53</t>
  </si>
  <si>
    <t>99,771 / 100,271</t>
  </si>
  <si>
    <t>98,59 / 100,72</t>
  </si>
  <si>
    <t>08.09.2024</t>
  </si>
  <si>
    <t>Volvo Treasury AB</t>
  </si>
  <si>
    <t>101,07 / 101,23</t>
  </si>
  <si>
    <t>97,05 / 105,14</t>
  </si>
  <si>
    <t>Booking Holdings Inc.</t>
  </si>
  <si>
    <t>101,77 / 101,77</t>
  </si>
  <si>
    <t>99,73 / 102,39</t>
  </si>
  <si>
    <t>Sydbank AS</t>
  </si>
  <si>
    <t>30.09.2027</t>
  </si>
  <si>
    <t>Last_Price_time</t>
  </si>
  <si>
    <t>Entwicklung_1</t>
  </si>
  <si>
    <t>Entwicklung_2</t>
  </si>
  <si>
    <t>Entwicklung_3</t>
  </si>
  <si>
    <t>Tief_1</t>
  </si>
  <si>
    <t>Tief_2</t>
  </si>
  <si>
    <t>Tief_3</t>
  </si>
  <si>
    <t>Tief_4</t>
  </si>
  <si>
    <t>Tief_5</t>
  </si>
  <si>
    <t>Tief_6</t>
  </si>
  <si>
    <t>Hoch_1</t>
  </si>
  <si>
    <t>Hoch_2</t>
  </si>
  <si>
    <t>Hoch_3</t>
  </si>
  <si>
    <t>Hoch_4</t>
  </si>
  <si>
    <t>Hoch_5</t>
  </si>
  <si>
    <t>Hoch_6</t>
  </si>
  <si>
    <t>Entwicklung_4</t>
  </si>
  <si>
    <t>Entwicklung_5</t>
  </si>
  <si>
    <t>Emitters</t>
  </si>
  <si>
    <t>Unique Emitters</t>
  </si>
  <si>
    <t>Number of Bonds</t>
  </si>
  <si>
    <t>Sector</t>
  </si>
  <si>
    <t>Sector Overview</t>
  </si>
  <si>
    <t>Count of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</si>
</sst>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8" fillId="0" borderId="0" xfId="42"/>
    <xf numFmtId="0" fontId="0" fillId="33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5DAA7D-4E67-4FDE-9AA6-20D9F7BB6C9A}" name="Table1" displayName="Table1" ref="E1:G441" totalsRowShown="0">
  <autoFilter ref="E1:G441" xr:uid="{DD5DAA7D-4E67-4FDE-9AA6-20D9F7BB6C9A}"/>
  <sortState xmlns:xlrd2="http://schemas.microsoft.com/office/spreadsheetml/2017/richdata2" ref="E2:F441">
    <sortCondition descending="1" ref="F1:F441"/>
  </sortState>
  <tableColumns count="3">
    <tableColumn id="1" xr3:uid="{CFDAE0B8-35FE-4F36-9678-0A2886F04C2A}" name="Unique Emitters"/>
    <tableColumn id="2" xr3:uid="{25CBD42A-C7E5-4D40-89BA-ADD07C6E9D73}" name="Number of Bonds">
      <calculatedColumnFormula>COUNTIF($A$2:$A$1001,E2)</calculatedColumnFormula>
    </tableColumn>
    <tableColumn id="3" xr3:uid="{C01740EB-0BA6-49B6-A7A2-C9E006D44DCB}" name="Sector" dataDxfId="4">
      <calculatedColumnFormula>VLOOKUP(Table1[[#This Row],[Unique Emitters]],Cleaned!$AH$2:$AI$1001,2,FALSE)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C8CF0D-B0FD-4261-87D2-52186261A7CE}" name="Table2" displayName="Table2" ref="J1:K8" totalsRowShown="0" dataDxfId="1" tableBorderDxfId="3">
  <autoFilter ref="J1:K8" xr:uid="{EEC8CF0D-B0FD-4261-87D2-52186261A7CE}"/>
  <sortState xmlns:xlrd2="http://schemas.microsoft.com/office/spreadsheetml/2017/richdata2" ref="J2:K8">
    <sortCondition descending="1" ref="K1:K8"/>
  </sortState>
  <tableColumns count="2">
    <tableColumn id="1" xr3:uid="{5E0337A2-F022-4EAD-9076-DE5B8B1B9566}" name="Sector Overview" dataDxfId="2">
      <calculatedColumnFormula>VLOOKUP(Table1[[#This Row],[Unique Emitters]],Cleaned!$AH$2:$AI$1001,2,FALSE)</calculatedColumnFormula>
    </tableColumn>
    <tableColumn id="2" xr3:uid="{63450BF6-683A-42C6-89C9-7430BA55BE49}" name="Count of Sectors" dataDxfId="0">
      <calculatedColumnFormula>COUNTIFS(Cleaned!$AI$2:$AI$1001,Table2[[#This Row],[Sector Overview]])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84EDE6-51BF-4E5B-9BAB-F4538D4A2508}" name="Table4" displayName="Table4" ref="M1:N4" totalsRowShown="0">
  <autoFilter ref="M1:N4" xr:uid="{D084EDE6-51BF-4E5B-9BAB-F4538D4A2508}"/>
  <tableColumns count="2">
    <tableColumn id="1" xr3:uid="{A62DEEBD-A69A-48C4-AD32-29FD44BB5E35}" name="Sector Overview"/>
    <tableColumn id="2" xr3:uid="{7E29D2E0-D7C6-4BB7-AFCC-CD6735EA5ECF}" name="Count of Sect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erse-frankfurt.de/anleihe/de0001102374-deutschland-bundesrepublik-0-5-15-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B5EB-2F87-4D05-A063-EAA3C64F773D}">
  <dimension ref="A1:BC1001"/>
  <sheetViews>
    <sheetView topLeftCell="P976" workbookViewId="0">
      <selection activeCell="AH2" sqref="AH2:AH1001"/>
    </sheetView>
  </sheetViews>
  <sheetFormatPr defaultRowHeight="14.6" x14ac:dyDescent="0.4"/>
  <cols>
    <col min="6" max="6" width="21.69140625" customWidth="1"/>
    <col min="7" max="7" width="17.4609375" style="4" bestFit="1" customWidth="1"/>
    <col min="8" max="8" width="32.23046875" bestFit="1" customWidth="1"/>
    <col min="9" max="9" width="15.3828125" bestFit="1" customWidth="1"/>
    <col min="10" max="10" width="17.921875" bestFit="1" customWidth="1"/>
    <col min="11" max="11" width="12.3828125" bestFit="1" customWidth="1"/>
    <col min="37" max="37" width="32.84375" bestFit="1" customWidth="1"/>
    <col min="46" max="46" width="20.4609375" customWidth="1"/>
  </cols>
  <sheetData>
    <row r="1" spans="1:55" x14ac:dyDescent="0.4">
      <c r="A1" t="s">
        <v>7552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14</v>
      </c>
      <c r="H1" t="s">
        <v>17</v>
      </c>
      <c r="I1" t="s">
        <v>18</v>
      </c>
      <c r="J1" t="s">
        <v>20</v>
      </c>
      <c r="K1" t="s">
        <v>22</v>
      </c>
      <c r="L1" t="s">
        <v>24</v>
      </c>
      <c r="M1" t="s">
        <v>25</v>
      </c>
      <c r="N1" t="s">
        <v>27</v>
      </c>
      <c r="O1" t="s">
        <v>29</v>
      </c>
      <c r="P1" t="s">
        <v>7556</v>
      </c>
      <c r="Q1" t="s">
        <v>7557</v>
      </c>
      <c r="R1" t="s">
        <v>7558</v>
      </c>
      <c r="S1" t="s">
        <v>7559</v>
      </c>
      <c r="T1" t="s">
        <v>7560</v>
      </c>
      <c r="U1" t="s">
        <v>7561</v>
      </c>
      <c r="V1" t="s">
        <v>7562</v>
      </c>
      <c r="W1" t="s">
        <v>7563</v>
      </c>
      <c r="X1" t="s">
        <v>7564</v>
      </c>
      <c r="Y1" t="s">
        <v>7565</v>
      </c>
      <c r="Z1" t="s">
        <v>7566</v>
      </c>
      <c r="AA1" t="s">
        <v>7567</v>
      </c>
      <c r="AB1" t="s">
        <v>7553</v>
      </c>
      <c r="AC1" t="s">
        <v>7554</v>
      </c>
      <c r="AD1" t="s">
        <v>7555</v>
      </c>
      <c r="AE1" t="s">
        <v>7555</v>
      </c>
      <c r="AF1" t="s">
        <v>7568</v>
      </c>
      <c r="AG1" t="s">
        <v>7569</v>
      </c>
      <c r="AH1" t="s">
        <v>33</v>
      </c>
      <c r="AI1" t="s">
        <v>35</v>
      </c>
      <c r="AJ1" t="s">
        <v>37</v>
      </c>
      <c r="AK1" t="s">
        <v>39</v>
      </c>
      <c r="AL1" t="s">
        <v>40</v>
      </c>
      <c r="AM1" t="s">
        <v>5</v>
      </c>
      <c r="AN1" t="s">
        <v>6</v>
      </c>
      <c r="AO1" t="s">
        <v>43</v>
      </c>
      <c r="AP1" t="s">
        <v>44</v>
      </c>
      <c r="AQ1" t="s">
        <v>46</v>
      </c>
      <c r="AR1" t="s">
        <v>47</v>
      </c>
      <c r="AS1" t="s">
        <v>49</v>
      </c>
      <c r="AT1" t="s">
        <v>50</v>
      </c>
      <c r="AU1" t="s">
        <v>52</v>
      </c>
      <c r="AV1" t="s">
        <v>54</v>
      </c>
      <c r="AW1" t="s">
        <v>55</v>
      </c>
      <c r="AX1" t="s">
        <v>56</v>
      </c>
      <c r="AY1" t="s">
        <v>57</v>
      </c>
      <c r="AZ1" t="s">
        <v>7</v>
      </c>
      <c r="BA1" t="s">
        <v>58</v>
      </c>
      <c r="BB1" t="s">
        <v>60</v>
      </c>
      <c r="BC1" t="s">
        <v>8</v>
      </c>
    </row>
    <row r="2" spans="1:55" x14ac:dyDescent="0.4">
      <c r="A2" t="s">
        <v>4746</v>
      </c>
      <c r="B2" t="s">
        <v>10</v>
      </c>
      <c r="C2" s="1">
        <v>99525</v>
      </c>
      <c r="D2" t="s">
        <v>11</v>
      </c>
      <c r="E2" s="2">
        <v>-2.9999999999999997E-4</v>
      </c>
      <c r="F2" t="s">
        <v>12</v>
      </c>
      <c r="G2" s="4">
        <f>-0.025 / -0.03%</f>
        <v>83.333333333333343</v>
      </c>
      <c r="H2" s="1">
        <v>99525</v>
      </c>
      <c r="I2" t="s">
        <v>5142</v>
      </c>
      <c r="J2" t="s">
        <v>5143</v>
      </c>
      <c r="K2" t="s">
        <v>23</v>
      </c>
      <c r="L2" s="2">
        <v>0.03</v>
      </c>
      <c r="M2" t="s">
        <v>1560</v>
      </c>
      <c r="N2" t="s">
        <v>28</v>
      </c>
      <c r="O2" t="s">
        <v>1561</v>
      </c>
      <c r="P2" t="s">
        <v>4662</v>
      </c>
      <c r="Q2" t="s">
        <v>4662</v>
      </c>
      <c r="R2" t="s">
        <v>1711</v>
      </c>
      <c r="S2" t="s">
        <v>1518</v>
      </c>
      <c r="T2" t="s">
        <v>652</v>
      </c>
      <c r="U2" t="s">
        <v>652</v>
      </c>
      <c r="V2" s="1">
        <v>99875</v>
      </c>
      <c r="W2" t="s">
        <v>919</v>
      </c>
      <c r="X2" t="s">
        <v>919</v>
      </c>
      <c r="Y2" t="s">
        <v>919</v>
      </c>
      <c r="Z2" t="s">
        <v>919</v>
      </c>
      <c r="AA2" t="s">
        <v>919</v>
      </c>
      <c r="AB2" s="2">
        <v>-3.5000000000000001E-3</v>
      </c>
      <c r="AC2" s="2">
        <v>-1.8E-3</v>
      </c>
      <c r="AD2" s="2">
        <v>1.5299999999999999E-2</v>
      </c>
      <c r="AE2" s="2">
        <v>1.72E-2</v>
      </c>
      <c r="AF2" s="2">
        <v>2.5399999999999999E-2</v>
      </c>
      <c r="AG2" s="2">
        <v>2E-3</v>
      </c>
      <c r="AH2" t="s">
        <v>5144</v>
      </c>
      <c r="AI2" t="s">
        <v>130</v>
      </c>
      <c r="AJ2" t="s">
        <v>131</v>
      </c>
      <c r="AK2" t="s">
        <v>40</v>
      </c>
      <c r="AL2">
        <v>100</v>
      </c>
      <c r="AM2" t="s">
        <v>41</v>
      </c>
      <c r="AN2" t="s">
        <v>42</v>
      </c>
      <c r="AO2" t="s">
        <v>1561</v>
      </c>
      <c r="AP2" t="s">
        <v>643</v>
      </c>
      <c r="AQ2" t="s">
        <v>643</v>
      </c>
      <c r="AR2" t="s">
        <v>48</v>
      </c>
      <c r="AS2" t="s">
        <v>48</v>
      </c>
    </row>
    <row r="3" spans="1:55" x14ac:dyDescent="0.4">
      <c r="A3" t="s">
        <v>4453</v>
      </c>
      <c r="B3" t="s">
        <v>10</v>
      </c>
      <c r="C3" t="s">
        <v>1369</v>
      </c>
      <c r="D3" t="s">
        <v>11</v>
      </c>
      <c r="E3" s="2">
        <v>-2.0000000000000001E-4</v>
      </c>
      <c r="F3" t="s">
        <v>1057</v>
      </c>
      <c r="G3" s="4">
        <f>-0.02 / -0.02%</f>
        <v>100</v>
      </c>
      <c r="H3" t="s">
        <v>1369</v>
      </c>
      <c r="I3" t="s">
        <v>6981</v>
      </c>
      <c r="J3" t="s">
        <v>6982</v>
      </c>
      <c r="K3" t="s">
        <v>23</v>
      </c>
      <c r="L3" s="2">
        <v>3.2500000000000001E-2</v>
      </c>
      <c r="M3" t="s">
        <v>805</v>
      </c>
      <c r="N3" t="s">
        <v>28</v>
      </c>
      <c r="O3" t="s">
        <v>1466</v>
      </c>
      <c r="P3" t="s">
        <v>6217</v>
      </c>
      <c r="Q3" t="s">
        <v>6217</v>
      </c>
      <c r="R3" t="s">
        <v>1482</v>
      </c>
      <c r="S3" t="s">
        <v>1204</v>
      </c>
      <c r="T3" t="s">
        <v>473</v>
      </c>
      <c r="U3" t="s">
        <v>473</v>
      </c>
      <c r="V3" t="s">
        <v>3781</v>
      </c>
      <c r="W3" t="s">
        <v>5352</v>
      </c>
      <c r="X3" t="s">
        <v>5352</v>
      </c>
      <c r="Y3" t="s">
        <v>5352</v>
      </c>
      <c r="Z3" t="s">
        <v>5352</v>
      </c>
      <c r="AA3" t="s">
        <v>5352</v>
      </c>
      <c r="AB3" s="2">
        <v>-2.3E-3</v>
      </c>
      <c r="AC3" s="2">
        <v>-3.3999999999999998E-3</v>
      </c>
      <c r="AD3" s="2">
        <v>6.7000000000000002E-3</v>
      </c>
      <c r="AE3" s="2">
        <v>2.5999999999999999E-3</v>
      </c>
      <c r="AF3" s="2">
        <v>8.6999999999999994E-3</v>
      </c>
      <c r="AG3" s="2">
        <v>8.6999999999999994E-3</v>
      </c>
      <c r="AH3" t="s">
        <v>6983</v>
      </c>
      <c r="AI3" t="s">
        <v>130</v>
      </c>
      <c r="AJ3" t="s">
        <v>131</v>
      </c>
      <c r="AK3" t="s">
        <v>40</v>
      </c>
      <c r="AL3">
        <v>100</v>
      </c>
      <c r="AM3" t="s">
        <v>41</v>
      </c>
      <c r="AN3" t="s">
        <v>42</v>
      </c>
      <c r="AO3" t="s">
        <v>1466</v>
      </c>
      <c r="AP3" t="s">
        <v>193</v>
      </c>
      <c r="AQ3" t="s">
        <v>193</v>
      </c>
      <c r="AR3" t="s">
        <v>48</v>
      </c>
      <c r="AS3" t="s">
        <v>48</v>
      </c>
    </row>
    <row r="4" spans="1:55" x14ac:dyDescent="0.4">
      <c r="A4" t="s">
        <v>288</v>
      </c>
      <c r="B4" t="s">
        <v>10</v>
      </c>
      <c r="C4" s="1">
        <v>98245</v>
      </c>
      <c r="D4" t="s">
        <v>11</v>
      </c>
      <c r="E4" s="2">
        <v>-8.9999999999999998E-4</v>
      </c>
      <c r="F4" t="s">
        <v>12</v>
      </c>
      <c r="G4" s="4">
        <f>-0.09 / -0.09%</f>
        <v>100</v>
      </c>
      <c r="H4" s="1">
        <v>98245</v>
      </c>
      <c r="I4" t="s">
        <v>6968</v>
      </c>
      <c r="J4" t="s">
        <v>6969</v>
      </c>
      <c r="K4" t="s">
        <v>23</v>
      </c>
      <c r="L4" s="2">
        <v>2.375E-2</v>
      </c>
      <c r="M4" t="s">
        <v>2903</v>
      </c>
      <c r="N4" t="s">
        <v>28</v>
      </c>
      <c r="O4" t="s">
        <v>6970</v>
      </c>
      <c r="P4" s="1">
        <v>97985</v>
      </c>
      <c r="Q4" s="1">
        <v>97985</v>
      </c>
      <c r="R4" s="1">
        <v>97425</v>
      </c>
      <c r="S4" t="s">
        <v>1253</v>
      </c>
      <c r="T4" s="1">
        <v>91325</v>
      </c>
      <c r="U4" s="1">
        <v>90975</v>
      </c>
      <c r="V4" t="s">
        <v>256</v>
      </c>
      <c r="W4" t="s">
        <v>2893</v>
      </c>
      <c r="X4" t="s">
        <v>2893</v>
      </c>
      <c r="Y4" t="s">
        <v>2893</v>
      </c>
      <c r="Z4" t="s">
        <v>2893</v>
      </c>
      <c r="AA4" t="s">
        <v>336</v>
      </c>
      <c r="AB4" s="2">
        <v>-2.7000000000000001E-3</v>
      </c>
      <c r="AC4" s="2">
        <v>-1.0800000000000001E-2</v>
      </c>
      <c r="AD4" s="2">
        <v>5.3E-3</v>
      </c>
      <c r="AE4" s="2">
        <v>1.9900000000000001E-2</v>
      </c>
      <c r="AF4" s="2">
        <v>3.3700000000000001E-2</v>
      </c>
      <c r="AG4" s="2">
        <v>-1.44E-2</v>
      </c>
      <c r="AH4" t="s">
        <v>6971</v>
      </c>
      <c r="AI4" t="s">
        <v>130</v>
      </c>
      <c r="AJ4" t="s">
        <v>131</v>
      </c>
      <c r="AK4" t="s">
        <v>40</v>
      </c>
      <c r="AL4">
        <v>100</v>
      </c>
      <c r="AM4" t="s">
        <v>41</v>
      </c>
      <c r="AN4" t="s">
        <v>42</v>
      </c>
      <c r="AO4" t="s">
        <v>6970</v>
      </c>
      <c r="AP4" t="s">
        <v>357</v>
      </c>
      <c r="AQ4" t="s">
        <v>357</v>
      </c>
      <c r="AR4" t="s">
        <v>48</v>
      </c>
      <c r="AS4" t="s">
        <v>48</v>
      </c>
      <c r="BB4" t="s">
        <v>61</v>
      </c>
    </row>
    <row r="5" spans="1:55" x14ac:dyDescent="0.4">
      <c r="A5" t="s">
        <v>288</v>
      </c>
      <c r="B5" t="s">
        <v>10</v>
      </c>
      <c r="C5" t="s">
        <v>1538</v>
      </c>
      <c r="D5" t="s">
        <v>11</v>
      </c>
      <c r="E5" s="2">
        <v>5.0000000000000001E-4</v>
      </c>
      <c r="F5" t="s">
        <v>12</v>
      </c>
      <c r="G5" s="4" t="s">
        <v>565</v>
      </c>
      <c r="H5" t="s">
        <v>1538</v>
      </c>
      <c r="I5" t="s">
        <v>1539</v>
      </c>
      <c r="J5" t="s">
        <v>1540</v>
      </c>
      <c r="K5" t="s">
        <v>23</v>
      </c>
      <c r="L5" s="2">
        <v>7.7499999999999999E-2</v>
      </c>
      <c r="M5" t="s">
        <v>1541</v>
      </c>
      <c r="N5" t="s">
        <v>121</v>
      </c>
      <c r="O5" t="s">
        <v>1542</v>
      </c>
      <c r="P5" t="s">
        <v>110</v>
      </c>
      <c r="Q5" t="s">
        <v>1543</v>
      </c>
      <c r="R5" t="s">
        <v>1543</v>
      </c>
      <c r="S5" t="s">
        <v>1543</v>
      </c>
      <c r="T5" t="s">
        <v>1543</v>
      </c>
      <c r="U5" t="s">
        <v>1543</v>
      </c>
      <c r="V5" t="s">
        <v>1033</v>
      </c>
      <c r="W5" t="s">
        <v>1033</v>
      </c>
      <c r="X5" t="s">
        <v>1544</v>
      </c>
      <c r="Y5" t="s">
        <v>988</v>
      </c>
      <c r="Z5" t="s">
        <v>988</v>
      </c>
      <c r="AA5" t="s">
        <v>988</v>
      </c>
      <c r="AB5" s="2">
        <v>1.9E-2</v>
      </c>
      <c r="AC5" s="2">
        <v>9.1000000000000004E-3</v>
      </c>
      <c r="AD5" s="2">
        <v>-2.3900000000000001E-2</v>
      </c>
      <c r="AE5" s="2">
        <v>0.02</v>
      </c>
      <c r="AF5" s="2">
        <v>0.02</v>
      </c>
      <c r="AG5" s="2">
        <v>0.02</v>
      </c>
      <c r="AH5" t="s">
        <v>1545</v>
      </c>
      <c r="AI5" t="s">
        <v>232</v>
      </c>
      <c r="AJ5" t="s">
        <v>131</v>
      </c>
      <c r="AK5" t="s">
        <v>40</v>
      </c>
      <c r="AL5">
        <v>1</v>
      </c>
      <c r="AM5" t="s">
        <v>41</v>
      </c>
      <c r="AN5" t="s">
        <v>42</v>
      </c>
      <c r="AO5" t="s">
        <v>1542</v>
      </c>
      <c r="AP5" t="s">
        <v>1546</v>
      </c>
      <c r="AQ5">
        <v>1</v>
      </c>
      <c r="BA5" t="s">
        <v>136</v>
      </c>
      <c r="BB5" t="s">
        <v>61</v>
      </c>
    </row>
    <row r="6" spans="1:55" x14ac:dyDescent="0.4">
      <c r="A6" t="s">
        <v>740</v>
      </c>
      <c r="B6" t="s">
        <v>10</v>
      </c>
      <c r="C6" s="1">
        <v>75077</v>
      </c>
      <c r="D6" t="s">
        <v>11</v>
      </c>
      <c r="E6" s="2">
        <v>-4.0000000000000002E-4</v>
      </c>
      <c r="F6" t="s">
        <v>12</v>
      </c>
      <c r="G6" s="4">
        <f>-0.031 / -0.04%</f>
        <v>77.5</v>
      </c>
      <c r="H6" s="1">
        <v>75077</v>
      </c>
      <c r="I6" t="s">
        <v>5497</v>
      </c>
      <c r="J6" t="s">
        <v>5498</v>
      </c>
      <c r="K6" t="s">
        <v>23</v>
      </c>
      <c r="L6" s="2">
        <v>1.4250000000000001E-2</v>
      </c>
      <c r="M6" t="s">
        <v>5499</v>
      </c>
      <c r="N6" t="s">
        <v>28</v>
      </c>
      <c r="O6" t="s">
        <v>5500</v>
      </c>
      <c r="P6" t="s">
        <v>5501</v>
      </c>
      <c r="Q6" t="s">
        <v>5501</v>
      </c>
      <c r="R6" s="1">
        <v>66291</v>
      </c>
      <c r="S6" s="1">
        <v>66291</v>
      </c>
      <c r="T6" t="s">
        <v>5502</v>
      </c>
      <c r="U6" t="s">
        <v>5502</v>
      </c>
      <c r="V6" s="1">
        <v>75317</v>
      </c>
      <c r="W6" s="1">
        <v>75581</v>
      </c>
      <c r="X6" s="1">
        <v>75581</v>
      </c>
      <c r="Y6" s="1">
        <v>75581</v>
      </c>
      <c r="Z6" t="s">
        <v>5503</v>
      </c>
      <c r="AA6" t="s">
        <v>5290</v>
      </c>
      <c r="AB6" s="2">
        <v>4.4499999999999998E-2</v>
      </c>
      <c r="AC6" s="2">
        <v>8.2000000000000007E-3</v>
      </c>
      <c r="AD6" s="2">
        <v>4.5600000000000002E-2</v>
      </c>
      <c r="AE6" s="2">
        <v>8.0199999999999994E-2</v>
      </c>
      <c r="AF6" s="2">
        <v>1E-3</v>
      </c>
      <c r="AG6" s="2">
        <v>-0.21490000000000001</v>
      </c>
      <c r="AH6" t="s">
        <v>5504</v>
      </c>
      <c r="AI6" t="s">
        <v>130</v>
      </c>
      <c r="AJ6" t="s">
        <v>131</v>
      </c>
      <c r="AK6" t="s">
        <v>40</v>
      </c>
      <c r="AL6">
        <v>5</v>
      </c>
      <c r="AM6" t="s">
        <v>41</v>
      </c>
      <c r="AN6" t="s">
        <v>42</v>
      </c>
      <c r="AO6" t="s">
        <v>5500</v>
      </c>
      <c r="AP6" t="s">
        <v>643</v>
      </c>
      <c r="AQ6">
        <v>5</v>
      </c>
      <c r="BA6" t="s">
        <v>174</v>
      </c>
      <c r="BB6" t="s">
        <v>61</v>
      </c>
    </row>
    <row r="7" spans="1:55" x14ac:dyDescent="0.4">
      <c r="A7" t="s">
        <v>76</v>
      </c>
      <c r="B7" t="s">
        <v>10</v>
      </c>
      <c r="C7" t="s">
        <v>6953</v>
      </c>
      <c r="D7" t="s">
        <v>11</v>
      </c>
      <c r="E7" s="2">
        <v>4.7E-2</v>
      </c>
      <c r="F7" t="s">
        <v>12</v>
      </c>
      <c r="G7" s="4" t="s">
        <v>6954</v>
      </c>
      <c r="H7" t="s">
        <v>6953</v>
      </c>
      <c r="I7" t="s">
        <v>6955</v>
      </c>
      <c r="J7" t="s">
        <v>6956</v>
      </c>
      <c r="K7" t="s">
        <v>23</v>
      </c>
      <c r="N7" t="s">
        <v>1142</v>
      </c>
      <c r="O7" t="s">
        <v>4968</v>
      </c>
      <c r="P7" t="s">
        <v>6957</v>
      </c>
      <c r="Q7" t="s">
        <v>6957</v>
      </c>
      <c r="R7" t="s">
        <v>6957</v>
      </c>
      <c r="S7" t="s">
        <v>6958</v>
      </c>
      <c r="T7" t="s">
        <v>6958</v>
      </c>
      <c r="U7" t="s">
        <v>6958</v>
      </c>
      <c r="V7" t="s">
        <v>6953</v>
      </c>
      <c r="W7" t="s">
        <v>6959</v>
      </c>
      <c r="X7" t="s">
        <v>6960</v>
      </c>
      <c r="Y7" t="s">
        <v>6960</v>
      </c>
      <c r="Z7" t="s">
        <v>6961</v>
      </c>
      <c r="AA7" t="s">
        <v>6962</v>
      </c>
      <c r="AB7" s="2">
        <v>5.1799999999999999E-2</v>
      </c>
      <c r="AC7" s="2">
        <v>6.9800000000000001E-2</v>
      </c>
      <c r="AD7" s="2">
        <v>-8.6E-3</v>
      </c>
      <c r="AE7" s="2">
        <v>-4.9599999999999998E-2</v>
      </c>
      <c r="AF7" s="2">
        <v>-0.31069999999999998</v>
      </c>
      <c r="AG7" s="2">
        <v>-0.16869999999999999</v>
      </c>
      <c r="AH7" t="s">
        <v>5057</v>
      </c>
      <c r="AI7" t="s">
        <v>130</v>
      </c>
      <c r="AJ7" t="s">
        <v>131</v>
      </c>
      <c r="AK7" t="s">
        <v>40</v>
      </c>
      <c r="AL7" t="s">
        <v>6666</v>
      </c>
      <c r="AM7" t="s">
        <v>41</v>
      </c>
      <c r="AN7" t="s">
        <v>42</v>
      </c>
      <c r="AO7" t="s">
        <v>6963</v>
      </c>
      <c r="AP7" t="s">
        <v>814</v>
      </c>
      <c r="AQ7" t="s">
        <v>814</v>
      </c>
      <c r="BA7" t="s">
        <v>59</v>
      </c>
      <c r="BB7" t="s">
        <v>61</v>
      </c>
    </row>
    <row r="8" spans="1:55" x14ac:dyDescent="0.4">
      <c r="A8" t="s">
        <v>9</v>
      </c>
      <c r="B8" t="s">
        <v>10</v>
      </c>
      <c r="C8" t="s">
        <v>5044</v>
      </c>
      <c r="D8" t="s">
        <v>11</v>
      </c>
      <c r="E8" s="2">
        <v>9.4999999999999998E-3</v>
      </c>
      <c r="F8" t="s">
        <v>12</v>
      </c>
      <c r="G8" s="4" t="s">
        <v>5045</v>
      </c>
      <c r="H8" t="s">
        <v>5044</v>
      </c>
      <c r="I8" t="s">
        <v>5046</v>
      </c>
      <c r="J8" t="s">
        <v>5047</v>
      </c>
      <c r="K8" t="s">
        <v>23</v>
      </c>
      <c r="N8" t="s">
        <v>1142</v>
      </c>
      <c r="O8" t="s">
        <v>5048</v>
      </c>
      <c r="P8" t="s">
        <v>5049</v>
      </c>
      <c r="Q8" t="s">
        <v>5049</v>
      </c>
      <c r="R8" t="s">
        <v>5050</v>
      </c>
      <c r="S8" t="s">
        <v>5051</v>
      </c>
      <c r="T8" t="s">
        <v>5051</v>
      </c>
      <c r="U8" t="s">
        <v>5051</v>
      </c>
      <c r="V8" t="s">
        <v>3803</v>
      </c>
      <c r="W8" t="s">
        <v>5052</v>
      </c>
      <c r="X8" t="s">
        <v>5053</v>
      </c>
      <c r="Y8" t="s">
        <v>5054</v>
      </c>
      <c r="Z8" t="s">
        <v>5055</v>
      </c>
      <c r="AA8" t="s">
        <v>5056</v>
      </c>
      <c r="AB8" s="2">
        <v>2.2100000000000002E-2</v>
      </c>
      <c r="AC8" s="2">
        <v>2.63E-2</v>
      </c>
      <c r="AD8" s="2">
        <v>-1.2999999999999999E-3</v>
      </c>
      <c r="AE8" s="2">
        <v>-0.1231</v>
      </c>
      <c r="AF8" s="2">
        <v>-0.3866</v>
      </c>
      <c r="AG8" s="2">
        <v>-0.29160000000000003</v>
      </c>
      <c r="AH8" t="s">
        <v>5057</v>
      </c>
      <c r="AI8" t="s">
        <v>130</v>
      </c>
      <c r="AJ8" t="s">
        <v>131</v>
      </c>
      <c r="AK8" t="s">
        <v>40</v>
      </c>
      <c r="AL8">
        <v>100</v>
      </c>
      <c r="AM8" t="s">
        <v>41</v>
      </c>
      <c r="AN8" t="s">
        <v>42</v>
      </c>
      <c r="AO8" t="s">
        <v>5058</v>
      </c>
      <c r="AP8" t="s">
        <v>814</v>
      </c>
      <c r="AQ8" t="s">
        <v>814</v>
      </c>
      <c r="BA8" t="s">
        <v>59</v>
      </c>
      <c r="BB8" t="s">
        <v>61</v>
      </c>
    </row>
    <row r="9" spans="1:55" x14ac:dyDescent="0.4">
      <c r="A9" t="s">
        <v>288</v>
      </c>
      <c r="B9" t="s">
        <v>10</v>
      </c>
      <c r="C9" t="s">
        <v>665</v>
      </c>
      <c r="D9" t="s">
        <v>11</v>
      </c>
      <c r="E9" s="2">
        <v>-8.0000000000000004E-4</v>
      </c>
      <c r="F9" t="s">
        <v>12</v>
      </c>
      <c r="G9" s="4">
        <f>-0.08 / -0.08%</f>
        <v>100</v>
      </c>
      <c r="H9" t="s">
        <v>665</v>
      </c>
      <c r="I9" t="s">
        <v>5719</v>
      </c>
      <c r="J9" t="s">
        <v>5720</v>
      </c>
      <c r="K9" t="s">
        <v>23</v>
      </c>
      <c r="L9" s="2">
        <v>1.25E-3</v>
      </c>
      <c r="M9" t="s">
        <v>5721</v>
      </c>
      <c r="N9" t="s">
        <v>28</v>
      </c>
      <c r="O9" t="s">
        <v>5722</v>
      </c>
      <c r="P9" t="s">
        <v>1101</v>
      </c>
      <c r="Q9" t="s">
        <v>897</v>
      </c>
      <c r="R9" s="1">
        <v>94025</v>
      </c>
      <c r="S9" s="1">
        <v>92635</v>
      </c>
      <c r="T9" s="1">
        <v>88655</v>
      </c>
      <c r="U9" s="1">
        <v>88655</v>
      </c>
      <c r="V9" t="s">
        <v>4907</v>
      </c>
      <c r="W9" t="s">
        <v>4907</v>
      </c>
      <c r="X9" t="s">
        <v>4907</v>
      </c>
      <c r="Y9" t="s">
        <v>4907</v>
      </c>
      <c r="Z9" t="s">
        <v>4907</v>
      </c>
      <c r="AA9" s="1">
        <v>100585</v>
      </c>
      <c r="AB9" s="2">
        <v>-1.5E-3</v>
      </c>
      <c r="AC9" s="2">
        <v>2.0999999999999999E-3</v>
      </c>
      <c r="AD9" s="2">
        <v>2.12E-2</v>
      </c>
      <c r="AE9" s="2">
        <v>3.2599999999999997E-2</v>
      </c>
      <c r="AF9" s="2">
        <v>6.3200000000000006E-2</v>
      </c>
      <c r="AG9" s="2">
        <v>-4.4299999999999999E-2</v>
      </c>
      <c r="AH9" t="s">
        <v>5057</v>
      </c>
      <c r="AI9" t="s">
        <v>130</v>
      </c>
      <c r="AJ9" t="s">
        <v>131</v>
      </c>
      <c r="AK9" t="s">
        <v>40</v>
      </c>
      <c r="AL9">
        <v>1</v>
      </c>
      <c r="AM9" t="s">
        <v>41</v>
      </c>
      <c r="AN9" t="s">
        <v>42</v>
      </c>
      <c r="AO9" t="s">
        <v>5722</v>
      </c>
      <c r="AP9" t="s">
        <v>357</v>
      </c>
      <c r="AQ9" t="s">
        <v>357</v>
      </c>
      <c r="AR9" t="s">
        <v>48</v>
      </c>
      <c r="AS9" t="s">
        <v>48</v>
      </c>
    </row>
    <row r="10" spans="1:55" x14ac:dyDescent="0.4">
      <c r="A10" t="s">
        <v>4462</v>
      </c>
      <c r="B10" t="s">
        <v>10</v>
      </c>
      <c r="C10" t="s">
        <v>1730</v>
      </c>
      <c r="D10" t="s">
        <v>11</v>
      </c>
      <c r="E10" s="2">
        <v>1.2999999999999999E-3</v>
      </c>
      <c r="F10" t="s">
        <v>1057</v>
      </c>
      <c r="G10" s="4" t="s">
        <v>4801</v>
      </c>
      <c r="H10" t="s">
        <v>1730</v>
      </c>
      <c r="I10" t="s">
        <v>4802</v>
      </c>
      <c r="J10" t="s">
        <v>4803</v>
      </c>
      <c r="K10" t="s">
        <v>23</v>
      </c>
      <c r="L10" s="2">
        <v>2.1000000000000001E-2</v>
      </c>
      <c r="M10" t="s">
        <v>4804</v>
      </c>
      <c r="N10" t="s">
        <v>121</v>
      </c>
      <c r="O10" t="s">
        <v>4805</v>
      </c>
      <c r="P10" t="s">
        <v>2953</v>
      </c>
      <c r="Q10" t="s">
        <v>2953</v>
      </c>
      <c r="R10" t="s">
        <v>2232</v>
      </c>
      <c r="S10" t="s">
        <v>1323</v>
      </c>
      <c r="T10" t="s">
        <v>4806</v>
      </c>
      <c r="U10" t="s">
        <v>4807</v>
      </c>
      <c r="V10" t="s">
        <v>1730</v>
      </c>
      <c r="W10" t="s">
        <v>4760</v>
      </c>
      <c r="X10" t="s">
        <v>4808</v>
      </c>
      <c r="Y10" t="s">
        <v>4808</v>
      </c>
      <c r="Z10" t="s">
        <v>4808</v>
      </c>
      <c r="AA10" t="s">
        <v>3722</v>
      </c>
      <c r="AB10" s="2">
        <v>2.9999999999999997E-4</v>
      </c>
      <c r="AC10" s="2">
        <v>-2E-3</v>
      </c>
      <c r="AD10" s="2">
        <v>1.8499999999999999E-2</v>
      </c>
      <c r="AE10" s="2">
        <v>3.6600000000000001E-2</v>
      </c>
      <c r="AF10" s="2">
        <v>6.1400000000000003E-2</v>
      </c>
      <c r="AG10" s="2">
        <v>-4.8399999999999999E-2</v>
      </c>
      <c r="AH10" t="s">
        <v>4809</v>
      </c>
      <c r="AI10" t="s">
        <v>130</v>
      </c>
      <c r="AJ10" t="s">
        <v>131</v>
      </c>
      <c r="AK10" t="s">
        <v>40</v>
      </c>
      <c r="AL10">
        <v>2</v>
      </c>
      <c r="AM10" t="s">
        <v>41</v>
      </c>
      <c r="AN10" t="s">
        <v>42</v>
      </c>
      <c r="AO10" t="s">
        <v>4805</v>
      </c>
      <c r="AP10" t="s">
        <v>225</v>
      </c>
      <c r="AQ10" t="s">
        <v>225</v>
      </c>
      <c r="AR10" t="s">
        <v>133</v>
      </c>
      <c r="AS10" t="s">
        <v>133</v>
      </c>
    </row>
    <row r="11" spans="1:55" x14ac:dyDescent="0.4">
      <c r="A11" t="s">
        <v>288</v>
      </c>
      <c r="B11" t="s">
        <v>10</v>
      </c>
      <c r="C11" t="s">
        <v>394</v>
      </c>
      <c r="D11" t="s">
        <v>11</v>
      </c>
      <c r="E11" s="2">
        <v>-2.3E-3</v>
      </c>
      <c r="F11" t="s">
        <v>12</v>
      </c>
      <c r="G11" s="4">
        <f>-0.22 / -0.23%</f>
        <v>95.652173913043484</v>
      </c>
      <c r="H11" t="s">
        <v>394</v>
      </c>
      <c r="I11" t="s">
        <v>395</v>
      </c>
      <c r="J11" t="s">
        <v>396</v>
      </c>
      <c r="K11" t="s">
        <v>23</v>
      </c>
      <c r="L11" s="2">
        <v>2.375E-2</v>
      </c>
      <c r="M11" t="s">
        <v>397</v>
      </c>
      <c r="N11" t="s">
        <v>28</v>
      </c>
      <c r="O11" t="s">
        <v>267</v>
      </c>
      <c r="P11" t="s">
        <v>398</v>
      </c>
      <c r="Q11" t="s">
        <v>398</v>
      </c>
      <c r="R11" t="s">
        <v>399</v>
      </c>
      <c r="S11" t="s">
        <v>400</v>
      </c>
      <c r="T11" t="s">
        <v>401</v>
      </c>
      <c r="U11" t="s">
        <v>402</v>
      </c>
      <c r="V11" t="s">
        <v>403</v>
      </c>
      <c r="W11" t="s">
        <v>404</v>
      </c>
      <c r="X11" t="s">
        <v>404</v>
      </c>
      <c r="Y11" t="s">
        <v>404</v>
      </c>
      <c r="Z11" t="s">
        <v>404</v>
      </c>
      <c r="AA11" t="s">
        <v>405</v>
      </c>
      <c r="AB11" s="2">
        <v>-1.55E-2</v>
      </c>
      <c r="AC11" s="2">
        <v>-1.7399999999999999E-2</v>
      </c>
      <c r="AD11" s="2">
        <v>0.01</v>
      </c>
      <c r="AE11" s="2">
        <v>1.0500000000000001E-2</v>
      </c>
      <c r="AF11" s="2">
        <v>2.4899999999999999E-2</v>
      </c>
      <c r="AG11" s="2">
        <v>-0.1623</v>
      </c>
      <c r="AH11" t="s">
        <v>406</v>
      </c>
      <c r="AI11" t="s">
        <v>130</v>
      </c>
      <c r="AJ11" t="s">
        <v>131</v>
      </c>
      <c r="AK11" t="s">
        <v>40</v>
      </c>
      <c r="AL11">
        <v>100</v>
      </c>
      <c r="AM11" t="s">
        <v>41</v>
      </c>
      <c r="AN11" t="s">
        <v>42</v>
      </c>
      <c r="AO11" t="s">
        <v>267</v>
      </c>
      <c r="AP11" t="s">
        <v>407</v>
      </c>
      <c r="AQ11" t="s">
        <v>407</v>
      </c>
      <c r="AR11" t="s">
        <v>48</v>
      </c>
      <c r="AS11" t="s">
        <v>48</v>
      </c>
    </row>
    <row r="12" spans="1:55" x14ac:dyDescent="0.4">
      <c r="A12" t="s">
        <v>4453</v>
      </c>
      <c r="B12" t="s">
        <v>10</v>
      </c>
      <c r="C12" t="s">
        <v>3397</v>
      </c>
      <c r="D12" t="s">
        <v>11</v>
      </c>
      <c r="E12" s="2">
        <v>2.0000000000000001E-4</v>
      </c>
      <c r="F12" t="s">
        <v>363</v>
      </c>
      <c r="G12" s="4" t="s">
        <v>3463</v>
      </c>
      <c r="H12" t="s">
        <v>3397</v>
      </c>
      <c r="I12" t="s">
        <v>6291</v>
      </c>
      <c r="J12" t="s">
        <v>6292</v>
      </c>
      <c r="K12" t="s">
        <v>23</v>
      </c>
      <c r="L12" s="2">
        <v>5.9499999999999997E-2</v>
      </c>
      <c r="M12" t="s">
        <v>1971</v>
      </c>
      <c r="N12" t="s">
        <v>121</v>
      </c>
      <c r="O12" t="s">
        <v>3174</v>
      </c>
      <c r="P12" t="s">
        <v>2176</v>
      </c>
      <c r="Q12" t="s">
        <v>2176</v>
      </c>
      <c r="R12" t="s">
        <v>464</v>
      </c>
      <c r="S12" t="s">
        <v>1816</v>
      </c>
      <c r="T12" t="s">
        <v>1816</v>
      </c>
      <c r="U12" t="s">
        <v>1816</v>
      </c>
      <c r="V12" t="s">
        <v>807</v>
      </c>
      <c r="W12" t="s">
        <v>1700</v>
      </c>
      <c r="X12" t="s">
        <v>4617</v>
      </c>
      <c r="Y12" t="s">
        <v>4617</v>
      </c>
      <c r="Z12" t="s">
        <v>4617</v>
      </c>
      <c r="AA12" t="s">
        <v>4617</v>
      </c>
      <c r="AB12" s="2">
        <v>-3.8999999999999998E-3</v>
      </c>
      <c r="AC12" s="2">
        <v>-8.2000000000000007E-3</v>
      </c>
      <c r="AD12" s="2">
        <v>1.0800000000000001E-2</v>
      </c>
      <c r="AE12" s="2">
        <v>1.7899999999999999E-2</v>
      </c>
      <c r="AF12" s="2">
        <v>1.9599999999999999E-2</v>
      </c>
      <c r="AG12" s="2">
        <v>1.9599999999999999E-2</v>
      </c>
      <c r="AH12" t="s">
        <v>6293</v>
      </c>
      <c r="AI12" t="s">
        <v>130</v>
      </c>
      <c r="AJ12" t="s">
        <v>131</v>
      </c>
      <c r="AK12" t="s">
        <v>40</v>
      </c>
      <c r="AL12">
        <v>2</v>
      </c>
      <c r="AM12" t="s">
        <v>41</v>
      </c>
      <c r="AN12" t="s">
        <v>42</v>
      </c>
      <c r="AO12" t="s">
        <v>3174</v>
      </c>
      <c r="AP12" t="s">
        <v>333</v>
      </c>
      <c r="AQ12" t="s">
        <v>333</v>
      </c>
      <c r="AR12" t="s">
        <v>133</v>
      </c>
      <c r="AS12" t="s">
        <v>133</v>
      </c>
    </row>
    <row r="13" spans="1:55" x14ac:dyDescent="0.4">
      <c r="A13" t="s">
        <v>288</v>
      </c>
      <c r="B13" t="s">
        <v>10</v>
      </c>
      <c r="C13" t="s">
        <v>751</v>
      </c>
      <c r="D13" t="s">
        <v>11</v>
      </c>
      <c r="E13" s="2">
        <v>-4.8999999999999998E-3</v>
      </c>
      <c r="F13" t="s">
        <v>12</v>
      </c>
      <c r="G13" s="4">
        <f>-0.425 / -0.49%</f>
        <v>86.734693877551024</v>
      </c>
      <c r="H13" t="s">
        <v>751</v>
      </c>
      <c r="I13" t="s">
        <v>752</v>
      </c>
      <c r="J13" t="s">
        <v>753</v>
      </c>
      <c r="K13" t="s">
        <v>23</v>
      </c>
      <c r="L13" s="2">
        <v>5.0000000000000001E-3</v>
      </c>
      <c r="M13" t="s">
        <v>754</v>
      </c>
      <c r="N13" t="s">
        <v>28</v>
      </c>
      <c r="O13" t="s">
        <v>755</v>
      </c>
      <c r="P13" t="s">
        <v>756</v>
      </c>
      <c r="Q13" t="s">
        <v>756</v>
      </c>
      <c r="R13" s="1">
        <v>83945</v>
      </c>
      <c r="S13" s="1">
        <v>82855</v>
      </c>
      <c r="T13" t="s">
        <v>757</v>
      </c>
      <c r="U13" t="s">
        <v>758</v>
      </c>
      <c r="V13" s="1">
        <v>87305</v>
      </c>
      <c r="W13" t="s">
        <v>759</v>
      </c>
      <c r="X13" t="s">
        <v>759</v>
      </c>
      <c r="Y13" t="s">
        <v>759</v>
      </c>
      <c r="Z13" t="s">
        <v>759</v>
      </c>
      <c r="AA13" t="s">
        <v>760</v>
      </c>
      <c r="AB13" s="2">
        <v>-1.04E-2</v>
      </c>
      <c r="AC13" s="2">
        <v>-8.6E-3</v>
      </c>
      <c r="AD13" s="2">
        <v>2.52E-2</v>
      </c>
      <c r="AE13" s="2">
        <v>2.3E-2</v>
      </c>
      <c r="AF13" s="2">
        <v>4.7600000000000003E-2</v>
      </c>
      <c r="AG13" s="2">
        <v>-0.13450000000000001</v>
      </c>
      <c r="AH13" t="s">
        <v>761</v>
      </c>
      <c r="AI13" t="s">
        <v>130</v>
      </c>
      <c r="AJ13" t="s">
        <v>131</v>
      </c>
      <c r="AK13" t="s">
        <v>40</v>
      </c>
      <c r="AL13">
        <v>100</v>
      </c>
      <c r="AM13" t="s">
        <v>41</v>
      </c>
      <c r="AN13" t="s">
        <v>42</v>
      </c>
      <c r="AO13" t="s">
        <v>755</v>
      </c>
      <c r="AP13" t="s">
        <v>357</v>
      </c>
      <c r="AQ13" t="s">
        <v>357</v>
      </c>
      <c r="AR13" t="s">
        <v>48</v>
      </c>
      <c r="AS13" t="s">
        <v>48</v>
      </c>
    </row>
    <row r="14" spans="1:55" x14ac:dyDescent="0.4">
      <c r="A14" t="s">
        <v>4462</v>
      </c>
      <c r="B14" t="s">
        <v>10</v>
      </c>
      <c r="C14" t="s">
        <v>938</v>
      </c>
      <c r="D14" t="s">
        <v>11</v>
      </c>
      <c r="E14" s="2">
        <v>-2.2000000000000001E-3</v>
      </c>
      <c r="F14" t="s">
        <v>310</v>
      </c>
      <c r="G14" s="4">
        <f>-0.2 / -0.22%</f>
        <v>90.909090909090907</v>
      </c>
      <c r="H14" t="s">
        <v>938</v>
      </c>
      <c r="I14" t="s">
        <v>4810</v>
      </c>
      <c r="J14" t="s">
        <v>4811</v>
      </c>
      <c r="K14" t="s">
        <v>23</v>
      </c>
      <c r="L14" s="2">
        <v>0.05</v>
      </c>
      <c r="M14" t="s">
        <v>4812</v>
      </c>
      <c r="N14" t="s">
        <v>121</v>
      </c>
      <c r="O14" t="s">
        <v>4813</v>
      </c>
      <c r="P14" t="s">
        <v>391</v>
      </c>
      <c r="Q14" t="s">
        <v>391</v>
      </c>
      <c r="R14" t="s">
        <v>391</v>
      </c>
      <c r="S14" t="s">
        <v>2018</v>
      </c>
      <c r="T14" t="s">
        <v>4814</v>
      </c>
      <c r="U14" t="s">
        <v>4815</v>
      </c>
      <c r="V14" t="s">
        <v>3560</v>
      </c>
      <c r="W14" t="s">
        <v>628</v>
      </c>
      <c r="X14" t="s">
        <v>628</v>
      </c>
      <c r="Y14" t="s">
        <v>628</v>
      </c>
      <c r="Z14" t="s">
        <v>628</v>
      </c>
      <c r="AA14" t="s">
        <v>4816</v>
      </c>
      <c r="AB14" s="2">
        <v>7.4000000000000003E-3</v>
      </c>
      <c r="AC14" s="2">
        <v>1.2200000000000001E-2</v>
      </c>
      <c r="AD14" s="2">
        <v>-1.6000000000000001E-3</v>
      </c>
      <c r="AE14" s="2">
        <v>6.7199999999999996E-2</v>
      </c>
      <c r="AF14" s="2">
        <v>0.1018</v>
      </c>
      <c r="AG14" s="2">
        <v>-3.2500000000000001E-2</v>
      </c>
      <c r="AH14" t="s">
        <v>4817</v>
      </c>
      <c r="AI14" t="s">
        <v>130</v>
      </c>
      <c r="AJ14" t="s">
        <v>131</v>
      </c>
      <c r="AK14" t="s">
        <v>40</v>
      </c>
      <c r="AL14">
        <v>1</v>
      </c>
      <c r="AM14" t="s">
        <v>41</v>
      </c>
      <c r="AN14" t="s">
        <v>42</v>
      </c>
      <c r="AO14" t="s">
        <v>4813</v>
      </c>
      <c r="AP14" t="s">
        <v>171</v>
      </c>
      <c r="AQ14" t="s">
        <v>171</v>
      </c>
      <c r="AR14" t="s">
        <v>133</v>
      </c>
      <c r="AS14" t="s">
        <v>133</v>
      </c>
    </row>
    <row r="15" spans="1:55" x14ac:dyDescent="0.4">
      <c r="A15" t="s">
        <v>5815</v>
      </c>
      <c r="B15" t="s">
        <v>10</v>
      </c>
      <c r="C15" s="1">
        <v>101185</v>
      </c>
      <c r="D15" t="s">
        <v>11</v>
      </c>
      <c r="E15" s="2">
        <v>-8.0000000000000004E-4</v>
      </c>
      <c r="F15" t="s">
        <v>12</v>
      </c>
      <c r="G15" s="4">
        <f>-0.085 / -0.08%</f>
        <v>106.25</v>
      </c>
      <c r="H15" s="1">
        <v>101185</v>
      </c>
      <c r="I15" t="s">
        <v>7004</v>
      </c>
      <c r="J15" t="s">
        <v>7005</v>
      </c>
      <c r="K15" t="s">
        <v>23</v>
      </c>
      <c r="L15" s="2">
        <v>3.6499999999999998E-2</v>
      </c>
      <c r="M15" t="s">
        <v>5403</v>
      </c>
      <c r="N15" t="s">
        <v>28</v>
      </c>
      <c r="O15" t="s">
        <v>2562</v>
      </c>
      <c r="P15" t="s">
        <v>1290</v>
      </c>
      <c r="Q15" t="s">
        <v>1290</v>
      </c>
      <c r="R15" s="1">
        <v>100105</v>
      </c>
      <c r="S15" s="1">
        <v>99755</v>
      </c>
      <c r="T15" s="1">
        <v>99755</v>
      </c>
      <c r="U15" s="1">
        <v>99755</v>
      </c>
      <c r="V15" s="1">
        <v>101655</v>
      </c>
      <c r="W15" t="s">
        <v>2096</v>
      </c>
      <c r="X15" t="s">
        <v>2096</v>
      </c>
      <c r="Y15" t="s">
        <v>2096</v>
      </c>
      <c r="Z15" t="s">
        <v>2096</v>
      </c>
      <c r="AA15" t="s">
        <v>2096</v>
      </c>
      <c r="AB15" s="2">
        <v>-7.3000000000000001E-3</v>
      </c>
      <c r="AC15" s="2">
        <v>-4.7000000000000002E-3</v>
      </c>
      <c r="AD15" s="2">
        <v>1.0800000000000001E-2</v>
      </c>
      <c r="AE15" s="2">
        <v>1.0800000000000001E-2</v>
      </c>
      <c r="AF15" s="2">
        <v>1.0800000000000001E-2</v>
      </c>
      <c r="AG15" s="2">
        <v>1.0800000000000001E-2</v>
      </c>
      <c r="AH15" t="s">
        <v>7006</v>
      </c>
      <c r="AI15" t="s">
        <v>130</v>
      </c>
      <c r="AJ15" t="s">
        <v>131</v>
      </c>
      <c r="AK15" t="s">
        <v>40</v>
      </c>
      <c r="AL15">
        <v>100</v>
      </c>
      <c r="AM15" t="s">
        <v>41</v>
      </c>
      <c r="AN15" t="s">
        <v>42</v>
      </c>
      <c r="AO15" t="s">
        <v>2562</v>
      </c>
      <c r="AP15" t="s">
        <v>357</v>
      </c>
      <c r="AQ15" t="s">
        <v>357</v>
      </c>
      <c r="AR15" t="s">
        <v>48</v>
      </c>
      <c r="AS15" t="s">
        <v>48</v>
      </c>
    </row>
    <row r="16" spans="1:55" x14ac:dyDescent="0.4">
      <c r="A16" t="s">
        <v>9</v>
      </c>
      <c r="B16" t="s">
        <v>10</v>
      </c>
      <c r="C16" t="s">
        <v>4818</v>
      </c>
      <c r="D16" t="s">
        <v>11</v>
      </c>
      <c r="E16" s="2">
        <v>4.0000000000000001E-3</v>
      </c>
      <c r="F16" t="s">
        <v>12</v>
      </c>
      <c r="G16" s="4" t="s">
        <v>4819</v>
      </c>
      <c r="H16" t="s">
        <v>4818</v>
      </c>
      <c r="I16" t="s">
        <v>4820</v>
      </c>
      <c r="J16" t="s">
        <v>4821</v>
      </c>
      <c r="K16" t="s">
        <v>23</v>
      </c>
      <c r="L16" s="2">
        <v>4.7500000000000001E-2</v>
      </c>
      <c r="M16" t="s">
        <v>4822</v>
      </c>
      <c r="N16" t="s">
        <v>121</v>
      </c>
      <c r="O16" t="s">
        <v>2409</v>
      </c>
      <c r="P16" t="s">
        <v>4823</v>
      </c>
      <c r="Q16" t="s">
        <v>4823</v>
      </c>
      <c r="R16" t="s">
        <v>4823</v>
      </c>
      <c r="S16" t="s">
        <v>4823</v>
      </c>
      <c r="T16" t="s">
        <v>4824</v>
      </c>
      <c r="U16" t="s">
        <v>4824</v>
      </c>
      <c r="V16" t="s">
        <v>1957</v>
      </c>
      <c r="W16" t="s">
        <v>4825</v>
      </c>
      <c r="X16" t="s">
        <v>4826</v>
      </c>
      <c r="Y16" t="s">
        <v>4826</v>
      </c>
      <c r="Z16" t="s">
        <v>1419</v>
      </c>
      <c r="AA16" t="s">
        <v>4827</v>
      </c>
      <c r="AB16" s="2">
        <v>-1.5699999999999999E-2</v>
      </c>
      <c r="AC16" s="2">
        <v>-3.5299999999999998E-2</v>
      </c>
      <c r="AD16" s="2">
        <v>-2.2800000000000001E-2</v>
      </c>
      <c r="AE16" s="2">
        <v>-5.96E-2</v>
      </c>
      <c r="AF16" s="2">
        <v>-8.2600000000000007E-2</v>
      </c>
      <c r="AG16" s="2">
        <v>-0.2928</v>
      </c>
      <c r="AH16" t="s">
        <v>4828</v>
      </c>
      <c r="AI16" t="s">
        <v>130</v>
      </c>
      <c r="AJ16" t="s">
        <v>131</v>
      </c>
      <c r="AK16" t="s">
        <v>40</v>
      </c>
      <c r="AL16">
        <v>2</v>
      </c>
      <c r="AM16" t="s">
        <v>41</v>
      </c>
      <c r="AN16" t="s">
        <v>42</v>
      </c>
      <c r="AO16" t="s">
        <v>2409</v>
      </c>
      <c r="AP16" t="s">
        <v>407</v>
      </c>
      <c r="AQ16" t="s">
        <v>407</v>
      </c>
      <c r="AR16" t="s">
        <v>133</v>
      </c>
      <c r="AS16" t="s">
        <v>133</v>
      </c>
    </row>
    <row r="17" spans="1:54" x14ac:dyDescent="0.4">
      <c r="A17" t="s">
        <v>4453</v>
      </c>
      <c r="B17" t="s">
        <v>10</v>
      </c>
      <c r="C17" t="s">
        <v>5111</v>
      </c>
      <c r="D17" t="s">
        <v>11</v>
      </c>
      <c r="E17" s="2">
        <v>-2.9999999999999997E-4</v>
      </c>
      <c r="F17" t="s">
        <v>178</v>
      </c>
      <c r="G17" s="4">
        <f>-0.03 / -0.03%</f>
        <v>100</v>
      </c>
      <c r="H17" t="s">
        <v>5111</v>
      </c>
      <c r="I17" t="s">
        <v>5112</v>
      </c>
      <c r="J17" t="s">
        <v>5113</v>
      </c>
      <c r="K17" t="s">
        <v>23</v>
      </c>
      <c r="L17" s="2">
        <v>4.0000000000000001E-3</v>
      </c>
      <c r="M17" t="s">
        <v>3566</v>
      </c>
      <c r="N17" t="s">
        <v>28</v>
      </c>
      <c r="O17" t="s">
        <v>5114</v>
      </c>
      <c r="P17" t="s">
        <v>3151</v>
      </c>
      <c r="Q17" t="s">
        <v>1006</v>
      </c>
      <c r="R17" t="s">
        <v>5115</v>
      </c>
      <c r="S17" t="s">
        <v>5116</v>
      </c>
      <c r="T17" t="s">
        <v>5041</v>
      </c>
      <c r="U17" t="s">
        <v>5117</v>
      </c>
      <c r="V17" t="s">
        <v>5118</v>
      </c>
      <c r="W17" t="s">
        <v>3135</v>
      </c>
      <c r="X17" t="s">
        <v>3135</v>
      </c>
      <c r="Y17" t="s">
        <v>3135</v>
      </c>
      <c r="Z17" t="s">
        <v>3135</v>
      </c>
      <c r="AA17" t="s">
        <v>891</v>
      </c>
      <c r="AB17" s="2">
        <v>-1.6999999999999999E-3</v>
      </c>
      <c r="AC17" s="2">
        <v>2.8999999999999998E-3</v>
      </c>
      <c r="AD17" s="2">
        <v>3.0499999999999999E-2</v>
      </c>
      <c r="AE17" s="2">
        <v>4.7399999999999998E-2</v>
      </c>
      <c r="AF17" s="2">
        <v>9.5200000000000007E-2</v>
      </c>
      <c r="AG17" s="2">
        <v>-2.76E-2</v>
      </c>
      <c r="AH17" t="s">
        <v>5119</v>
      </c>
      <c r="AI17" t="s">
        <v>130</v>
      </c>
      <c r="AJ17" t="s">
        <v>131</v>
      </c>
      <c r="AK17" t="s">
        <v>40</v>
      </c>
      <c r="AL17">
        <v>100</v>
      </c>
      <c r="AM17" t="s">
        <v>41</v>
      </c>
      <c r="AN17" t="s">
        <v>42</v>
      </c>
      <c r="AO17" t="s">
        <v>5114</v>
      </c>
      <c r="AP17" t="s">
        <v>225</v>
      </c>
      <c r="AQ17" t="s">
        <v>225</v>
      </c>
      <c r="AR17" t="s">
        <v>48</v>
      </c>
      <c r="AS17" t="s">
        <v>48</v>
      </c>
    </row>
    <row r="18" spans="1:54" x14ac:dyDescent="0.4">
      <c r="A18" t="s">
        <v>4462</v>
      </c>
      <c r="B18" t="s">
        <v>10</v>
      </c>
      <c r="C18" t="s">
        <v>5085</v>
      </c>
      <c r="D18" t="s">
        <v>11</v>
      </c>
      <c r="E18" s="2">
        <v>8.0000000000000004E-4</v>
      </c>
      <c r="F18" t="s">
        <v>363</v>
      </c>
      <c r="G18" s="4" t="s">
        <v>1646</v>
      </c>
      <c r="H18" t="s">
        <v>5085</v>
      </c>
      <c r="I18" t="s">
        <v>5086</v>
      </c>
      <c r="J18" t="s">
        <v>6116</v>
      </c>
      <c r="K18" t="s">
        <v>23</v>
      </c>
      <c r="L18" s="2">
        <v>3.7999999999999999E-2</v>
      </c>
      <c r="M18" t="s">
        <v>818</v>
      </c>
      <c r="N18" t="s">
        <v>121</v>
      </c>
      <c r="O18" t="s">
        <v>2333</v>
      </c>
      <c r="P18" t="s">
        <v>3997</v>
      </c>
      <c r="Q18" t="s">
        <v>3997</v>
      </c>
      <c r="R18" t="s">
        <v>2882</v>
      </c>
      <c r="S18" t="s">
        <v>2336</v>
      </c>
      <c r="T18" t="s">
        <v>6117</v>
      </c>
      <c r="U18" t="s">
        <v>2884</v>
      </c>
      <c r="V18" t="s">
        <v>652</v>
      </c>
      <c r="W18" t="s">
        <v>3484</v>
      </c>
      <c r="X18" t="s">
        <v>5030</v>
      </c>
      <c r="Y18" t="s">
        <v>5030</v>
      </c>
      <c r="Z18" t="s">
        <v>5030</v>
      </c>
      <c r="AA18" t="s">
        <v>6118</v>
      </c>
      <c r="AB18" s="2">
        <v>-4.0000000000000002E-4</v>
      </c>
      <c r="AC18" s="2">
        <v>-1.0999999999999999E-2</v>
      </c>
      <c r="AD18" s="2">
        <v>3.3E-3</v>
      </c>
      <c r="AE18" s="2">
        <v>9.1000000000000004E-3</v>
      </c>
      <c r="AF18" s="2">
        <v>1.6899999999999998E-2</v>
      </c>
      <c r="AG18" s="2">
        <v>-0.1087</v>
      </c>
      <c r="AH18" t="s">
        <v>5119</v>
      </c>
      <c r="AI18" t="s">
        <v>130</v>
      </c>
      <c r="AJ18" t="s">
        <v>131</v>
      </c>
      <c r="AK18" t="s">
        <v>40</v>
      </c>
      <c r="AL18">
        <v>2</v>
      </c>
      <c r="AM18" t="s">
        <v>41</v>
      </c>
      <c r="AN18" t="s">
        <v>42</v>
      </c>
      <c r="AO18" t="s">
        <v>2333</v>
      </c>
      <c r="AP18" t="s">
        <v>4117</v>
      </c>
      <c r="AQ18" t="s">
        <v>4117</v>
      </c>
      <c r="AR18" t="s">
        <v>133</v>
      </c>
      <c r="AS18" t="s">
        <v>133</v>
      </c>
    </row>
    <row r="19" spans="1:54" x14ac:dyDescent="0.4">
      <c r="A19" t="s">
        <v>4518</v>
      </c>
      <c r="B19" t="s">
        <v>10</v>
      </c>
      <c r="C19" t="s">
        <v>2214</v>
      </c>
      <c r="D19" t="s">
        <v>11</v>
      </c>
      <c r="E19" s="2">
        <v>-1.5E-3</v>
      </c>
      <c r="F19" t="s">
        <v>12</v>
      </c>
      <c r="G19" s="4">
        <f>-0.15 / -0.15%</f>
        <v>100</v>
      </c>
      <c r="H19" t="s">
        <v>2214</v>
      </c>
      <c r="I19" t="s">
        <v>5510</v>
      </c>
      <c r="J19" t="s">
        <v>5511</v>
      </c>
      <c r="K19" t="s">
        <v>23</v>
      </c>
      <c r="L19" s="2">
        <v>5.1499999999999997E-2</v>
      </c>
      <c r="M19" t="s">
        <v>4641</v>
      </c>
      <c r="N19" t="s">
        <v>121</v>
      </c>
      <c r="O19" t="s">
        <v>5512</v>
      </c>
      <c r="P19" t="s">
        <v>1575</v>
      </c>
      <c r="Q19" t="s">
        <v>1575</v>
      </c>
      <c r="R19" t="s">
        <v>1575</v>
      </c>
      <c r="S19" t="s">
        <v>669</v>
      </c>
      <c r="T19" t="s">
        <v>669</v>
      </c>
      <c r="U19" t="s">
        <v>669</v>
      </c>
      <c r="V19" t="s">
        <v>246</v>
      </c>
      <c r="W19" t="s">
        <v>1370</v>
      </c>
      <c r="X19" t="s">
        <v>1636</v>
      </c>
      <c r="Y19" t="s">
        <v>1636</v>
      </c>
      <c r="Z19" t="s">
        <v>1636</v>
      </c>
      <c r="AA19" t="s">
        <v>1636</v>
      </c>
      <c r="AB19" s="2">
        <v>-8.0999999999999996E-3</v>
      </c>
      <c r="AC19" s="2">
        <v>-2.4400000000000002E-2</v>
      </c>
      <c r="AD19" s="2">
        <v>-1.8100000000000002E-2</v>
      </c>
      <c r="AE19" s="2">
        <v>-7.4000000000000003E-3</v>
      </c>
      <c r="AF19" s="2">
        <v>-7.4000000000000003E-3</v>
      </c>
      <c r="AG19" s="2">
        <v>-7.4000000000000003E-3</v>
      </c>
      <c r="AH19" t="s">
        <v>5513</v>
      </c>
      <c r="AI19" t="s">
        <v>130</v>
      </c>
      <c r="AJ19" t="s">
        <v>131</v>
      </c>
      <c r="AK19" t="s">
        <v>40</v>
      </c>
      <c r="AL19">
        <v>1</v>
      </c>
      <c r="AM19" t="s">
        <v>41</v>
      </c>
      <c r="AN19" t="s">
        <v>42</v>
      </c>
      <c r="AO19" t="s">
        <v>5512</v>
      </c>
      <c r="AP19" t="s">
        <v>527</v>
      </c>
      <c r="AQ19" t="s">
        <v>527</v>
      </c>
      <c r="AR19" t="s">
        <v>133</v>
      </c>
      <c r="AS19" t="s">
        <v>133</v>
      </c>
    </row>
    <row r="20" spans="1:54" x14ac:dyDescent="0.4">
      <c r="A20" t="s">
        <v>4453</v>
      </c>
      <c r="B20" t="s">
        <v>10</v>
      </c>
      <c r="C20" t="s">
        <v>425</v>
      </c>
      <c r="D20" t="s">
        <v>11</v>
      </c>
      <c r="E20" s="2">
        <v>-1E-4</v>
      </c>
      <c r="F20" t="s">
        <v>310</v>
      </c>
      <c r="G20" s="4">
        <f>-0.01 / -0.01%</f>
        <v>100</v>
      </c>
      <c r="H20" t="s">
        <v>425</v>
      </c>
      <c r="I20" t="s">
        <v>7200</v>
      </c>
      <c r="J20" t="s">
        <v>7201</v>
      </c>
      <c r="K20" t="s">
        <v>23</v>
      </c>
      <c r="L20" s="2">
        <v>3.6249999999999998E-2</v>
      </c>
      <c r="M20" t="s">
        <v>1367</v>
      </c>
      <c r="N20" t="s">
        <v>121</v>
      </c>
      <c r="O20" t="s">
        <v>4627</v>
      </c>
      <c r="P20" t="s">
        <v>461</v>
      </c>
      <c r="Q20" t="s">
        <v>461</v>
      </c>
      <c r="R20" t="s">
        <v>461</v>
      </c>
      <c r="S20" t="s">
        <v>461</v>
      </c>
      <c r="T20" t="s">
        <v>461</v>
      </c>
      <c r="U20" t="s">
        <v>461</v>
      </c>
      <c r="V20" t="s">
        <v>2262</v>
      </c>
      <c r="W20" t="s">
        <v>2189</v>
      </c>
      <c r="X20" t="s">
        <v>2189</v>
      </c>
      <c r="Y20" t="s">
        <v>2189</v>
      </c>
      <c r="Z20" t="s">
        <v>2189</v>
      </c>
      <c r="AA20" t="s">
        <v>2189</v>
      </c>
      <c r="AB20" s="2">
        <v>-3.8999999999999998E-3</v>
      </c>
      <c r="AC20" s="2">
        <v>-8.0999999999999996E-3</v>
      </c>
      <c r="AD20" s="2">
        <v>-8.0999999999999996E-3</v>
      </c>
      <c r="AE20" s="2">
        <v>-8.0999999999999996E-3</v>
      </c>
      <c r="AF20" s="2">
        <v>-8.0999999999999996E-3</v>
      </c>
      <c r="AG20" s="2">
        <v>-8.0999999999999996E-3</v>
      </c>
      <c r="AH20" t="s">
        <v>5513</v>
      </c>
      <c r="AI20" t="s">
        <v>4794</v>
      </c>
      <c r="AJ20" t="s">
        <v>131</v>
      </c>
      <c r="AK20" t="s">
        <v>40</v>
      </c>
      <c r="AL20">
        <v>1</v>
      </c>
      <c r="AM20" t="s">
        <v>41</v>
      </c>
      <c r="AN20" t="s">
        <v>42</v>
      </c>
      <c r="AO20" t="s">
        <v>4627</v>
      </c>
      <c r="AP20" t="s">
        <v>7202</v>
      </c>
      <c r="AQ20" t="s">
        <v>7202</v>
      </c>
      <c r="AR20" t="s">
        <v>133</v>
      </c>
      <c r="AS20" t="s">
        <v>133</v>
      </c>
    </row>
    <row r="21" spans="1:54" x14ac:dyDescent="0.4">
      <c r="A21" t="s">
        <v>4462</v>
      </c>
      <c r="B21" t="s">
        <v>10</v>
      </c>
      <c r="C21" t="s">
        <v>1755</v>
      </c>
      <c r="D21" t="s">
        <v>11</v>
      </c>
      <c r="E21" s="2">
        <v>1.5E-3</v>
      </c>
      <c r="F21" t="s">
        <v>310</v>
      </c>
      <c r="G21" s="4" t="s">
        <v>4983</v>
      </c>
      <c r="H21" t="s">
        <v>1755</v>
      </c>
      <c r="I21" t="s">
        <v>4984</v>
      </c>
      <c r="J21" t="s">
        <v>4985</v>
      </c>
      <c r="K21" t="s">
        <v>23</v>
      </c>
      <c r="L21" s="2">
        <v>0.04</v>
      </c>
      <c r="M21" t="s">
        <v>4986</v>
      </c>
      <c r="N21" t="s">
        <v>28</v>
      </c>
      <c r="O21" t="s">
        <v>4987</v>
      </c>
      <c r="P21" t="s">
        <v>4988</v>
      </c>
      <c r="Q21" t="s">
        <v>4498</v>
      </c>
      <c r="R21" t="s">
        <v>4498</v>
      </c>
      <c r="S21" t="s">
        <v>1516</v>
      </c>
      <c r="T21" t="s">
        <v>4989</v>
      </c>
      <c r="U21" t="s">
        <v>4990</v>
      </c>
      <c r="V21" t="s">
        <v>1755</v>
      </c>
      <c r="W21" t="s">
        <v>2937</v>
      </c>
      <c r="X21" t="s">
        <v>2417</v>
      </c>
      <c r="Y21" t="s">
        <v>2417</v>
      </c>
      <c r="Z21" t="s">
        <v>4991</v>
      </c>
      <c r="AA21" t="s">
        <v>4992</v>
      </c>
      <c r="AB21" s="2">
        <v>1.5E-3</v>
      </c>
      <c r="AC21" s="2">
        <v>-3.0000000000000001E-3</v>
      </c>
      <c r="AD21" s="2">
        <v>2.3E-3</v>
      </c>
      <c r="AE21" s="2">
        <v>5.4000000000000003E-3</v>
      </c>
      <c r="AF21" s="2">
        <v>-3.3E-3</v>
      </c>
      <c r="AG21" s="2">
        <v>-0.15529999999999999</v>
      </c>
      <c r="AH21" t="s">
        <v>4993</v>
      </c>
      <c r="AI21" t="s">
        <v>130</v>
      </c>
      <c r="AJ21" t="s">
        <v>131</v>
      </c>
      <c r="AK21" t="s">
        <v>40</v>
      </c>
      <c r="AL21">
        <v>100</v>
      </c>
      <c r="AM21" t="s">
        <v>41</v>
      </c>
      <c r="AN21" t="s">
        <v>42</v>
      </c>
      <c r="AO21" t="s">
        <v>4987</v>
      </c>
      <c r="AP21" t="s">
        <v>527</v>
      </c>
      <c r="AQ21" t="s">
        <v>527</v>
      </c>
      <c r="AR21" t="s">
        <v>2350</v>
      </c>
      <c r="AS21" t="s">
        <v>2350</v>
      </c>
    </row>
    <row r="22" spans="1:54" x14ac:dyDescent="0.4">
      <c r="A22" t="s">
        <v>288</v>
      </c>
      <c r="B22" t="s">
        <v>10</v>
      </c>
      <c r="C22" t="s">
        <v>6442</v>
      </c>
      <c r="D22" t="s">
        <v>11</v>
      </c>
      <c r="E22" s="2">
        <v>5.1999999999999998E-3</v>
      </c>
      <c r="F22" t="s">
        <v>12</v>
      </c>
      <c r="G22" s="4" t="s">
        <v>4881</v>
      </c>
      <c r="H22" t="s">
        <v>6442</v>
      </c>
      <c r="I22" t="s">
        <v>7203</v>
      </c>
      <c r="J22" t="s">
        <v>7204</v>
      </c>
      <c r="K22" t="s">
        <v>23</v>
      </c>
      <c r="L22" s="2">
        <v>4.9500000000000002E-2</v>
      </c>
      <c r="M22" t="s">
        <v>4386</v>
      </c>
      <c r="N22" t="s">
        <v>121</v>
      </c>
      <c r="O22" t="s">
        <v>7205</v>
      </c>
      <c r="P22" t="s">
        <v>2461</v>
      </c>
      <c r="Q22" t="s">
        <v>2461</v>
      </c>
      <c r="R22" t="s">
        <v>2461</v>
      </c>
      <c r="S22" t="s">
        <v>2461</v>
      </c>
      <c r="T22" t="s">
        <v>7206</v>
      </c>
      <c r="U22" t="s">
        <v>7206</v>
      </c>
      <c r="V22" t="s">
        <v>3196</v>
      </c>
      <c r="W22" t="s">
        <v>3486</v>
      </c>
      <c r="X22" t="s">
        <v>2659</v>
      </c>
      <c r="Y22" t="s">
        <v>2659</v>
      </c>
      <c r="Z22" t="s">
        <v>2659</v>
      </c>
      <c r="AA22" t="s">
        <v>7207</v>
      </c>
      <c r="AB22" s="2">
        <v>0</v>
      </c>
      <c r="AC22" s="2">
        <v>-4.0599999999999997E-2</v>
      </c>
      <c r="AD22" s="2">
        <v>-2.3400000000000001E-2</v>
      </c>
      <c r="AE22" s="2">
        <v>-4.2900000000000001E-2</v>
      </c>
      <c r="AF22" s="2">
        <v>-6.6699999999999995E-2</v>
      </c>
      <c r="AG22" s="2">
        <v>-0.2515</v>
      </c>
      <c r="AH22" t="s">
        <v>4993</v>
      </c>
      <c r="AI22" t="s">
        <v>130</v>
      </c>
      <c r="AJ22" t="s">
        <v>131</v>
      </c>
      <c r="AK22" t="s">
        <v>40</v>
      </c>
      <c r="AL22">
        <v>2</v>
      </c>
      <c r="AM22" t="s">
        <v>41</v>
      </c>
      <c r="AN22" t="s">
        <v>42</v>
      </c>
      <c r="AO22" t="s">
        <v>7205</v>
      </c>
      <c r="AP22" t="s">
        <v>171</v>
      </c>
      <c r="AQ22" t="s">
        <v>171</v>
      </c>
      <c r="AR22" t="s">
        <v>133</v>
      </c>
      <c r="AS22" t="s">
        <v>133</v>
      </c>
    </row>
    <row r="23" spans="1:54" x14ac:dyDescent="0.4">
      <c r="A23" t="s">
        <v>288</v>
      </c>
      <c r="B23" t="s">
        <v>10</v>
      </c>
      <c r="C23" t="s">
        <v>715</v>
      </c>
      <c r="D23" t="s">
        <v>11</v>
      </c>
      <c r="E23" s="2">
        <v>-2.0999999999999999E-3</v>
      </c>
      <c r="F23" t="s">
        <v>12</v>
      </c>
      <c r="G23" s="4">
        <f>-0.18 / -0.21%</f>
        <v>85.714285714285722</v>
      </c>
      <c r="H23" t="s">
        <v>715</v>
      </c>
      <c r="I23" t="s">
        <v>7208</v>
      </c>
      <c r="J23" t="s">
        <v>7209</v>
      </c>
      <c r="K23" t="s">
        <v>23</v>
      </c>
      <c r="L23" s="2">
        <v>4.8750000000000002E-2</v>
      </c>
      <c r="M23" t="s">
        <v>5826</v>
      </c>
      <c r="N23" t="s">
        <v>121</v>
      </c>
      <c r="O23" t="s">
        <v>7210</v>
      </c>
      <c r="P23" t="s">
        <v>7211</v>
      </c>
      <c r="Q23" t="s">
        <v>7211</v>
      </c>
      <c r="R23" t="s">
        <v>7211</v>
      </c>
      <c r="S23" t="s">
        <v>7211</v>
      </c>
      <c r="T23" t="s">
        <v>6238</v>
      </c>
      <c r="U23" t="s">
        <v>6238</v>
      </c>
      <c r="V23" t="s">
        <v>3358</v>
      </c>
      <c r="W23" t="s">
        <v>4678</v>
      </c>
      <c r="X23" t="s">
        <v>2831</v>
      </c>
      <c r="Y23" t="s">
        <v>2831</v>
      </c>
      <c r="Z23" t="s">
        <v>3638</v>
      </c>
      <c r="AA23" t="s">
        <v>1641</v>
      </c>
      <c r="AB23" s="2">
        <v>-2.0999999999999999E-3</v>
      </c>
      <c r="AC23" s="2">
        <v>-3.7199999999999997E-2</v>
      </c>
      <c r="AD23" s="2">
        <v>-3.27E-2</v>
      </c>
      <c r="AE23" s="2">
        <v>-4.7600000000000003E-2</v>
      </c>
      <c r="AF23" s="2">
        <v>-9.0899999999999995E-2</v>
      </c>
      <c r="AG23" s="2">
        <v>-0.14099999999999999</v>
      </c>
      <c r="AH23" t="s">
        <v>4993</v>
      </c>
      <c r="AI23" t="s">
        <v>130</v>
      </c>
      <c r="AJ23" t="s">
        <v>131</v>
      </c>
      <c r="AK23" t="s">
        <v>40</v>
      </c>
      <c r="AL23">
        <v>2</v>
      </c>
      <c r="AM23" t="s">
        <v>41</v>
      </c>
      <c r="AN23" t="s">
        <v>42</v>
      </c>
      <c r="AO23" t="s">
        <v>7210</v>
      </c>
      <c r="AP23" t="s">
        <v>407</v>
      </c>
      <c r="AQ23" t="s">
        <v>407</v>
      </c>
      <c r="AR23" t="s">
        <v>133</v>
      </c>
      <c r="AS23" t="s">
        <v>133</v>
      </c>
    </row>
    <row r="24" spans="1:54" x14ac:dyDescent="0.4">
      <c r="A24" t="s">
        <v>76</v>
      </c>
      <c r="B24" t="s">
        <v>10</v>
      </c>
      <c r="C24" t="s">
        <v>3036</v>
      </c>
      <c r="D24" t="s">
        <v>11</v>
      </c>
      <c r="E24" s="2">
        <v>3.7000000000000002E-3</v>
      </c>
      <c r="F24" t="s">
        <v>12</v>
      </c>
      <c r="G24" s="4" t="s">
        <v>3037</v>
      </c>
      <c r="H24" t="s">
        <v>3036</v>
      </c>
      <c r="I24" t="s">
        <v>3038</v>
      </c>
      <c r="J24" t="s">
        <v>3039</v>
      </c>
      <c r="K24" t="s">
        <v>23</v>
      </c>
      <c r="L24" s="2">
        <v>4.4999999999999998E-2</v>
      </c>
      <c r="M24" t="s">
        <v>3040</v>
      </c>
      <c r="N24" t="s">
        <v>121</v>
      </c>
      <c r="O24" t="s">
        <v>1664</v>
      </c>
      <c r="P24" t="s">
        <v>3041</v>
      </c>
      <c r="Q24" t="s">
        <v>3041</v>
      </c>
      <c r="R24" t="s">
        <v>3041</v>
      </c>
      <c r="S24" t="s">
        <v>3042</v>
      </c>
      <c r="T24" t="s">
        <v>3043</v>
      </c>
      <c r="U24" t="s">
        <v>3043</v>
      </c>
      <c r="V24" t="s">
        <v>3044</v>
      </c>
      <c r="W24" t="s">
        <v>259</v>
      </c>
      <c r="X24" t="s">
        <v>3045</v>
      </c>
      <c r="Y24" t="s">
        <v>3045</v>
      </c>
      <c r="Z24" t="s">
        <v>330</v>
      </c>
      <c r="AA24" t="s">
        <v>3046</v>
      </c>
      <c r="AB24" s="2">
        <v>-8.0000000000000004E-4</v>
      </c>
      <c r="AC24" s="2">
        <v>-2.2100000000000002E-2</v>
      </c>
      <c r="AD24" s="2">
        <v>-1.66E-2</v>
      </c>
      <c r="AE24" s="2">
        <v>-2.7900000000000001E-2</v>
      </c>
      <c r="AF24" s="2">
        <v>-5.0500000000000003E-2</v>
      </c>
      <c r="AG24" s="2">
        <v>-0.19650000000000001</v>
      </c>
      <c r="AH24" t="s">
        <v>3047</v>
      </c>
      <c r="AI24" t="s">
        <v>130</v>
      </c>
      <c r="AJ24" t="s">
        <v>131</v>
      </c>
      <c r="AK24" t="s">
        <v>40</v>
      </c>
      <c r="AL24">
        <v>2</v>
      </c>
      <c r="AM24" t="s">
        <v>41</v>
      </c>
      <c r="AN24" t="s">
        <v>42</v>
      </c>
      <c r="AO24" t="s">
        <v>1664</v>
      </c>
      <c r="AP24" t="s">
        <v>193</v>
      </c>
      <c r="AQ24" t="s">
        <v>193</v>
      </c>
      <c r="AR24" t="s">
        <v>133</v>
      </c>
      <c r="AS24" t="s">
        <v>133</v>
      </c>
    </row>
    <row r="25" spans="1:54" x14ac:dyDescent="0.4">
      <c r="A25" t="s">
        <v>288</v>
      </c>
      <c r="B25" t="s">
        <v>10</v>
      </c>
      <c r="C25" t="s">
        <v>4140</v>
      </c>
      <c r="D25" t="s">
        <v>11</v>
      </c>
      <c r="E25" s="2">
        <v>-3.8E-3</v>
      </c>
      <c r="F25" t="s">
        <v>12</v>
      </c>
      <c r="G25" s="4">
        <f>-0.34 / -0.38%</f>
        <v>89.473684210526329</v>
      </c>
      <c r="H25" t="s">
        <v>4140</v>
      </c>
      <c r="I25" t="s">
        <v>4141</v>
      </c>
      <c r="J25" t="s">
        <v>4142</v>
      </c>
      <c r="K25" t="s">
        <v>23</v>
      </c>
      <c r="L25" s="2">
        <v>1.2E-2</v>
      </c>
      <c r="M25" t="s">
        <v>4143</v>
      </c>
      <c r="N25" t="s">
        <v>121</v>
      </c>
      <c r="O25" t="s">
        <v>4144</v>
      </c>
      <c r="P25" t="s">
        <v>4145</v>
      </c>
      <c r="Q25" t="s">
        <v>4145</v>
      </c>
      <c r="R25" t="s">
        <v>3354</v>
      </c>
      <c r="S25" t="s">
        <v>4146</v>
      </c>
      <c r="T25" t="s">
        <v>4114</v>
      </c>
      <c r="U25" t="s">
        <v>4147</v>
      </c>
      <c r="V25" t="s">
        <v>4148</v>
      </c>
      <c r="W25" t="s">
        <v>4149</v>
      </c>
      <c r="X25" t="s">
        <v>4150</v>
      </c>
      <c r="Y25" t="s">
        <v>4150</v>
      </c>
      <c r="Z25" t="s">
        <v>4150</v>
      </c>
      <c r="AA25" s="1">
        <v>95135</v>
      </c>
      <c r="AB25" s="2">
        <v>1.1000000000000001E-3</v>
      </c>
      <c r="AC25" s="2">
        <v>-6.8999999999999999E-3</v>
      </c>
      <c r="AD25" s="2">
        <v>1.03E-2</v>
      </c>
      <c r="AE25" s="2">
        <v>2.12E-2</v>
      </c>
      <c r="AF25" s="2">
        <v>3.95E-2</v>
      </c>
      <c r="AG25" s="2">
        <v>-5.0900000000000001E-2</v>
      </c>
      <c r="AH25" t="s">
        <v>3047</v>
      </c>
      <c r="AI25" t="s">
        <v>130</v>
      </c>
      <c r="AJ25" t="s">
        <v>131</v>
      </c>
      <c r="AK25" t="s">
        <v>40</v>
      </c>
      <c r="AL25">
        <v>2</v>
      </c>
      <c r="AM25" t="s">
        <v>41</v>
      </c>
      <c r="AN25" t="s">
        <v>42</v>
      </c>
      <c r="AO25" t="s">
        <v>4144</v>
      </c>
      <c r="AP25" t="s">
        <v>2601</v>
      </c>
      <c r="AQ25" t="s">
        <v>2601</v>
      </c>
      <c r="AR25" t="s">
        <v>133</v>
      </c>
      <c r="AS25" t="s">
        <v>133</v>
      </c>
    </row>
    <row r="26" spans="1:54" x14ac:dyDescent="0.4">
      <c r="A26" t="s">
        <v>104</v>
      </c>
      <c r="B26" t="s">
        <v>10</v>
      </c>
      <c r="C26" t="s">
        <v>1438</v>
      </c>
      <c r="D26" t="s">
        <v>11</v>
      </c>
      <c r="E26" s="2">
        <v>-1.6999999999999999E-3</v>
      </c>
      <c r="F26" t="s">
        <v>12</v>
      </c>
      <c r="G26" s="4">
        <f>-0.15 / -0.17%</f>
        <v>88.235294117647044</v>
      </c>
      <c r="H26" t="s">
        <v>1438</v>
      </c>
      <c r="I26" t="s">
        <v>6073</v>
      </c>
      <c r="J26" t="s">
        <v>6074</v>
      </c>
      <c r="K26" t="s">
        <v>23</v>
      </c>
      <c r="L26" s="2">
        <v>1.25E-3</v>
      </c>
      <c r="M26" t="s">
        <v>3559</v>
      </c>
      <c r="N26" t="s">
        <v>28</v>
      </c>
      <c r="O26" t="s">
        <v>6075</v>
      </c>
      <c r="P26" t="s">
        <v>5901</v>
      </c>
      <c r="Q26" t="s">
        <v>6076</v>
      </c>
      <c r="R26" t="s">
        <v>2655</v>
      </c>
      <c r="S26" t="s">
        <v>6077</v>
      </c>
      <c r="T26" t="s">
        <v>6078</v>
      </c>
      <c r="U26" s="1">
        <v>79345</v>
      </c>
      <c r="V26" s="1">
        <v>89775</v>
      </c>
      <c r="W26" s="1">
        <v>90185</v>
      </c>
      <c r="X26" s="1">
        <v>90185</v>
      </c>
      <c r="Y26" s="1">
        <v>90185</v>
      </c>
      <c r="Z26" s="1">
        <v>90185</v>
      </c>
      <c r="AA26" t="s">
        <v>2616</v>
      </c>
      <c r="AB26" s="2">
        <v>-7.0000000000000001E-3</v>
      </c>
      <c r="AC26" s="2">
        <v>-2.5999999999999999E-3</v>
      </c>
      <c r="AD26" s="2">
        <v>2.23E-2</v>
      </c>
      <c r="AE26" s="2">
        <v>3.2199999999999999E-2</v>
      </c>
      <c r="AF26" s="2">
        <v>6.2300000000000001E-2</v>
      </c>
      <c r="AG26" s="2">
        <v>-8.6300000000000002E-2</v>
      </c>
      <c r="AH26" t="s">
        <v>6079</v>
      </c>
      <c r="AI26" t="s">
        <v>130</v>
      </c>
      <c r="AJ26" t="s">
        <v>131</v>
      </c>
      <c r="AK26" t="s">
        <v>40</v>
      </c>
      <c r="AL26">
        <v>100</v>
      </c>
      <c r="AM26" t="s">
        <v>41</v>
      </c>
      <c r="AN26" t="s">
        <v>42</v>
      </c>
      <c r="AO26" t="s">
        <v>6075</v>
      </c>
      <c r="AP26" t="s">
        <v>225</v>
      </c>
      <c r="AQ26" t="s">
        <v>225</v>
      </c>
      <c r="AR26" t="s">
        <v>48</v>
      </c>
      <c r="AS26" t="s">
        <v>48</v>
      </c>
    </row>
    <row r="27" spans="1:54" x14ac:dyDescent="0.4">
      <c r="A27" t="s">
        <v>740</v>
      </c>
      <c r="B27" t="s">
        <v>10</v>
      </c>
      <c r="C27" t="s">
        <v>1966</v>
      </c>
      <c r="D27" t="s">
        <v>11</v>
      </c>
      <c r="E27" s="2">
        <v>-5.9999999999999995E-4</v>
      </c>
      <c r="F27" t="s">
        <v>12</v>
      </c>
      <c r="G27" s="4">
        <f>-0.06 / -0.06%</f>
        <v>100</v>
      </c>
      <c r="H27" t="s">
        <v>1966</v>
      </c>
      <c r="I27" t="s">
        <v>5833</v>
      </c>
      <c r="J27" t="s">
        <v>5834</v>
      </c>
      <c r="K27" t="s">
        <v>23</v>
      </c>
      <c r="L27" s="2">
        <v>0.08</v>
      </c>
      <c r="M27" t="s">
        <v>5835</v>
      </c>
      <c r="N27" t="s">
        <v>121</v>
      </c>
      <c r="O27" t="s">
        <v>5836</v>
      </c>
      <c r="P27" t="s">
        <v>868</v>
      </c>
      <c r="Q27" t="s">
        <v>868</v>
      </c>
      <c r="R27" t="s">
        <v>465</v>
      </c>
      <c r="S27" t="s">
        <v>1933</v>
      </c>
      <c r="T27" t="s">
        <v>1933</v>
      </c>
      <c r="U27" t="s">
        <v>1933</v>
      </c>
      <c r="V27" t="s">
        <v>1722</v>
      </c>
      <c r="W27" t="s">
        <v>5825</v>
      </c>
      <c r="X27" t="s">
        <v>5837</v>
      </c>
      <c r="Y27" t="s">
        <v>5837</v>
      </c>
      <c r="Z27" t="s">
        <v>5837</v>
      </c>
      <c r="AA27" t="s">
        <v>5837</v>
      </c>
      <c r="AB27" s="2">
        <v>5.0000000000000001E-4</v>
      </c>
      <c r="AC27" s="2">
        <v>-8.9999999999999998E-4</v>
      </c>
      <c r="AD27" s="2">
        <v>7.4000000000000003E-3</v>
      </c>
      <c r="AE27" s="2">
        <v>9.1000000000000004E-3</v>
      </c>
      <c r="AF27" s="2">
        <v>9.1000000000000004E-3</v>
      </c>
      <c r="AG27" s="2">
        <v>9.1000000000000004E-3</v>
      </c>
      <c r="AH27" t="s">
        <v>5838</v>
      </c>
      <c r="AI27" t="s">
        <v>130</v>
      </c>
      <c r="AJ27" t="s">
        <v>131</v>
      </c>
      <c r="AK27" t="s">
        <v>40</v>
      </c>
      <c r="AL27">
        <v>200</v>
      </c>
      <c r="AM27" t="s">
        <v>41</v>
      </c>
      <c r="AN27" t="s">
        <v>42</v>
      </c>
      <c r="AO27" t="s">
        <v>5836</v>
      </c>
      <c r="AP27" t="s">
        <v>5189</v>
      </c>
      <c r="AQ27" t="s">
        <v>5189</v>
      </c>
      <c r="AR27" t="s">
        <v>133</v>
      </c>
      <c r="AS27" t="s">
        <v>133</v>
      </c>
    </row>
    <row r="28" spans="1:54" x14ac:dyDescent="0.4">
      <c r="A28" t="s">
        <v>4453</v>
      </c>
      <c r="B28" t="s">
        <v>10</v>
      </c>
      <c r="C28" t="s">
        <v>3032</v>
      </c>
      <c r="D28" t="s">
        <v>11</v>
      </c>
      <c r="E28" s="2">
        <v>-3.5000000000000001E-3</v>
      </c>
      <c r="F28" t="s">
        <v>363</v>
      </c>
      <c r="G28" s="4">
        <f>-0.33 / -0.35%</f>
        <v>94.285714285714306</v>
      </c>
      <c r="H28" t="s">
        <v>3032</v>
      </c>
      <c r="I28" t="s">
        <v>5514</v>
      </c>
      <c r="J28" t="s">
        <v>5515</v>
      </c>
      <c r="K28" t="s">
        <v>23</v>
      </c>
      <c r="L28" s="2">
        <v>5.6000000000000001E-2</v>
      </c>
      <c r="M28" t="s">
        <v>159</v>
      </c>
      <c r="N28" t="s">
        <v>121</v>
      </c>
      <c r="O28" t="s">
        <v>678</v>
      </c>
      <c r="P28" t="s">
        <v>5516</v>
      </c>
      <c r="Q28" t="s">
        <v>5516</v>
      </c>
      <c r="R28" t="s">
        <v>5516</v>
      </c>
      <c r="S28" t="s">
        <v>5516</v>
      </c>
      <c r="T28" t="s">
        <v>5516</v>
      </c>
      <c r="U28" t="s">
        <v>5516</v>
      </c>
      <c r="V28" t="s">
        <v>5517</v>
      </c>
      <c r="W28" t="s">
        <v>1984</v>
      </c>
      <c r="X28" t="s">
        <v>1984</v>
      </c>
      <c r="Y28" t="s">
        <v>1984</v>
      </c>
      <c r="Z28" t="s">
        <v>1984</v>
      </c>
      <c r="AA28" t="s">
        <v>1984</v>
      </c>
      <c r="AB28" s="2">
        <v>-1.6299999999999999E-2</v>
      </c>
      <c r="AC28" s="2">
        <v>-2.8299999999999999E-2</v>
      </c>
      <c r="AD28" s="2">
        <v>-2.4400000000000002E-2</v>
      </c>
      <c r="AE28" s="2">
        <v>-2.4400000000000002E-2</v>
      </c>
      <c r="AF28" s="2">
        <v>-2.4400000000000002E-2</v>
      </c>
      <c r="AG28" s="2">
        <v>-2.4400000000000002E-2</v>
      </c>
      <c r="AH28" t="s">
        <v>5518</v>
      </c>
      <c r="AI28" t="s">
        <v>130</v>
      </c>
      <c r="AJ28" t="s">
        <v>131</v>
      </c>
      <c r="AK28" t="s">
        <v>40</v>
      </c>
      <c r="AL28">
        <v>2</v>
      </c>
      <c r="AM28" t="s">
        <v>41</v>
      </c>
      <c r="AN28" t="s">
        <v>42</v>
      </c>
      <c r="AO28" t="s">
        <v>678</v>
      </c>
      <c r="AP28" t="s">
        <v>357</v>
      </c>
      <c r="AQ28" t="s">
        <v>357</v>
      </c>
      <c r="AR28" t="s">
        <v>133</v>
      </c>
      <c r="AS28" t="s">
        <v>133</v>
      </c>
    </row>
    <row r="29" spans="1:54" x14ac:dyDescent="0.4">
      <c r="A29" t="s">
        <v>1431</v>
      </c>
      <c r="B29" t="s">
        <v>10</v>
      </c>
      <c r="C29" t="s">
        <v>3324</v>
      </c>
      <c r="D29" t="s">
        <v>11</v>
      </c>
      <c r="E29" s="2">
        <v>5.4000000000000003E-3</v>
      </c>
      <c r="F29" t="s">
        <v>12</v>
      </c>
      <c r="G29" s="4" t="s">
        <v>3325</v>
      </c>
      <c r="H29" t="s">
        <v>3324</v>
      </c>
      <c r="I29" t="s">
        <v>3326</v>
      </c>
      <c r="J29" t="s">
        <v>3327</v>
      </c>
      <c r="K29" t="s">
        <v>23</v>
      </c>
      <c r="L29" s="2">
        <v>3.3799999999999997E-2</v>
      </c>
      <c r="M29" t="s">
        <v>3328</v>
      </c>
      <c r="N29" t="s">
        <v>121</v>
      </c>
      <c r="O29" t="s">
        <v>3329</v>
      </c>
      <c r="P29" t="s">
        <v>3330</v>
      </c>
      <c r="Q29" t="s">
        <v>3331</v>
      </c>
      <c r="R29" t="s">
        <v>3332</v>
      </c>
      <c r="S29" t="s">
        <v>3333</v>
      </c>
      <c r="T29" t="s">
        <v>3334</v>
      </c>
      <c r="U29" t="s">
        <v>3334</v>
      </c>
      <c r="V29" t="s">
        <v>3335</v>
      </c>
      <c r="W29" t="s">
        <v>3335</v>
      </c>
      <c r="X29" t="s">
        <v>3335</v>
      </c>
      <c r="Y29" t="s">
        <v>3335</v>
      </c>
      <c r="Z29" t="s">
        <v>3335</v>
      </c>
      <c r="AA29" t="s">
        <v>3335</v>
      </c>
      <c r="AB29" s="2">
        <v>3.9399999999999998E-2</v>
      </c>
      <c r="AC29" s="2">
        <v>0.23780000000000001</v>
      </c>
      <c r="AD29" s="2">
        <v>0.51490000000000002</v>
      </c>
      <c r="AE29" s="2">
        <v>0.71340000000000003</v>
      </c>
      <c r="AF29" s="2">
        <v>0.77780000000000005</v>
      </c>
      <c r="AG29" s="2">
        <v>0.62390000000000001</v>
      </c>
      <c r="AH29" t="s">
        <v>3247</v>
      </c>
      <c r="AI29" t="s">
        <v>130</v>
      </c>
      <c r="AJ29" t="s">
        <v>131</v>
      </c>
      <c r="AK29" t="s">
        <v>40</v>
      </c>
      <c r="AL29">
        <v>1</v>
      </c>
      <c r="AM29" t="s">
        <v>41</v>
      </c>
      <c r="AN29" t="s">
        <v>42</v>
      </c>
      <c r="AO29" t="s">
        <v>3329</v>
      </c>
      <c r="AP29" t="s">
        <v>3336</v>
      </c>
      <c r="BA29" t="s">
        <v>174</v>
      </c>
      <c r="BB29" t="s">
        <v>61</v>
      </c>
    </row>
    <row r="30" spans="1:54" x14ac:dyDescent="0.4">
      <c r="A30" t="s">
        <v>740</v>
      </c>
      <c r="B30" t="s">
        <v>10</v>
      </c>
      <c r="C30" t="s">
        <v>3236</v>
      </c>
      <c r="D30" t="s">
        <v>11</v>
      </c>
      <c r="E30" s="2">
        <v>1.06E-2</v>
      </c>
      <c r="F30" t="s">
        <v>12</v>
      </c>
      <c r="G30" s="4" t="s">
        <v>3237</v>
      </c>
      <c r="H30" t="s">
        <v>3236</v>
      </c>
      <c r="I30" t="s">
        <v>3238</v>
      </c>
      <c r="J30" t="s">
        <v>3239</v>
      </c>
      <c r="K30" t="s">
        <v>23</v>
      </c>
      <c r="L30" s="2">
        <v>5.0000000000000001E-3</v>
      </c>
      <c r="M30" t="s">
        <v>254</v>
      </c>
      <c r="N30" t="s">
        <v>121</v>
      </c>
      <c r="O30" t="s">
        <v>3240</v>
      </c>
      <c r="P30" t="s">
        <v>3241</v>
      </c>
      <c r="Q30" t="s">
        <v>3242</v>
      </c>
      <c r="R30" t="s">
        <v>3243</v>
      </c>
      <c r="S30" t="s">
        <v>3244</v>
      </c>
      <c r="T30" t="s">
        <v>3245</v>
      </c>
      <c r="U30" t="s">
        <v>3246</v>
      </c>
      <c r="V30" t="s">
        <v>967</v>
      </c>
      <c r="W30" t="s">
        <v>967</v>
      </c>
      <c r="X30" t="s">
        <v>967</v>
      </c>
      <c r="Y30" t="s">
        <v>967</v>
      </c>
      <c r="Z30" t="s">
        <v>967</v>
      </c>
      <c r="AA30" t="s">
        <v>967</v>
      </c>
      <c r="AB30" s="2">
        <v>2.1499999999999998E-2</v>
      </c>
      <c r="AC30" s="2">
        <v>0.17</v>
      </c>
      <c r="AD30" s="2">
        <v>0.3301</v>
      </c>
      <c r="AE30" s="2">
        <v>1.0871</v>
      </c>
      <c r="AF30" s="2">
        <v>1.6326000000000001</v>
      </c>
      <c r="AG30" s="2">
        <v>1.4202999999999999</v>
      </c>
      <c r="AH30" t="s">
        <v>3247</v>
      </c>
      <c r="AI30" t="s">
        <v>130</v>
      </c>
      <c r="AJ30" t="s">
        <v>131</v>
      </c>
      <c r="AK30" t="s">
        <v>40</v>
      </c>
      <c r="AL30">
        <v>1</v>
      </c>
      <c r="AM30" t="s">
        <v>41</v>
      </c>
      <c r="AN30" t="s">
        <v>42</v>
      </c>
      <c r="AO30" t="s">
        <v>3240</v>
      </c>
      <c r="AP30" t="s">
        <v>3248</v>
      </c>
      <c r="AQ30" t="s">
        <v>3249</v>
      </c>
      <c r="AR30" t="s">
        <v>48</v>
      </c>
      <c r="AS30" t="s">
        <v>48</v>
      </c>
    </row>
    <row r="31" spans="1:54" x14ac:dyDescent="0.4">
      <c r="A31" t="s">
        <v>288</v>
      </c>
      <c r="B31" t="s">
        <v>10</v>
      </c>
      <c r="C31" t="s">
        <v>302</v>
      </c>
      <c r="D31" t="s">
        <v>11</v>
      </c>
      <c r="E31" s="2">
        <v>-1.1999999999999999E-3</v>
      </c>
      <c r="F31" t="s">
        <v>12</v>
      </c>
      <c r="G31" s="4">
        <f>-0.11 / -0.12%</f>
        <v>91.666666666666671</v>
      </c>
      <c r="H31" t="s">
        <v>302</v>
      </c>
      <c r="I31" t="s">
        <v>6061</v>
      </c>
      <c r="J31" t="s">
        <v>6062</v>
      </c>
      <c r="K31" t="s">
        <v>23</v>
      </c>
      <c r="L31" s="2">
        <v>7.4999999999999997E-3</v>
      </c>
      <c r="M31" t="s">
        <v>6063</v>
      </c>
      <c r="N31" t="s">
        <v>28</v>
      </c>
      <c r="O31" t="s">
        <v>6064</v>
      </c>
      <c r="P31" t="s">
        <v>394</v>
      </c>
      <c r="Q31" t="s">
        <v>3722</v>
      </c>
      <c r="R31" s="1">
        <v>92975</v>
      </c>
      <c r="S31" s="1">
        <v>91515</v>
      </c>
      <c r="T31" s="1">
        <v>87865</v>
      </c>
      <c r="U31" s="1">
        <v>87865</v>
      </c>
      <c r="V31" t="s">
        <v>1420</v>
      </c>
      <c r="W31" t="s">
        <v>1420</v>
      </c>
      <c r="X31" t="s">
        <v>1420</v>
      </c>
      <c r="Y31" t="s">
        <v>1420</v>
      </c>
      <c r="Z31" t="s">
        <v>1420</v>
      </c>
      <c r="AA31" t="s">
        <v>6065</v>
      </c>
      <c r="AB31" s="2">
        <v>-2.7000000000000001E-3</v>
      </c>
      <c r="AC31" s="2">
        <v>-1.8E-3</v>
      </c>
      <c r="AD31" s="2">
        <v>1.8700000000000001E-2</v>
      </c>
      <c r="AE31" s="2">
        <v>2.8799999999999999E-2</v>
      </c>
      <c r="AF31" s="2">
        <v>4.9799999999999997E-2</v>
      </c>
      <c r="AG31" s="2">
        <v>-8.3099999999999993E-2</v>
      </c>
      <c r="AH31" t="s">
        <v>6066</v>
      </c>
      <c r="AI31" t="s">
        <v>130</v>
      </c>
      <c r="AJ31" t="s">
        <v>131</v>
      </c>
      <c r="AK31" t="s">
        <v>40</v>
      </c>
      <c r="AL31">
        <v>1</v>
      </c>
      <c r="AM31" t="s">
        <v>41</v>
      </c>
      <c r="AN31" t="s">
        <v>42</v>
      </c>
      <c r="AO31" t="s">
        <v>6064</v>
      </c>
      <c r="AP31" t="s">
        <v>225</v>
      </c>
      <c r="AQ31" t="s">
        <v>225</v>
      </c>
      <c r="AR31" t="s">
        <v>48</v>
      </c>
      <c r="AS31" t="s">
        <v>48</v>
      </c>
    </row>
    <row r="32" spans="1:54" x14ac:dyDescent="0.4">
      <c r="A32" t="s">
        <v>740</v>
      </c>
      <c r="B32" t="s">
        <v>10</v>
      </c>
      <c r="C32" t="s">
        <v>3936</v>
      </c>
      <c r="D32" t="s">
        <v>11</v>
      </c>
      <c r="E32" s="2">
        <v>1E-4</v>
      </c>
      <c r="F32" t="s">
        <v>12</v>
      </c>
      <c r="G32" s="4" t="s">
        <v>148</v>
      </c>
      <c r="H32" t="s">
        <v>3936</v>
      </c>
      <c r="I32" t="s">
        <v>7443</v>
      </c>
      <c r="J32" t="s">
        <v>7444</v>
      </c>
      <c r="K32" t="s">
        <v>23</v>
      </c>
      <c r="L32" s="2">
        <v>1.8749999999999999E-2</v>
      </c>
      <c r="M32" t="s">
        <v>5024</v>
      </c>
      <c r="N32" t="s">
        <v>28</v>
      </c>
      <c r="O32" t="s">
        <v>7445</v>
      </c>
      <c r="P32" t="s">
        <v>3044</v>
      </c>
      <c r="Q32" t="s">
        <v>4299</v>
      </c>
      <c r="R32" t="s">
        <v>1843</v>
      </c>
      <c r="S32" t="s">
        <v>7446</v>
      </c>
      <c r="T32" t="s">
        <v>7447</v>
      </c>
      <c r="U32" t="s">
        <v>7448</v>
      </c>
      <c r="V32" t="s">
        <v>918</v>
      </c>
      <c r="W32" t="s">
        <v>2214</v>
      </c>
      <c r="X32" t="s">
        <v>2214</v>
      </c>
      <c r="Y32" t="s">
        <v>2214</v>
      </c>
      <c r="Z32" t="s">
        <v>2214</v>
      </c>
      <c r="AA32" s="1">
        <v>105435</v>
      </c>
      <c r="AB32" s="2">
        <v>5.9999999999999995E-4</v>
      </c>
      <c r="AC32" s="2">
        <v>5.3E-3</v>
      </c>
      <c r="AD32" s="2">
        <v>2.2499999999999999E-2</v>
      </c>
      <c r="AE32" s="2">
        <v>6.7299999999999999E-2</v>
      </c>
      <c r="AF32" s="2">
        <v>0.13669999999999999</v>
      </c>
      <c r="AG32" s="2">
        <v>-6.9699999999999998E-2</v>
      </c>
      <c r="AH32" t="s">
        <v>7449</v>
      </c>
      <c r="AI32" t="s">
        <v>130</v>
      </c>
      <c r="AJ32" t="s">
        <v>131</v>
      </c>
      <c r="AK32" t="s">
        <v>40</v>
      </c>
      <c r="AL32">
        <v>100</v>
      </c>
      <c r="AM32" t="s">
        <v>41</v>
      </c>
      <c r="AN32" t="s">
        <v>42</v>
      </c>
      <c r="AO32" t="s">
        <v>7445</v>
      </c>
      <c r="AP32" t="s">
        <v>225</v>
      </c>
      <c r="AQ32" t="s">
        <v>7450</v>
      </c>
      <c r="AR32" t="s">
        <v>48</v>
      </c>
      <c r="AS32" t="s">
        <v>48</v>
      </c>
    </row>
    <row r="33" spans="1:53" x14ac:dyDescent="0.4">
      <c r="A33" t="s">
        <v>4453</v>
      </c>
      <c r="B33" t="s">
        <v>10</v>
      </c>
      <c r="C33" t="s">
        <v>2616</v>
      </c>
      <c r="D33" t="s">
        <v>11</v>
      </c>
      <c r="E33" s="2">
        <v>-6.1000000000000004E-3</v>
      </c>
      <c r="F33" t="s">
        <v>363</v>
      </c>
      <c r="G33" s="4">
        <f>-0.6 / -0.61%</f>
        <v>98.360655737704917</v>
      </c>
      <c r="H33" t="s">
        <v>2616</v>
      </c>
      <c r="I33" t="s">
        <v>5519</v>
      </c>
      <c r="J33" t="s">
        <v>5520</v>
      </c>
      <c r="K33" t="s">
        <v>23</v>
      </c>
      <c r="L33" s="2">
        <v>5.7500000000000002E-2</v>
      </c>
      <c r="M33" t="s">
        <v>4787</v>
      </c>
      <c r="N33" t="s">
        <v>121</v>
      </c>
      <c r="O33" t="s">
        <v>120</v>
      </c>
      <c r="P33" t="s">
        <v>897</v>
      </c>
      <c r="Q33" t="s">
        <v>897</v>
      </c>
      <c r="R33" t="s">
        <v>897</v>
      </c>
      <c r="S33" t="s">
        <v>5521</v>
      </c>
      <c r="T33" t="s">
        <v>5521</v>
      </c>
      <c r="U33" t="s">
        <v>5521</v>
      </c>
      <c r="V33" t="s">
        <v>2806</v>
      </c>
      <c r="W33" t="s">
        <v>4628</v>
      </c>
      <c r="X33" t="s">
        <v>5522</v>
      </c>
      <c r="Y33" t="s">
        <v>5522</v>
      </c>
      <c r="Z33" t="s">
        <v>5522</v>
      </c>
      <c r="AA33" t="s">
        <v>5522</v>
      </c>
      <c r="AB33" s="2">
        <v>-1.0999999999999999E-2</v>
      </c>
      <c r="AC33" s="2">
        <v>-2.0199999999999999E-2</v>
      </c>
      <c r="AD33" s="2">
        <v>-2E-3</v>
      </c>
      <c r="AE33" s="2">
        <v>-0.01</v>
      </c>
      <c r="AF33" s="2">
        <v>-0.01</v>
      </c>
      <c r="AG33" s="2">
        <v>-0.01</v>
      </c>
      <c r="AH33" t="s">
        <v>5523</v>
      </c>
      <c r="AI33" t="s">
        <v>130</v>
      </c>
      <c r="AJ33" t="s">
        <v>131</v>
      </c>
      <c r="AK33" t="s">
        <v>40</v>
      </c>
      <c r="AL33">
        <v>2</v>
      </c>
      <c r="AM33" t="s">
        <v>41</v>
      </c>
      <c r="AN33" t="s">
        <v>42</v>
      </c>
      <c r="AO33" t="s">
        <v>120</v>
      </c>
      <c r="AP33" t="s">
        <v>225</v>
      </c>
      <c r="AQ33" t="s">
        <v>225</v>
      </c>
      <c r="AR33" t="s">
        <v>133</v>
      </c>
      <c r="AS33" t="s">
        <v>133</v>
      </c>
    </row>
    <row r="34" spans="1:53" x14ac:dyDescent="0.4">
      <c r="A34" t="s">
        <v>4453</v>
      </c>
      <c r="B34" t="s">
        <v>10</v>
      </c>
      <c r="C34" s="1">
        <v>99609</v>
      </c>
      <c r="D34" t="s">
        <v>11</v>
      </c>
      <c r="E34" s="2">
        <v>8.0000000000000004E-4</v>
      </c>
      <c r="F34" t="s">
        <v>178</v>
      </c>
      <c r="G34" s="4" t="s">
        <v>5524</v>
      </c>
      <c r="H34" s="1">
        <v>99609</v>
      </c>
      <c r="I34" t="s">
        <v>5525</v>
      </c>
      <c r="J34" t="s">
        <v>5526</v>
      </c>
      <c r="K34" t="s">
        <v>23</v>
      </c>
      <c r="L34" s="2">
        <v>4.1250000000000002E-2</v>
      </c>
      <c r="M34" t="s">
        <v>5527</v>
      </c>
      <c r="N34" t="s">
        <v>121</v>
      </c>
      <c r="O34" t="s">
        <v>1470</v>
      </c>
      <c r="P34" t="s">
        <v>2645</v>
      </c>
      <c r="Q34" t="s">
        <v>2645</v>
      </c>
      <c r="R34" t="s">
        <v>2645</v>
      </c>
      <c r="S34" t="s">
        <v>219</v>
      </c>
      <c r="T34" t="s">
        <v>219</v>
      </c>
      <c r="U34" t="s">
        <v>219</v>
      </c>
      <c r="V34" t="s">
        <v>450</v>
      </c>
      <c r="W34" t="s">
        <v>222</v>
      </c>
      <c r="X34" t="s">
        <v>5528</v>
      </c>
      <c r="Y34" t="s">
        <v>5528</v>
      </c>
      <c r="Z34" t="s">
        <v>5528</v>
      </c>
      <c r="AA34" t="s">
        <v>5528</v>
      </c>
      <c r="AB34" s="2">
        <v>1.4E-3</v>
      </c>
      <c r="AC34" s="2">
        <v>-4.1999999999999997E-3</v>
      </c>
      <c r="AD34" s="2">
        <v>3.0999999999999999E-3</v>
      </c>
      <c r="AE34" s="2">
        <v>-1.6999999999999999E-3</v>
      </c>
      <c r="AF34" s="2">
        <v>2.3E-3</v>
      </c>
      <c r="AG34" s="2">
        <v>2.3E-3</v>
      </c>
      <c r="AH34" t="s">
        <v>4100</v>
      </c>
      <c r="AI34" t="s">
        <v>130</v>
      </c>
      <c r="AJ34" t="s">
        <v>131</v>
      </c>
      <c r="AK34" t="s">
        <v>40</v>
      </c>
      <c r="AL34">
        <v>2</v>
      </c>
      <c r="AM34" t="s">
        <v>41</v>
      </c>
      <c r="AN34" t="s">
        <v>42</v>
      </c>
      <c r="AO34" t="s">
        <v>1470</v>
      </c>
      <c r="AP34" t="s">
        <v>814</v>
      </c>
      <c r="AQ34" t="s">
        <v>814</v>
      </c>
      <c r="AR34" t="s">
        <v>133</v>
      </c>
      <c r="AS34" t="s">
        <v>133</v>
      </c>
    </row>
    <row r="35" spans="1:53" x14ac:dyDescent="0.4">
      <c r="A35" t="s">
        <v>76</v>
      </c>
      <c r="B35" t="s">
        <v>10</v>
      </c>
      <c r="C35" t="s">
        <v>4095</v>
      </c>
      <c r="D35" t="s">
        <v>11</v>
      </c>
      <c r="E35" s="2">
        <v>1.6000000000000001E-3</v>
      </c>
      <c r="F35" t="s">
        <v>12</v>
      </c>
      <c r="G35" s="4" t="s">
        <v>4096</v>
      </c>
      <c r="H35" t="s">
        <v>4095</v>
      </c>
      <c r="I35" t="s">
        <v>4097</v>
      </c>
      <c r="J35" t="s">
        <v>4098</v>
      </c>
      <c r="K35" t="s">
        <v>23</v>
      </c>
      <c r="L35" s="2">
        <v>4.3749999999999997E-2</v>
      </c>
      <c r="M35" t="s">
        <v>4099</v>
      </c>
      <c r="N35" t="s">
        <v>121</v>
      </c>
      <c r="O35" t="s">
        <v>1175</v>
      </c>
      <c r="P35" s="1">
        <v>99355</v>
      </c>
      <c r="Q35" s="1">
        <v>99355</v>
      </c>
      <c r="R35" s="1">
        <v>99355</v>
      </c>
      <c r="S35" s="1">
        <v>99355</v>
      </c>
      <c r="T35" s="1">
        <v>99355</v>
      </c>
      <c r="U35" s="1">
        <v>99355</v>
      </c>
      <c r="V35" t="s">
        <v>4095</v>
      </c>
      <c r="W35" t="s">
        <v>4095</v>
      </c>
      <c r="X35" t="s">
        <v>4095</v>
      </c>
      <c r="Y35" t="s">
        <v>4095</v>
      </c>
      <c r="Z35" t="s">
        <v>4095</v>
      </c>
      <c r="AA35" t="s">
        <v>4095</v>
      </c>
      <c r="AB35" s="2">
        <v>1.8E-3</v>
      </c>
      <c r="AC35" s="2">
        <v>1.8E-3</v>
      </c>
      <c r="AD35" s="2">
        <v>1.8E-3</v>
      </c>
      <c r="AE35" s="2">
        <v>1.8E-3</v>
      </c>
      <c r="AF35" s="2">
        <v>1.8E-3</v>
      </c>
      <c r="AG35" s="2">
        <v>1.8E-3</v>
      </c>
      <c r="AH35" t="s">
        <v>4100</v>
      </c>
      <c r="AI35" t="s">
        <v>130</v>
      </c>
      <c r="AJ35" t="s">
        <v>131</v>
      </c>
      <c r="AK35" t="s">
        <v>40</v>
      </c>
      <c r="AL35">
        <v>1</v>
      </c>
      <c r="AM35" t="s">
        <v>41</v>
      </c>
      <c r="AN35" t="s">
        <v>42</v>
      </c>
      <c r="AO35" t="s">
        <v>1175</v>
      </c>
      <c r="AP35" t="s">
        <v>1258</v>
      </c>
      <c r="AQ35" t="s">
        <v>1258</v>
      </c>
      <c r="AR35" t="s">
        <v>133</v>
      </c>
      <c r="AS35" t="s">
        <v>133</v>
      </c>
    </row>
    <row r="36" spans="1:53" x14ac:dyDescent="0.4">
      <c r="A36" t="s">
        <v>76</v>
      </c>
      <c r="B36" t="s">
        <v>10</v>
      </c>
      <c r="C36" t="s">
        <v>891</v>
      </c>
      <c r="D36" t="s">
        <v>11</v>
      </c>
      <c r="E36" s="2">
        <v>-1E-3</v>
      </c>
      <c r="F36" t="s">
        <v>12</v>
      </c>
      <c r="G36" s="4">
        <f>-0.1 / -0.1%</f>
        <v>100</v>
      </c>
      <c r="H36" t="s">
        <v>891</v>
      </c>
      <c r="I36" t="s">
        <v>7462</v>
      </c>
      <c r="J36" t="s">
        <v>7463</v>
      </c>
      <c r="K36" t="s">
        <v>23</v>
      </c>
      <c r="L36" s="2">
        <v>3.3750000000000002E-2</v>
      </c>
      <c r="M36" t="s">
        <v>7464</v>
      </c>
      <c r="N36" t="s">
        <v>28</v>
      </c>
      <c r="O36" t="s">
        <v>7465</v>
      </c>
      <c r="P36" t="s">
        <v>3125</v>
      </c>
      <c r="Q36" t="s">
        <v>2765</v>
      </c>
      <c r="R36" t="s">
        <v>2859</v>
      </c>
      <c r="S36" t="s">
        <v>7212</v>
      </c>
      <c r="T36" t="s">
        <v>7466</v>
      </c>
      <c r="U36" t="s">
        <v>6033</v>
      </c>
      <c r="V36" t="s">
        <v>7467</v>
      </c>
      <c r="W36" t="s">
        <v>1457</v>
      </c>
      <c r="X36" t="s">
        <v>1457</v>
      </c>
      <c r="Y36" t="s">
        <v>1457</v>
      </c>
      <c r="Z36" t="s">
        <v>1457</v>
      </c>
      <c r="AA36" t="s">
        <v>7468</v>
      </c>
      <c r="AB36" s="2">
        <v>-8.6999999999999994E-3</v>
      </c>
      <c r="AC36" s="2">
        <v>3.5000000000000001E-3</v>
      </c>
      <c r="AD36" s="2">
        <v>2.7199999999999998E-2</v>
      </c>
      <c r="AE36" s="2">
        <v>5.4199999999999998E-2</v>
      </c>
      <c r="AF36" s="2">
        <v>0.1187</v>
      </c>
      <c r="AG36" s="2">
        <v>-0.1012</v>
      </c>
      <c r="AH36" t="s">
        <v>7469</v>
      </c>
      <c r="AI36" t="s">
        <v>130</v>
      </c>
      <c r="AJ36" t="s">
        <v>131</v>
      </c>
      <c r="AK36" t="s">
        <v>40</v>
      </c>
      <c r="AL36">
        <v>100</v>
      </c>
      <c r="AM36" t="s">
        <v>41</v>
      </c>
      <c r="AN36" t="s">
        <v>42</v>
      </c>
      <c r="AO36" t="s">
        <v>7465</v>
      </c>
      <c r="AP36" t="s">
        <v>225</v>
      </c>
      <c r="AZ36">
        <v>100</v>
      </c>
      <c r="BA36" t="s">
        <v>59</v>
      </c>
    </row>
    <row r="37" spans="1:53" x14ac:dyDescent="0.4">
      <c r="A37" t="s">
        <v>961</v>
      </c>
      <c r="B37" t="s">
        <v>10</v>
      </c>
      <c r="C37" t="s">
        <v>2944</v>
      </c>
      <c r="D37" t="s">
        <v>11</v>
      </c>
      <c r="E37" s="2">
        <v>-1.6999999999999999E-3</v>
      </c>
      <c r="F37" t="s">
        <v>12</v>
      </c>
      <c r="G37" s="4">
        <f>-0.145 / -0.17%</f>
        <v>85.294117647058812</v>
      </c>
      <c r="H37" t="s">
        <v>2944</v>
      </c>
      <c r="I37" t="s">
        <v>2945</v>
      </c>
      <c r="J37" t="s">
        <v>2946</v>
      </c>
      <c r="K37" t="s">
        <v>23</v>
      </c>
      <c r="M37" t="s">
        <v>2947</v>
      </c>
      <c r="N37" t="s">
        <v>28</v>
      </c>
      <c r="O37" t="s">
        <v>2948</v>
      </c>
      <c r="P37" t="s">
        <v>2949</v>
      </c>
      <c r="Q37" t="s">
        <v>2950</v>
      </c>
      <c r="R37" t="s">
        <v>2951</v>
      </c>
      <c r="S37" t="s">
        <v>2952</v>
      </c>
      <c r="T37" s="1">
        <v>79585</v>
      </c>
      <c r="U37" s="1">
        <v>79585</v>
      </c>
      <c r="V37" t="s">
        <v>2111</v>
      </c>
      <c r="W37" t="s">
        <v>2953</v>
      </c>
      <c r="X37" t="s">
        <v>2953</v>
      </c>
      <c r="Y37" t="s">
        <v>2953</v>
      </c>
      <c r="Z37" t="s">
        <v>2953</v>
      </c>
      <c r="AA37" t="s">
        <v>2325</v>
      </c>
      <c r="AB37" s="2">
        <v>-7.4999999999999997E-3</v>
      </c>
      <c r="AC37" s="2">
        <v>-4.4999999999999997E-3</v>
      </c>
      <c r="AD37" s="2">
        <v>1.9400000000000001E-2</v>
      </c>
      <c r="AE37" s="2">
        <v>2.69E-2</v>
      </c>
      <c r="AF37" s="2">
        <v>5.4699999999999999E-2</v>
      </c>
      <c r="AG37" s="2">
        <v>-0.1202</v>
      </c>
      <c r="AH37" t="s">
        <v>1668</v>
      </c>
      <c r="AI37" t="s">
        <v>130</v>
      </c>
      <c r="AJ37" t="s">
        <v>38</v>
      </c>
      <c r="AK37" t="s">
        <v>40</v>
      </c>
      <c r="AL37">
        <v>1</v>
      </c>
      <c r="AM37" t="s">
        <v>41</v>
      </c>
      <c r="AN37" t="s">
        <v>42</v>
      </c>
      <c r="AO37" t="s">
        <v>2948</v>
      </c>
      <c r="AP37" t="s">
        <v>2954</v>
      </c>
      <c r="AQ37" t="s">
        <v>2954</v>
      </c>
      <c r="AR37" t="s">
        <v>48</v>
      </c>
      <c r="AS37" t="s">
        <v>48</v>
      </c>
      <c r="AT37" t="s">
        <v>2948</v>
      </c>
    </row>
    <row r="38" spans="1:53" x14ac:dyDescent="0.4">
      <c r="A38" t="s">
        <v>630</v>
      </c>
      <c r="B38" t="s">
        <v>10</v>
      </c>
      <c r="C38" t="s">
        <v>2076</v>
      </c>
      <c r="D38" t="s">
        <v>11</v>
      </c>
      <c r="E38" s="2">
        <v>-1.4E-3</v>
      </c>
      <c r="F38" t="s">
        <v>12</v>
      </c>
      <c r="G38" s="4">
        <f>-0.13 / -0.14%</f>
        <v>92.857142857142847</v>
      </c>
      <c r="H38" t="s">
        <v>2076</v>
      </c>
      <c r="I38" t="s">
        <v>2077</v>
      </c>
      <c r="J38" t="s">
        <v>2078</v>
      </c>
      <c r="K38" t="s">
        <v>23</v>
      </c>
      <c r="M38" t="s">
        <v>2079</v>
      </c>
      <c r="N38" t="s">
        <v>28</v>
      </c>
      <c r="O38" t="s">
        <v>2080</v>
      </c>
      <c r="P38" t="s">
        <v>2081</v>
      </c>
      <c r="Q38" s="1">
        <v>90435</v>
      </c>
      <c r="R38" t="s">
        <v>2082</v>
      </c>
      <c r="S38" t="s">
        <v>1924</v>
      </c>
      <c r="T38" t="s">
        <v>2083</v>
      </c>
      <c r="U38" t="s">
        <v>2083</v>
      </c>
      <c r="V38" t="s">
        <v>2084</v>
      </c>
      <c r="W38" t="s">
        <v>2085</v>
      </c>
      <c r="X38" t="s">
        <v>2085</v>
      </c>
      <c r="Y38" t="s">
        <v>2085</v>
      </c>
      <c r="Z38" t="s">
        <v>2085</v>
      </c>
      <c r="AA38" t="s">
        <v>2086</v>
      </c>
      <c r="AB38" s="2">
        <v>-5.4999999999999997E-3</v>
      </c>
      <c r="AC38" s="2">
        <v>-2.2000000000000001E-3</v>
      </c>
      <c r="AD38" s="2">
        <v>1.9900000000000001E-2</v>
      </c>
      <c r="AE38" s="2">
        <v>3.1899999999999998E-2</v>
      </c>
      <c r="AF38" s="2">
        <v>5.6899999999999999E-2</v>
      </c>
      <c r="AG38" s="2">
        <v>-9.1700000000000004E-2</v>
      </c>
      <c r="AH38" t="s">
        <v>1668</v>
      </c>
      <c r="AI38" t="s">
        <v>130</v>
      </c>
      <c r="AJ38" t="s">
        <v>38</v>
      </c>
      <c r="AK38" t="s">
        <v>40</v>
      </c>
      <c r="AL38">
        <v>1</v>
      </c>
      <c r="AM38" t="s">
        <v>41</v>
      </c>
      <c r="AN38" t="s">
        <v>42</v>
      </c>
      <c r="AO38" t="s">
        <v>2080</v>
      </c>
      <c r="AP38" t="s">
        <v>2087</v>
      </c>
      <c r="AQ38" t="s">
        <v>2087</v>
      </c>
      <c r="AR38" t="s">
        <v>48</v>
      </c>
      <c r="AS38" t="s">
        <v>48</v>
      </c>
      <c r="AT38" t="s">
        <v>2080</v>
      </c>
    </row>
    <row r="39" spans="1:53" x14ac:dyDescent="0.4">
      <c r="A39" t="s">
        <v>76</v>
      </c>
      <c r="B39" t="s">
        <v>10</v>
      </c>
      <c r="C39" s="1">
        <v>104035</v>
      </c>
      <c r="D39" t="s">
        <v>11</v>
      </c>
      <c r="E39" s="2">
        <v>-1.5E-3</v>
      </c>
      <c r="F39" t="s">
        <v>12</v>
      </c>
      <c r="G39" s="4">
        <f>-0.155 / -0.15%</f>
        <v>103.33333333333333</v>
      </c>
      <c r="H39" s="1">
        <v>104035</v>
      </c>
      <c r="I39" t="s">
        <v>2149</v>
      </c>
      <c r="J39" t="s">
        <v>2150</v>
      </c>
      <c r="K39" t="s">
        <v>23</v>
      </c>
      <c r="L39" s="2">
        <v>3.4500000000000003E-2</v>
      </c>
      <c r="M39" t="s">
        <v>2151</v>
      </c>
      <c r="N39" t="s">
        <v>28</v>
      </c>
      <c r="O39" t="s">
        <v>827</v>
      </c>
      <c r="P39" t="s">
        <v>583</v>
      </c>
      <c r="Q39" t="s">
        <v>583</v>
      </c>
      <c r="R39" t="s">
        <v>583</v>
      </c>
      <c r="S39" t="s">
        <v>2152</v>
      </c>
      <c r="T39" t="s">
        <v>1176</v>
      </c>
      <c r="U39" t="s">
        <v>1176</v>
      </c>
      <c r="V39" s="1">
        <v>105155</v>
      </c>
      <c r="W39" t="s">
        <v>2153</v>
      </c>
      <c r="X39" t="s">
        <v>2153</v>
      </c>
      <c r="Y39" t="s">
        <v>2153</v>
      </c>
      <c r="Z39" s="1">
        <v>106855</v>
      </c>
      <c r="AA39" s="1">
        <v>106855</v>
      </c>
      <c r="AB39" s="2">
        <v>-1.14E-2</v>
      </c>
      <c r="AC39" s="2">
        <v>-1.2200000000000001E-2</v>
      </c>
      <c r="AD39" s="2">
        <v>2.7000000000000001E-3</v>
      </c>
      <c r="AE39" s="2">
        <v>-3.8999999999999998E-3</v>
      </c>
      <c r="AF39" s="2">
        <v>3.8300000000000001E-2</v>
      </c>
      <c r="AG39" s="2">
        <v>3.8300000000000001E-2</v>
      </c>
      <c r="AH39" t="s">
        <v>1668</v>
      </c>
      <c r="AI39" t="s">
        <v>130</v>
      </c>
      <c r="AJ39" t="s">
        <v>38</v>
      </c>
      <c r="AK39" t="s">
        <v>40</v>
      </c>
      <c r="AL39">
        <v>100</v>
      </c>
      <c r="AM39" t="s">
        <v>41</v>
      </c>
      <c r="AN39" t="s">
        <v>42</v>
      </c>
      <c r="AO39" t="s">
        <v>827</v>
      </c>
      <c r="AP39" t="s">
        <v>2154</v>
      </c>
      <c r="AQ39" t="s">
        <v>2154</v>
      </c>
      <c r="AR39" t="s">
        <v>48</v>
      </c>
      <c r="AS39" t="s">
        <v>48</v>
      </c>
    </row>
    <row r="40" spans="1:53" x14ac:dyDescent="0.4">
      <c r="A40" t="s">
        <v>592</v>
      </c>
      <c r="B40" t="s">
        <v>10</v>
      </c>
      <c r="C40" t="s">
        <v>591</v>
      </c>
      <c r="D40" t="s">
        <v>11</v>
      </c>
      <c r="E40" s="2">
        <v>-1.6000000000000001E-3</v>
      </c>
      <c r="F40" t="s">
        <v>12</v>
      </c>
      <c r="G40" s="4">
        <f>-0.16 / -0.16%</f>
        <v>100</v>
      </c>
      <c r="H40" t="s">
        <v>591</v>
      </c>
      <c r="I40" t="s">
        <v>1962</v>
      </c>
      <c r="J40" t="s">
        <v>1963</v>
      </c>
      <c r="K40" t="s">
        <v>23</v>
      </c>
      <c r="L40" s="2">
        <v>3.2000000000000001E-2</v>
      </c>
      <c r="M40" t="s">
        <v>1851</v>
      </c>
      <c r="N40" t="s">
        <v>28</v>
      </c>
      <c r="O40" t="s">
        <v>1788</v>
      </c>
      <c r="P40" t="s">
        <v>1964</v>
      </c>
      <c r="Q40" t="s">
        <v>1964</v>
      </c>
      <c r="R40" t="s">
        <v>1964</v>
      </c>
      <c r="S40" t="s">
        <v>1965</v>
      </c>
      <c r="T40" t="s">
        <v>1965</v>
      </c>
      <c r="U40" t="s">
        <v>1965</v>
      </c>
      <c r="V40" t="s">
        <v>1966</v>
      </c>
      <c r="W40" t="s">
        <v>988</v>
      </c>
      <c r="X40" t="s">
        <v>988</v>
      </c>
      <c r="Y40" t="s">
        <v>988</v>
      </c>
      <c r="Z40" t="s">
        <v>988</v>
      </c>
      <c r="AA40" t="s">
        <v>988</v>
      </c>
      <c r="AB40" s="2">
        <v>-2.63E-2</v>
      </c>
      <c r="AC40" s="2">
        <v>-2.1299999999999999E-2</v>
      </c>
      <c r="AD40" s="2">
        <v>-5.9999999999999995E-4</v>
      </c>
      <c r="AE40" s="2">
        <v>1.2999999999999999E-3</v>
      </c>
      <c r="AF40" s="2">
        <v>1.2999999999999999E-3</v>
      </c>
      <c r="AG40" s="2">
        <v>1.2999999999999999E-3</v>
      </c>
      <c r="AH40" t="s">
        <v>1668</v>
      </c>
      <c r="AI40" t="s">
        <v>130</v>
      </c>
      <c r="AJ40" t="s">
        <v>38</v>
      </c>
      <c r="AK40" t="s">
        <v>40</v>
      </c>
      <c r="AL40">
        <v>100</v>
      </c>
      <c r="AM40" t="s">
        <v>41</v>
      </c>
      <c r="AN40" t="s">
        <v>42</v>
      </c>
      <c r="AO40" t="s">
        <v>1788</v>
      </c>
      <c r="AP40" t="s">
        <v>1967</v>
      </c>
      <c r="AQ40" t="s">
        <v>1967</v>
      </c>
      <c r="AR40" t="s">
        <v>48</v>
      </c>
      <c r="AS40" t="s">
        <v>48</v>
      </c>
    </row>
    <row r="41" spans="1:53" x14ac:dyDescent="0.4">
      <c r="A41" t="s">
        <v>115</v>
      </c>
      <c r="B41" t="s">
        <v>10</v>
      </c>
      <c r="C41" t="s">
        <v>976</v>
      </c>
      <c r="D41" t="s">
        <v>11</v>
      </c>
      <c r="E41" s="2">
        <v>-1.6999999999999999E-3</v>
      </c>
      <c r="F41" t="s">
        <v>12</v>
      </c>
      <c r="G41" s="4">
        <f>-0.17 / -0.17%</f>
        <v>100</v>
      </c>
      <c r="H41" t="s">
        <v>976</v>
      </c>
      <c r="I41" t="s">
        <v>3894</v>
      </c>
      <c r="J41" t="s">
        <v>3895</v>
      </c>
      <c r="K41" t="s">
        <v>23</v>
      </c>
      <c r="L41" s="2">
        <v>2.9000000000000001E-2</v>
      </c>
      <c r="M41" t="s">
        <v>3896</v>
      </c>
      <c r="N41" t="s">
        <v>28</v>
      </c>
      <c r="O41" t="s">
        <v>1394</v>
      </c>
      <c r="P41" t="s">
        <v>1256</v>
      </c>
      <c r="Q41" t="s">
        <v>1256</v>
      </c>
      <c r="R41" t="s">
        <v>1256</v>
      </c>
      <c r="S41" t="s">
        <v>1870</v>
      </c>
      <c r="T41" t="s">
        <v>1870</v>
      </c>
      <c r="U41" t="s">
        <v>1870</v>
      </c>
      <c r="V41" t="s">
        <v>1756</v>
      </c>
      <c r="W41" t="s">
        <v>3897</v>
      </c>
      <c r="X41" t="s">
        <v>3897</v>
      </c>
      <c r="Y41" t="s">
        <v>3897</v>
      </c>
      <c r="Z41" t="s">
        <v>3897</v>
      </c>
      <c r="AA41" t="s">
        <v>3897</v>
      </c>
      <c r="AB41" s="2">
        <v>-1.6E-2</v>
      </c>
      <c r="AC41" s="2">
        <v>-1.7299999999999999E-2</v>
      </c>
      <c r="AD41" s="2">
        <v>1E-3</v>
      </c>
      <c r="AE41" s="2">
        <v>-3.3E-3</v>
      </c>
      <c r="AF41" s="2">
        <v>-4.4999999999999997E-3</v>
      </c>
      <c r="AG41" s="2">
        <v>-4.4999999999999997E-3</v>
      </c>
      <c r="AH41" t="s">
        <v>1668</v>
      </c>
      <c r="AI41" t="s">
        <v>130</v>
      </c>
      <c r="AJ41" t="s">
        <v>38</v>
      </c>
      <c r="AK41" t="s">
        <v>40</v>
      </c>
      <c r="AL41">
        <v>100</v>
      </c>
      <c r="AM41" t="s">
        <v>41</v>
      </c>
      <c r="AN41" t="s">
        <v>42</v>
      </c>
      <c r="AO41" t="s">
        <v>1394</v>
      </c>
      <c r="AP41" t="s">
        <v>3898</v>
      </c>
      <c r="AQ41" t="s">
        <v>3898</v>
      </c>
      <c r="AR41" t="s">
        <v>48</v>
      </c>
      <c r="AS41" t="s">
        <v>48</v>
      </c>
    </row>
    <row r="42" spans="1:53" x14ac:dyDescent="0.4">
      <c r="A42" t="s">
        <v>115</v>
      </c>
      <c r="B42" t="s">
        <v>10</v>
      </c>
      <c r="C42" t="s">
        <v>738</v>
      </c>
      <c r="D42" t="s">
        <v>11</v>
      </c>
      <c r="E42" s="2">
        <v>-1.5E-3</v>
      </c>
      <c r="F42" t="s">
        <v>12</v>
      </c>
      <c r="G42" s="4">
        <f>-0.15 / -0.15%</f>
        <v>100</v>
      </c>
      <c r="H42" t="s">
        <v>738</v>
      </c>
      <c r="I42" t="s">
        <v>2033</v>
      </c>
      <c r="J42" t="s">
        <v>2034</v>
      </c>
      <c r="K42" t="s">
        <v>23</v>
      </c>
      <c r="L42" s="2">
        <v>2.9000000000000001E-2</v>
      </c>
      <c r="M42" t="s">
        <v>2035</v>
      </c>
      <c r="N42" t="s">
        <v>28</v>
      </c>
      <c r="O42" t="s">
        <v>87</v>
      </c>
      <c r="P42" t="s">
        <v>674</v>
      </c>
      <c r="Q42" t="s">
        <v>674</v>
      </c>
      <c r="R42" t="s">
        <v>63</v>
      </c>
      <c r="S42" t="s">
        <v>246</v>
      </c>
      <c r="T42" t="s">
        <v>2036</v>
      </c>
      <c r="U42" t="s">
        <v>2036</v>
      </c>
      <c r="V42" s="1">
        <v>103465</v>
      </c>
      <c r="W42" s="1">
        <v>103465</v>
      </c>
      <c r="X42" s="1">
        <v>103465</v>
      </c>
      <c r="Y42" s="1">
        <v>103465</v>
      </c>
      <c r="Z42" s="1">
        <v>103465</v>
      </c>
      <c r="AA42" s="1">
        <v>103465</v>
      </c>
      <c r="AB42" s="2">
        <v>-9.4000000000000004E-3</v>
      </c>
      <c r="AC42" s="2">
        <v>-0.01</v>
      </c>
      <c r="AD42" s="2">
        <v>4.8999999999999998E-3</v>
      </c>
      <c r="AE42" s="2">
        <v>-1.8E-3</v>
      </c>
      <c r="AF42" s="2">
        <v>1.6400000000000001E-2</v>
      </c>
      <c r="AG42" s="2">
        <v>1.6400000000000001E-2</v>
      </c>
      <c r="AH42" t="s">
        <v>1668</v>
      </c>
      <c r="AI42" t="s">
        <v>130</v>
      </c>
      <c r="AJ42" t="s">
        <v>38</v>
      </c>
      <c r="AK42" t="s">
        <v>40</v>
      </c>
      <c r="AL42">
        <v>1</v>
      </c>
      <c r="AM42" t="s">
        <v>41</v>
      </c>
      <c r="AN42" t="s">
        <v>42</v>
      </c>
      <c r="AO42" t="s">
        <v>87</v>
      </c>
      <c r="AP42" t="s">
        <v>2037</v>
      </c>
      <c r="AQ42" t="s">
        <v>2037</v>
      </c>
      <c r="AR42" t="s">
        <v>48</v>
      </c>
      <c r="AS42" t="s">
        <v>48</v>
      </c>
    </row>
    <row r="43" spans="1:53" x14ac:dyDescent="0.4">
      <c r="A43" t="s">
        <v>288</v>
      </c>
      <c r="B43" t="s">
        <v>10</v>
      </c>
      <c r="C43" t="s">
        <v>3048</v>
      </c>
      <c r="D43" t="s">
        <v>11</v>
      </c>
      <c r="E43" s="2">
        <v>-3.2000000000000002E-3</v>
      </c>
      <c r="F43" t="s">
        <v>12</v>
      </c>
      <c r="G43" s="4">
        <f>-0.23 / -0.32%</f>
        <v>71.875</v>
      </c>
      <c r="H43" t="s">
        <v>3048</v>
      </c>
      <c r="I43" t="s">
        <v>3049</v>
      </c>
      <c r="J43" t="s">
        <v>3050</v>
      </c>
      <c r="K43" t="s">
        <v>23</v>
      </c>
      <c r="L43" s="2">
        <v>2.1000000000000001E-2</v>
      </c>
      <c r="M43" t="s">
        <v>3051</v>
      </c>
      <c r="N43" t="s">
        <v>28</v>
      </c>
      <c r="O43" t="s">
        <v>948</v>
      </c>
      <c r="P43" t="s">
        <v>3052</v>
      </c>
      <c r="Q43" t="s">
        <v>3052</v>
      </c>
      <c r="R43" t="s">
        <v>3052</v>
      </c>
      <c r="S43" t="s">
        <v>3053</v>
      </c>
      <c r="T43" t="s">
        <v>1909</v>
      </c>
      <c r="U43" t="s">
        <v>1909</v>
      </c>
      <c r="V43" t="s">
        <v>945</v>
      </c>
      <c r="W43" t="s">
        <v>3054</v>
      </c>
      <c r="X43" t="s">
        <v>3054</v>
      </c>
      <c r="Y43" t="s">
        <v>3054</v>
      </c>
      <c r="Z43" t="s">
        <v>3054</v>
      </c>
      <c r="AA43" t="s">
        <v>3055</v>
      </c>
      <c r="AB43" s="2">
        <v>-6.2899999999999998E-2</v>
      </c>
      <c r="AC43" s="2">
        <v>-5.2600000000000001E-2</v>
      </c>
      <c r="AD43" s="2">
        <v>-2.2100000000000002E-2</v>
      </c>
      <c r="AE43" s="2">
        <v>-1.0500000000000001E-2</v>
      </c>
      <c r="AF43" s="2">
        <v>-0.09</v>
      </c>
      <c r="AG43" s="2">
        <v>-0.52439999999999998</v>
      </c>
      <c r="AH43" t="s">
        <v>1668</v>
      </c>
      <c r="AI43" t="s">
        <v>130</v>
      </c>
      <c r="AJ43" t="s">
        <v>38</v>
      </c>
      <c r="AK43" t="s">
        <v>40</v>
      </c>
      <c r="AL43">
        <v>1</v>
      </c>
      <c r="AM43" t="s">
        <v>41</v>
      </c>
      <c r="AN43" t="s">
        <v>42</v>
      </c>
      <c r="AO43" t="s">
        <v>948</v>
      </c>
      <c r="AP43" t="s">
        <v>1177</v>
      </c>
      <c r="AQ43" t="s">
        <v>1177</v>
      </c>
      <c r="AR43" t="s">
        <v>48</v>
      </c>
      <c r="AS43" t="s">
        <v>48</v>
      </c>
    </row>
    <row r="44" spans="1:53" x14ac:dyDescent="0.4">
      <c r="A44" t="s">
        <v>115</v>
      </c>
      <c r="B44" t="s">
        <v>10</v>
      </c>
      <c r="C44" s="1">
        <v>99498</v>
      </c>
      <c r="D44" t="s">
        <v>11</v>
      </c>
      <c r="E44" s="2">
        <v>-5.0000000000000001E-4</v>
      </c>
      <c r="F44" t="s">
        <v>12</v>
      </c>
      <c r="G44" s="4">
        <f>-0.05 / -0.05%</f>
        <v>100</v>
      </c>
      <c r="H44" s="1">
        <v>99498</v>
      </c>
      <c r="I44" t="s">
        <v>3104</v>
      </c>
      <c r="J44" t="s">
        <v>3105</v>
      </c>
      <c r="K44" t="s">
        <v>23</v>
      </c>
      <c r="L44" s="2">
        <v>0.02</v>
      </c>
      <c r="M44" t="s">
        <v>3106</v>
      </c>
      <c r="N44" t="s">
        <v>28</v>
      </c>
      <c r="O44" t="s">
        <v>3107</v>
      </c>
      <c r="P44" s="1">
        <v>99135</v>
      </c>
      <c r="Q44" s="1">
        <v>99135</v>
      </c>
      <c r="R44" t="s">
        <v>3108</v>
      </c>
      <c r="S44" t="s">
        <v>3109</v>
      </c>
      <c r="T44" s="1">
        <v>96115</v>
      </c>
      <c r="U44" s="1">
        <v>96115</v>
      </c>
      <c r="V44" s="1">
        <v>99718</v>
      </c>
      <c r="W44" s="1">
        <v>99907</v>
      </c>
      <c r="X44" s="1">
        <v>99907</v>
      </c>
      <c r="Y44" s="1">
        <v>99907</v>
      </c>
      <c r="Z44" s="1">
        <v>99907</v>
      </c>
      <c r="AA44" s="1">
        <v>100165</v>
      </c>
      <c r="AB44" s="2">
        <v>-2E-3</v>
      </c>
      <c r="AC44" s="2">
        <v>-1.2999999999999999E-3</v>
      </c>
      <c r="AD44" s="2">
        <v>1.06E-2</v>
      </c>
      <c r="AE44" s="2">
        <v>1.1599999999999999E-2</v>
      </c>
      <c r="AF44" s="2">
        <v>1.23E-2</v>
      </c>
      <c r="AG44" s="2">
        <v>1.2200000000000001E-2</v>
      </c>
      <c r="AH44" t="s">
        <v>1668</v>
      </c>
      <c r="AI44" t="s">
        <v>130</v>
      </c>
      <c r="AJ44" t="s">
        <v>38</v>
      </c>
      <c r="AK44" t="s">
        <v>40</v>
      </c>
      <c r="AL44">
        <v>1</v>
      </c>
      <c r="AM44" t="s">
        <v>41</v>
      </c>
      <c r="AN44" t="s">
        <v>42</v>
      </c>
      <c r="AO44" t="s">
        <v>3107</v>
      </c>
      <c r="AP44" t="s">
        <v>3110</v>
      </c>
      <c r="AQ44" t="s">
        <v>3110</v>
      </c>
      <c r="AR44" t="s">
        <v>48</v>
      </c>
      <c r="AS44" t="s">
        <v>48</v>
      </c>
    </row>
    <row r="45" spans="1:53" x14ac:dyDescent="0.4">
      <c r="A45" t="s">
        <v>115</v>
      </c>
      <c r="B45" t="s">
        <v>10</v>
      </c>
      <c r="C45" t="s">
        <v>4247</v>
      </c>
      <c r="D45" t="s">
        <v>11</v>
      </c>
      <c r="E45" s="2">
        <v>-1.8599999999999998E-2</v>
      </c>
      <c r="F45" t="s">
        <v>12</v>
      </c>
      <c r="G45" s="4">
        <f>-0.76 / -1.86%</f>
        <v>40.86021505376344</v>
      </c>
      <c r="H45" t="s">
        <v>4247</v>
      </c>
      <c r="I45" t="s">
        <v>4248</v>
      </c>
      <c r="J45" t="s">
        <v>4249</v>
      </c>
      <c r="K45" t="s">
        <v>23</v>
      </c>
      <c r="L45" s="2">
        <v>8.5000000000000006E-3</v>
      </c>
      <c r="M45" t="s">
        <v>4250</v>
      </c>
      <c r="N45" t="s">
        <v>28</v>
      </c>
      <c r="O45" t="s">
        <v>202</v>
      </c>
      <c r="P45" t="s">
        <v>4251</v>
      </c>
      <c r="Q45" t="s">
        <v>4251</v>
      </c>
      <c r="R45" t="s">
        <v>4251</v>
      </c>
      <c r="S45" t="s">
        <v>4251</v>
      </c>
      <c r="T45" t="s">
        <v>4199</v>
      </c>
      <c r="U45" t="s">
        <v>4199</v>
      </c>
      <c r="V45" t="s">
        <v>4252</v>
      </c>
      <c r="W45" t="s">
        <v>4253</v>
      </c>
      <c r="X45" t="s">
        <v>4254</v>
      </c>
      <c r="Y45" t="s">
        <v>4255</v>
      </c>
      <c r="Z45" t="s">
        <v>4256</v>
      </c>
      <c r="AA45" t="s">
        <v>4257</v>
      </c>
      <c r="AB45" s="2">
        <v>-7.2400000000000006E-2</v>
      </c>
      <c r="AC45" s="2">
        <v>-9.3399999999999997E-2</v>
      </c>
      <c r="AD45" s="2">
        <v>-0.1079</v>
      </c>
      <c r="AE45" s="2">
        <v>-6.7400000000000002E-2</v>
      </c>
      <c r="AF45" s="2">
        <v>-0.1206</v>
      </c>
      <c r="AG45" s="2">
        <v>-0.53449999999999998</v>
      </c>
      <c r="AH45" t="s">
        <v>1668</v>
      </c>
      <c r="AI45" t="s">
        <v>130</v>
      </c>
      <c r="AJ45" t="s">
        <v>38</v>
      </c>
      <c r="AK45" t="s">
        <v>40</v>
      </c>
      <c r="AL45">
        <v>1</v>
      </c>
      <c r="AM45" t="s">
        <v>41</v>
      </c>
      <c r="AN45" t="s">
        <v>42</v>
      </c>
      <c r="AO45" t="s">
        <v>202</v>
      </c>
      <c r="AP45" t="s">
        <v>4258</v>
      </c>
      <c r="AQ45" t="s">
        <v>4258</v>
      </c>
      <c r="AR45" t="s">
        <v>48</v>
      </c>
      <c r="AS45" t="s">
        <v>48</v>
      </c>
    </row>
    <row r="46" spans="1:53" x14ac:dyDescent="0.4">
      <c r="A46" t="s">
        <v>630</v>
      </c>
      <c r="B46" t="s">
        <v>10</v>
      </c>
      <c r="C46" s="1">
        <v>97205</v>
      </c>
      <c r="D46" t="s">
        <v>11</v>
      </c>
      <c r="E46" s="2">
        <v>-6.9999999999999999E-4</v>
      </c>
      <c r="F46" t="s">
        <v>12</v>
      </c>
      <c r="G46" s="4">
        <f>-0.065 / -0.07%</f>
        <v>92.857142857142847</v>
      </c>
      <c r="H46" s="1">
        <v>97205</v>
      </c>
      <c r="I46" t="s">
        <v>1661</v>
      </c>
      <c r="J46" t="s">
        <v>1662</v>
      </c>
      <c r="K46" t="s">
        <v>23</v>
      </c>
      <c r="L46" s="2">
        <v>7.4999999999999997E-3</v>
      </c>
      <c r="M46" t="s">
        <v>1663</v>
      </c>
      <c r="N46" t="s">
        <v>28</v>
      </c>
      <c r="O46" t="s">
        <v>1664</v>
      </c>
      <c r="P46" t="s">
        <v>1665</v>
      </c>
      <c r="Q46" t="s">
        <v>669</v>
      </c>
      <c r="R46" t="s">
        <v>876</v>
      </c>
      <c r="S46" t="s">
        <v>1666</v>
      </c>
      <c r="T46" t="s">
        <v>1667</v>
      </c>
      <c r="U46" t="s">
        <v>1667</v>
      </c>
      <c r="V46" s="1">
        <v>97562</v>
      </c>
      <c r="W46" s="1">
        <v>97722</v>
      </c>
      <c r="X46" s="1">
        <v>97722</v>
      </c>
      <c r="Y46" s="1">
        <v>97722</v>
      </c>
      <c r="Z46" s="1">
        <v>97722</v>
      </c>
      <c r="AA46" t="s">
        <v>1635</v>
      </c>
      <c r="AB46" s="2">
        <v>-3.0000000000000001E-3</v>
      </c>
      <c r="AC46" s="2">
        <v>-4.0000000000000002E-4</v>
      </c>
      <c r="AD46" s="2">
        <v>1.7600000000000001E-2</v>
      </c>
      <c r="AE46" s="2">
        <v>2.41E-2</v>
      </c>
      <c r="AF46" s="2">
        <v>3.6799999999999999E-2</v>
      </c>
      <c r="AG46" s="2">
        <v>-7.4200000000000002E-2</v>
      </c>
      <c r="AH46" t="s">
        <v>1668</v>
      </c>
      <c r="AI46" t="s">
        <v>130</v>
      </c>
      <c r="AJ46" t="s">
        <v>38</v>
      </c>
      <c r="AK46" t="s">
        <v>40</v>
      </c>
      <c r="AL46">
        <v>1</v>
      </c>
      <c r="AM46" t="s">
        <v>41</v>
      </c>
      <c r="AN46" t="s">
        <v>42</v>
      </c>
      <c r="AO46" t="s">
        <v>1664</v>
      </c>
      <c r="AP46" t="s">
        <v>1669</v>
      </c>
      <c r="AQ46" t="s">
        <v>1669</v>
      </c>
      <c r="AR46" t="s">
        <v>48</v>
      </c>
      <c r="AS46" t="s">
        <v>48</v>
      </c>
    </row>
    <row r="47" spans="1:53" x14ac:dyDescent="0.4">
      <c r="A47" t="s">
        <v>288</v>
      </c>
      <c r="B47" t="s">
        <v>10</v>
      </c>
      <c r="C47" s="1">
        <v>94845</v>
      </c>
      <c r="D47" t="s">
        <v>11</v>
      </c>
      <c r="E47" s="2">
        <v>1.6000000000000001E-3</v>
      </c>
      <c r="F47" t="s">
        <v>12</v>
      </c>
      <c r="G47" s="4" t="s">
        <v>117</v>
      </c>
      <c r="H47" s="1">
        <v>94845</v>
      </c>
      <c r="I47" t="s">
        <v>3525</v>
      </c>
      <c r="J47" t="s">
        <v>3526</v>
      </c>
      <c r="K47" t="s">
        <v>23</v>
      </c>
      <c r="L47" s="2">
        <v>7.4999999999999997E-3</v>
      </c>
      <c r="M47" t="s">
        <v>3527</v>
      </c>
      <c r="N47" t="s">
        <v>28</v>
      </c>
      <c r="O47" t="s">
        <v>3528</v>
      </c>
      <c r="P47" s="1">
        <v>94385</v>
      </c>
      <c r="Q47" s="1">
        <v>94385</v>
      </c>
      <c r="R47" t="s">
        <v>3529</v>
      </c>
      <c r="S47" t="s">
        <v>3530</v>
      </c>
      <c r="T47" s="1">
        <v>88555</v>
      </c>
      <c r="U47" s="1">
        <v>88555</v>
      </c>
      <c r="V47" s="1">
        <v>95525</v>
      </c>
      <c r="W47" s="1">
        <v>95915</v>
      </c>
      <c r="X47" s="1">
        <v>95915</v>
      </c>
      <c r="Y47" s="1">
        <v>95915</v>
      </c>
      <c r="Z47" s="1">
        <v>95915</v>
      </c>
      <c r="AA47" t="s">
        <v>1064</v>
      </c>
      <c r="AB47" s="2">
        <v>-5.7000000000000002E-3</v>
      </c>
      <c r="AC47" s="2">
        <v>-4.0000000000000001E-3</v>
      </c>
      <c r="AD47" s="2">
        <v>1.55E-2</v>
      </c>
      <c r="AE47" s="2">
        <v>2.1000000000000001E-2</v>
      </c>
      <c r="AF47" s="2">
        <v>3.6900000000000002E-2</v>
      </c>
      <c r="AG47" s="2">
        <v>-0.10100000000000001</v>
      </c>
      <c r="AH47" t="s">
        <v>1668</v>
      </c>
      <c r="AI47" t="s">
        <v>130</v>
      </c>
      <c r="AJ47" t="s">
        <v>38</v>
      </c>
      <c r="AK47" t="s">
        <v>40</v>
      </c>
      <c r="AL47">
        <v>1</v>
      </c>
      <c r="AM47" t="s">
        <v>41</v>
      </c>
      <c r="AN47" t="s">
        <v>42</v>
      </c>
      <c r="AO47" t="s">
        <v>3528</v>
      </c>
      <c r="AP47" t="s">
        <v>3531</v>
      </c>
      <c r="AQ47" t="s">
        <v>3531</v>
      </c>
      <c r="AR47" t="s">
        <v>48</v>
      </c>
      <c r="AS47" t="s">
        <v>48</v>
      </c>
    </row>
    <row r="48" spans="1:53" x14ac:dyDescent="0.4">
      <c r="A48" t="s">
        <v>630</v>
      </c>
      <c r="B48" t="s">
        <v>10</v>
      </c>
      <c r="C48" t="s">
        <v>3363</v>
      </c>
      <c r="D48" t="s">
        <v>11</v>
      </c>
      <c r="E48" s="2">
        <v>-8.5000000000000006E-3</v>
      </c>
      <c r="F48" t="s">
        <v>12</v>
      </c>
      <c r="G48" s="4">
        <f>-0.36 / -0.85%</f>
        <v>42.352941176470587</v>
      </c>
      <c r="H48" t="s">
        <v>3363</v>
      </c>
      <c r="I48" t="s">
        <v>3364</v>
      </c>
      <c r="J48" t="s">
        <v>3365</v>
      </c>
      <c r="K48" t="s">
        <v>23</v>
      </c>
      <c r="L48" s="2">
        <v>7.0000000000000001E-3</v>
      </c>
      <c r="M48" t="s">
        <v>3366</v>
      </c>
      <c r="N48" t="s">
        <v>28</v>
      </c>
      <c r="O48" t="s">
        <v>3367</v>
      </c>
      <c r="P48" t="s">
        <v>3368</v>
      </c>
      <c r="Q48" t="s">
        <v>3368</v>
      </c>
      <c r="R48" t="s">
        <v>3368</v>
      </c>
      <c r="S48" t="s">
        <v>3369</v>
      </c>
      <c r="T48" t="s">
        <v>3370</v>
      </c>
      <c r="U48" t="s">
        <v>3370</v>
      </c>
      <c r="V48" t="s">
        <v>3371</v>
      </c>
      <c r="W48" t="s">
        <v>3372</v>
      </c>
      <c r="X48" t="s">
        <v>3372</v>
      </c>
      <c r="Y48" t="s">
        <v>3372</v>
      </c>
      <c r="Z48" t="s">
        <v>3373</v>
      </c>
      <c r="AA48" t="s">
        <v>3374</v>
      </c>
      <c r="AB48" s="2">
        <v>-9.6100000000000005E-2</v>
      </c>
      <c r="AC48" s="2">
        <v>-7.4800000000000005E-2</v>
      </c>
      <c r="AD48" s="2">
        <v>-4.2999999999999997E-2</v>
      </c>
      <c r="AE48" s="2">
        <v>-3.78E-2</v>
      </c>
      <c r="AF48" s="2">
        <v>-0.14779999999999999</v>
      </c>
      <c r="AG48" s="2">
        <v>-0.54</v>
      </c>
      <c r="AH48" t="s">
        <v>1668</v>
      </c>
      <c r="AI48" t="s">
        <v>130</v>
      </c>
      <c r="AJ48" t="s">
        <v>38</v>
      </c>
      <c r="AK48" t="s">
        <v>40</v>
      </c>
      <c r="AL48">
        <v>1</v>
      </c>
      <c r="AM48" t="s">
        <v>41</v>
      </c>
      <c r="AN48" t="s">
        <v>42</v>
      </c>
      <c r="AO48" t="s">
        <v>3367</v>
      </c>
      <c r="AP48" t="s">
        <v>3375</v>
      </c>
      <c r="AQ48" t="s">
        <v>3375</v>
      </c>
      <c r="AR48" t="s">
        <v>48</v>
      </c>
      <c r="AS48" t="s">
        <v>48</v>
      </c>
    </row>
    <row r="49" spans="1:54" x14ac:dyDescent="0.4">
      <c r="A49" t="s">
        <v>630</v>
      </c>
      <c r="B49" t="s">
        <v>10</v>
      </c>
      <c r="C49" t="s">
        <v>1892</v>
      </c>
      <c r="D49" t="s">
        <v>11</v>
      </c>
      <c r="E49" s="2">
        <v>-1.2999999999999999E-3</v>
      </c>
      <c r="F49" t="s">
        <v>12</v>
      </c>
      <c r="G49" s="4">
        <f>-0.12 / -0.13%</f>
        <v>92.307692307692307</v>
      </c>
      <c r="H49" t="s">
        <v>1892</v>
      </c>
      <c r="I49" t="s">
        <v>1893</v>
      </c>
      <c r="J49" t="s">
        <v>1894</v>
      </c>
      <c r="K49" t="s">
        <v>23</v>
      </c>
      <c r="L49" s="2">
        <v>5.0000000000000001E-3</v>
      </c>
      <c r="M49" t="s">
        <v>1895</v>
      </c>
      <c r="N49" t="s">
        <v>28</v>
      </c>
      <c r="O49" t="s">
        <v>1896</v>
      </c>
      <c r="P49" t="s">
        <v>1897</v>
      </c>
      <c r="Q49" t="s">
        <v>1897</v>
      </c>
      <c r="R49" t="s">
        <v>1898</v>
      </c>
      <c r="S49" t="s">
        <v>1899</v>
      </c>
      <c r="T49" s="1">
        <v>84915</v>
      </c>
      <c r="U49" s="1">
        <v>84915</v>
      </c>
      <c r="V49" t="s">
        <v>686</v>
      </c>
      <c r="W49" t="s">
        <v>1900</v>
      </c>
      <c r="X49" t="s">
        <v>1900</v>
      </c>
      <c r="Y49" t="s">
        <v>1900</v>
      </c>
      <c r="Z49" t="s">
        <v>1900</v>
      </c>
      <c r="AA49" t="s">
        <v>1901</v>
      </c>
      <c r="AB49" s="2">
        <v>-6.6E-3</v>
      </c>
      <c r="AC49" s="2">
        <v>-4.8999999999999998E-3</v>
      </c>
      <c r="AD49" s="2">
        <v>1.67E-2</v>
      </c>
      <c r="AE49" s="2">
        <v>2.4500000000000001E-2</v>
      </c>
      <c r="AF49" s="2">
        <v>4.4600000000000001E-2</v>
      </c>
      <c r="AG49" s="2">
        <v>-0.1134</v>
      </c>
      <c r="AH49" t="s">
        <v>1668</v>
      </c>
      <c r="AI49" t="s">
        <v>130</v>
      </c>
      <c r="AJ49" t="s">
        <v>38</v>
      </c>
      <c r="AK49" t="s">
        <v>40</v>
      </c>
      <c r="AL49">
        <v>1</v>
      </c>
      <c r="AM49" t="s">
        <v>41</v>
      </c>
      <c r="AN49" t="s">
        <v>42</v>
      </c>
      <c r="AO49" t="s">
        <v>1896</v>
      </c>
      <c r="AP49" t="s">
        <v>1902</v>
      </c>
      <c r="AQ49" t="s">
        <v>1902</v>
      </c>
      <c r="AR49" t="s">
        <v>48</v>
      </c>
      <c r="AS49" t="s">
        <v>48</v>
      </c>
    </row>
    <row r="50" spans="1:54" x14ac:dyDescent="0.4">
      <c r="A50" t="s">
        <v>9</v>
      </c>
      <c r="B50" t="s">
        <v>10</v>
      </c>
      <c r="C50" t="s">
        <v>618</v>
      </c>
      <c r="D50" t="s">
        <v>11</v>
      </c>
      <c r="E50" s="2">
        <v>2.5000000000000001E-3</v>
      </c>
      <c r="F50" t="s">
        <v>12</v>
      </c>
      <c r="G50" s="4" t="s">
        <v>7219</v>
      </c>
      <c r="H50" t="s">
        <v>618</v>
      </c>
      <c r="I50" t="s">
        <v>7220</v>
      </c>
      <c r="J50" t="s">
        <v>7221</v>
      </c>
      <c r="K50" t="s">
        <v>23</v>
      </c>
      <c r="L50" s="2">
        <v>4.8500000000000001E-2</v>
      </c>
      <c r="M50" t="s">
        <v>7222</v>
      </c>
      <c r="N50" t="s">
        <v>121</v>
      </c>
      <c r="O50" t="s">
        <v>4636</v>
      </c>
      <c r="P50" s="1">
        <v>99205</v>
      </c>
      <c r="Q50" s="1">
        <v>99205</v>
      </c>
      <c r="R50" s="1">
        <v>99205</v>
      </c>
      <c r="S50" t="s">
        <v>1965</v>
      </c>
      <c r="T50" t="s">
        <v>1965</v>
      </c>
      <c r="U50" t="s">
        <v>1965</v>
      </c>
      <c r="V50" t="s">
        <v>523</v>
      </c>
      <c r="W50" t="s">
        <v>1950</v>
      </c>
      <c r="X50" t="s">
        <v>1626</v>
      </c>
      <c r="Y50" t="s">
        <v>1626</v>
      </c>
      <c r="Z50" t="s">
        <v>1626</v>
      </c>
      <c r="AA50" t="s">
        <v>1626</v>
      </c>
      <c r="AB50" s="2">
        <v>1.2999999999999999E-3</v>
      </c>
      <c r="AC50" s="2">
        <v>-1.06E-2</v>
      </c>
      <c r="AD50" s="2">
        <v>-3.7000000000000002E-3</v>
      </c>
      <c r="AE50" s="2">
        <v>3.5999999999999999E-3</v>
      </c>
      <c r="AF50" s="2">
        <v>3.5999999999999999E-3</v>
      </c>
      <c r="AG50" s="2">
        <v>3.5999999999999999E-3</v>
      </c>
      <c r="AH50" t="s">
        <v>7223</v>
      </c>
      <c r="AI50" t="s">
        <v>130</v>
      </c>
      <c r="AJ50" t="s">
        <v>131</v>
      </c>
      <c r="AK50" t="s">
        <v>40</v>
      </c>
      <c r="AL50">
        <v>2</v>
      </c>
      <c r="AM50" t="s">
        <v>41</v>
      </c>
      <c r="AN50" t="s">
        <v>42</v>
      </c>
      <c r="AO50" t="s">
        <v>4636</v>
      </c>
      <c r="AP50" t="s">
        <v>193</v>
      </c>
      <c r="AQ50" t="s">
        <v>193</v>
      </c>
      <c r="AR50" t="s">
        <v>133</v>
      </c>
      <c r="AS50" t="s">
        <v>133</v>
      </c>
    </row>
    <row r="51" spans="1:54" x14ac:dyDescent="0.4">
      <c r="A51" t="s">
        <v>104</v>
      </c>
      <c r="B51" t="s">
        <v>10</v>
      </c>
      <c r="C51" t="s">
        <v>2877</v>
      </c>
      <c r="D51" t="s">
        <v>11</v>
      </c>
      <c r="E51" s="2">
        <v>8.0000000000000004E-4</v>
      </c>
      <c r="F51" t="s">
        <v>12</v>
      </c>
      <c r="G51" s="4" t="s">
        <v>1646</v>
      </c>
      <c r="H51" t="s">
        <v>2877</v>
      </c>
      <c r="I51" t="s">
        <v>2878</v>
      </c>
      <c r="J51" t="s">
        <v>2879</v>
      </c>
      <c r="K51" t="s">
        <v>23</v>
      </c>
      <c r="L51" s="2">
        <v>7.0000000000000001E-3</v>
      </c>
      <c r="M51" t="s">
        <v>2880</v>
      </c>
      <c r="N51" t="s">
        <v>121</v>
      </c>
      <c r="O51" t="s">
        <v>2881</v>
      </c>
      <c r="P51" s="1">
        <v>95245</v>
      </c>
      <c r="Q51" s="1">
        <v>94615</v>
      </c>
      <c r="R51" t="s">
        <v>2882</v>
      </c>
      <c r="S51" t="s">
        <v>1348</v>
      </c>
      <c r="T51" t="s">
        <v>2883</v>
      </c>
      <c r="U51" t="s">
        <v>2884</v>
      </c>
      <c r="V51" t="s">
        <v>2716</v>
      </c>
      <c r="W51" t="s">
        <v>2716</v>
      </c>
      <c r="X51" t="s">
        <v>2716</v>
      </c>
      <c r="Y51" t="s">
        <v>2716</v>
      </c>
      <c r="Z51" t="s">
        <v>2716</v>
      </c>
      <c r="AA51" t="s">
        <v>2716</v>
      </c>
      <c r="AB51" s="2">
        <v>4.8999999999999998E-3</v>
      </c>
      <c r="AC51" s="2">
        <v>8.8999999999999999E-3</v>
      </c>
      <c r="AD51" s="2">
        <v>2.5700000000000001E-2</v>
      </c>
      <c r="AE51" s="2">
        <v>4.19E-2</v>
      </c>
      <c r="AF51" s="2">
        <v>7.46E-2</v>
      </c>
      <c r="AG51" s="2">
        <v>3.5000000000000001E-3</v>
      </c>
      <c r="AH51" t="s">
        <v>2885</v>
      </c>
      <c r="AI51" t="s">
        <v>130</v>
      </c>
      <c r="AJ51" t="s">
        <v>131</v>
      </c>
      <c r="AK51" t="s">
        <v>40</v>
      </c>
      <c r="AL51">
        <v>2</v>
      </c>
      <c r="AM51" t="s">
        <v>41</v>
      </c>
      <c r="AN51" t="s">
        <v>42</v>
      </c>
      <c r="AO51" t="s">
        <v>2881</v>
      </c>
      <c r="AP51" t="s">
        <v>2886</v>
      </c>
      <c r="AQ51" t="s">
        <v>2886</v>
      </c>
      <c r="AR51" t="s">
        <v>133</v>
      </c>
      <c r="AS51" t="s">
        <v>133</v>
      </c>
    </row>
    <row r="52" spans="1:54" x14ac:dyDescent="0.4">
      <c r="A52" t="s">
        <v>740</v>
      </c>
      <c r="B52" t="s">
        <v>10</v>
      </c>
      <c r="C52" t="s">
        <v>7422</v>
      </c>
      <c r="D52" t="s">
        <v>11</v>
      </c>
      <c r="E52" s="2">
        <v>2.9999999999999997E-4</v>
      </c>
      <c r="F52" t="s">
        <v>12</v>
      </c>
      <c r="G52" s="4" t="s">
        <v>2299</v>
      </c>
      <c r="H52" t="s">
        <v>7422</v>
      </c>
      <c r="I52" t="s">
        <v>7423</v>
      </c>
      <c r="J52" t="s">
        <v>7424</v>
      </c>
      <c r="K52" t="s">
        <v>23</v>
      </c>
      <c r="L52" s="2">
        <v>5.5E-2</v>
      </c>
      <c r="M52" t="s">
        <v>7425</v>
      </c>
      <c r="N52" t="s">
        <v>28</v>
      </c>
      <c r="O52" t="s">
        <v>7426</v>
      </c>
      <c r="P52" t="s">
        <v>1075</v>
      </c>
      <c r="Q52" t="s">
        <v>1402</v>
      </c>
      <c r="R52" t="s">
        <v>1402</v>
      </c>
      <c r="S52" t="s">
        <v>2571</v>
      </c>
      <c r="T52" t="s">
        <v>3041</v>
      </c>
      <c r="U52" t="s">
        <v>916</v>
      </c>
      <c r="V52" t="s">
        <v>1945</v>
      </c>
      <c r="W52" t="s">
        <v>6706</v>
      </c>
      <c r="X52" t="s">
        <v>3421</v>
      </c>
      <c r="Y52" t="s">
        <v>7427</v>
      </c>
      <c r="Z52" t="s">
        <v>3165</v>
      </c>
      <c r="AA52" t="s">
        <v>7428</v>
      </c>
      <c r="AB52" s="2">
        <v>1.6000000000000001E-3</v>
      </c>
      <c r="AC52" s="2">
        <v>-1.6999999999999999E-3</v>
      </c>
      <c r="AD52" s="2">
        <v>4.4999999999999997E-3</v>
      </c>
      <c r="AE52" s="2">
        <v>1.35E-2</v>
      </c>
      <c r="AF52" s="2">
        <v>-1.4999999999999999E-2</v>
      </c>
      <c r="AG52" s="2">
        <v>-0.1338</v>
      </c>
      <c r="AH52" t="s">
        <v>6104</v>
      </c>
      <c r="AI52" t="s">
        <v>130</v>
      </c>
      <c r="AJ52" t="s">
        <v>131</v>
      </c>
      <c r="AK52" t="s">
        <v>40</v>
      </c>
      <c r="AL52">
        <v>50</v>
      </c>
      <c r="AM52" t="s">
        <v>41</v>
      </c>
      <c r="AN52" t="s">
        <v>42</v>
      </c>
      <c r="AO52" t="s">
        <v>7426</v>
      </c>
      <c r="AP52" t="s">
        <v>171</v>
      </c>
      <c r="AQ52" t="s">
        <v>171</v>
      </c>
      <c r="AR52" t="s">
        <v>2350</v>
      </c>
      <c r="AS52" t="s">
        <v>2350</v>
      </c>
    </row>
    <row r="53" spans="1:54" x14ac:dyDescent="0.4">
      <c r="A53" t="s">
        <v>740</v>
      </c>
      <c r="B53" t="s">
        <v>10</v>
      </c>
      <c r="C53" t="s">
        <v>5027</v>
      </c>
      <c r="D53" t="s">
        <v>11</v>
      </c>
      <c r="E53" s="2">
        <v>5.3E-3</v>
      </c>
      <c r="F53" t="s">
        <v>12</v>
      </c>
      <c r="G53" s="4" t="s">
        <v>6097</v>
      </c>
      <c r="H53" t="s">
        <v>5027</v>
      </c>
      <c r="I53" t="s">
        <v>6098</v>
      </c>
      <c r="J53" t="s">
        <v>6099</v>
      </c>
      <c r="K53" t="s">
        <v>23</v>
      </c>
      <c r="L53" s="2">
        <v>5.1499999999999997E-2</v>
      </c>
      <c r="M53" t="s">
        <v>6100</v>
      </c>
      <c r="N53" t="s">
        <v>121</v>
      </c>
      <c r="O53" t="s">
        <v>2356</v>
      </c>
      <c r="P53" t="s">
        <v>6101</v>
      </c>
      <c r="Q53" t="s">
        <v>6101</v>
      </c>
      <c r="R53" t="s">
        <v>6101</v>
      </c>
      <c r="S53" t="s">
        <v>5381</v>
      </c>
      <c r="T53" t="s">
        <v>6102</v>
      </c>
      <c r="U53" t="s">
        <v>6102</v>
      </c>
      <c r="V53" t="s">
        <v>5427</v>
      </c>
      <c r="W53" t="s">
        <v>891</v>
      </c>
      <c r="X53" t="s">
        <v>1807</v>
      </c>
      <c r="Y53" t="s">
        <v>1807</v>
      </c>
      <c r="Z53" t="s">
        <v>1807</v>
      </c>
      <c r="AA53" t="s">
        <v>6103</v>
      </c>
      <c r="AB53" s="2">
        <v>-1.17E-2</v>
      </c>
      <c r="AC53" s="2">
        <v>-4.0300000000000002E-2</v>
      </c>
      <c r="AD53" s="2">
        <v>-2.18E-2</v>
      </c>
      <c r="AE53" s="2">
        <v>-4.1000000000000002E-2</v>
      </c>
      <c r="AF53" s="2">
        <v>-5.3900000000000003E-2</v>
      </c>
      <c r="AG53" s="2">
        <v>-0.2341</v>
      </c>
      <c r="AH53" t="s">
        <v>6104</v>
      </c>
      <c r="AI53" t="s">
        <v>130</v>
      </c>
      <c r="AJ53" t="s">
        <v>131</v>
      </c>
      <c r="AK53" t="s">
        <v>40</v>
      </c>
      <c r="AL53">
        <v>2</v>
      </c>
      <c r="AM53" t="s">
        <v>41</v>
      </c>
      <c r="AN53" t="s">
        <v>42</v>
      </c>
      <c r="AO53" t="s">
        <v>2356</v>
      </c>
      <c r="AP53" t="s">
        <v>6105</v>
      </c>
      <c r="AQ53" t="s">
        <v>6105</v>
      </c>
      <c r="AR53" t="s">
        <v>133</v>
      </c>
      <c r="AS53" t="s">
        <v>133</v>
      </c>
    </row>
    <row r="54" spans="1:54" x14ac:dyDescent="0.4">
      <c r="A54" t="s">
        <v>4518</v>
      </c>
      <c r="B54" t="s">
        <v>10</v>
      </c>
      <c r="C54" s="1">
        <v>99132</v>
      </c>
      <c r="D54" t="s">
        <v>11</v>
      </c>
      <c r="E54" s="2">
        <v>4.0000000000000002E-4</v>
      </c>
      <c r="F54" t="s">
        <v>12</v>
      </c>
      <c r="G54" s="4" t="s">
        <v>3547</v>
      </c>
      <c r="H54" s="1">
        <v>99132</v>
      </c>
      <c r="I54" t="s">
        <v>7195</v>
      </c>
      <c r="J54" t="s">
        <v>7196</v>
      </c>
      <c r="K54" t="s">
        <v>23</v>
      </c>
      <c r="L54" s="2">
        <v>3.875E-2</v>
      </c>
      <c r="M54" t="s">
        <v>4899</v>
      </c>
      <c r="N54" t="s">
        <v>121</v>
      </c>
      <c r="O54" t="s">
        <v>7197</v>
      </c>
      <c r="P54" s="1">
        <v>98958</v>
      </c>
      <c r="Q54" s="1">
        <v>98717</v>
      </c>
      <c r="R54" s="1">
        <v>98049</v>
      </c>
      <c r="S54" s="1">
        <v>97138</v>
      </c>
      <c r="T54" t="s">
        <v>2212</v>
      </c>
      <c r="U54" s="1">
        <v>95035</v>
      </c>
      <c r="V54" s="1">
        <v>99132</v>
      </c>
      <c r="W54" s="1">
        <v>99132</v>
      </c>
      <c r="X54" s="1">
        <v>99384</v>
      </c>
      <c r="Y54" s="1">
        <v>99384</v>
      </c>
      <c r="Z54" s="1">
        <v>99384</v>
      </c>
      <c r="AA54" t="s">
        <v>7198</v>
      </c>
      <c r="AB54" s="2">
        <v>1.2999999999999999E-3</v>
      </c>
      <c r="AC54" s="2">
        <v>3.2000000000000002E-3</v>
      </c>
      <c r="AD54" s="2">
        <v>1.0999999999999999E-2</v>
      </c>
      <c r="AE54" s="2">
        <v>1.3599999999999999E-2</v>
      </c>
      <c r="AF54" s="2">
        <v>2.8999999999999998E-3</v>
      </c>
      <c r="AG54" s="2">
        <v>-6.8400000000000002E-2</v>
      </c>
      <c r="AH54" t="s">
        <v>6104</v>
      </c>
      <c r="AI54" t="s">
        <v>130</v>
      </c>
      <c r="AJ54" t="s">
        <v>131</v>
      </c>
      <c r="AK54" t="s">
        <v>40</v>
      </c>
      <c r="AL54">
        <v>2</v>
      </c>
      <c r="AM54" t="s">
        <v>41</v>
      </c>
      <c r="AN54" t="s">
        <v>42</v>
      </c>
      <c r="AO54" t="s">
        <v>7197</v>
      </c>
      <c r="AP54" t="s">
        <v>7199</v>
      </c>
      <c r="AQ54" t="s">
        <v>7199</v>
      </c>
      <c r="AR54" t="s">
        <v>133</v>
      </c>
      <c r="AS54" t="s">
        <v>133</v>
      </c>
    </row>
    <row r="55" spans="1:54" x14ac:dyDescent="0.4">
      <c r="A55" t="s">
        <v>3257</v>
      </c>
      <c r="B55" t="s">
        <v>10</v>
      </c>
      <c r="C55" t="s">
        <v>2036</v>
      </c>
      <c r="D55" t="s">
        <v>11</v>
      </c>
      <c r="E55" s="2">
        <v>0.11459999999999999</v>
      </c>
      <c r="F55" t="s">
        <v>178</v>
      </c>
      <c r="G55" s="4" t="s">
        <v>3258</v>
      </c>
      <c r="H55" t="s">
        <v>2036</v>
      </c>
      <c r="I55" t="s">
        <v>3259</v>
      </c>
      <c r="J55" t="s">
        <v>3260</v>
      </c>
      <c r="K55" t="s">
        <v>23</v>
      </c>
      <c r="L55" s="2">
        <v>4.6249999999999999E-2</v>
      </c>
      <c r="M55" t="s">
        <v>3261</v>
      </c>
      <c r="N55" t="s">
        <v>28</v>
      </c>
      <c r="O55" t="s">
        <v>3262</v>
      </c>
      <c r="P55" t="s">
        <v>2523</v>
      </c>
      <c r="Q55" t="s">
        <v>2523</v>
      </c>
      <c r="R55" t="s">
        <v>2523</v>
      </c>
      <c r="S55" t="s">
        <v>2523</v>
      </c>
      <c r="T55" t="s">
        <v>1302</v>
      </c>
      <c r="U55" t="s">
        <v>1302</v>
      </c>
      <c r="V55" t="s">
        <v>2036</v>
      </c>
      <c r="W55" t="s">
        <v>2036</v>
      </c>
      <c r="X55" t="s">
        <v>1594</v>
      </c>
      <c r="Y55" t="s">
        <v>455</v>
      </c>
      <c r="Z55" t="s">
        <v>2476</v>
      </c>
      <c r="AA55" t="s">
        <v>2476</v>
      </c>
      <c r="AB55" s="2">
        <v>0.1182</v>
      </c>
      <c r="AC55" s="2">
        <v>5.8900000000000001E-2</v>
      </c>
      <c r="AD55" s="2">
        <v>1.24E-2</v>
      </c>
      <c r="AE55" s="2">
        <v>8.3400000000000002E-2</v>
      </c>
      <c r="AF55" s="2">
        <v>-4.53E-2</v>
      </c>
      <c r="AG55" s="2">
        <v>1E-4</v>
      </c>
      <c r="AH55" t="s">
        <v>3263</v>
      </c>
      <c r="AI55" t="s">
        <v>130</v>
      </c>
      <c r="AJ55" t="s">
        <v>131</v>
      </c>
      <c r="AK55" t="s">
        <v>40</v>
      </c>
      <c r="AL55">
        <v>1</v>
      </c>
      <c r="AM55" t="s">
        <v>41</v>
      </c>
      <c r="AN55" t="s">
        <v>42</v>
      </c>
      <c r="AO55" t="s">
        <v>3262</v>
      </c>
      <c r="AP55" t="s">
        <v>3264</v>
      </c>
      <c r="AQ55" t="s">
        <v>3264</v>
      </c>
      <c r="AR55" t="s">
        <v>48</v>
      </c>
      <c r="AS55" t="s">
        <v>48</v>
      </c>
    </row>
    <row r="56" spans="1:54" x14ac:dyDescent="0.4">
      <c r="A56" t="s">
        <v>3910</v>
      </c>
      <c r="B56" t="s">
        <v>10</v>
      </c>
      <c r="C56" t="s">
        <v>1121</v>
      </c>
      <c r="D56" t="s">
        <v>11</v>
      </c>
      <c r="E56" s="2">
        <v>4.3499999999999997E-2</v>
      </c>
      <c r="F56" t="s">
        <v>12</v>
      </c>
      <c r="G56" s="4" t="s">
        <v>3911</v>
      </c>
      <c r="H56" t="s">
        <v>1121</v>
      </c>
      <c r="I56" t="s">
        <v>3912</v>
      </c>
      <c r="J56" t="s">
        <v>3913</v>
      </c>
      <c r="K56" t="s">
        <v>23</v>
      </c>
      <c r="L56" s="2">
        <v>3.875E-2</v>
      </c>
      <c r="M56" t="s">
        <v>3914</v>
      </c>
      <c r="N56" t="s">
        <v>28</v>
      </c>
      <c r="O56" t="s">
        <v>3915</v>
      </c>
      <c r="P56" t="s">
        <v>2389</v>
      </c>
      <c r="Q56" t="s">
        <v>2389</v>
      </c>
      <c r="R56" t="s">
        <v>2389</v>
      </c>
      <c r="S56" s="1">
        <v>88495</v>
      </c>
      <c r="T56" t="s">
        <v>3916</v>
      </c>
      <c r="U56" t="s">
        <v>3916</v>
      </c>
      <c r="V56" t="s">
        <v>1121</v>
      </c>
      <c r="W56" t="s">
        <v>1121</v>
      </c>
      <c r="X56" t="s">
        <v>736</v>
      </c>
      <c r="Y56" t="s">
        <v>736</v>
      </c>
      <c r="Z56" t="s">
        <v>1440</v>
      </c>
      <c r="AA56" t="s">
        <v>2874</v>
      </c>
      <c r="AB56" s="2">
        <v>5.4899999999999997E-2</v>
      </c>
      <c r="AC56" s="2">
        <v>2.3E-2</v>
      </c>
      <c r="AD56" s="2">
        <v>1.2999999999999999E-2</v>
      </c>
      <c r="AE56" s="2">
        <v>8.48E-2</v>
      </c>
      <c r="AF56" s="2">
        <v>0</v>
      </c>
      <c r="AG56" s="2">
        <v>-6.8000000000000005E-2</v>
      </c>
      <c r="AH56" t="s">
        <v>3263</v>
      </c>
      <c r="AI56" t="s">
        <v>130</v>
      </c>
      <c r="AJ56" t="s">
        <v>131</v>
      </c>
      <c r="AK56" t="s">
        <v>40</v>
      </c>
      <c r="AL56">
        <v>1</v>
      </c>
      <c r="AM56" t="s">
        <v>41</v>
      </c>
      <c r="AN56" t="s">
        <v>42</v>
      </c>
      <c r="AO56" t="s">
        <v>3915</v>
      </c>
      <c r="AP56" t="s">
        <v>2404</v>
      </c>
      <c r="AQ56" t="s">
        <v>2404</v>
      </c>
      <c r="AR56" t="s">
        <v>48</v>
      </c>
      <c r="AS56" t="s">
        <v>48</v>
      </c>
    </row>
    <row r="57" spans="1:54" x14ac:dyDescent="0.4">
      <c r="A57" t="s">
        <v>4462</v>
      </c>
      <c r="B57" t="s">
        <v>10</v>
      </c>
      <c r="C57" t="s">
        <v>6129</v>
      </c>
      <c r="D57" t="s">
        <v>11</v>
      </c>
      <c r="E57" s="2">
        <v>1.1000000000000001E-3</v>
      </c>
      <c r="F57" t="s">
        <v>310</v>
      </c>
      <c r="G57" s="4" t="s">
        <v>6130</v>
      </c>
      <c r="H57" t="s">
        <v>6129</v>
      </c>
      <c r="I57" t="s">
        <v>6131</v>
      </c>
      <c r="J57" t="s">
        <v>6132</v>
      </c>
      <c r="K57" t="s">
        <v>23</v>
      </c>
      <c r="L57" s="2">
        <v>2.6460000000000001E-2</v>
      </c>
      <c r="M57" t="s">
        <v>4346</v>
      </c>
      <c r="N57" t="s">
        <v>121</v>
      </c>
      <c r="O57" t="s">
        <v>6133</v>
      </c>
      <c r="P57" t="s">
        <v>3215</v>
      </c>
      <c r="Q57" t="s">
        <v>3215</v>
      </c>
      <c r="R57" t="s">
        <v>6134</v>
      </c>
      <c r="S57" t="s">
        <v>6135</v>
      </c>
      <c r="T57" t="s">
        <v>6136</v>
      </c>
      <c r="U57" t="s">
        <v>6137</v>
      </c>
      <c r="V57" t="s">
        <v>5536</v>
      </c>
      <c r="W57" t="s">
        <v>4367</v>
      </c>
      <c r="X57" t="s">
        <v>6138</v>
      </c>
      <c r="Y57" t="s">
        <v>6138</v>
      </c>
      <c r="Z57" t="s">
        <v>6138</v>
      </c>
      <c r="AA57" t="s">
        <v>6139</v>
      </c>
      <c r="AB57" s="2">
        <v>5.0000000000000001E-4</v>
      </c>
      <c r="AC57" s="2">
        <v>-9.4999999999999998E-3</v>
      </c>
      <c r="AD57" s="2">
        <v>1.01E-2</v>
      </c>
      <c r="AE57" s="2">
        <v>3.7600000000000001E-2</v>
      </c>
      <c r="AF57" s="2">
        <v>5.8700000000000002E-2</v>
      </c>
      <c r="AG57" s="2">
        <v>-4.5100000000000001E-2</v>
      </c>
      <c r="AH57" t="s">
        <v>6140</v>
      </c>
      <c r="AI57" t="s">
        <v>130</v>
      </c>
      <c r="AJ57" t="s">
        <v>131</v>
      </c>
      <c r="AK57" t="s">
        <v>40</v>
      </c>
      <c r="AL57">
        <v>2</v>
      </c>
      <c r="AM57" t="s">
        <v>41</v>
      </c>
      <c r="AN57" t="s">
        <v>42</v>
      </c>
      <c r="AO57" t="s">
        <v>6133</v>
      </c>
      <c r="AP57" t="s">
        <v>225</v>
      </c>
      <c r="AQ57" t="s">
        <v>225</v>
      </c>
      <c r="AR57" t="s">
        <v>133</v>
      </c>
      <c r="AS57" t="s">
        <v>133</v>
      </c>
    </row>
    <row r="58" spans="1:54" x14ac:dyDescent="0.4">
      <c r="A58" t="s">
        <v>288</v>
      </c>
      <c r="B58" t="s">
        <v>10</v>
      </c>
      <c r="C58" s="1">
        <v>87715</v>
      </c>
      <c r="D58" t="s">
        <v>11</v>
      </c>
      <c r="E58" s="2">
        <v>-6.8999999999999999E-3</v>
      </c>
      <c r="F58" t="s">
        <v>12</v>
      </c>
      <c r="G58" s="4">
        <f>-0.61 / -0.69%</f>
        <v>88.405797101449281</v>
      </c>
      <c r="H58" s="1">
        <v>87715</v>
      </c>
      <c r="I58" t="s">
        <v>7477</v>
      </c>
      <c r="J58" t="s">
        <v>7478</v>
      </c>
      <c r="K58" t="s">
        <v>23</v>
      </c>
      <c r="L58" s="2">
        <v>1.25E-3</v>
      </c>
      <c r="M58" t="s">
        <v>3716</v>
      </c>
      <c r="N58" t="s">
        <v>28</v>
      </c>
      <c r="O58" t="s">
        <v>1025</v>
      </c>
      <c r="P58" t="s">
        <v>7479</v>
      </c>
      <c r="Q58" t="s">
        <v>7480</v>
      </c>
      <c r="R58" s="1">
        <v>86135</v>
      </c>
      <c r="S58" s="1">
        <v>84065</v>
      </c>
      <c r="T58" t="s">
        <v>7481</v>
      </c>
      <c r="U58" s="1">
        <v>76915</v>
      </c>
      <c r="V58" s="1">
        <v>89105</v>
      </c>
      <c r="W58" s="1">
        <v>89515</v>
      </c>
      <c r="X58" s="1">
        <v>89515</v>
      </c>
      <c r="Y58" s="1">
        <v>89515</v>
      </c>
      <c r="Z58" s="1">
        <v>89515</v>
      </c>
      <c r="AA58" t="s">
        <v>5654</v>
      </c>
      <c r="AB58" s="2">
        <v>-1.32E-2</v>
      </c>
      <c r="AC58" s="2">
        <v>-5.5999999999999999E-3</v>
      </c>
      <c r="AD58" s="2">
        <v>1.7399999999999999E-2</v>
      </c>
      <c r="AE58" s="2">
        <v>3.8600000000000002E-2</v>
      </c>
      <c r="AF58" s="2">
        <v>5.8000000000000003E-2</v>
      </c>
      <c r="AG58" s="2">
        <v>-0.1037</v>
      </c>
      <c r="AH58" t="s">
        <v>7482</v>
      </c>
      <c r="AI58" t="s">
        <v>130</v>
      </c>
      <c r="AJ58" t="s">
        <v>131</v>
      </c>
      <c r="AK58" t="s">
        <v>40</v>
      </c>
      <c r="AL58">
        <v>100</v>
      </c>
      <c r="AM58" t="s">
        <v>41</v>
      </c>
      <c r="AN58" t="s">
        <v>42</v>
      </c>
      <c r="AO58" t="s">
        <v>1025</v>
      </c>
      <c r="AP58" t="s">
        <v>643</v>
      </c>
      <c r="AQ58" t="s">
        <v>643</v>
      </c>
      <c r="AR58" t="s">
        <v>48</v>
      </c>
      <c r="AS58" t="s">
        <v>48</v>
      </c>
    </row>
    <row r="59" spans="1:54" x14ac:dyDescent="0.4">
      <c r="A59" t="s">
        <v>4453</v>
      </c>
      <c r="B59" t="s">
        <v>10</v>
      </c>
      <c r="C59" t="s">
        <v>82</v>
      </c>
      <c r="D59" t="s">
        <v>11</v>
      </c>
      <c r="E59" s="2">
        <v>5.0000000000000001E-4</v>
      </c>
      <c r="F59" t="s">
        <v>1057</v>
      </c>
      <c r="G59" s="4" t="s">
        <v>565</v>
      </c>
      <c r="H59" t="s">
        <v>82</v>
      </c>
      <c r="I59" t="s">
        <v>6141</v>
      </c>
      <c r="J59" t="s">
        <v>6142</v>
      </c>
      <c r="K59" t="s">
        <v>23</v>
      </c>
      <c r="L59" s="2">
        <v>5.2499999999999998E-2</v>
      </c>
      <c r="M59" t="s">
        <v>1383</v>
      </c>
      <c r="N59" t="s">
        <v>121</v>
      </c>
      <c r="O59" t="s">
        <v>2662</v>
      </c>
      <c r="P59" t="s">
        <v>246</v>
      </c>
      <c r="Q59" t="s">
        <v>246</v>
      </c>
      <c r="R59" t="s">
        <v>246</v>
      </c>
      <c r="S59" t="s">
        <v>571</v>
      </c>
      <c r="T59" t="s">
        <v>571</v>
      </c>
      <c r="U59" t="s">
        <v>571</v>
      </c>
      <c r="V59" t="s">
        <v>1973</v>
      </c>
      <c r="W59" t="s">
        <v>3871</v>
      </c>
      <c r="X59" t="s">
        <v>2096</v>
      </c>
      <c r="Y59" t="s">
        <v>2096</v>
      </c>
      <c r="Z59" t="s">
        <v>2096</v>
      </c>
      <c r="AA59" t="s">
        <v>2096</v>
      </c>
      <c r="AB59" s="2">
        <v>-2.2000000000000001E-3</v>
      </c>
      <c r="AC59" s="2">
        <v>-1.1599999999999999E-2</v>
      </c>
      <c r="AD59" s="2">
        <v>-5.0000000000000001E-3</v>
      </c>
      <c r="AE59" s="2">
        <v>8.5000000000000006E-3</v>
      </c>
      <c r="AF59" s="2">
        <v>8.5000000000000006E-3</v>
      </c>
      <c r="AG59" s="2">
        <v>8.5000000000000006E-3</v>
      </c>
      <c r="AH59" t="s">
        <v>6143</v>
      </c>
      <c r="AI59" t="s">
        <v>130</v>
      </c>
      <c r="AJ59" t="s">
        <v>131</v>
      </c>
      <c r="AK59" t="s">
        <v>40</v>
      </c>
      <c r="AL59">
        <v>2</v>
      </c>
      <c r="AM59" t="s">
        <v>41</v>
      </c>
      <c r="AN59" t="s">
        <v>42</v>
      </c>
      <c r="AO59" t="s">
        <v>2662</v>
      </c>
      <c r="AP59" t="s">
        <v>225</v>
      </c>
      <c r="AQ59" t="s">
        <v>225</v>
      </c>
      <c r="AR59" t="s">
        <v>133</v>
      </c>
      <c r="AS59" t="s">
        <v>133</v>
      </c>
    </row>
    <row r="60" spans="1:54" x14ac:dyDescent="0.4">
      <c r="A60" t="s">
        <v>2563</v>
      </c>
      <c r="B60" t="s">
        <v>10</v>
      </c>
      <c r="C60" t="s">
        <v>68</v>
      </c>
      <c r="D60" t="s">
        <v>11</v>
      </c>
      <c r="E60" s="2">
        <v>3.8E-3</v>
      </c>
      <c r="F60" t="s">
        <v>12</v>
      </c>
      <c r="G60" s="4" t="s">
        <v>2564</v>
      </c>
      <c r="H60" t="s">
        <v>68</v>
      </c>
      <c r="I60" t="s">
        <v>2565</v>
      </c>
      <c r="J60" t="s">
        <v>2566</v>
      </c>
      <c r="K60" t="s">
        <v>23</v>
      </c>
      <c r="L60" s="2">
        <v>0.09</v>
      </c>
      <c r="M60" t="s">
        <v>1448</v>
      </c>
      <c r="N60" t="s">
        <v>636</v>
      </c>
      <c r="O60" t="s">
        <v>1481</v>
      </c>
      <c r="P60" s="1">
        <v>97715</v>
      </c>
      <c r="Q60" s="1">
        <v>97715</v>
      </c>
      <c r="R60" s="1">
        <v>97715</v>
      </c>
      <c r="S60" s="1">
        <v>97715</v>
      </c>
      <c r="T60" s="1">
        <v>97715</v>
      </c>
      <c r="U60" s="1">
        <v>97715</v>
      </c>
      <c r="V60" t="s">
        <v>369</v>
      </c>
      <c r="W60" t="s">
        <v>369</v>
      </c>
      <c r="X60" t="s">
        <v>369</v>
      </c>
      <c r="Y60" t="s">
        <v>369</v>
      </c>
      <c r="Z60" t="s">
        <v>369</v>
      </c>
      <c r="AA60" t="s">
        <v>369</v>
      </c>
      <c r="AB60" s="2">
        <v>2.93E-2</v>
      </c>
      <c r="AC60" s="2">
        <v>2.93E-2</v>
      </c>
      <c r="AD60" s="2">
        <v>2.93E-2</v>
      </c>
      <c r="AE60" s="2">
        <v>2.93E-2</v>
      </c>
      <c r="AF60" s="2">
        <v>2.93E-2</v>
      </c>
      <c r="AG60" s="2">
        <v>2.93E-2</v>
      </c>
      <c r="AH60" t="s">
        <v>2567</v>
      </c>
      <c r="AI60" t="s">
        <v>130</v>
      </c>
      <c r="AJ60" t="s">
        <v>131</v>
      </c>
      <c r="AK60" t="s">
        <v>40</v>
      </c>
      <c r="AL60">
        <v>1</v>
      </c>
      <c r="AM60" t="s">
        <v>41</v>
      </c>
      <c r="AN60" t="s">
        <v>42</v>
      </c>
      <c r="AO60" t="s">
        <v>1481</v>
      </c>
      <c r="AP60" t="s">
        <v>357</v>
      </c>
      <c r="AQ60">
        <v>1</v>
      </c>
      <c r="BA60" t="s">
        <v>360</v>
      </c>
      <c r="BB60" t="s">
        <v>61</v>
      </c>
    </row>
    <row r="61" spans="1:54" x14ac:dyDescent="0.4">
      <c r="A61" t="s">
        <v>4462</v>
      </c>
      <c r="B61" t="s">
        <v>10</v>
      </c>
      <c r="C61" t="s">
        <v>5711</v>
      </c>
      <c r="D61" t="s">
        <v>11</v>
      </c>
      <c r="E61" s="2">
        <v>2.0000000000000001E-4</v>
      </c>
      <c r="F61" t="s">
        <v>1057</v>
      </c>
      <c r="G61" s="4" t="s">
        <v>3463</v>
      </c>
      <c r="H61" t="s">
        <v>5711</v>
      </c>
      <c r="I61" t="s">
        <v>7224</v>
      </c>
      <c r="J61" t="s">
        <v>7225</v>
      </c>
      <c r="K61" t="s">
        <v>23</v>
      </c>
      <c r="L61" s="2">
        <v>2.4500000000000001E-2</v>
      </c>
      <c r="M61" t="s">
        <v>7226</v>
      </c>
      <c r="N61" t="s">
        <v>121</v>
      </c>
      <c r="O61" t="s">
        <v>7227</v>
      </c>
      <c r="P61" t="s">
        <v>7228</v>
      </c>
      <c r="Q61" t="s">
        <v>7228</v>
      </c>
      <c r="R61" t="s">
        <v>4535</v>
      </c>
      <c r="S61" t="s">
        <v>3478</v>
      </c>
      <c r="T61" t="s">
        <v>7229</v>
      </c>
      <c r="U61" t="s">
        <v>7229</v>
      </c>
      <c r="V61" t="s">
        <v>7230</v>
      </c>
      <c r="W61" t="s">
        <v>7231</v>
      </c>
      <c r="X61" t="s">
        <v>7232</v>
      </c>
      <c r="Y61" t="s">
        <v>7232</v>
      </c>
      <c r="Z61" t="s">
        <v>7232</v>
      </c>
      <c r="AA61" t="s">
        <v>1974</v>
      </c>
      <c r="AB61" s="2">
        <v>2.2000000000000001E-3</v>
      </c>
      <c r="AC61" s="2">
        <v>-9.7000000000000003E-3</v>
      </c>
      <c r="AD61" s="2">
        <v>1.0999999999999999E-2</v>
      </c>
      <c r="AE61" s="2">
        <v>1.5900000000000001E-2</v>
      </c>
      <c r="AF61" s="2">
        <v>2.07E-2</v>
      </c>
      <c r="AG61" s="2">
        <v>-0.12859999999999999</v>
      </c>
      <c r="AH61" t="s">
        <v>7233</v>
      </c>
      <c r="AI61" t="s">
        <v>130</v>
      </c>
      <c r="AJ61" t="s">
        <v>131</v>
      </c>
      <c r="AK61" t="s">
        <v>40</v>
      </c>
      <c r="AL61">
        <v>2</v>
      </c>
      <c r="AM61" t="s">
        <v>41</v>
      </c>
      <c r="AN61" t="s">
        <v>42</v>
      </c>
      <c r="AO61" t="s">
        <v>7227</v>
      </c>
      <c r="AP61" t="s">
        <v>171</v>
      </c>
      <c r="AQ61" t="s">
        <v>171</v>
      </c>
      <c r="AR61" t="s">
        <v>133</v>
      </c>
      <c r="AS61" t="s">
        <v>133</v>
      </c>
    </row>
    <row r="62" spans="1:54" x14ac:dyDescent="0.4">
      <c r="A62" t="s">
        <v>1431</v>
      </c>
      <c r="B62" t="s">
        <v>10</v>
      </c>
      <c r="C62" t="s">
        <v>905</v>
      </c>
      <c r="D62" t="s">
        <v>11</v>
      </c>
      <c r="E62" s="2">
        <v>-7.1999999999999998E-3</v>
      </c>
      <c r="F62" t="s">
        <v>12</v>
      </c>
      <c r="G62" s="4">
        <f>-0.7 / -0.72%</f>
        <v>97.222222222222214</v>
      </c>
      <c r="H62" t="s">
        <v>905</v>
      </c>
      <c r="I62" t="s">
        <v>1432</v>
      </c>
      <c r="J62" t="s">
        <v>1433</v>
      </c>
      <c r="K62" t="s">
        <v>23</v>
      </c>
      <c r="L62" s="2">
        <v>0.03</v>
      </c>
      <c r="M62" t="s">
        <v>1434</v>
      </c>
      <c r="N62" t="s">
        <v>28</v>
      </c>
      <c r="O62" t="s">
        <v>1435</v>
      </c>
      <c r="P62" t="s">
        <v>1436</v>
      </c>
      <c r="Q62" t="s">
        <v>463</v>
      </c>
      <c r="R62" t="s">
        <v>1437</v>
      </c>
      <c r="S62" t="s">
        <v>1438</v>
      </c>
      <c r="T62" t="s">
        <v>1439</v>
      </c>
      <c r="U62" t="s">
        <v>1439</v>
      </c>
      <c r="V62" t="s">
        <v>1440</v>
      </c>
      <c r="W62" t="s">
        <v>1440</v>
      </c>
      <c r="X62" t="s">
        <v>1440</v>
      </c>
      <c r="Y62" t="s">
        <v>1440</v>
      </c>
      <c r="Z62" t="s">
        <v>1440</v>
      </c>
      <c r="AA62" t="s">
        <v>1441</v>
      </c>
      <c r="AB62" s="2">
        <v>5.7999999999999996E-3</v>
      </c>
      <c r="AC62" s="2">
        <v>1.8100000000000002E-2</v>
      </c>
      <c r="AD62" s="2">
        <v>4.6199999999999998E-2</v>
      </c>
      <c r="AE62" s="2">
        <v>7.8E-2</v>
      </c>
      <c r="AF62" s="2">
        <v>2.18E-2</v>
      </c>
      <c r="AG62" s="2">
        <v>-5.9299999999999999E-2</v>
      </c>
      <c r="AH62" t="s">
        <v>1442</v>
      </c>
      <c r="AI62" t="s">
        <v>130</v>
      </c>
      <c r="AJ62" t="s">
        <v>131</v>
      </c>
      <c r="AK62" t="s">
        <v>40</v>
      </c>
      <c r="AL62">
        <v>1</v>
      </c>
      <c r="AM62" t="s">
        <v>41</v>
      </c>
      <c r="AN62" t="s">
        <v>42</v>
      </c>
      <c r="AO62" t="s">
        <v>1435</v>
      </c>
      <c r="AP62" t="s">
        <v>1338</v>
      </c>
      <c r="AQ62">
        <v>1</v>
      </c>
      <c r="BA62" t="s">
        <v>174</v>
      </c>
      <c r="BB62" t="s">
        <v>61</v>
      </c>
    </row>
    <row r="63" spans="1:54" x14ac:dyDescent="0.4">
      <c r="A63" t="s">
        <v>4453</v>
      </c>
      <c r="B63" t="s">
        <v>10</v>
      </c>
      <c r="C63" t="s">
        <v>7526</v>
      </c>
      <c r="D63" t="s">
        <v>11</v>
      </c>
      <c r="E63" s="2">
        <v>-1.2999999999999999E-3</v>
      </c>
      <c r="F63" t="s">
        <v>310</v>
      </c>
      <c r="G63" s="4">
        <f>-0.14 / -0.13%</f>
        <v>107.69230769230771</v>
      </c>
      <c r="H63" t="s">
        <v>7526</v>
      </c>
      <c r="I63" t="s">
        <v>7527</v>
      </c>
      <c r="J63" t="s">
        <v>7528</v>
      </c>
      <c r="K63" t="s">
        <v>23</v>
      </c>
      <c r="L63" s="2">
        <v>4.3749999999999997E-2</v>
      </c>
      <c r="M63" t="s">
        <v>7529</v>
      </c>
      <c r="N63" t="s">
        <v>28</v>
      </c>
      <c r="O63" t="s">
        <v>7530</v>
      </c>
      <c r="P63" t="s">
        <v>6610</v>
      </c>
      <c r="Q63" t="s">
        <v>6610</v>
      </c>
      <c r="R63" t="s">
        <v>4172</v>
      </c>
      <c r="S63" t="s">
        <v>2390</v>
      </c>
      <c r="T63" t="s">
        <v>247</v>
      </c>
      <c r="U63" t="s">
        <v>2937</v>
      </c>
      <c r="V63" t="s">
        <v>7531</v>
      </c>
      <c r="W63" t="s">
        <v>7532</v>
      </c>
      <c r="X63" t="s">
        <v>7532</v>
      </c>
      <c r="Y63" t="s">
        <v>7532</v>
      </c>
      <c r="Z63" t="s">
        <v>7532</v>
      </c>
      <c r="AA63" t="s">
        <v>7532</v>
      </c>
      <c r="AB63" s="2">
        <v>-7.9000000000000008E-3</v>
      </c>
      <c r="AC63" s="2">
        <v>-1.11E-2</v>
      </c>
      <c r="AD63" s="2">
        <v>8.9999999999999993E-3</v>
      </c>
      <c r="AE63" s="2">
        <v>1.12E-2</v>
      </c>
      <c r="AF63" s="2">
        <v>2.6599999999999999E-2</v>
      </c>
      <c r="AG63" s="2">
        <v>7.0900000000000005E-2</v>
      </c>
      <c r="AH63" t="s">
        <v>7533</v>
      </c>
      <c r="AI63" t="s">
        <v>130</v>
      </c>
      <c r="AJ63" t="s">
        <v>131</v>
      </c>
      <c r="AK63" t="s">
        <v>40</v>
      </c>
      <c r="AL63">
        <v>100</v>
      </c>
      <c r="AM63" t="s">
        <v>41</v>
      </c>
      <c r="AN63" t="s">
        <v>42</v>
      </c>
      <c r="AO63" t="s">
        <v>7530</v>
      </c>
      <c r="AP63" t="s">
        <v>193</v>
      </c>
      <c r="AQ63" t="s">
        <v>193</v>
      </c>
      <c r="AR63" t="s">
        <v>48</v>
      </c>
      <c r="AS63" t="s">
        <v>48</v>
      </c>
    </row>
    <row r="64" spans="1:54" x14ac:dyDescent="0.4">
      <c r="A64" t="s">
        <v>4462</v>
      </c>
      <c r="B64" t="s">
        <v>10</v>
      </c>
      <c r="C64" t="s">
        <v>2778</v>
      </c>
      <c r="D64" t="s">
        <v>11</v>
      </c>
      <c r="E64" s="2">
        <v>0</v>
      </c>
      <c r="F64" t="s">
        <v>178</v>
      </c>
      <c r="G64" s="4" t="s">
        <v>15</v>
      </c>
      <c r="H64" t="s">
        <v>2778</v>
      </c>
      <c r="I64" t="s">
        <v>6302</v>
      </c>
      <c r="J64" t="s">
        <v>6303</v>
      </c>
      <c r="K64" t="s">
        <v>23</v>
      </c>
      <c r="L64" s="2">
        <v>5.3749999999999999E-2</v>
      </c>
      <c r="M64" t="s">
        <v>6304</v>
      </c>
      <c r="N64" t="s">
        <v>121</v>
      </c>
      <c r="O64" t="s">
        <v>6305</v>
      </c>
      <c r="P64" t="s">
        <v>6306</v>
      </c>
      <c r="Q64" t="s">
        <v>6306</v>
      </c>
      <c r="R64" t="s">
        <v>6306</v>
      </c>
      <c r="S64" t="s">
        <v>3605</v>
      </c>
      <c r="T64" t="s">
        <v>4718</v>
      </c>
      <c r="U64" t="s">
        <v>2877</v>
      </c>
      <c r="V64" t="s">
        <v>1751</v>
      </c>
      <c r="W64" t="s">
        <v>1751</v>
      </c>
      <c r="X64" t="s">
        <v>4592</v>
      </c>
      <c r="Y64" t="s">
        <v>4592</v>
      </c>
      <c r="Z64" t="s">
        <v>1622</v>
      </c>
      <c r="AA64" t="s">
        <v>6307</v>
      </c>
      <c r="AB64" s="2">
        <v>2E-3</v>
      </c>
      <c r="AC64" s="2">
        <v>4.4000000000000003E-3</v>
      </c>
      <c r="AD64" s="2">
        <v>2.0999999999999999E-3</v>
      </c>
      <c r="AE64" s="2">
        <v>4.0000000000000001E-3</v>
      </c>
      <c r="AF64" s="2">
        <v>-1.1999999999999999E-3</v>
      </c>
      <c r="AG64" s="2">
        <v>-7.6799999999999993E-2</v>
      </c>
      <c r="AH64" t="s">
        <v>6308</v>
      </c>
      <c r="AI64" t="s">
        <v>130</v>
      </c>
      <c r="AJ64" t="s">
        <v>131</v>
      </c>
      <c r="AK64" t="s">
        <v>40</v>
      </c>
      <c r="AL64">
        <v>150</v>
      </c>
      <c r="AM64" t="s">
        <v>41</v>
      </c>
      <c r="AN64" t="s">
        <v>42</v>
      </c>
      <c r="AO64" t="s">
        <v>6305</v>
      </c>
      <c r="AP64" t="s">
        <v>3347</v>
      </c>
      <c r="AQ64" t="s">
        <v>3347</v>
      </c>
      <c r="AR64" t="s">
        <v>133</v>
      </c>
      <c r="AS64" t="s">
        <v>133</v>
      </c>
    </row>
    <row r="65" spans="1:54" x14ac:dyDescent="0.4">
      <c r="A65" t="s">
        <v>740</v>
      </c>
      <c r="B65" t="s">
        <v>10</v>
      </c>
      <c r="C65" t="s">
        <v>5353</v>
      </c>
      <c r="D65" t="s">
        <v>11</v>
      </c>
      <c r="E65" s="2">
        <v>-2.9999999999999997E-4</v>
      </c>
      <c r="F65" t="s">
        <v>12</v>
      </c>
      <c r="G65" s="4">
        <f>-0.03 / -0.03%</f>
        <v>100</v>
      </c>
      <c r="H65" t="s">
        <v>5353</v>
      </c>
      <c r="I65" t="s">
        <v>5831</v>
      </c>
      <c r="J65" t="s">
        <v>5832</v>
      </c>
      <c r="K65" t="s">
        <v>23</v>
      </c>
      <c r="L65" s="2">
        <v>3.5000000000000003E-2</v>
      </c>
      <c r="M65" t="s">
        <v>2730</v>
      </c>
      <c r="N65" t="s">
        <v>28</v>
      </c>
      <c r="O65" t="s">
        <v>5529</v>
      </c>
      <c r="P65" t="s">
        <v>1991</v>
      </c>
      <c r="Q65" t="s">
        <v>1991</v>
      </c>
      <c r="R65" t="s">
        <v>153</v>
      </c>
      <c r="S65" t="s">
        <v>4663</v>
      </c>
      <c r="T65" t="s">
        <v>4663</v>
      </c>
      <c r="U65" t="s">
        <v>4663</v>
      </c>
      <c r="V65" t="s">
        <v>98</v>
      </c>
      <c r="W65" t="s">
        <v>71</v>
      </c>
      <c r="X65" t="s">
        <v>71</v>
      </c>
      <c r="Y65" t="s">
        <v>71</v>
      </c>
      <c r="Z65" t="s">
        <v>71</v>
      </c>
      <c r="AA65" t="s">
        <v>71</v>
      </c>
      <c r="AB65" s="2">
        <v>-2.8999999999999998E-3</v>
      </c>
      <c r="AC65" s="2">
        <v>-4.1000000000000003E-3</v>
      </c>
      <c r="AD65" s="2">
        <v>9.9000000000000008E-3</v>
      </c>
      <c r="AE65" s="2">
        <v>9.7999999999999997E-3</v>
      </c>
      <c r="AF65" s="2">
        <v>7.1999999999999998E-3</v>
      </c>
      <c r="AG65" s="2">
        <v>7.1999999999999998E-3</v>
      </c>
      <c r="AH65" t="s">
        <v>5160</v>
      </c>
      <c r="AI65" t="s">
        <v>130</v>
      </c>
      <c r="AJ65" t="s">
        <v>131</v>
      </c>
      <c r="AK65" t="s">
        <v>40</v>
      </c>
      <c r="AL65">
        <v>100</v>
      </c>
      <c r="AM65" t="s">
        <v>41</v>
      </c>
      <c r="AN65" t="s">
        <v>42</v>
      </c>
      <c r="AO65" t="s">
        <v>5529</v>
      </c>
      <c r="AP65" t="s">
        <v>193</v>
      </c>
      <c r="AQ65">
        <v>100</v>
      </c>
      <c r="BA65" t="s">
        <v>174</v>
      </c>
      <c r="BB65" t="s">
        <v>61</v>
      </c>
    </row>
    <row r="66" spans="1:54" x14ac:dyDescent="0.4">
      <c r="A66" t="s">
        <v>4453</v>
      </c>
      <c r="B66" t="s">
        <v>10</v>
      </c>
      <c r="C66" t="s">
        <v>833</v>
      </c>
      <c r="D66" t="s">
        <v>11</v>
      </c>
      <c r="E66" s="2">
        <v>-6.9999999999999999E-4</v>
      </c>
      <c r="F66" t="s">
        <v>310</v>
      </c>
      <c r="G66" s="4">
        <f>-0.07 / -0.07%</f>
        <v>100</v>
      </c>
      <c r="H66" t="s">
        <v>833</v>
      </c>
      <c r="I66" t="s">
        <v>5155</v>
      </c>
      <c r="J66" t="s">
        <v>5156</v>
      </c>
      <c r="K66" t="s">
        <v>23</v>
      </c>
      <c r="L66" s="2">
        <v>5.7500000000000002E-2</v>
      </c>
      <c r="M66" t="s">
        <v>3414</v>
      </c>
      <c r="N66" t="s">
        <v>28</v>
      </c>
      <c r="O66" t="s">
        <v>5157</v>
      </c>
      <c r="P66" t="s">
        <v>248</v>
      </c>
      <c r="Q66" t="s">
        <v>248</v>
      </c>
      <c r="R66" t="s">
        <v>5158</v>
      </c>
      <c r="S66" t="s">
        <v>2845</v>
      </c>
      <c r="T66" t="s">
        <v>414</v>
      </c>
      <c r="U66" t="s">
        <v>414</v>
      </c>
      <c r="V66" t="s">
        <v>2766</v>
      </c>
      <c r="W66" t="s">
        <v>5159</v>
      </c>
      <c r="X66" t="s">
        <v>5159</v>
      </c>
      <c r="Y66" t="s">
        <v>5159</v>
      </c>
      <c r="Z66" t="s">
        <v>5159</v>
      </c>
      <c r="AA66" t="s">
        <v>5159</v>
      </c>
      <c r="AB66" s="2">
        <v>-3.2000000000000002E-3</v>
      </c>
      <c r="AC66" s="2">
        <v>-5.3E-3</v>
      </c>
      <c r="AD66" s="2">
        <v>8.3000000000000001E-3</v>
      </c>
      <c r="AE66" s="2">
        <v>2.4E-2</v>
      </c>
      <c r="AF66" s="2">
        <v>6.5699999999999995E-2</v>
      </c>
      <c r="AG66" s="2">
        <v>6.5699999999999995E-2</v>
      </c>
      <c r="AH66" t="s">
        <v>5160</v>
      </c>
      <c r="AI66" t="s">
        <v>130</v>
      </c>
      <c r="AJ66" t="s">
        <v>131</v>
      </c>
      <c r="AK66" t="s">
        <v>40</v>
      </c>
      <c r="AL66">
        <v>100</v>
      </c>
      <c r="AM66" t="s">
        <v>41</v>
      </c>
      <c r="AN66" t="s">
        <v>42</v>
      </c>
      <c r="AO66" t="s">
        <v>5157</v>
      </c>
      <c r="AP66" t="s">
        <v>500</v>
      </c>
      <c r="AZ66">
        <v>100</v>
      </c>
      <c r="BA66" t="s">
        <v>197</v>
      </c>
    </row>
    <row r="67" spans="1:54" x14ac:dyDescent="0.4">
      <c r="A67" t="s">
        <v>288</v>
      </c>
      <c r="B67" t="s">
        <v>10</v>
      </c>
      <c r="C67" t="s">
        <v>7171</v>
      </c>
      <c r="D67" t="s">
        <v>11</v>
      </c>
      <c r="E67" s="2">
        <v>-5.4000000000000003E-3</v>
      </c>
      <c r="F67" t="s">
        <v>12</v>
      </c>
      <c r="G67" s="4">
        <f>-0.49 / -0.54%</f>
        <v>90.740740740740733</v>
      </c>
      <c r="H67" t="s">
        <v>7171</v>
      </c>
      <c r="I67" t="s">
        <v>7172</v>
      </c>
      <c r="J67" t="s">
        <v>7173</v>
      </c>
      <c r="K67" t="s">
        <v>23</v>
      </c>
      <c r="L67" s="2">
        <v>0.02</v>
      </c>
      <c r="M67" t="s">
        <v>4164</v>
      </c>
      <c r="N67" t="s">
        <v>28</v>
      </c>
      <c r="O67" t="s">
        <v>4165</v>
      </c>
      <c r="P67" t="s">
        <v>7174</v>
      </c>
      <c r="Q67" t="s">
        <v>7174</v>
      </c>
      <c r="R67" t="s">
        <v>3183</v>
      </c>
      <c r="S67" t="s">
        <v>7175</v>
      </c>
      <c r="T67" t="s">
        <v>7176</v>
      </c>
      <c r="U67" t="s">
        <v>7176</v>
      </c>
      <c r="V67" t="s">
        <v>4902</v>
      </c>
      <c r="W67" t="s">
        <v>627</v>
      </c>
      <c r="X67" t="s">
        <v>627</v>
      </c>
      <c r="Y67" t="s">
        <v>627</v>
      </c>
      <c r="Z67" t="s">
        <v>627</v>
      </c>
      <c r="AA67" t="s">
        <v>7177</v>
      </c>
      <c r="AB67" s="2">
        <v>-1.7100000000000001E-2</v>
      </c>
      <c r="AC67" s="2">
        <v>-1.1299999999999999E-2</v>
      </c>
      <c r="AD67" s="2">
        <v>2.0400000000000001E-2</v>
      </c>
      <c r="AE67" s="2">
        <v>3.3500000000000002E-2</v>
      </c>
      <c r="AF67" s="2">
        <v>3.9E-2</v>
      </c>
      <c r="AG67" s="2">
        <v>-0.2331</v>
      </c>
      <c r="AH67" t="s">
        <v>5160</v>
      </c>
      <c r="AI67" t="s">
        <v>130</v>
      </c>
      <c r="AJ67" t="s">
        <v>131</v>
      </c>
      <c r="AK67" t="s">
        <v>40</v>
      </c>
      <c r="AL67">
        <v>100</v>
      </c>
      <c r="AM67" t="s">
        <v>41</v>
      </c>
      <c r="AN67" t="s">
        <v>42</v>
      </c>
      <c r="AO67" t="s">
        <v>4165</v>
      </c>
      <c r="AP67" t="s">
        <v>193</v>
      </c>
      <c r="AQ67" t="s">
        <v>193</v>
      </c>
      <c r="AR67" t="s">
        <v>48</v>
      </c>
      <c r="AS67" t="s">
        <v>48</v>
      </c>
    </row>
    <row r="68" spans="1:54" x14ac:dyDescent="0.4">
      <c r="A68" t="s">
        <v>9</v>
      </c>
      <c r="B68" t="s">
        <v>10</v>
      </c>
      <c r="C68" s="1">
        <v>98865</v>
      </c>
      <c r="D68" t="s">
        <v>11</v>
      </c>
      <c r="E68" s="2">
        <v>-2.0000000000000001E-4</v>
      </c>
      <c r="F68" t="s">
        <v>12</v>
      </c>
      <c r="G68" s="4">
        <f>-0.024 / -0.02%</f>
        <v>120</v>
      </c>
      <c r="H68" s="1">
        <v>98865</v>
      </c>
      <c r="I68" t="s">
        <v>6714</v>
      </c>
      <c r="J68" t="s">
        <v>6715</v>
      </c>
      <c r="K68" t="s">
        <v>23</v>
      </c>
      <c r="L68" s="2">
        <v>1.4999999999999999E-2</v>
      </c>
      <c r="M68" t="s">
        <v>1240</v>
      </c>
      <c r="N68" t="s">
        <v>28</v>
      </c>
      <c r="O68" t="s">
        <v>6716</v>
      </c>
      <c r="P68" t="s">
        <v>2073</v>
      </c>
      <c r="Q68" t="s">
        <v>2008</v>
      </c>
      <c r="R68" t="s">
        <v>3118</v>
      </c>
      <c r="S68" s="1">
        <v>96207</v>
      </c>
      <c r="T68" t="s">
        <v>4211</v>
      </c>
      <c r="U68" t="s">
        <v>4211</v>
      </c>
      <c r="V68" s="1">
        <v>98931</v>
      </c>
      <c r="W68" s="1">
        <v>98931</v>
      </c>
      <c r="X68" s="1">
        <v>98931</v>
      </c>
      <c r="Y68" s="1">
        <v>98931</v>
      </c>
      <c r="Z68" s="1">
        <v>98931</v>
      </c>
      <c r="AA68" t="s">
        <v>1609</v>
      </c>
      <c r="AB68" s="2">
        <v>1E-4</v>
      </c>
      <c r="AC68" s="2">
        <v>2.3999999999999998E-3</v>
      </c>
      <c r="AD68" s="2">
        <v>1.6299999999999999E-2</v>
      </c>
      <c r="AE68" s="2">
        <v>2.3400000000000001E-2</v>
      </c>
      <c r="AF68" s="2">
        <v>3.95E-2</v>
      </c>
      <c r="AG68" s="2">
        <v>-6.59E-2</v>
      </c>
      <c r="AH68" t="s">
        <v>5160</v>
      </c>
      <c r="AI68" t="s">
        <v>130</v>
      </c>
      <c r="AJ68" t="s">
        <v>131</v>
      </c>
      <c r="AK68" t="s">
        <v>40</v>
      </c>
      <c r="AL68">
        <v>100</v>
      </c>
      <c r="AM68" t="s">
        <v>41</v>
      </c>
      <c r="AN68" t="s">
        <v>42</v>
      </c>
      <c r="AO68" t="s">
        <v>6716</v>
      </c>
      <c r="AP68" t="s">
        <v>407</v>
      </c>
      <c r="AQ68" t="s">
        <v>407</v>
      </c>
      <c r="AR68" t="s">
        <v>48</v>
      </c>
      <c r="AS68" t="s">
        <v>48</v>
      </c>
    </row>
    <row r="69" spans="1:54" x14ac:dyDescent="0.4">
      <c r="A69" t="s">
        <v>4462</v>
      </c>
      <c r="B69" t="s">
        <v>10</v>
      </c>
      <c r="C69" t="s">
        <v>2101</v>
      </c>
      <c r="D69" t="s">
        <v>11</v>
      </c>
      <c r="E69" s="2">
        <v>6.4000000000000003E-3</v>
      </c>
      <c r="F69" t="s">
        <v>1057</v>
      </c>
      <c r="G69" s="4" t="s">
        <v>4829</v>
      </c>
      <c r="H69" t="s">
        <v>2101</v>
      </c>
      <c r="I69" t="s">
        <v>4830</v>
      </c>
      <c r="J69" t="s">
        <v>4831</v>
      </c>
      <c r="K69" t="s">
        <v>23</v>
      </c>
      <c r="L69" s="2">
        <v>6.1679999999999999E-2</v>
      </c>
      <c r="M69" t="s">
        <v>4832</v>
      </c>
      <c r="N69" t="s">
        <v>636</v>
      </c>
      <c r="O69" t="s">
        <v>4833</v>
      </c>
      <c r="P69" t="s">
        <v>2556</v>
      </c>
      <c r="Q69" t="s">
        <v>2556</v>
      </c>
      <c r="R69" t="s">
        <v>1979</v>
      </c>
      <c r="S69" t="s">
        <v>2904</v>
      </c>
      <c r="T69" t="s">
        <v>686</v>
      </c>
      <c r="U69" t="s">
        <v>4834</v>
      </c>
      <c r="V69" t="s">
        <v>2101</v>
      </c>
      <c r="W69" t="s">
        <v>2379</v>
      </c>
      <c r="X69" t="s">
        <v>2379</v>
      </c>
      <c r="Y69" t="s">
        <v>1626</v>
      </c>
      <c r="Z69" t="s">
        <v>1626</v>
      </c>
      <c r="AA69" t="s">
        <v>1626</v>
      </c>
      <c r="AB69" s="2">
        <v>6.4999999999999997E-3</v>
      </c>
      <c r="AC69" s="2">
        <v>9.2999999999999992E-3</v>
      </c>
      <c r="AD69" s="2">
        <v>4.1999999999999997E-3</v>
      </c>
      <c r="AE69" s="2">
        <v>1.7999999999999999E-2</v>
      </c>
      <c r="AF69" s="2">
        <v>3.7100000000000001E-2</v>
      </c>
      <c r="AG69" s="2">
        <v>1.7600000000000001E-2</v>
      </c>
      <c r="AH69" t="s">
        <v>4835</v>
      </c>
      <c r="AI69" t="s">
        <v>130</v>
      </c>
      <c r="AJ69" t="s">
        <v>131</v>
      </c>
      <c r="AK69" t="s">
        <v>40</v>
      </c>
      <c r="AL69">
        <v>2</v>
      </c>
      <c r="AM69" t="s">
        <v>41</v>
      </c>
      <c r="AN69" t="s">
        <v>42</v>
      </c>
      <c r="AO69" t="s">
        <v>4833</v>
      </c>
      <c r="AP69" t="s">
        <v>225</v>
      </c>
      <c r="AQ69" t="s">
        <v>225</v>
      </c>
      <c r="AR69" t="s">
        <v>133</v>
      </c>
      <c r="AS69" t="s">
        <v>133</v>
      </c>
    </row>
    <row r="70" spans="1:54" x14ac:dyDescent="0.4">
      <c r="A70" t="s">
        <v>4453</v>
      </c>
      <c r="B70" t="s">
        <v>10</v>
      </c>
      <c r="C70" t="s">
        <v>4837</v>
      </c>
      <c r="D70" t="s">
        <v>11</v>
      </c>
      <c r="E70" s="2">
        <v>3.3E-3</v>
      </c>
      <c r="F70" t="s">
        <v>310</v>
      </c>
      <c r="G70" s="4" t="s">
        <v>4838</v>
      </c>
      <c r="H70" t="s">
        <v>4837</v>
      </c>
      <c r="I70" t="s">
        <v>4839</v>
      </c>
      <c r="J70" t="s">
        <v>4840</v>
      </c>
      <c r="K70" t="s">
        <v>23</v>
      </c>
      <c r="L70" s="2">
        <v>5.203E-2</v>
      </c>
      <c r="M70" t="s">
        <v>4841</v>
      </c>
      <c r="N70" t="s">
        <v>121</v>
      </c>
      <c r="O70" t="s">
        <v>1471</v>
      </c>
      <c r="P70" t="s">
        <v>857</v>
      </c>
      <c r="Q70" t="s">
        <v>857</v>
      </c>
      <c r="R70" t="s">
        <v>857</v>
      </c>
      <c r="S70" t="s">
        <v>2645</v>
      </c>
      <c r="T70" t="s">
        <v>204</v>
      </c>
      <c r="U70" t="s">
        <v>204</v>
      </c>
      <c r="V70" t="s">
        <v>4837</v>
      </c>
      <c r="W70" t="s">
        <v>868</v>
      </c>
      <c r="X70" t="s">
        <v>4842</v>
      </c>
      <c r="Y70" t="s">
        <v>4842</v>
      </c>
      <c r="Z70" t="s">
        <v>4842</v>
      </c>
      <c r="AA70" t="s">
        <v>4842</v>
      </c>
      <c r="AB70" s="2">
        <v>1.4E-3</v>
      </c>
      <c r="AC70" s="2">
        <v>-1.11E-2</v>
      </c>
      <c r="AD70" s="2">
        <v>-8.0000000000000004E-4</v>
      </c>
      <c r="AE70" s="2">
        <v>-1.9E-3</v>
      </c>
      <c r="AF70" s="2">
        <v>-8.6E-3</v>
      </c>
      <c r="AG70" s="2">
        <v>2.3E-3</v>
      </c>
      <c r="AH70" t="s">
        <v>4843</v>
      </c>
      <c r="AI70" t="s">
        <v>130</v>
      </c>
      <c r="AJ70" t="s">
        <v>131</v>
      </c>
      <c r="AK70" t="s">
        <v>40</v>
      </c>
      <c r="AL70">
        <v>2</v>
      </c>
      <c r="AM70" t="s">
        <v>41</v>
      </c>
      <c r="AN70" t="s">
        <v>42</v>
      </c>
      <c r="AO70" t="s">
        <v>1471</v>
      </c>
      <c r="AP70" t="s">
        <v>2886</v>
      </c>
      <c r="AQ70" t="s">
        <v>2886</v>
      </c>
      <c r="AR70" t="s">
        <v>133</v>
      </c>
      <c r="AS70" t="s">
        <v>133</v>
      </c>
    </row>
    <row r="71" spans="1:54" x14ac:dyDescent="0.4">
      <c r="A71" t="s">
        <v>4462</v>
      </c>
      <c r="B71" t="s">
        <v>10</v>
      </c>
      <c r="C71" s="1">
        <v>105648</v>
      </c>
      <c r="D71" t="s">
        <v>11</v>
      </c>
      <c r="E71" s="2">
        <v>-1E-4</v>
      </c>
      <c r="F71" t="s">
        <v>178</v>
      </c>
      <c r="G71" s="4">
        <f>-0.011 / -0.01%</f>
        <v>109.99999999999999</v>
      </c>
      <c r="H71" s="1">
        <v>105648</v>
      </c>
      <c r="I71" t="s">
        <v>5822</v>
      </c>
      <c r="J71" t="s">
        <v>5823</v>
      </c>
      <c r="K71" t="s">
        <v>23</v>
      </c>
      <c r="L71" s="2">
        <v>9.2499999999999999E-2</v>
      </c>
      <c r="M71" t="s">
        <v>3852</v>
      </c>
      <c r="N71" t="s">
        <v>636</v>
      </c>
      <c r="O71" t="s">
        <v>5824</v>
      </c>
      <c r="P71" s="1">
        <v>103736</v>
      </c>
      <c r="Q71" s="1">
        <v>103736</v>
      </c>
      <c r="R71" t="s">
        <v>5825</v>
      </c>
      <c r="S71" t="s">
        <v>425</v>
      </c>
      <c r="T71" t="s">
        <v>2843</v>
      </c>
      <c r="U71" t="s">
        <v>2843</v>
      </c>
      <c r="V71" s="1">
        <v>105763</v>
      </c>
      <c r="W71" s="1">
        <v>106299</v>
      </c>
      <c r="X71" s="1">
        <v>106752</v>
      </c>
      <c r="Y71" s="1">
        <v>106752</v>
      </c>
      <c r="Z71" s="1">
        <v>106752</v>
      </c>
      <c r="AA71" s="1">
        <v>106752</v>
      </c>
      <c r="AB71" s="2">
        <v>2.9999999999999997E-4</v>
      </c>
      <c r="AC71" s="2">
        <v>-5.5999999999999999E-3</v>
      </c>
      <c r="AD71" s="2">
        <v>1.21E-2</v>
      </c>
      <c r="AE71" s="2">
        <v>6.2899999999999998E-2</v>
      </c>
      <c r="AF71" s="2">
        <v>6.0499999999999998E-2</v>
      </c>
      <c r="AG71" s="2">
        <v>6.0499999999999998E-2</v>
      </c>
      <c r="AH71" t="s">
        <v>5178</v>
      </c>
      <c r="AI71" t="s">
        <v>130</v>
      </c>
      <c r="AJ71" t="s">
        <v>131</v>
      </c>
      <c r="AK71" t="s">
        <v>40</v>
      </c>
      <c r="AL71">
        <v>200</v>
      </c>
      <c r="AM71" t="s">
        <v>41</v>
      </c>
      <c r="AN71" t="s">
        <v>42</v>
      </c>
      <c r="AO71" t="s">
        <v>5824</v>
      </c>
      <c r="AP71" t="s">
        <v>500</v>
      </c>
      <c r="AQ71">
        <v>200</v>
      </c>
      <c r="BA71" t="s">
        <v>197</v>
      </c>
      <c r="BB71" t="s">
        <v>61</v>
      </c>
    </row>
    <row r="72" spans="1:54" x14ac:dyDescent="0.4">
      <c r="A72" t="s">
        <v>4453</v>
      </c>
      <c r="B72" t="s">
        <v>10</v>
      </c>
      <c r="C72" t="s">
        <v>284</v>
      </c>
      <c r="D72" t="s">
        <v>11</v>
      </c>
      <c r="E72" s="2">
        <v>5.9999999999999995E-4</v>
      </c>
      <c r="F72" t="s">
        <v>363</v>
      </c>
      <c r="G72" s="4" t="s">
        <v>708</v>
      </c>
      <c r="H72" t="s">
        <v>284</v>
      </c>
      <c r="I72" t="s">
        <v>5176</v>
      </c>
      <c r="J72" t="s">
        <v>5177</v>
      </c>
      <c r="K72" t="s">
        <v>23</v>
      </c>
      <c r="L72" s="2">
        <v>5.851E-2</v>
      </c>
      <c r="M72" t="s">
        <v>165</v>
      </c>
      <c r="N72" t="s">
        <v>28</v>
      </c>
      <c r="O72" t="s">
        <v>1952</v>
      </c>
      <c r="P72" t="s">
        <v>1858</v>
      </c>
      <c r="Q72" t="s">
        <v>1858</v>
      </c>
      <c r="R72" t="s">
        <v>1858</v>
      </c>
      <c r="S72" t="s">
        <v>1858</v>
      </c>
      <c r="T72" t="s">
        <v>1858</v>
      </c>
      <c r="U72" t="s">
        <v>1858</v>
      </c>
      <c r="V72" t="s">
        <v>1719</v>
      </c>
      <c r="W72" t="s">
        <v>2374</v>
      </c>
      <c r="X72" t="s">
        <v>4867</v>
      </c>
      <c r="Y72" t="s">
        <v>4867</v>
      </c>
      <c r="Z72" t="s">
        <v>4867</v>
      </c>
      <c r="AA72" t="s">
        <v>4867</v>
      </c>
      <c r="AB72" s="2">
        <v>-5.5999999999999999E-3</v>
      </c>
      <c r="AC72" s="2">
        <v>-8.8000000000000005E-3</v>
      </c>
      <c r="AD72" s="2">
        <v>-8.6E-3</v>
      </c>
      <c r="AE72" s="2">
        <v>-2.5999999999999999E-3</v>
      </c>
      <c r="AF72" s="2">
        <v>-2.5999999999999999E-3</v>
      </c>
      <c r="AG72" s="2">
        <v>-2.5999999999999999E-3</v>
      </c>
      <c r="AH72" t="s">
        <v>5178</v>
      </c>
      <c r="AI72" t="s">
        <v>130</v>
      </c>
      <c r="AJ72" t="s">
        <v>131</v>
      </c>
      <c r="AK72" t="s">
        <v>40</v>
      </c>
      <c r="AL72">
        <v>100</v>
      </c>
      <c r="AM72" t="s">
        <v>41</v>
      </c>
      <c r="AN72" t="s">
        <v>42</v>
      </c>
      <c r="AO72" t="s">
        <v>1952</v>
      </c>
      <c r="AP72" t="s">
        <v>407</v>
      </c>
      <c r="AQ72">
        <v>100</v>
      </c>
      <c r="BA72" t="s">
        <v>197</v>
      </c>
      <c r="BB72" t="s">
        <v>61</v>
      </c>
    </row>
    <row r="73" spans="1:54" x14ac:dyDescent="0.4">
      <c r="A73" t="s">
        <v>4453</v>
      </c>
      <c r="B73" t="s">
        <v>10</v>
      </c>
      <c r="C73" t="s">
        <v>702</v>
      </c>
      <c r="D73" t="s">
        <v>11</v>
      </c>
      <c r="E73" s="2">
        <v>2.9999999999999997E-4</v>
      </c>
      <c r="F73" t="s">
        <v>178</v>
      </c>
      <c r="G73" s="4" t="s">
        <v>2299</v>
      </c>
      <c r="H73" t="s">
        <v>702</v>
      </c>
      <c r="I73" t="s">
        <v>7234</v>
      </c>
      <c r="J73" t="s">
        <v>7235</v>
      </c>
      <c r="K73" t="s">
        <v>23</v>
      </c>
      <c r="L73" s="2">
        <v>3.5639999999999998E-2</v>
      </c>
      <c r="M73" t="s">
        <v>5200</v>
      </c>
      <c r="N73" t="s">
        <v>121</v>
      </c>
      <c r="O73" t="s">
        <v>7236</v>
      </c>
      <c r="P73" t="s">
        <v>2931</v>
      </c>
      <c r="Q73" t="s">
        <v>2931</v>
      </c>
      <c r="R73" t="s">
        <v>763</v>
      </c>
      <c r="S73" t="s">
        <v>7237</v>
      </c>
      <c r="T73" t="s">
        <v>7238</v>
      </c>
      <c r="U73" t="s">
        <v>7239</v>
      </c>
      <c r="V73" t="s">
        <v>5813</v>
      </c>
      <c r="W73" t="s">
        <v>7240</v>
      </c>
      <c r="X73" t="s">
        <v>7241</v>
      </c>
      <c r="Y73" t="s">
        <v>7241</v>
      </c>
      <c r="Z73" t="s">
        <v>7241</v>
      </c>
      <c r="AA73" t="s">
        <v>2645</v>
      </c>
      <c r="AB73" s="2">
        <v>2.9999999999999997E-4</v>
      </c>
      <c r="AC73" s="2">
        <v>-1.0500000000000001E-2</v>
      </c>
      <c r="AD73" s="2">
        <v>1.18E-2</v>
      </c>
      <c r="AE73" s="2">
        <v>4.5400000000000003E-2</v>
      </c>
      <c r="AF73" s="2">
        <v>8.3400000000000002E-2</v>
      </c>
      <c r="AG73" s="2">
        <v>-0.11219999999999999</v>
      </c>
      <c r="AH73" t="s">
        <v>5178</v>
      </c>
      <c r="AI73" t="s">
        <v>130</v>
      </c>
      <c r="AJ73" t="s">
        <v>131</v>
      </c>
      <c r="AK73" t="s">
        <v>40</v>
      </c>
      <c r="AL73">
        <v>200</v>
      </c>
      <c r="AM73" t="s">
        <v>41</v>
      </c>
      <c r="AN73" t="s">
        <v>42</v>
      </c>
      <c r="AO73" t="s">
        <v>7236</v>
      </c>
      <c r="AP73" t="s">
        <v>407</v>
      </c>
      <c r="AZ73">
        <v>200</v>
      </c>
      <c r="BA73" t="s">
        <v>197</v>
      </c>
    </row>
    <row r="74" spans="1:54" x14ac:dyDescent="0.4">
      <c r="A74" t="s">
        <v>288</v>
      </c>
      <c r="B74" t="s">
        <v>10</v>
      </c>
      <c r="C74" t="s">
        <v>2325</v>
      </c>
      <c r="D74" t="s">
        <v>11</v>
      </c>
      <c r="E74" s="2">
        <v>-1.5E-3</v>
      </c>
      <c r="F74" t="s">
        <v>12</v>
      </c>
      <c r="G74" s="4">
        <f>-0.15 / -0.15%</f>
        <v>100</v>
      </c>
      <c r="H74" t="s">
        <v>2325</v>
      </c>
      <c r="I74" t="s">
        <v>7024</v>
      </c>
      <c r="J74" t="s">
        <v>7025</v>
      </c>
      <c r="K74" t="s">
        <v>23</v>
      </c>
      <c r="L74" s="2">
        <v>0.01</v>
      </c>
      <c r="M74" t="s">
        <v>7026</v>
      </c>
      <c r="N74" t="s">
        <v>28</v>
      </c>
      <c r="O74" t="s">
        <v>4501</v>
      </c>
      <c r="P74" t="s">
        <v>1659</v>
      </c>
      <c r="Q74" t="s">
        <v>1659</v>
      </c>
      <c r="R74" t="s">
        <v>1473</v>
      </c>
      <c r="S74" t="s">
        <v>7027</v>
      </c>
      <c r="T74" t="s">
        <v>6563</v>
      </c>
      <c r="U74" t="s">
        <v>6078</v>
      </c>
      <c r="V74" t="s">
        <v>5330</v>
      </c>
      <c r="W74" t="s">
        <v>2470</v>
      </c>
      <c r="X74" t="s">
        <v>2470</v>
      </c>
      <c r="Y74" t="s">
        <v>2470</v>
      </c>
      <c r="Z74" t="s">
        <v>2470</v>
      </c>
      <c r="AA74" t="s">
        <v>7028</v>
      </c>
      <c r="AB74" s="2">
        <v>-1.89E-2</v>
      </c>
      <c r="AC74" s="2">
        <v>2.8999999999999998E-3</v>
      </c>
      <c r="AD74" s="2">
        <v>2.1499999999999998E-2</v>
      </c>
      <c r="AE74" s="2">
        <v>8.8999999999999996E-2</v>
      </c>
      <c r="AF74" s="2">
        <v>0.13139999999999999</v>
      </c>
      <c r="AG74" s="2">
        <v>-8.8800000000000004E-2</v>
      </c>
      <c r="AH74" t="s">
        <v>7029</v>
      </c>
      <c r="AI74" t="s">
        <v>130</v>
      </c>
      <c r="AJ74" t="s">
        <v>131</v>
      </c>
      <c r="AK74" t="s">
        <v>40</v>
      </c>
      <c r="AL74">
        <v>5</v>
      </c>
      <c r="AM74" t="s">
        <v>41</v>
      </c>
      <c r="AN74" t="s">
        <v>42</v>
      </c>
      <c r="AO74" t="s">
        <v>4501</v>
      </c>
      <c r="AP74" t="s">
        <v>1338</v>
      </c>
      <c r="AQ74" t="s">
        <v>1338</v>
      </c>
      <c r="AR74" t="s">
        <v>1694</v>
      </c>
      <c r="AS74" t="s">
        <v>1694</v>
      </c>
    </row>
    <row r="75" spans="1:54" x14ac:dyDescent="0.4">
      <c r="A75" t="s">
        <v>288</v>
      </c>
      <c r="B75" t="s">
        <v>10</v>
      </c>
      <c r="C75" s="1">
        <v>93755</v>
      </c>
      <c r="D75" t="s">
        <v>11</v>
      </c>
      <c r="E75" s="2">
        <v>-5.3E-3</v>
      </c>
      <c r="F75" t="s">
        <v>12</v>
      </c>
      <c r="G75" s="4">
        <f>-0.5 / -0.53%</f>
        <v>94.339622641509436</v>
      </c>
      <c r="H75" s="1">
        <v>93755</v>
      </c>
      <c r="I75" t="s">
        <v>1873</v>
      </c>
      <c r="J75" t="s">
        <v>1874</v>
      </c>
      <c r="K75" t="s">
        <v>23</v>
      </c>
      <c r="L75" s="2">
        <v>1.4999999999999999E-2</v>
      </c>
      <c r="M75" t="s">
        <v>1875</v>
      </c>
      <c r="N75" t="s">
        <v>28</v>
      </c>
      <c r="O75" t="s">
        <v>1876</v>
      </c>
      <c r="P75" t="s">
        <v>1877</v>
      </c>
      <c r="Q75" t="s">
        <v>1877</v>
      </c>
      <c r="R75" s="1">
        <v>91755</v>
      </c>
      <c r="S75" s="1">
        <v>89505</v>
      </c>
      <c r="T75" t="s">
        <v>687</v>
      </c>
      <c r="U75" t="s">
        <v>1878</v>
      </c>
      <c r="V75" t="s">
        <v>639</v>
      </c>
      <c r="W75" s="1">
        <v>95885</v>
      </c>
      <c r="X75" s="1">
        <v>95885</v>
      </c>
      <c r="Y75" s="1">
        <v>95885</v>
      </c>
      <c r="Z75" s="1">
        <v>95885</v>
      </c>
      <c r="AA75" t="s">
        <v>1879</v>
      </c>
      <c r="AB75" s="2">
        <v>-1.15E-2</v>
      </c>
      <c r="AC75" s="2">
        <v>-1.12E-2</v>
      </c>
      <c r="AD75" s="2">
        <v>1.2699999999999999E-2</v>
      </c>
      <c r="AE75" s="2">
        <v>3.04E-2</v>
      </c>
      <c r="AF75" s="2">
        <v>6.2E-2</v>
      </c>
      <c r="AG75" s="2">
        <v>-0.13320000000000001</v>
      </c>
      <c r="AH75" t="s">
        <v>1880</v>
      </c>
      <c r="AI75" t="s">
        <v>232</v>
      </c>
      <c r="AJ75" t="s">
        <v>131</v>
      </c>
      <c r="AK75" t="s">
        <v>40</v>
      </c>
      <c r="AL75">
        <v>1</v>
      </c>
      <c r="AM75" t="s">
        <v>41</v>
      </c>
      <c r="AN75" t="s">
        <v>42</v>
      </c>
      <c r="AO75" t="s">
        <v>1876</v>
      </c>
      <c r="AP75" t="s">
        <v>225</v>
      </c>
      <c r="AQ75" t="s">
        <v>225</v>
      </c>
      <c r="AR75" t="s">
        <v>48</v>
      </c>
      <c r="AS75" t="s">
        <v>48</v>
      </c>
    </row>
    <row r="76" spans="1:54" x14ac:dyDescent="0.4">
      <c r="A76" t="s">
        <v>288</v>
      </c>
      <c r="B76" t="s">
        <v>10</v>
      </c>
      <c r="C76" s="1">
        <v>99207</v>
      </c>
      <c r="D76" t="s">
        <v>11</v>
      </c>
      <c r="E76" s="2">
        <v>-1.4E-3</v>
      </c>
      <c r="F76" t="s">
        <v>12</v>
      </c>
      <c r="G76" s="4">
        <f>-0.138 / -0.14%</f>
        <v>98.571428571428569</v>
      </c>
      <c r="H76" s="1">
        <v>99207</v>
      </c>
      <c r="I76" t="s">
        <v>3446</v>
      </c>
      <c r="J76" t="s">
        <v>3447</v>
      </c>
      <c r="K76" t="s">
        <v>23</v>
      </c>
      <c r="L76" s="2">
        <v>8.7500000000000008E-3</v>
      </c>
      <c r="M76" t="s">
        <v>1875</v>
      </c>
      <c r="N76" t="s">
        <v>28</v>
      </c>
      <c r="O76" t="s">
        <v>1876</v>
      </c>
      <c r="P76" t="s">
        <v>571</v>
      </c>
      <c r="Q76" s="1">
        <v>98856</v>
      </c>
      <c r="R76" t="s">
        <v>1552</v>
      </c>
      <c r="S76" s="1">
        <v>96824</v>
      </c>
      <c r="T76" s="1">
        <v>94905</v>
      </c>
      <c r="U76" t="s">
        <v>718</v>
      </c>
      <c r="V76" s="1">
        <v>99357</v>
      </c>
      <c r="W76" s="1">
        <v>99357</v>
      </c>
      <c r="X76" s="1">
        <v>99357</v>
      </c>
      <c r="Y76" s="1">
        <v>99357</v>
      </c>
      <c r="Z76" s="1">
        <v>99357</v>
      </c>
      <c r="AA76" s="1">
        <v>103255</v>
      </c>
      <c r="AB76" s="2">
        <v>8.0000000000000004E-4</v>
      </c>
      <c r="AC76" s="2">
        <v>3.2000000000000002E-3</v>
      </c>
      <c r="AD76" s="2">
        <v>1.17E-2</v>
      </c>
      <c r="AE76" s="2">
        <v>2.4E-2</v>
      </c>
      <c r="AF76" s="2">
        <v>2.5600000000000001E-2</v>
      </c>
      <c r="AG76" s="2">
        <v>-3.9199999999999999E-2</v>
      </c>
      <c r="AH76" t="s">
        <v>1880</v>
      </c>
      <c r="AI76" t="s">
        <v>232</v>
      </c>
      <c r="AJ76" t="s">
        <v>131</v>
      </c>
      <c r="AK76" t="s">
        <v>40</v>
      </c>
      <c r="AL76">
        <v>1</v>
      </c>
      <c r="AM76" t="s">
        <v>41</v>
      </c>
      <c r="AN76" t="s">
        <v>42</v>
      </c>
      <c r="AO76" t="s">
        <v>1876</v>
      </c>
      <c r="AP76" t="s">
        <v>357</v>
      </c>
      <c r="AQ76" t="s">
        <v>357</v>
      </c>
      <c r="AR76" t="s">
        <v>48</v>
      </c>
      <c r="AS76" t="s">
        <v>48</v>
      </c>
    </row>
    <row r="77" spans="1:54" x14ac:dyDescent="0.4">
      <c r="A77" t="s">
        <v>9</v>
      </c>
      <c r="B77" t="s">
        <v>10</v>
      </c>
      <c r="C77" t="s">
        <v>707</v>
      </c>
      <c r="D77" t="s">
        <v>11</v>
      </c>
      <c r="E77" s="2">
        <v>5.9999999999999995E-4</v>
      </c>
      <c r="F77" t="s">
        <v>12</v>
      </c>
      <c r="G77" s="4" t="s">
        <v>708</v>
      </c>
      <c r="H77" t="s">
        <v>707</v>
      </c>
      <c r="I77" t="s">
        <v>709</v>
      </c>
      <c r="J77" t="s">
        <v>710</v>
      </c>
      <c r="K77" t="s">
        <v>23</v>
      </c>
      <c r="L77" s="2">
        <v>3.125E-2</v>
      </c>
      <c r="M77" t="s">
        <v>711</v>
      </c>
      <c r="N77" t="s">
        <v>28</v>
      </c>
      <c r="O77" t="s">
        <v>712</v>
      </c>
      <c r="P77" t="s">
        <v>713</v>
      </c>
      <c r="Q77" t="s">
        <v>713</v>
      </c>
      <c r="R77" t="s">
        <v>714</v>
      </c>
      <c r="S77" t="s">
        <v>715</v>
      </c>
      <c r="T77" t="s">
        <v>716</v>
      </c>
      <c r="U77" t="s">
        <v>717</v>
      </c>
      <c r="V77" t="s">
        <v>718</v>
      </c>
      <c r="W77" t="s">
        <v>719</v>
      </c>
      <c r="X77" t="s">
        <v>719</v>
      </c>
      <c r="Y77" t="s">
        <v>719</v>
      </c>
      <c r="Z77" t="s">
        <v>719</v>
      </c>
      <c r="AA77" t="s">
        <v>641</v>
      </c>
      <c r="AB77" s="2">
        <v>7.7999999999999996E-3</v>
      </c>
      <c r="AC77" s="2">
        <v>4.7999999999999996E-3</v>
      </c>
      <c r="AD77" s="2">
        <v>3.2300000000000002E-2</v>
      </c>
      <c r="AE77" s="2">
        <v>5.21E-2</v>
      </c>
      <c r="AF77" s="2">
        <v>7.4499999999999997E-2</v>
      </c>
      <c r="AG77" s="2">
        <v>-5.28E-2</v>
      </c>
      <c r="AH77" t="s">
        <v>720</v>
      </c>
      <c r="AI77" t="s">
        <v>232</v>
      </c>
      <c r="AJ77" t="s">
        <v>131</v>
      </c>
      <c r="AK77" t="s">
        <v>40</v>
      </c>
      <c r="AL77">
        <v>100</v>
      </c>
      <c r="AM77" t="s">
        <v>41</v>
      </c>
      <c r="AN77" t="s">
        <v>42</v>
      </c>
      <c r="AO77" t="s">
        <v>712</v>
      </c>
      <c r="AP77" t="s">
        <v>357</v>
      </c>
      <c r="AZ77">
        <v>100</v>
      </c>
      <c r="BA77" t="s">
        <v>59</v>
      </c>
    </row>
    <row r="78" spans="1:54" x14ac:dyDescent="0.4">
      <c r="A78" t="s">
        <v>1625</v>
      </c>
      <c r="B78" t="s">
        <v>10</v>
      </c>
      <c r="C78" t="s">
        <v>1626</v>
      </c>
      <c r="D78" t="s">
        <v>11</v>
      </c>
      <c r="E78" s="2">
        <v>-5.0000000000000001E-3</v>
      </c>
      <c r="F78" t="s">
        <v>1057</v>
      </c>
      <c r="G78" s="4">
        <f>-0.52 / -0.5%</f>
        <v>104</v>
      </c>
      <c r="H78" t="s">
        <v>1626</v>
      </c>
      <c r="I78" t="s">
        <v>1627</v>
      </c>
      <c r="J78" t="s">
        <v>1628</v>
      </c>
      <c r="K78" t="s">
        <v>23</v>
      </c>
      <c r="L78" s="2">
        <v>4.2500000000000003E-2</v>
      </c>
      <c r="M78" t="s">
        <v>1629</v>
      </c>
      <c r="N78" t="s">
        <v>28</v>
      </c>
      <c r="O78" t="s">
        <v>1630</v>
      </c>
      <c r="P78" t="s">
        <v>1631</v>
      </c>
      <c r="Q78" t="s">
        <v>1631</v>
      </c>
      <c r="R78" t="s">
        <v>1632</v>
      </c>
      <c r="S78" t="s">
        <v>1633</v>
      </c>
      <c r="T78" t="s">
        <v>247</v>
      </c>
      <c r="U78" t="s">
        <v>247</v>
      </c>
      <c r="V78" t="s">
        <v>1634</v>
      </c>
      <c r="W78" t="s">
        <v>1635</v>
      </c>
      <c r="X78" t="s">
        <v>1636</v>
      </c>
      <c r="Y78" t="s">
        <v>1636</v>
      </c>
      <c r="Z78" t="s">
        <v>1636</v>
      </c>
      <c r="AA78" t="s">
        <v>1636</v>
      </c>
      <c r="AB78" s="2">
        <v>-1.9E-3</v>
      </c>
      <c r="AC78" s="2">
        <v>-6.4000000000000003E-3</v>
      </c>
      <c r="AD78" s="2">
        <v>-1.1999999999999999E-3</v>
      </c>
      <c r="AE78" s="2">
        <v>-6.9999999999999999E-4</v>
      </c>
      <c r="AF78" s="2">
        <v>2.6700000000000002E-2</v>
      </c>
      <c r="AG78" s="2">
        <v>2.6700000000000002E-2</v>
      </c>
      <c r="AH78" t="s">
        <v>720</v>
      </c>
      <c r="AI78" t="s">
        <v>232</v>
      </c>
      <c r="AJ78" t="s">
        <v>131</v>
      </c>
      <c r="AK78" t="s">
        <v>40</v>
      </c>
      <c r="AL78">
        <v>1</v>
      </c>
      <c r="AM78" t="s">
        <v>41</v>
      </c>
      <c r="AN78" t="s">
        <v>42</v>
      </c>
      <c r="AO78" t="s">
        <v>1630</v>
      </c>
      <c r="AP78" t="s">
        <v>357</v>
      </c>
      <c r="AQ78" t="s">
        <v>357</v>
      </c>
      <c r="AR78" t="s">
        <v>48</v>
      </c>
      <c r="AS78" t="s">
        <v>48</v>
      </c>
    </row>
    <row r="79" spans="1:54" x14ac:dyDescent="0.4">
      <c r="A79" t="s">
        <v>76</v>
      </c>
      <c r="B79" t="s">
        <v>10</v>
      </c>
      <c r="C79" s="1">
        <v>101348</v>
      </c>
      <c r="D79" t="s">
        <v>11</v>
      </c>
      <c r="E79" s="2">
        <v>-1E-4</v>
      </c>
      <c r="F79" t="s">
        <v>12</v>
      </c>
      <c r="G79" s="4">
        <f>-0.012 / -0.01%</f>
        <v>120</v>
      </c>
      <c r="H79" s="1">
        <v>101348</v>
      </c>
      <c r="I79" t="s">
        <v>2543</v>
      </c>
      <c r="J79" t="s">
        <v>2544</v>
      </c>
      <c r="K79" t="s">
        <v>23</v>
      </c>
      <c r="L79" s="2">
        <v>0.04</v>
      </c>
      <c r="M79" t="s">
        <v>1629</v>
      </c>
      <c r="N79" t="s">
        <v>28</v>
      </c>
      <c r="O79" t="s">
        <v>1630</v>
      </c>
      <c r="P79" s="1">
        <v>101099</v>
      </c>
      <c r="Q79" s="1">
        <v>101099</v>
      </c>
      <c r="R79" t="s">
        <v>2311</v>
      </c>
      <c r="S79" t="s">
        <v>2427</v>
      </c>
      <c r="T79" t="s">
        <v>2427</v>
      </c>
      <c r="U79" t="s">
        <v>2427</v>
      </c>
      <c r="V79" s="1">
        <v>101793</v>
      </c>
      <c r="W79" t="s">
        <v>1942</v>
      </c>
      <c r="X79" t="s">
        <v>2545</v>
      </c>
      <c r="Y79" t="s">
        <v>2545</v>
      </c>
      <c r="Z79" t="s">
        <v>2545</v>
      </c>
      <c r="AA79" t="s">
        <v>2545</v>
      </c>
      <c r="AB79" s="2">
        <v>-3.3999999999999998E-3</v>
      </c>
      <c r="AC79" s="2">
        <v>-6.6E-3</v>
      </c>
      <c r="AD79" s="2">
        <v>-2.9999999999999997E-4</v>
      </c>
      <c r="AE79" s="2">
        <v>-5.0000000000000001E-4</v>
      </c>
      <c r="AF79" s="2">
        <v>1.03E-2</v>
      </c>
      <c r="AG79" s="2">
        <v>1.03E-2</v>
      </c>
      <c r="AH79" t="s">
        <v>720</v>
      </c>
      <c r="AI79" t="s">
        <v>232</v>
      </c>
      <c r="AJ79" t="s">
        <v>131</v>
      </c>
      <c r="AK79" t="s">
        <v>40</v>
      </c>
      <c r="AL79">
        <v>1</v>
      </c>
      <c r="AM79" t="s">
        <v>41</v>
      </c>
      <c r="AN79" t="s">
        <v>42</v>
      </c>
      <c r="AO79" t="s">
        <v>1630</v>
      </c>
      <c r="AP79" t="s">
        <v>357</v>
      </c>
      <c r="AQ79" t="s">
        <v>357</v>
      </c>
      <c r="AR79" t="s">
        <v>48</v>
      </c>
      <c r="AS79" t="s">
        <v>48</v>
      </c>
    </row>
    <row r="80" spans="1:54" x14ac:dyDescent="0.4">
      <c r="A80" t="s">
        <v>961</v>
      </c>
      <c r="B80" t="s">
        <v>10</v>
      </c>
      <c r="C80" t="s">
        <v>6479</v>
      </c>
      <c r="D80" t="s">
        <v>11</v>
      </c>
      <c r="E80" s="2">
        <v>-1.4E-3</v>
      </c>
      <c r="F80" t="s">
        <v>12</v>
      </c>
      <c r="G80" s="4">
        <f>-0.155 / -0.14%</f>
        <v>110.71428571428569</v>
      </c>
      <c r="H80" t="s">
        <v>6479</v>
      </c>
      <c r="I80" t="s">
        <v>6480</v>
      </c>
      <c r="J80" t="s">
        <v>6481</v>
      </c>
      <c r="K80" t="s">
        <v>23</v>
      </c>
      <c r="L80" s="2">
        <v>5.5E-2</v>
      </c>
      <c r="M80" t="s">
        <v>6482</v>
      </c>
      <c r="N80" t="s">
        <v>28</v>
      </c>
      <c r="O80" t="s">
        <v>6483</v>
      </c>
      <c r="P80" t="s">
        <v>4638</v>
      </c>
      <c r="Q80" s="1">
        <v>108215</v>
      </c>
      <c r="R80" s="1">
        <v>106455</v>
      </c>
      <c r="S80" s="1">
        <v>106455</v>
      </c>
      <c r="T80" s="1">
        <v>106455</v>
      </c>
      <c r="U80" s="1">
        <v>106455</v>
      </c>
      <c r="V80" t="s">
        <v>1125</v>
      </c>
      <c r="W80" t="s">
        <v>4226</v>
      </c>
      <c r="X80" t="s">
        <v>1679</v>
      </c>
      <c r="Y80" t="s">
        <v>1126</v>
      </c>
      <c r="Z80" t="s">
        <v>1126</v>
      </c>
      <c r="AA80" t="s">
        <v>6484</v>
      </c>
      <c r="AB80" s="2">
        <v>-3.5000000000000001E-3</v>
      </c>
      <c r="AC80" s="2">
        <v>-1.5599999999999999E-2</v>
      </c>
      <c r="AD80" s="2">
        <v>-1.6E-2</v>
      </c>
      <c r="AE80" s="2">
        <v>-5.8799999999999998E-2</v>
      </c>
      <c r="AF80" s="2">
        <v>-3.4000000000000002E-2</v>
      </c>
      <c r="AG80" s="2">
        <v>-0.18110000000000001</v>
      </c>
      <c r="AH80" t="s">
        <v>6485</v>
      </c>
      <c r="AI80" t="s">
        <v>36</v>
      </c>
      <c r="AJ80" t="s">
        <v>131</v>
      </c>
      <c r="AK80" t="s">
        <v>40</v>
      </c>
      <c r="AL80">
        <v>0</v>
      </c>
      <c r="AM80" t="s">
        <v>41</v>
      </c>
      <c r="AN80" t="s">
        <v>42</v>
      </c>
      <c r="AO80" t="s">
        <v>6483</v>
      </c>
      <c r="AP80" t="s">
        <v>6486</v>
      </c>
      <c r="AQ80" t="s">
        <v>6486</v>
      </c>
      <c r="AR80" t="s">
        <v>48</v>
      </c>
      <c r="AS80" t="s">
        <v>48</v>
      </c>
    </row>
    <row r="81" spans="1:54" x14ac:dyDescent="0.4">
      <c r="A81" t="s">
        <v>4453</v>
      </c>
      <c r="B81" t="s">
        <v>10</v>
      </c>
      <c r="C81" t="s">
        <v>294</v>
      </c>
      <c r="D81" t="s">
        <v>11</v>
      </c>
      <c r="E81" s="2">
        <v>-1E-4</v>
      </c>
      <c r="F81" t="s">
        <v>178</v>
      </c>
      <c r="G81" s="4">
        <f>-0.01 / -0.01%</f>
        <v>100</v>
      </c>
      <c r="H81" t="s">
        <v>294</v>
      </c>
      <c r="I81" t="s">
        <v>6904</v>
      </c>
      <c r="J81" t="s">
        <v>6905</v>
      </c>
      <c r="K81" t="s">
        <v>23</v>
      </c>
      <c r="L81" s="2">
        <v>1.9E-2</v>
      </c>
      <c r="M81" t="s">
        <v>6906</v>
      </c>
      <c r="N81" t="s">
        <v>28</v>
      </c>
      <c r="O81" t="s">
        <v>6907</v>
      </c>
      <c r="P81" t="s">
        <v>799</v>
      </c>
      <c r="Q81" t="s">
        <v>799</v>
      </c>
      <c r="R81" t="s">
        <v>5417</v>
      </c>
      <c r="S81" t="s">
        <v>1777</v>
      </c>
      <c r="T81" t="s">
        <v>258</v>
      </c>
      <c r="U81" t="s">
        <v>258</v>
      </c>
      <c r="V81" t="s">
        <v>735</v>
      </c>
      <c r="W81" t="s">
        <v>1457</v>
      </c>
      <c r="X81" t="s">
        <v>1457</v>
      </c>
      <c r="Y81" t="s">
        <v>1457</v>
      </c>
      <c r="Z81" t="s">
        <v>1457</v>
      </c>
      <c r="AA81" t="s">
        <v>6908</v>
      </c>
      <c r="AB81" s="2">
        <v>-3.5000000000000001E-3</v>
      </c>
      <c r="AC81" s="2">
        <v>-4.5999999999999999E-3</v>
      </c>
      <c r="AD81" s="2">
        <v>1.55E-2</v>
      </c>
      <c r="AE81" s="2">
        <v>2.2700000000000001E-2</v>
      </c>
      <c r="AF81" s="2">
        <v>3.8800000000000001E-2</v>
      </c>
      <c r="AG81" s="2">
        <v>-7.8899999999999998E-2</v>
      </c>
      <c r="AH81" t="s">
        <v>6909</v>
      </c>
      <c r="AI81" t="s">
        <v>130</v>
      </c>
      <c r="AJ81" t="s">
        <v>131</v>
      </c>
      <c r="AK81" t="s">
        <v>40</v>
      </c>
      <c r="AL81">
        <v>100</v>
      </c>
      <c r="AM81" t="s">
        <v>41</v>
      </c>
      <c r="AN81" t="s">
        <v>42</v>
      </c>
      <c r="AO81" t="s">
        <v>6907</v>
      </c>
      <c r="AP81" t="s">
        <v>225</v>
      </c>
      <c r="AQ81" t="s">
        <v>225</v>
      </c>
      <c r="AR81" t="s">
        <v>48</v>
      </c>
      <c r="AS81" t="s">
        <v>48</v>
      </c>
    </row>
    <row r="82" spans="1:54" x14ac:dyDescent="0.4">
      <c r="A82" t="s">
        <v>3875</v>
      </c>
      <c r="B82" t="s">
        <v>10</v>
      </c>
      <c r="C82" t="s">
        <v>3876</v>
      </c>
      <c r="D82" t="s">
        <v>11</v>
      </c>
      <c r="E82" s="2">
        <v>2E-3</v>
      </c>
      <c r="F82" t="s">
        <v>310</v>
      </c>
      <c r="G82" s="4" t="s">
        <v>3877</v>
      </c>
      <c r="H82" t="s">
        <v>3876</v>
      </c>
      <c r="I82" t="s">
        <v>3878</v>
      </c>
      <c r="J82" t="s">
        <v>3879</v>
      </c>
      <c r="K82" t="s">
        <v>23</v>
      </c>
      <c r="L82" s="2">
        <v>1.4E-2</v>
      </c>
      <c r="M82" t="s">
        <v>3880</v>
      </c>
      <c r="N82" t="s">
        <v>28</v>
      </c>
      <c r="O82" t="s">
        <v>3881</v>
      </c>
      <c r="P82" t="s">
        <v>3882</v>
      </c>
      <c r="Q82" t="s">
        <v>3882</v>
      </c>
      <c r="R82" t="s">
        <v>3882</v>
      </c>
      <c r="S82" t="s">
        <v>3882</v>
      </c>
      <c r="T82" t="s">
        <v>3883</v>
      </c>
      <c r="U82" t="s">
        <v>3883</v>
      </c>
      <c r="V82" t="s">
        <v>3884</v>
      </c>
      <c r="W82" t="s">
        <v>3885</v>
      </c>
      <c r="X82" t="s">
        <v>3885</v>
      </c>
      <c r="Y82" t="s">
        <v>3885</v>
      </c>
      <c r="Z82" t="s">
        <v>3886</v>
      </c>
      <c r="AA82" t="s">
        <v>3887</v>
      </c>
      <c r="AB82" s="2">
        <v>-3.2599999999999997E-2</v>
      </c>
      <c r="AC82" s="2">
        <v>-2.3599999999999999E-2</v>
      </c>
      <c r="AD82" s="2">
        <v>-1.6799999999999999E-2</v>
      </c>
      <c r="AE82" s="2">
        <v>-4.7399999999999998E-2</v>
      </c>
      <c r="AF82" s="2">
        <v>-9.2399999999999996E-2</v>
      </c>
      <c r="AG82" s="2">
        <v>-0.3967</v>
      </c>
      <c r="AH82" t="s">
        <v>2328</v>
      </c>
      <c r="AI82" t="s">
        <v>130</v>
      </c>
      <c r="AJ82" t="s">
        <v>131</v>
      </c>
      <c r="AK82" t="s">
        <v>40</v>
      </c>
      <c r="AL82">
        <v>1</v>
      </c>
      <c r="AM82" t="s">
        <v>41</v>
      </c>
      <c r="AN82" t="s">
        <v>42</v>
      </c>
      <c r="AO82" t="s">
        <v>3881</v>
      </c>
      <c r="AP82" t="s">
        <v>3888</v>
      </c>
      <c r="AQ82" t="s">
        <v>3888</v>
      </c>
      <c r="AR82" t="s">
        <v>48</v>
      </c>
      <c r="AS82" t="s">
        <v>48</v>
      </c>
    </row>
    <row r="83" spans="1:54" x14ac:dyDescent="0.4">
      <c r="A83" t="s">
        <v>288</v>
      </c>
      <c r="B83" t="s">
        <v>10</v>
      </c>
      <c r="C83" t="s">
        <v>1633</v>
      </c>
      <c r="D83" t="s">
        <v>11</v>
      </c>
      <c r="E83" s="2">
        <v>-2.3E-3</v>
      </c>
      <c r="F83" t="s">
        <v>12</v>
      </c>
      <c r="G83" s="4">
        <f>-0.23 / -0.23%</f>
        <v>100</v>
      </c>
      <c r="H83" t="s">
        <v>1633</v>
      </c>
      <c r="I83" t="s">
        <v>2321</v>
      </c>
      <c r="J83" t="s">
        <v>2322</v>
      </c>
      <c r="K83" t="s">
        <v>23</v>
      </c>
      <c r="L83" s="2">
        <v>0.03</v>
      </c>
      <c r="M83" t="s">
        <v>2323</v>
      </c>
      <c r="N83" t="s">
        <v>28</v>
      </c>
      <c r="O83" t="s">
        <v>809</v>
      </c>
      <c r="P83" t="s">
        <v>257</v>
      </c>
      <c r="Q83" t="s">
        <v>257</v>
      </c>
      <c r="R83" t="s">
        <v>257</v>
      </c>
      <c r="S83" t="s">
        <v>2324</v>
      </c>
      <c r="T83" t="s">
        <v>389</v>
      </c>
      <c r="U83" t="s">
        <v>389</v>
      </c>
      <c r="V83" t="s">
        <v>2325</v>
      </c>
      <c r="W83" t="s">
        <v>2326</v>
      </c>
      <c r="X83" t="s">
        <v>2327</v>
      </c>
      <c r="Y83" t="s">
        <v>2327</v>
      </c>
      <c r="Z83" t="s">
        <v>2327</v>
      </c>
      <c r="AA83" t="s">
        <v>2327</v>
      </c>
      <c r="AB83" s="2">
        <v>-1.4200000000000001E-2</v>
      </c>
      <c r="AC83" s="2">
        <v>-2.3400000000000001E-2</v>
      </c>
      <c r="AD83" s="2">
        <v>-8.8000000000000005E-3</v>
      </c>
      <c r="AE83" s="2">
        <v>-1.3100000000000001E-2</v>
      </c>
      <c r="AF83" s="2">
        <v>-1.7299999999999999E-2</v>
      </c>
      <c r="AG83" s="2">
        <v>-2.12E-2</v>
      </c>
      <c r="AH83" t="s">
        <v>2328</v>
      </c>
      <c r="AI83" t="s">
        <v>130</v>
      </c>
      <c r="AJ83" t="s">
        <v>131</v>
      </c>
      <c r="AK83" t="s">
        <v>40</v>
      </c>
      <c r="AL83">
        <v>0</v>
      </c>
      <c r="AM83" t="s">
        <v>41</v>
      </c>
      <c r="AN83" t="s">
        <v>42</v>
      </c>
      <c r="AO83" t="s">
        <v>809</v>
      </c>
      <c r="AP83" t="s">
        <v>2329</v>
      </c>
      <c r="AQ83" t="s">
        <v>2329</v>
      </c>
      <c r="AR83" t="s">
        <v>48</v>
      </c>
      <c r="AS83" t="s">
        <v>48</v>
      </c>
    </row>
    <row r="84" spans="1:54" x14ac:dyDescent="0.4">
      <c r="A84" t="s">
        <v>9</v>
      </c>
      <c r="B84" t="s">
        <v>10</v>
      </c>
      <c r="C84" t="s">
        <v>2264</v>
      </c>
      <c r="D84" t="s">
        <v>11</v>
      </c>
      <c r="E84" s="2">
        <v>-5.9999999999999995E-4</v>
      </c>
      <c r="F84" t="s">
        <v>12</v>
      </c>
      <c r="G84" s="4">
        <f>-0.06 / -0.06%</f>
        <v>100</v>
      </c>
      <c r="H84" t="s">
        <v>2264</v>
      </c>
      <c r="I84" t="s">
        <v>2938</v>
      </c>
      <c r="J84" t="s">
        <v>2939</v>
      </c>
      <c r="K84" t="s">
        <v>23</v>
      </c>
      <c r="L84" s="2">
        <v>2.8500000000000001E-2</v>
      </c>
      <c r="M84" t="s">
        <v>274</v>
      </c>
      <c r="N84" t="s">
        <v>28</v>
      </c>
      <c r="O84" t="s">
        <v>2940</v>
      </c>
      <c r="P84" t="s">
        <v>2765</v>
      </c>
      <c r="Q84" t="s">
        <v>2765</v>
      </c>
      <c r="R84" t="s">
        <v>2765</v>
      </c>
      <c r="S84" t="s">
        <v>2261</v>
      </c>
      <c r="T84" t="s">
        <v>2261</v>
      </c>
      <c r="U84" t="s">
        <v>2261</v>
      </c>
      <c r="V84" t="s">
        <v>2941</v>
      </c>
      <c r="W84" t="s">
        <v>2942</v>
      </c>
      <c r="X84" t="s">
        <v>2942</v>
      </c>
      <c r="Y84" t="s">
        <v>2942</v>
      </c>
      <c r="Z84" t="s">
        <v>2942</v>
      </c>
      <c r="AA84" t="s">
        <v>2942</v>
      </c>
      <c r="AB84" s="2">
        <v>-1.6799999999999999E-2</v>
      </c>
      <c r="AC84" s="2">
        <v>-2.29E-2</v>
      </c>
      <c r="AD84" s="2">
        <v>-7.7999999999999996E-3</v>
      </c>
      <c r="AE84" s="2">
        <v>-1.17E-2</v>
      </c>
      <c r="AF84" s="2">
        <v>-2.35E-2</v>
      </c>
      <c r="AG84" s="2">
        <v>-2.35E-2</v>
      </c>
      <c r="AH84" t="s">
        <v>2328</v>
      </c>
      <c r="AI84" t="s">
        <v>130</v>
      </c>
      <c r="AJ84" t="s">
        <v>131</v>
      </c>
      <c r="AK84" t="s">
        <v>40</v>
      </c>
      <c r="AL84">
        <v>0</v>
      </c>
      <c r="AM84" t="s">
        <v>41</v>
      </c>
      <c r="AN84" t="s">
        <v>42</v>
      </c>
      <c r="AO84" t="s">
        <v>2940</v>
      </c>
      <c r="AP84" t="s">
        <v>2943</v>
      </c>
      <c r="AQ84" t="s">
        <v>2943</v>
      </c>
      <c r="AR84" t="s">
        <v>48</v>
      </c>
      <c r="AS84" t="s">
        <v>48</v>
      </c>
    </row>
    <row r="85" spans="1:54" x14ac:dyDescent="0.4">
      <c r="A85" t="s">
        <v>4518</v>
      </c>
      <c r="B85" t="s">
        <v>10</v>
      </c>
      <c r="C85" t="s">
        <v>4519</v>
      </c>
      <c r="D85" t="s">
        <v>11</v>
      </c>
      <c r="E85" s="2">
        <v>-3.8999999999999998E-3</v>
      </c>
      <c r="F85" t="s">
        <v>12</v>
      </c>
      <c r="G85" s="4">
        <f>-0.33 / -0.39%</f>
        <v>84.615384615384613</v>
      </c>
      <c r="H85" t="s">
        <v>4519</v>
      </c>
      <c r="I85" t="s">
        <v>4520</v>
      </c>
      <c r="J85" t="s">
        <v>4521</v>
      </c>
      <c r="K85" t="s">
        <v>23</v>
      </c>
      <c r="L85" s="2">
        <v>1.9E-2</v>
      </c>
      <c r="M85" t="s">
        <v>4522</v>
      </c>
      <c r="N85" t="s">
        <v>28</v>
      </c>
      <c r="O85" t="s">
        <v>4523</v>
      </c>
      <c r="P85" t="s">
        <v>4524</v>
      </c>
      <c r="Q85" t="s">
        <v>4524</v>
      </c>
      <c r="R85" t="s">
        <v>4524</v>
      </c>
      <c r="S85" t="s">
        <v>4525</v>
      </c>
      <c r="T85" t="s">
        <v>4526</v>
      </c>
      <c r="U85" t="s">
        <v>4526</v>
      </c>
      <c r="V85" t="s">
        <v>1018</v>
      </c>
      <c r="W85" t="s">
        <v>4527</v>
      </c>
      <c r="X85" t="s">
        <v>4527</v>
      </c>
      <c r="Y85" t="s">
        <v>4527</v>
      </c>
      <c r="Z85" t="s">
        <v>206</v>
      </c>
      <c r="AA85" t="s">
        <v>4528</v>
      </c>
      <c r="AB85" s="2">
        <v>-2.6599999999999999E-2</v>
      </c>
      <c r="AC85" s="2">
        <v>-1.9599999999999999E-2</v>
      </c>
      <c r="AD85" s="2">
        <v>-9.7000000000000003E-3</v>
      </c>
      <c r="AE85" s="2">
        <v>-7.3000000000000001E-3</v>
      </c>
      <c r="AF85" s="2">
        <v>-1.89E-2</v>
      </c>
      <c r="AG85" s="2">
        <v>-0.29949999999999999</v>
      </c>
      <c r="AH85" t="s">
        <v>2328</v>
      </c>
      <c r="AI85" t="s">
        <v>130</v>
      </c>
      <c r="AJ85" t="s">
        <v>131</v>
      </c>
      <c r="AK85" t="s">
        <v>40</v>
      </c>
      <c r="AL85">
        <v>0</v>
      </c>
      <c r="AM85" t="s">
        <v>41</v>
      </c>
      <c r="AN85" t="s">
        <v>42</v>
      </c>
      <c r="AO85" t="s">
        <v>4523</v>
      </c>
      <c r="AP85" t="s">
        <v>4529</v>
      </c>
      <c r="AQ85" t="s">
        <v>4529</v>
      </c>
      <c r="AR85" t="s">
        <v>48</v>
      </c>
      <c r="AS85" t="s">
        <v>48</v>
      </c>
    </row>
    <row r="86" spans="1:54" x14ac:dyDescent="0.4">
      <c r="A86" t="s">
        <v>4462</v>
      </c>
      <c r="B86" t="s">
        <v>10</v>
      </c>
      <c r="C86" s="1">
        <v>92825</v>
      </c>
      <c r="D86" t="s">
        <v>11</v>
      </c>
      <c r="E86" s="2">
        <v>1E-3</v>
      </c>
      <c r="F86" t="s">
        <v>1057</v>
      </c>
      <c r="G86" s="4" t="s">
        <v>7519</v>
      </c>
      <c r="H86" s="1">
        <v>92825</v>
      </c>
      <c r="I86" t="s">
        <v>7520</v>
      </c>
      <c r="J86" t="s">
        <v>7521</v>
      </c>
      <c r="K86" t="s">
        <v>23</v>
      </c>
      <c r="L86" s="2">
        <v>0.04</v>
      </c>
      <c r="M86" t="s">
        <v>4350</v>
      </c>
      <c r="N86" t="s">
        <v>121</v>
      </c>
      <c r="O86" t="s">
        <v>3588</v>
      </c>
      <c r="P86" s="1">
        <v>91795</v>
      </c>
      <c r="Q86" s="1">
        <v>91795</v>
      </c>
      <c r="R86" t="s">
        <v>5576</v>
      </c>
      <c r="S86" t="s">
        <v>5576</v>
      </c>
      <c r="T86" s="1">
        <v>67115</v>
      </c>
      <c r="U86" s="1">
        <v>67115</v>
      </c>
      <c r="V86" t="s">
        <v>2807</v>
      </c>
      <c r="W86" t="s">
        <v>1844</v>
      </c>
      <c r="X86" t="s">
        <v>1844</v>
      </c>
      <c r="Y86" t="s">
        <v>1844</v>
      </c>
      <c r="Z86" t="s">
        <v>1844</v>
      </c>
      <c r="AA86" t="s">
        <v>1844</v>
      </c>
      <c r="AB86" s="2">
        <v>-1.01E-2</v>
      </c>
      <c r="AC86" s="2">
        <v>-2.5999999999999999E-3</v>
      </c>
      <c r="AD86" s="2">
        <v>1.2800000000000001E-2</v>
      </c>
      <c r="AE86" s="2">
        <v>2.5499999999999998E-2</v>
      </c>
      <c r="AF86" s="2">
        <v>0.30869999999999997</v>
      </c>
      <c r="AG86" s="2">
        <v>0.30869999999999997</v>
      </c>
      <c r="AH86" t="s">
        <v>7522</v>
      </c>
      <c r="AI86" t="s">
        <v>130</v>
      </c>
      <c r="AJ86" t="s">
        <v>131</v>
      </c>
      <c r="AK86" t="s">
        <v>40</v>
      </c>
      <c r="AL86">
        <v>100</v>
      </c>
      <c r="AM86" t="s">
        <v>41</v>
      </c>
      <c r="AN86" t="s">
        <v>42</v>
      </c>
      <c r="AO86" t="s">
        <v>3588</v>
      </c>
      <c r="AP86" t="s">
        <v>225</v>
      </c>
      <c r="AQ86">
        <v>100</v>
      </c>
      <c r="BA86" t="s">
        <v>197</v>
      </c>
      <c r="BB86" t="s">
        <v>61</v>
      </c>
    </row>
    <row r="87" spans="1:54" x14ac:dyDescent="0.4">
      <c r="A87" t="s">
        <v>76</v>
      </c>
      <c r="B87" t="s">
        <v>10</v>
      </c>
      <c r="C87" t="s">
        <v>473</v>
      </c>
      <c r="D87" t="s">
        <v>11</v>
      </c>
      <c r="E87" s="2">
        <v>-4.0000000000000002E-4</v>
      </c>
      <c r="F87" t="s">
        <v>12</v>
      </c>
      <c r="G87" s="4">
        <f>-0.04 / -0.04%</f>
        <v>100</v>
      </c>
      <c r="H87" t="s">
        <v>473</v>
      </c>
      <c r="I87" t="s">
        <v>2660</v>
      </c>
      <c r="J87" t="s">
        <v>2661</v>
      </c>
      <c r="K87" t="s">
        <v>23</v>
      </c>
      <c r="L87" s="2">
        <v>3.023E-2</v>
      </c>
      <c r="M87" t="s">
        <v>1971</v>
      </c>
      <c r="N87" t="s">
        <v>636</v>
      </c>
      <c r="O87" t="s">
        <v>2662</v>
      </c>
      <c r="P87" s="1">
        <v>98675</v>
      </c>
      <c r="Q87" s="1">
        <v>98675</v>
      </c>
      <c r="R87" s="1">
        <v>98285</v>
      </c>
      <c r="S87" s="1">
        <v>98285</v>
      </c>
      <c r="T87" s="1">
        <v>98285</v>
      </c>
      <c r="U87" s="1">
        <v>98285</v>
      </c>
      <c r="V87" t="s">
        <v>2663</v>
      </c>
      <c r="W87" s="1">
        <v>99615</v>
      </c>
      <c r="X87" t="s">
        <v>2664</v>
      </c>
      <c r="Y87" s="1">
        <v>99855</v>
      </c>
      <c r="Z87" s="1">
        <v>99855</v>
      </c>
      <c r="AA87" s="1">
        <v>99855</v>
      </c>
      <c r="AB87" s="2">
        <v>-4.0000000000000002E-4</v>
      </c>
      <c r="AC87" s="2">
        <v>-7.1000000000000004E-3</v>
      </c>
      <c r="AD87" s="2">
        <v>-8.5000000000000006E-3</v>
      </c>
      <c r="AE87" s="2">
        <v>-7.0000000000000001E-3</v>
      </c>
      <c r="AF87" s="2">
        <v>-7.0000000000000001E-3</v>
      </c>
      <c r="AG87" s="2">
        <v>-7.0000000000000001E-3</v>
      </c>
      <c r="AH87" t="s">
        <v>2665</v>
      </c>
      <c r="AI87" t="s">
        <v>36</v>
      </c>
      <c r="AJ87" t="s">
        <v>131</v>
      </c>
      <c r="AK87" t="s">
        <v>40</v>
      </c>
      <c r="AL87">
        <v>1</v>
      </c>
      <c r="AM87" t="s">
        <v>41</v>
      </c>
      <c r="AN87" t="s">
        <v>42</v>
      </c>
      <c r="AO87" t="s">
        <v>2662</v>
      </c>
      <c r="AP87" t="s">
        <v>225</v>
      </c>
      <c r="AQ87" t="s">
        <v>225</v>
      </c>
      <c r="AR87" t="s">
        <v>48</v>
      </c>
      <c r="AS87" t="s">
        <v>48</v>
      </c>
    </row>
    <row r="88" spans="1:54" x14ac:dyDescent="0.4">
      <c r="A88" t="s">
        <v>478</v>
      </c>
      <c r="B88" t="s">
        <v>10</v>
      </c>
      <c r="C88" s="1">
        <v>270101</v>
      </c>
      <c r="D88" t="s">
        <v>11</v>
      </c>
      <c r="E88" s="2">
        <v>-3.7000000000000002E-3</v>
      </c>
      <c r="F88" t="s">
        <v>479</v>
      </c>
      <c r="G88" s="4">
        <f>-0.999 / -0.37%</f>
        <v>270</v>
      </c>
      <c r="H88" s="1">
        <v>270101</v>
      </c>
      <c r="I88" t="s">
        <v>480</v>
      </c>
      <c r="J88" t="s">
        <v>481</v>
      </c>
      <c r="K88" t="s">
        <v>23</v>
      </c>
      <c r="L88" s="2">
        <v>0.15</v>
      </c>
      <c r="M88" t="s">
        <v>27</v>
      </c>
      <c r="O88" t="s">
        <v>482</v>
      </c>
      <c r="P88" s="1">
        <v>269501</v>
      </c>
      <c r="Q88" s="1">
        <v>269501</v>
      </c>
      <c r="R88" t="s">
        <v>483</v>
      </c>
      <c r="S88" t="s">
        <v>484</v>
      </c>
      <c r="T88" t="s">
        <v>485</v>
      </c>
      <c r="U88" t="s">
        <v>485</v>
      </c>
      <c r="V88" t="s">
        <v>486</v>
      </c>
      <c r="W88" s="1">
        <v>290896</v>
      </c>
      <c r="X88" t="s">
        <v>487</v>
      </c>
      <c r="Y88" t="s">
        <v>487</v>
      </c>
      <c r="Z88" t="s">
        <v>487</v>
      </c>
      <c r="AA88" t="s">
        <v>488</v>
      </c>
      <c r="AB88" s="2">
        <v>-2.1399999999999999E-2</v>
      </c>
      <c r="AC88" s="2">
        <v>-6.0499999999999998E-2</v>
      </c>
      <c r="AD88" s="2">
        <v>1.35E-2</v>
      </c>
      <c r="AE88" s="2">
        <v>6.9699999999999998E-2</v>
      </c>
      <c r="AF88" s="2">
        <v>2.3099999999999999E-2</v>
      </c>
      <c r="AG88" s="2">
        <v>-0.25180000000000002</v>
      </c>
      <c r="AH88" t="s">
        <v>489</v>
      </c>
      <c r="AI88" t="s">
        <v>490</v>
      </c>
      <c r="AJ88" t="s">
        <v>38</v>
      </c>
      <c r="AK88" t="s">
        <v>40</v>
      </c>
      <c r="AL88">
        <v>10</v>
      </c>
      <c r="AM88" t="s">
        <v>41</v>
      </c>
      <c r="AN88" t="s">
        <v>42</v>
      </c>
      <c r="AO88" t="s">
        <v>482</v>
      </c>
      <c r="AP88" t="s">
        <v>491</v>
      </c>
      <c r="AQ88" t="s">
        <v>491</v>
      </c>
      <c r="BA88" t="s">
        <v>136</v>
      </c>
      <c r="BB88" t="s">
        <v>61</v>
      </c>
    </row>
    <row r="89" spans="1:54" x14ac:dyDescent="0.4">
      <c r="A89" t="s">
        <v>4453</v>
      </c>
      <c r="B89" t="s">
        <v>10</v>
      </c>
      <c r="C89" t="s">
        <v>600</v>
      </c>
      <c r="D89" t="s">
        <v>11</v>
      </c>
      <c r="E89" s="2">
        <v>2.9999999999999997E-4</v>
      </c>
      <c r="F89" t="s">
        <v>310</v>
      </c>
      <c r="G89" s="4" t="s">
        <v>2299</v>
      </c>
      <c r="H89" t="s">
        <v>600</v>
      </c>
      <c r="I89" t="s">
        <v>4960</v>
      </c>
      <c r="J89" t="s">
        <v>4961</v>
      </c>
      <c r="K89" t="s">
        <v>23</v>
      </c>
      <c r="L89" s="2">
        <v>6.0499999999999998E-2</v>
      </c>
      <c r="M89" t="s">
        <v>4787</v>
      </c>
      <c r="N89" t="s">
        <v>121</v>
      </c>
      <c r="O89" t="s">
        <v>4962</v>
      </c>
      <c r="P89" t="s">
        <v>4908</v>
      </c>
      <c r="Q89" t="s">
        <v>4908</v>
      </c>
      <c r="R89" t="s">
        <v>4908</v>
      </c>
      <c r="S89" t="s">
        <v>4908</v>
      </c>
      <c r="T89" t="s">
        <v>591</v>
      </c>
      <c r="U89" t="s">
        <v>591</v>
      </c>
      <c r="V89" t="s">
        <v>4963</v>
      </c>
      <c r="W89" t="s">
        <v>1115</v>
      </c>
      <c r="X89" t="s">
        <v>4643</v>
      </c>
      <c r="Y89" t="s">
        <v>4643</v>
      </c>
      <c r="Z89" t="s">
        <v>4643</v>
      </c>
      <c r="AA89" t="s">
        <v>4643</v>
      </c>
      <c r="AB89" s="2">
        <v>-2.9999999999999997E-4</v>
      </c>
      <c r="AC89" s="2">
        <v>-1.29E-2</v>
      </c>
      <c r="AD89" s="2">
        <v>-1.77E-2</v>
      </c>
      <c r="AE89" s="2">
        <v>-1.83E-2</v>
      </c>
      <c r="AF89" s="2">
        <v>1.6E-2</v>
      </c>
      <c r="AG89" s="2">
        <v>1.6E-2</v>
      </c>
      <c r="AH89" t="s">
        <v>4964</v>
      </c>
      <c r="AI89" t="s">
        <v>130</v>
      </c>
      <c r="AJ89" t="s">
        <v>131</v>
      </c>
      <c r="AK89" t="s">
        <v>40</v>
      </c>
      <c r="AL89">
        <v>200</v>
      </c>
      <c r="AM89" t="s">
        <v>41</v>
      </c>
      <c r="AN89" t="s">
        <v>42</v>
      </c>
      <c r="AO89" t="s">
        <v>4962</v>
      </c>
      <c r="AP89" t="s">
        <v>4965</v>
      </c>
      <c r="AQ89" t="s">
        <v>4965</v>
      </c>
      <c r="AR89" t="s">
        <v>133</v>
      </c>
      <c r="AS89" t="s">
        <v>133</v>
      </c>
    </row>
    <row r="90" spans="1:54" x14ac:dyDescent="0.4">
      <c r="A90" t="s">
        <v>3855</v>
      </c>
      <c r="B90" t="s">
        <v>10</v>
      </c>
      <c r="C90" s="1">
        <v>86495</v>
      </c>
      <c r="D90" t="s">
        <v>11</v>
      </c>
      <c r="E90" s="2">
        <v>8.9999999999999998E-4</v>
      </c>
      <c r="F90" t="s">
        <v>12</v>
      </c>
      <c r="G90" s="4" t="s">
        <v>3856</v>
      </c>
      <c r="H90" s="1">
        <v>86495</v>
      </c>
      <c r="I90" t="s">
        <v>3857</v>
      </c>
      <c r="J90" t="s">
        <v>3858</v>
      </c>
      <c r="K90" t="s">
        <v>23</v>
      </c>
      <c r="L90" s="2">
        <v>2.2499999999999999E-2</v>
      </c>
      <c r="M90" t="s">
        <v>3859</v>
      </c>
      <c r="N90" t="s">
        <v>121</v>
      </c>
      <c r="O90" t="s">
        <v>385</v>
      </c>
      <c r="P90" t="s">
        <v>715</v>
      </c>
      <c r="Q90" t="s">
        <v>715</v>
      </c>
      <c r="R90" t="s">
        <v>715</v>
      </c>
      <c r="S90" t="s">
        <v>789</v>
      </c>
      <c r="T90" s="1">
        <v>77915</v>
      </c>
      <c r="U90" t="s">
        <v>2109</v>
      </c>
      <c r="V90" s="1">
        <v>86505</v>
      </c>
      <c r="W90" t="s">
        <v>3860</v>
      </c>
      <c r="X90" t="s">
        <v>2113</v>
      </c>
      <c r="Y90" t="s">
        <v>2113</v>
      </c>
      <c r="Z90" t="s">
        <v>2113</v>
      </c>
      <c r="AA90" t="s">
        <v>2693</v>
      </c>
      <c r="AB90" s="2">
        <v>2.3999999999999998E-3</v>
      </c>
      <c r="AC90" s="2">
        <v>-6.6E-3</v>
      </c>
      <c r="AD90" s="2">
        <v>7.4000000000000003E-3</v>
      </c>
      <c r="AE90" s="2">
        <v>2.41E-2</v>
      </c>
      <c r="AF90" s="2">
        <v>2.53E-2</v>
      </c>
      <c r="AG90" s="2">
        <v>-9.0200000000000002E-2</v>
      </c>
      <c r="AH90" t="s">
        <v>3861</v>
      </c>
      <c r="AI90" t="s">
        <v>130</v>
      </c>
      <c r="AJ90" t="s">
        <v>131</v>
      </c>
      <c r="AK90" t="s">
        <v>40</v>
      </c>
      <c r="AL90">
        <v>2</v>
      </c>
      <c r="AM90" t="s">
        <v>41</v>
      </c>
      <c r="AN90" t="s">
        <v>42</v>
      </c>
      <c r="AO90" t="s">
        <v>385</v>
      </c>
      <c r="AP90" t="s">
        <v>500</v>
      </c>
      <c r="AQ90" t="s">
        <v>500</v>
      </c>
      <c r="AR90" t="s">
        <v>133</v>
      </c>
      <c r="AS90" t="s">
        <v>133</v>
      </c>
    </row>
    <row r="91" spans="1:54" x14ac:dyDescent="0.4">
      <c r="A91" t="s">
        <v>740</v>
      </c>
      <c r="B91" t="s">
        <v>10</v>
      </c>
      <c r="C91" t="s">
        <v>830</v>
      </c>
      <c r="D91" t="s">
        <v>11</v>
      </c>
      <c r="E91" s="2">
        <v>1.5E-3</v>
      </c>
      <c r="F91" t="s">
        <v>12</v>
      </c>
      <c r="G91" s="4" t="s">
        <v>325</v>
      </c>
      <c r="H91" t="s">
        <v>830</v>
      </c>
      <c r="I91" t="s">
        <v>7242</v>
      </c>
      <c r="J91" t="s">
        <v>7243</v>
      </c>
      <c r="K91" t="s">
        <v>23</v>
      </c>
      <c r="L91" s="2">
        <v>3.2000000000000001E-2</v>
      </c>
      <c r="M91" t="s">
        <v>7244</v>
      </c>
      <c r="N91" t="s">
        <v>121</v>
      </c>
      <c r="O91" t="s">
        <v>7245</v>
      </c>
      <c r="P91" t="s">
        <v>688</v>
      </c>
      <c r="Q91" t="s">
        <v>688</v>
      </c>
      <c r="R91" t="s">
        <v>427</v>
      </c>
      <c r="S91" t="s">
        <v>116</v>
      </c>
      <c r="T91" t="s">
        <v>7246</v>
      </c>
      <c r="U91" t="s">
        <v>7247</v>
      </c>
      <c r="V91" t="s">
        <v>830</v>
      </c>
      <c r="W91" t="s">
        <v>155</v>
      </c>
      <c r="X91" t="s">
        <v>4517</v>
      </c>
      <c r="Y91" t="s">
        <v>4517</v>
      </c>
      <c r="Z91" t="s">
        <v>4517</v>
      </c>
      <c r="AA91" t="s">
        <v>5174</v>
      </c>
      <c r="AB91" s="2">
        <v>3.5999999999999999E-3</v>
      </c>
      <c r="AC91" s="2">
        <v>-1.9E-3</v>
      </c>
      <c r="AD91" s="2">
        <v>8.8000000000000005E-3</v>
      </c>
      <c r="AE91" s="2">
        <v>1.26E-2</v>
      </c>
      <c r="AF91" s="2">
        <v>1.4E-2</v>
      </c>
      <c r="AG91" s="2">
        <v>-7.9699999999999993E-2</v>
      </c>
      <c r="AH91" t="s">
        <v>7248</v>
      </c>
      <c r="AI91" t="s">
        <v>130</v>
      </c>
      <c r="AJ91" t="s">
        <v>131</v>
      </c>
      <c r="AK91" t="s">
        <v>40</v>
      </c>
      <c r="AL91">
        <v>2</v>
      </c>
      <c r="AM91" t="s">
        <v>41</v>
      </c>
      <c r="AN91" t="s">
        <v>42</v>
      </c>
      <c r="AO91" t="s">
        <v>7245</v>
      </c>
      <c r="AP91" t="s">
        <v>527</v>
      </c>
      <c r="AQ91" t="s">
        <v>527</v>
      </c>
      <c r="AR91" t="s">
        <v>133</v>
      </c>
      <c r="AS91" t="s">
        <v>133</v>
      </c>
    </row>
    <row r="92" spans="1:54" x14ac:dyDescent="0.4">
      <c r="A92" t="s">
        <v>4462</v>
      </c>
      <c r="B92" t="s">
        <v>10</v>
      </c>
      <c r="C92" t="s">
        <v>1833</v>
      </c>
      <c r="D92" t="s">
        <v>11</v>
      </c>
      <c r="E92" s="2">
        <v>0</v>
      </c>
      <c r="F92" t="s">
        <v>1057</v>
      </c>
      <c r="G92" s="4" t="s">
        <v>15</v>
      </c>
      <c r="H92" t="s">
        <v>1833</v>
      </c>
      <c r="I92" t="s">
        <v>6144</v>
      </c>
      <c r="J92" t="s">
        <v>6145</v>
      </c>
      <c r="K92" t="s">
        <v>23</v>
      </c>
      <c r="L92" s="2">
        <v>5.2499999999999998E-2</v>
      </c>
      <c r="M92" t="s">
        <v>3014</v>
      </c>
      <c r="N92" t="s">
        <v>121</v>
      </c>
      <c r="O92" t="s">
        <v>6146</v>
      </c>
      <c r="P92" t="s">
        <v>1204</v>
      </c>
      <c r="Q92" t="s">
        <v>2092</v>
      </c>
      <c r="R92" t="s">
        <v>2645</v>
      </c>
      <c r="S92" t="s">
        <v>3016</v>
      </c>
      <c r="T92" t="s">
        <v>3118</v>
      </c>
      <c r="U92" t="s">
        <v>5819</v>
      </c>
      <c r="V92" t="s">
        <v>217</v>
      </c>
      <c r="W92" t="s">
        <v>1589</v>
      </c>
      <c r="X92" t="s">
        <v>82</v>
      </c>
      <c r="Y92" t="s">
        <v>82</v>
      </c>
      <c r="Z92" t="s">
        <v>6147</v>
      </c>
      <c r="AA92" t="s">
        <v>6148</v>
      </c>
      <c r="AB92" s="2">
        <v>-2.9999999999999997E-4</v>
      </c>
      <c r="AC92" s="2">
        <v>1E-4</v>
      </c>
      <c r="AD92" s="2">
        <v>6.3E-3</v>
      </c>
      <c r="AE92" s="2">
        <v>5.0000000000000001E-3</v>
      </c>
      <c r="AF92" s="2">
        <v>-3.3999999999999998E-3</v>
      </c>
      <c r="AG92" s="2">
        <v>-8.6099999999999996E-2</v>
      </c>
      <c r="AH92" t="s">
        <v>6149</v>
      </c>
      <c r="AI92" t="s">
        <v>130</v>
      </c>
      <c r="AJ92" t="s">
        <v>131</v>
      </c>
      <c r="AK92" t="s">
        <v>40</v>
      </c>
      <c r="AL92">
        <v>2</v>
      </c>
      <c r="AM92" t="s">
        <v>41</v>
      </c>
      <c r="AN92" t="s">
        <v>42</v>
      </c>
      <c r="AO92" t="s">
        <v>6146</v>
      </c>
      <c r="AP92" t="s">
        <v>3387</v>
      </c>
      <c r="AQ92">
        <v>2</v>
      </c>
      <c r="BA92" t="s">
        <v>197</v>
      </c>
      <c r="BB92" t="s">
        <v>61</v>
      </c>
    </row>
    <row r="93" spans="1:54" x14ac:dyDescent="0.4">
      <c r="A93" t="s">
        <v>3224</v>
      </c>
      <c r="B93" t="s">
        <v>10</v>
      </c>
      <c r="C93" t="s">
        <v>3225</v>
      </c>
      <c r="D93" t="s">
        <v>11</v>
      </c>
      <c r="E93" s="2">
        <v>0</v>
      </c>
      <c r="F93" t="s">
        <v>3224</v>
      </c>
      <c r="G93" s="4" t="s">
        <v>15</v>
      </c>
      <c r="H93" t="s">
        <v>3225</v>
      </c>
      <c r="I93" t="s">
        <v>3226</v>
      </c>
      <c r="J93" t="s">
        <v>3227</v>
      </c>
      <c r="K93" t="s">
        <v>214</v>
      </c>
      <c r="L93" s="2">
        <v>7.0620000000000002E-2</v>
      </c>
      <c r="M93" t="s">
        <v>3228</v>
      </c>
      <c r="N93" t="s">
        <v>121</v>
      </c>
      <c r="O93" t="s">
        <v>3229</v>
      </c>
      <c r="P93" t="s">
        <v>3225</v>
      </c>
      <c r="Q93" t="s">
        <v>2398</v>
      </c>
      <c r="R93" t="s">
        <v>2398</v>
      </c>
      <c r="S93" t="s">
        <v>2398</v>
      </c>
      <c r="T93" t="s">
        <v>2398</v>
      </c>
      <c r="U93" t="s">
        <v>2398</v>
      </c>
      <c r="V93" t="s">
        <v>3225</v>
      </c>
      <c r="W93" s="1">
        <v>39916</v>
      </c>
      <c r="X93" t="s">
        <v>3230</v>
      </c>
      <c r="Y93" t="s">
        <v>3231</v>
      </c>
      <c r="Z93" t="s">
        <v>3232</v>
      </c>
      <c r="AA93" t="s">
        <v>3233</v>
      </c>
      <c r="AB93" s="2">
        <v>0</v>
      </c>
      <c r="AC93" s="2">
        <v>-2.3E-2</v>
      </c>
      <c r="AD93" s="2">
        <v>-7.1400000000000005E-2</v>
      </c>
      <c r="AE93" s="2">
        <v>-4.8899999999999999E-2</v>
      </c>
      <c r="AF93" s="2">
        <v>-0.36070000000000002</v>
      </c>
      <c r="AG93" s="2">
        <v>-0.48680000000000001</v>
      </c>
      <c r="AH93" t="s">
        <v>3234</v>
      </c>
      <c r="AI93" t="s">
        <v>232</v>
      </c>
      <c r="AJ93" t="s">
        <v>131</v>
      </c>
      <c r="AK93" t="s">
        <v>40</v>
      </c>
      <c r="AM93" t="s">
        <v>41</v>
      </c>
      <c r="AN93" t="s">
        <v>42</v>
      </c>
      <c r="AO93" t="s">
        <v>3229</v>
      </c>
      <c r="AP93" t="s">
        <v>1138</v>
      </c>
      <c r="AQ93" t="s">
        <v>1138</v>
      </c>
      <c r="AR93" t="s">
        <v>48</v>
      </c>
      <c r="AS93" t="s">
        <v>48</v>
      </c>
      <c r="AT93" t="s">
        <v>3235</v>
      </c>
    </row>
    <row r="94" spans="1:54" x14ac:dyDescent="0.4">
      <c r="A94" t="s">
        <v>740</v>
      </c>
      <c r="B94" t="s">
        <v>10</v>
      </c>
      <c r="C94" t="s">
        <v>1765</v>
      </c>
      <c r="D94" t="s">
        <v>11</v>
      </c>
      <c r="E94" s="2">
        <v>0</v>
      </c>
      <c r="F94" t="s">
        <v>12</v>
      </c>
      <c r="G94" s="4" t="s">
        <v>15</v>
      </c>
      <c r="H94" t="s">
        <v>1765</v>
      </c>
      <c r="I94" t="s">
        <v>4790</v>
      </c>
      <c r="J94" t="s">
        <v>4791</v>
      </c>
      <c r="K94" t="s">
        <v>23</v>
      </c>
      <c r="L94" s="2">
        <v>9.5000000000000001E-2</v>
      </c>
      <c r="M94" t="s">
        <v>4792</v>
      </c>
      <c r="N94" t="s">
        <v>121</v>
      </c>
      <c r="O94" t="s">
        <v>1557</v>
      </c>
      <c r="P94" t="s">
        <v>1765</v>
      </c>
      <c r="Q94" t="s">
        <v>868</v>
      </c>
      <c r="R94" t="s">
        <v>445</v>
      </c>
      <c r="S94" t="s">
        <v>110</v>
      </c>
      <c r="T94" t="s">
        <v>110</v>
      </c>
      <c r="U94" t="s">
        <v>110</v>
      </c>
      <c r="V94" t="s">
        <v>1951</v>
      </c>
      <c r="W94" t="s">
        <v>1951</v>
      </c>
      <c r="X94" t="s">
        <v>1951</v>
      </c>
      <c r="Y94" t="s">
        <v>1951</v>
      </c>
      <c r="Z94" t="s">
        <v>1951</v>
      </c>
      <c r="AA94" t="s">
        <v>1951</v>
      </c>
      <c r="AB94" s="2">
        <v>-2.3999999999999998E-3</v>
      </c>
      <c r="AC94" s="2">
        <v>7.3000000000000001E-3</v>
      </c>
      <c r="AD94" s="2">
        <v>3.1800000000000002E-2</v>
      </c>
      <c r="AE94" s="2">
        <v>0.04</v>
      </c>
      <c r="AF94" s="2">
        <v>0.04</v>
      </c>
      <c r="AG94" s="2">
        <v>0.04</v>
      </c>
      <c r="AH94" t="s">
        <v>4793</v>
      </c>
      <c r="AI94" t="s">
        <v>4794</v>
      </c>
      <c r="AJ94" t="s">
        <v>131</v>
      </c>
      <c r="AK94" t="s">
        <v>40</v>
      </c>
      <c r="AL94">
        <v>150</v>
      </c>
      <c r="AM94" t="s">
        <v>41</v>
      </c>
      <c r="AN94" t="s">
        <v>42</v>
      </c>
      <c r="AO94" t="s">
        <v>1557</v>
      </c>
      <c r="AP94" t="s">
        <v>643</v>
      </c>
      <c r="AQ94" t="s">
        <v>643</v>
      </c>
      <c r="AR94" t="s">
        <v>133</v>
      </c>
      <c r="AS94" t="s">
        <v>133</v>
      </c>
    </row>
    <row r="95" spans="1:54" x14ac:dyDescent="0.4">
      <c r="A95" t="s">
        <v>76</v>
      </c>
      <c r="B95" t="s">
        <v>10</v>
      </c>
      <c r="C95" s="1">
        <v>97513</v>
      </c>
      <c r="D95" t="s">
        <v>11</v>
      </c>
      <c r="E95" s="2">
        <v>0</v>
      </c>
      <c r="F95" t="s">
        <v>12</v>
      </c>
      <c r="G95" s="4" t="s">
        <v>1414</v>
      </c>
      <c r="H95" s="1">
        <v>97513</v>
      </c>
      <c r="I95" t="s">
        <v>1415</v>
      </c>
      <c r="J95" t="s">
        <v>1416</v>
      </c>
      <c r="K95" t="s">
        <v>23</v>
      </c>
      <c r="M95" t="s">
        <v>1417</v>
      </c>
      <c r="N95" t="s">
        <v>28</v>
      </c>
      <c r="O95" t="s">
        <v>1418</v>
      </c>
      <c r="P95" s="1">
        <v>97376</v>
      </c>
      <c r="Q95" t="s">
        <v>1419</v>
      </c>
      <c r="R95" t="s">
        <v>1420</v>
      </c>
      <c r="S95" t="s">
        <v>1421</v>
      </c>
      <c r="T95" t="s">
        <v>1422</v>
      </c>
      <c r="U95" t="s">
        <v>1423</v>
      </c>
      <c r="V95" t="s">
        <v>524</v>
      </c>
      <c r="W95" t="s">
        <v>524</v>
      </c>
      <c r="X95" t="s">
        <v>524</v>
      </c>
      <c r="Y95" t="s">
        <v>524</v>
      </c>
      <c r="Z95" t="s">
        <v>524</v>
      </c>
      <c r="AA95" t="s">
        <v>1424</v>
      </c>
      <c r="AB95" s="2">
        <v>1.6000000000000001E-3</v>
      </c>
      <c r="AC95" s="2">
        <v>5.7999999999999996E-3</v>
      </c>
      <c r="AD95" s="2">
        <v>2.1100000000000001E-2</v>
      </c>
      <c r="AE95" s="2">
        <v>3.6999999999999998E-2</v>
      </c>
      <c r="AF95" s="2">
        <v>6.2199999999999998E-2</v>
      </c>
      <c r="AG95" s="2">
        <v>-1.8700000000000001E-2</v>
      </c>
      <c r="AH95" t="s">
        <v>870</v>
      </c>
      <c r="AI95" t="s">
        <v>130</v>
      </c>
      <c r="AJ95" t="s">
        <v>131</v>
      </c>
      <c r="AK95" t="s">
        <v>40</v>
      </c>
      <c r="AL95">
        <v>1</v>
      </c>
      <c r="AM95" t="s">
        <v>41</v>
      </c>
      <c r="AN95" t="s">
        <v>42</v>
      </c>
      <c r="AO95" t="s">
        <v>1418</v>
      </c>
      <c r="AP95" t="s">
        <v>407</v>
      </c>
      <c r="AQ95" t="s">
        <v>407</v>
      </c>
      <c r="AR95" t="s">
        <v>48</v>
      </c>
      <c r="AS95" t="s">
        <v>48</v>
      </c>
      <c r="AT95" t="s">
        <v>358</v>
      </c>
    </row>
    <row r="96" spans="1:54" x14ac:dyDescent="0.4">
      <c r="A96" t="s">
        <v>9</v>
      </c>
      <c r="B96" t="s">
        <v>10</v>
      </c>
      <c r="C96" t="s">
        <v>860</v>
      </c>
      <c r="D96" t="s">
        <v>11</v>
      </c>
      <c r="E96" s="2">
        <v>-1.2999999999999999E-3</v>
      </c>
      <c r="F96" t="s">
        <v>12</v>
      </c>
      <c r="G96" s="4">
        <f>-0.13 / -0.13%</f>
        <v>100.00000000000001</v>
      </c>
      <c r="H96" t="s">
        <v>860</v>
      </c>
      <c r="I96" t="s">
        <v>861</v>
      </c>
      <c r="J96" t="s">
        <v>862</v>
      </c>
      <c r="K96" t="s">
        <v>23</v>
      </c>
      <c r="L96" s="2">
        <v>3.6249999999999998E-2</v>
      </c>
      <c r="M96" t="s">
        <v>863</v>
      </c>
      <c r="N96" t="s">
        <v>28</v>
      </c>
      <c r="O96" t="s">
        <v>864</v>
      </c>
      <c r="P96" t="s">
        <v>865</v>
      </c>
      <c r="Q96" t="s">
        <v>865</v>
      </c>
      <c r="R96" t="s">
        <v>865</v>
      </c>
      <c r="S96" t="s">
        <v>866</v>
      </c>
      <c r="T96" t="s">
        <v>867</v>
      </c>
      <c r="U96" t="s">
        <v>867</v>
      </c>
      <c r="V96" t="s">
        <v>868</v>
      </c>
      <c r="W96" t="s">
        <v>466</v>
      </c>
      <c r="X96" t="s">
        <v>466</v>
      </c>
      <c r="Y96" t="s">
        <v>466</v>
      </c>
      <c r="Z96" t="s">
        <v>869</v>
      </c>
      <c r="AA96" t="s">
        <v>869</v>
      </c>
      <c r="AB96" s="2">
        <v>-1.1900000000000001E-2</v>
      </c>
      <c r="AC96" s="2">
        <v>-1.24E-2</v>
      </c>
      <c r="AD96" s="2">
        <v>-4.8999999999999998E-3</v>
      </c>
      <c r="AE96" s="2">
        <v>-2.8999999999999998E-3</v>
      </c>
      <c r="AF96" s="2">
        <v>1.26E-2</v>
      </c>
      <c r="AG96" s="2">
        <v>1.26E-2</v>
      </c>
      <c r="AH96" t="s">
        <v>870</v>
      </c>
      <c r="AI96" t="s">
        <v>130</v>
      </c>
      <c r="AJ96" t="s">
        <v>131</v>
      </c>
      <c r="AK96" t="s">
        <v>40</v>
      </c>
      <c r="AL96">
        <v>1</v>
      </c>
      <c r="AM96" t="s">
        <v>41</v>
      </c>
      <c r="AN96" t="s">
        <v>42</v>
      </c>
      <c r="AO96" t="s">
        <v>864</v>
      </c>
      <c r="AP96" t="s">
        <v>357</v>
      </c>
      <c r="AQ96" t="s">
        <v>357</v>
      </c>
      <c r="AR96" t="s">
        <v>48</v>
      </c>
      <c r="AS96" t="s">
        <v>48</v>
      </c>
    </row>
    <row r="97" spans="1:54" x14ac:dyDescent="0.4">
      <c r="A97" t="s">
        <v>288</v>
      </c>
      <c r="B97" t="s">
        <v>10</v>
      </c>
      <c r="C97" s="1">
        <v>100671</v>
      </c>
      <c r="D97" t="s">
        <v>11</v>
      </c>
      <c r="E97" s="2">
        <v>-2E-3</v>
      </c>
      <c r="F97" t="s">
        <v>12</v>
      </c>
      <c r="G97" s="4">
        <f>-0.203 / -0.2%</f>
        <v>101.5</v>
      </c>
      <c r="H97" s="1">
        <v>100671</v>
      </c>
      <c r="I97" t="s">
        <v>2371</v>
      </c>
      <c r="J97" t="s">
        <v>2372</v>
      </c>
      <c r="K97" t="s">
        <v>23</v>
      </c>
      <c r="L97" s="2">
        <v>3.2500000000000001E-2</v>
      </c>
      <c r="M97" t="s">
        <v>1717</v>
      </c>
      <c r="N97" t="s">
        <v>28</v>
      </c>
      <c r="O97" t="s">
        <v>864</v>
      </c>
      <c r="P97" s="1">
        <v>100355</v>
      </c>
      <c r="Q97" s="1">
        <v>100355</v>
      </c>
      <c r="R97" t="s">
        <v>2373</v>
      </c>
      <c r="S97" s="1">
        <v>99445</v>
      </c>
      <c r="T97" s="1">
        <v>98025</v>
      </c>
      <c r="U97" s="1">
        <v>98025</v>
      </c>
      <c r="V97" t="s">
        <v>2374</v>
      </c>
      <c r="W97" s="1">
        <v>101275</v>
      </c>
      <c r="X97" s="1">
        <v>101275</v>
      </c>
      <c r="Y97" s="1">
        <v>101275</v>
      </c>
      <c r="Z97" s="1">
        <v>101275</v>
      </c>
      <c r="AA97" s="1">
        <v>101275</v>
      </c>
      <c r="AB97" s="2">
        <v>-2.3E-3</v>
      </c>
      <c r="AC97" s="2">
        <v>-5.1000000000000004E-3</v>
      </c>
      <c r="AD97" s="2">
        <v>4.1000000000000003E-3</v>
      </c>
      <c r="AE97" s="2">
        <v>5.4000000000000003E-3</v>
      </c>
      <c r="AF97" s="2">
        <v>9.7000000000000003E-3</v>
      </c>
      <c r="AG97" s="2">
        <v>9.7000000000000003E-3</v>
      </c>
      <c r="AH97" t="s">
        <v>870</v>
      </c>
      <c r="AI97" t="s">
        <v>130</v>
      </c>
      <c r="AJ97" t="s">
        <v>131</v>
      </c>
      <c r="AK97" t="s">
        <v>40</v>
      </c>
      <c r="AL97">
        <v>1</v>
      </c>
      <c r="AM97" t="s">
        <v>41</v>
      </c>
      <c r="AN97" t="s">
        <v>42</v>
      </c>
      <c r="AO97" t="s">
        <v>864</v>
      </c>
      <c r="AP97" t="s">
        <v>357</v>
      </c>
      <c r="AQ97" t="s">
        <v>357</v>
      </c>
      <c r="AR97" t="s">
        <v>48</v>
      </c>
      <c r="AS97" t="s">
        <v>48</v>
      </c>
    </row>
    <row r="98" spans="1:54" x14ac:dyDescent="0.4">
      <c r="A98" t="s">
        <v>9</v>
      </c>
      <c r="B98" t="s">
        <v>10</v>
      </c>
      <c r="C98" t="s">
        <v>3871</v>
      </c>
      <c r="D98" t="s">
        <v>11</v>
      </c>
      <c r="E98" s="2">
        <v>-1.9E-3</v>
      </c>
      <c r="F98" t="s">
        <v>12</v>
      </c>
      <c r="G98" s="4">
        <f>-0.195 / -0.19%</f>
        <v>102.63157894736842</v>
      </c>
      <c r="H98" t="s">
        <v>3871</v>
      </c>
      <c r="I98" t="s">
        <v>3872</v>
      </c>
      <c r="J98" t="s">
        <v>3873</v>
      </c>
      <c r="K98" t="s">
        <v>23</v>
      </c>
      <c r="L98" s="2">
        <v>3.2500000000000001E-2</v>
      </c>
      <c r="M98" t="s">
        <v>3874</v>
      </c>
      <c r="N98" t="s">
        <v>28</v>
      </c>
      <c r="O98" t="s">
        <v>864</v>
      </c>
      <c r="P98" t="s">
        <v>262</v>
      </c>
      <c r="Q98" t="s">
        <v>262</v>
      </c>
      <c r="R98" t="s">
        <v>68</v>
      </c>
      <c r="S98" t="s">
        <v>2663</v>
      </c>
      <c r="T98" s="1">
        <v>94945</v>
      </c>
      <c r="U98" s="1">
        <v>94945</v>
      </c>
      <c r="V98" s="1">
        <v>102645</v>
      </c>
      <c r="W98" s="1">
        <v>103515</v>
      </c>
      <c r="X98" s="1">
        <v>103515</v>
      </c>
      <c r="Y98" s="1">
        <v>103515</v>
      </c>
      <c r="Z98" s="1">
        <v>103515</v>
      </c>
      <c r="AA98" s="1">
        <v>103515</v>
      </c>
      <c r="AB98" s="2">
        <v>-8.5000000000000006E-3</v>
      </c>
      <c r="AC98" s="2">
        <v>-4.7999999999999996E-3</v>
      </c>
      <c r="AD98" s="2">
        <v>7.9000000000000008E-3</v>
      </c>
      <c r="AE98" s="2">
        <v>1.29E-2</v>
      </c>
      <c r="AF98" s="2">
        <v>2.9000000000000001E-2</v>
      </c>
      <c r="AG98" s="2">
        <v>2.9000000000000001E-2</v>
      </c>
      <c r="AH98" t="s">
        <v>870</v>
      </c>
      <c r="AI98" t="s">
        <v>130</v>
      </c>
      <c r="AJ98" t="s">
        <v>131</v>
      </c>
      <c r="AK98" t="s">
        <v>40</v>
      </c>
      <c r="AL98">
        <v>1</v>
      </c>
      <c r="AM98" t="s">
        <v>41</v>
      </c>
      <c r="AN98" t="s">
        <v>42</v>
      </c>
      <c r="AO98" t="s">
        <v>864</v>
      </c>
      <c r="AP98" t="s">
        <v>225</v>
      </c>
      <c r="AQ98" t="s">
        <v>225</v>
      </c>
      <c r="AR98" t="s">
        <v>48</v>
      </c>
      <c r="AS98" t="s">
        <v>48</v>
      </c>
    </row>
    <row r="99" spans="1:54" x14ac:dyDescent="0.4">
      <c r="A99" t="s">
        <v>288</v>
      </c>
      <c r="B99" t="s">
        <v>10</v>
      </c>
      <c r="C99" s="1">
        <v>94945</v>
      </c>
      <c r="D99" t="s">
        <v>11</v>
      </c>
      <c r="E99" s="2">
        <v>-2.2000000000000001E-3</v>
      </c>
      <c r="F99" t="s">
        <v>12</v>
      </c>
      <c r="G99" s="4">
        <f>-0.205 / -0.22%</f>
        <v>93.181818181818173</v>
      </c>
      <c r="H99" s="1">
        <v>94945</v>
      </c>
      <c r="I99" t="s">
        <v>2754</v>
      </c>
      <c r="J99" t="s">
        <v>2755</v>
      </c>
      <c r="K99" t="s">
        <v>23</v>
      </c>
      <c r="L99" s="2">
        <v>1.125E-2</v>
      </c>
      <c r="M99" t="s">
        <v>2756</v>
      </c>
      <c r="N99" t="s">
        <v>28</v>
      </c>
      <c r="O99" t="s">
        <v>852</v>
      </c>
      <c r="P99" t="s">
        <v>2757</v>
      </c>
      <c r="Q99" t="s">
        <v>2758</v>
      </c>
      <c r="R99" s="1">
        <v>93705</v>
      </c>
      <c r="S99" t="s">
        <v>2759</v>
      </c>
      <c r="T99" s="1">
        <v>88905</v>
      </c>
      <c r="U99" s="1">
        <v>88895</v>
      </c>
      <c r="V99" s="1">
        <v>95355</v>
      </c>
      <c r="W99" s="1">
        <v>95765</v>
      </c>
      <c r="X99" s="1">
        <v>95765</v>
      </c>
      <c r="Y99" s="1">
        <v>95765</v>
      </c>
      <c r="Z99" s="1">
        <v>95765</v>
      </c>
      <c r="AA99" s="1">
        <v>104885</v>
      </c>
      <c r="AB99" s="2">
        <v>-3.0999999999999999E-3</v>
      </c>
      <c r="AC99" s="2">
        <v>-3.5000000000000001E-3</v>
      </c>
      <c r="AD99" s="2">
        <v>1.2200000000000001E-2</v>
      </c>
      <c r="AE99" s="2">
        <v>2.8400000000000002E-2</v>
      </c>
      <c r="AF99" s="2">
        <v>3.9399999999999998E-2</v>
      </c>
      <c r="AG99" s="2">
        <v>-9.4399999999999998E-2</v>
      </c>
      <c r="AH99" t="s">
        <v>870</v>
      </c>
      <c r="AI99" t="s">
        <v>130</v>
      </c>
      <c r="AJ99" t="s">
        <v>131</v>
      </c>
      <c r="AK99" t="s">
        <v>40</v>
      </c>
      <c r="AL99">
        <v>1</v>
      </c>
      <c r="AM99" t="s">
        <v>41</v>
      </c>
      <c r="AN99" t="s">
        <v>42</v>
      </c>
      <c r="AO99" t="s">
        <v>852</v>
      </c>
      <c r="AP99" t="s">
        <v>357</v>
      </c>
      <c r="AQ99" t="s">
        <v>357</v>
      </c>
      <c r="AR99" t="s">
        <v>48</v>
      </c>
      <c r="AS99" t="s">
        <v>48</v>
      </c>
    </row>
    <row r="100" spans="1:54" x14ac:dyDescent="0.4">
      <c r="A100" t="s">
        <v>9</v>
      </c>
      <c r="B100" t="s">
        <v>10</v>
      </c>
      <c r="C100" s="1">
        <v>97107</v>
      </c>
      <c r="D100" t="s">
        <v>11</v>
      </c>
      <c r="E100" s="2">
        <v>-2.9999999999999997E-4</v>
      </c>
      <c r="F100" t="s">
        <v>12</v>
      </c>
      <c r="G100" s="4">
        <f>-0.03 / -0.03%</f>
        <v>100</v>
      </c>
      <c r="H100" s="1">
        <v>97107</v>
      </c>
      <c r="I100" t="s">
        <v>2330</v>
      </c>
      <c r="J100" t="s">
        <v>2331</v>
      </c>
      <c r="K100" t="s">
        <v>23</v>
      </c>
      <c r="L100" s="2">
        <v>7.4999999999999997E-3</v>
      </c>
      <c r="M100" t="s">
        <v>2332</v>
      </c>
      <c r="N100" t="s">
        <v>28</v>
      </c>
      <c r="O100" t="s">
        <v>2333</v>
      </c>
      <c r="P100" s="1">
        <v>96854</v>
      </c>
      <c r="Q100" t="s">
        <v>2334</v>
      </c>
      <c r="R100" t="s">
        <v>2335</v>
      </c>
      <c r="S100" t="s">
        <v>398</v>
      </c>
      <c r="T100" t="s">
        <v>2336</v>
      </c>
      <c r="U100" t="s">
        <v>2336</v>
      </c>
      <c r="V100" s="1">
        <v>97216</v>
      </c>
      <c r="W100" s="1">
        <v>97216</v>
      </c>
      <c r="X100" s="1">
        <v>97216</v>
      </c>
      <c r="Y100" s="1">
        <v>97216</v>
      </c>
      <c r="Z100" s="1">
        <v>97216</v>
      </c>
      <c r="AA100" t="s">
        <v>2337</v>
      </c>
      <c r="AB100" s="2">
        <v>1.1999999999999999E-3</v>
      </c>
      <c r="AC100" s="2">
        <v>3.0999999999999999E-3</v>
      </c>
      <c r="AD100" s="2">
        <v>1.54E-2</v>
      </c>
      <c r="AE100" s="2">
        <v>3.0800000000000001E-2</v>
      </c>
      <c r="AF100" s="2">
        <v>4.4499999999999998E-2</v>
      </c>
      <c r="AG100" s="2">
        <v>-5.1999999999999998E-2</v>
      </c>
      <c r="AH100" t="s">
        <v>870</v>
      </c>
      <c r="AI100" t="s">
        <v>130</v>
      </c>
      <c r="AJ100" t="s">
        <v>131</v>
      </c>
      <c r="AK100" t="s">
        <v>40</v>
      </c>
      <c r="AL100">
        <v>1</v>
      </c>
      <c r="AM100" t="s">
        <v>41</v>
      </c>
      <c r="AN100" t="s">
        <v>42</v>
      </c>
      <c r="AO100" t="s">
        <v>2333</v>
      </c>
      <c r="AP100" t="s">
        <v>357</v>
      </c>
      <c r="AQ100" t="s">
        <v>357</v>
      </c>
      <c r="AR100" t="s">
        <v>48</v>
      </c>
      <c r="AS100" t="s">
        <v>48</v>
      </c>
    </row>
    <row r="101" spans="1:54" x14ac:dyDescent="0.4">
      <c r="A101" t="s">
        <v>1746</v>
      </c>
      <c r="B101" t="s">
        <v>10</v>
      </c>
      <c r="C101" t="s">
        <v>618</v>
      </c>
      <c r="D101" t="s">
        <v>11</v>
      </c>
      <c r="E101" s="2">
        <v>-2.0999999999999999E-3</v>
      </c>
      <c r="F101" t="s">
        <v>310</v>
      </c>
      <c r="G101" s="4">
        <f>-0.21 / -0.21%</f>
        <v>100</v>
      </c>
      <c r="H101" t="s">
        <v>618</v>
      </c>
      <c r="I101" t="s">
        <v>1747</v>
      </c>
      <c r="J101" t="s">
        <v>1748</v>
      </c>
      <c r="K101" t="s">
        <v>23</v>
      </c>
      <c r="L101" s="2">
        <v>3.5000000000000003E-2</v>
      </c>
      <c r="M101" t="s">
        <v>1749</v>
      </c>
      <c r="N101" t="s">
        <v>28</v>
      </c>
      <c r="O101" t="s">
        <v>515</v>
      </c>
      <c r="P101" t="s">
        <v>439</v>
      </c>
      <c r="Q101" t="s">
        <v>439</v>
      </c>
      <c r="R101" t="s">
        <v>439</v>
      </c>
      <c r="S101" t="s">
        <v>439</v>
      </c>
      <c r="T101" t="s">
        <v>439</v>
      </c>
      <c r="U101" t="s">
        <v>439</v>
      </c>
      <c r="V101" t="s">
        <v>168</v>
      </c>
      <c r="W101" t="s">
        <v>168</v>
      </c>
      <c r="X101" t="s">
        <v>168</v>
      </c>
      <c r="Y101" t="s">
        <v>168</v>
      </c>
      <c r="Z101" t="s">
        <v>168</v>
      </c>
      <c r="AA101" t="s">
        <v>168</v>
      </c>
      <c r="AB101" s="2">
        <v>3.0000000000000001E-3</v>
      </c>
      <c r="AC101" s="2">
        <v>3.0000000000000001E-3</v>
      </c>
      <c r="AD101" s="2">
        <v>3.0000000000000001E-3</v>
      </c>
      <c r="AE101" s="2">
        <v>3.0000000000000001E-3</v>
      </c>
      <c r="AF101" s="2">
        <v>3.0000000000000001E-3</v>
      </c>
      <c r="AG101" s="2">
        <v>3.0000000000000001E-3</v>
      </c>
      <c r="AH101" t="s">
        <v>516</v>
      </c>
      <c r="AI101" t="s">
        <v>130</v>
      </c>
      <c r="AJ101" t="s">
        <v>131</v>
      </c>
      <c r="AK101" t="s">
        <v>40</v>
      </c>
      <c r="AL101">
        <v>1</v>
      </c>
      <c r="AM101" t="s">
        <v>41</v>
      </c>
      <c r="AN101" t="s">
        <v>42</v>
      </c>
      <c r="AO101" t="s">
        <v>515</v>
      </c>
      <c r="AP101" t="s">
        <v>357</v>
      </c>
      <c r="AQ101" t="s">
        <v>357</v>
      </c>
      <c r="AR101" t="s">
        <v>48</v>
      </c>
      <c r="AS101" t="s">
        <v>48</v>
      </c>
    </row>
    <row r="102" spans="1:54" x14ac:dyDescent="0.4">
      <c r="A102" t="s">
        <v>76</v>
      </c>
      <c r="B102" t="s">
        <v>10</v>
      </c>
      <c r="C102" t="s">
        <v>511</v>
      </c>
      <c r="D102" t="s">
        <v>11</v>
      </c>
      <c r="E102" s="2">
        <v>-2.3E-3</v>
      </c>
      <c r="F102" t="s">
        <v>12</v>
      </c>
      <c r="G102" s="4">
        <f>-0.23 / -0.23%</f>
        <v>100</v>
      </c>
      <c r="H102" t="s">
        <v>511</v>
      </c>
      <c r="I102" t="s">
        <v>512</v>
      </c>
      <c r="J102" t="s">
        <v>513</v>
      </c>
      <c r="K102" t="s">
        <v>23</v>
      </c>
      <c r="L102" s="2">
        <v>3.125E-2</v>
      </c>
      <c r="M102" t="s">
        <v>514</v>
      </c>
      <c r="N102" t="s">
        <v>28</v>
      </c>
      <c r="O102" t="s">
        <v>515</v>
      </c>
      <c r="P102" s="1">
        <v>99865</v>
      </c>
      <c r="Q102" s="1">
        <v>99865</v>
      </c>
      <c r="R102" s="1">
        <v>99865</v>
      </c>
      <c r="S102" s="1">
        <v>99865</v>
      </c>
      <c r="T102" s="1">
        <v>99865</v>
      </c>
      <c r="U102" s="1">
        <v>99865</v>
      </c>
      <c r="V102" s="1">
        <v>100255</v>
      </c>
      <c r="W102" s="1">
        <v>100255</v>
      </c>
      <c r="X102" s="1">
        <v>100255</v>
      </c>
      <c r="Y102" s="1">
        <v>100255</v>
      </c>
      <c r="Z102" s="1">
        <v>100255</v>
      </c>
      <c r="AA102" s="1">
        <v>100255</v>
      </c>
      <c r="AB102" s="2">
        <v>-2E-3</v>
      </c>
      <c r="AC102" s="2">
        <v>-2E-3</v>
      </c>
      <c r="AD102" s="2">
        <v>-2E-3</v>
      </c>
      <c r="AE102" s="2">
        <v>-2E-3</v>
      </c>
      <c r="AF102" s="2">
        <v>-2E-3</v>
      </c>
      <c r="AG102" s="2">
        <v>-2E-3</v>
      </c>
      <c r="AH102" t="s">
        <v>516</v>
      </c>
      <c r="AI102" t="s">
        <v>130</v>
      </c>
      <c r="AJ102" t="s">
        <v>131</v>
      </c>
      <c r="AK102" t="s">
        <v>40</v>
      </c>
      <c r="AL102">
        <v>1</v>
      </c>
      <c r="AM102" t="s">
        <v>41</v>
      </c>
      <c r="AN102" t="s">
        <v>42</v>
      </c>
      <c r="AO102" t="s">
        <v>515</v>
      </c>
      <c r="AP102" t="s">
        <v>407</v>
      </c>
      <c r="AQ102" t="s">
        <v>407</v>
      </c>
      <c r="AR102" t="s">
        <v>48</v>
      </c>
      <c r="AS102" t="s">
        <v>48</v>
      </c>
    </row>
    <row r="103" spans="1:54" x14ac:dyDescent="0.4">
      <c r="A103" t="s">
        <v>1396</v>
      </c>
      <c r="B103" t="s">
        <v>10</v>
      </c>
      <c r="C103" t="s">
        <v>211</v>
      </c>
      <c r="D103" t="s">
        <v>11</v>
      </c>
      <c r="E103" s="2">
        <v>3.5999999999999999E-3</v>
      </c>
      <c r="F103" t="s">
        <v>178</v>
      </c>
      <c r="G103" s="4" t="s">
        <v>1397</v>
      </c>
      <c r="H103" t="s">
        <v>211</v>
      </c>
      <c r="I103" t="s">
        <v>1398</v>
      </c>
      <c r="J103" t="s">
        <v>1399</v>
      </c>
      <c r="K103" t="s">
        <v>23</v>
      </c>
      <c r="L103" s="2">
        <v>3.125E-2</v>
      </c>
      <c r="M103" t="s">
        <v>1400</v>
      </c>
      <c r="N103" t="s">
        <v>28</v>
      </c>
      <c r="O103" t="s">
        <v>1401</v>
      </c>
      <c r="P103" t="s">
        <v>1386</v>
      </c>
      <c r="Q103" t="s">
        <v>1386</v>
      </c>
      <c r="R103" t="s">
        <v>1386</v>
      </c>
      <c r="S103" t="s">
        <v>1386</v>
      </c>
      <c r="T103" t="s">
        <v>1386</v>
      </c>
      <c r="U103" t="s">
        <v>1386</v>
      </c>
      <c r="V103" t="s">
        <v>1402</v>
      </c>
      <c r="W103" t="s">
        <v>890</v>
      </c>
      <c r="X103" t="s">
        <v>890</v>
      </c>
      <c r="Y103" t="s">
        <v>890</v>
      </c>
      <c r="Z103" t="s">
        <v>890</v>
      </c>
      <c r="AA103" t="s">
        <v>890</v>
      </c>
      <c r="AB103" s="2">
        <v>-5.9999999999999995E-4</v>
      </c>
      <c r="AC103" s="2">
        <v>-2.2000000000000001E-3</v>
      </c>
      <c r="AD103" s="2">
        <v>2.5999999999999999E-3</v>
      </c>
      <c r="AE103" s="2">
        <v>2.5999999999999999E-3</v>
      </c>
      <c r="AF103" s="2">
        <v>2.5999999999999999E-3</v>
      </c>
      <c r="AG103" s="2">
        <v>2.5999999999999999E-3</v>
      </c>
      <c r="AH103" t="s">
        <v>516</v>
      </c>
      <c r="AI103" t="s">
        <v>130</v>
      </c>
      <c r="AJ103" t="s">
        <v>131</v>
      </c>
      <c r="AK103" t="s">
        <v>40</v>
      </c>
      <c r="AL103">
        <v>1</v>
      </c>
      <c r="AM103" t="s">
        <v>41</v>
      </c>
      <c r="AN103" t="s">
        <v>42</v>
      </c>
      <c r="AO103" t="s">
        <v>1401</v>
      </c>
      <c r="AP103" t="s">
        <v>357</v>
      </c>
      <c r="AQ103" t="s">
        <v>357</v>
      </c>
      <c r="AR103" t="s">
        <v>48</v>
      </c>
      <c r="AS103" t="s">
        <v>48</v>
      </c>
    </row>
    <row r="104" spans="1:54" x14ac:dyDescent="0.4">
      <c r="A104" t="s">
        <v>4462</v>
      </c>
      <c r="B104" t="s">
        <v>10</v>
      </c>
      <c r="C104" t="s">
        <v>2849</v>
      </c>
      <c r="D104" t="s">
        <v>11</v>
      </c>
      <c r="E104" s="2">
        <v>-4.0000000000000002E-4</v>
      </c>
      <c r="F104" t="s">
        <v>178</v>
      </c>
      <c r="G104" s="4">
        <f>-0.04 / -0.04%</f>
        <v>100</v>
      </c>
      <c r="H104" t="s">
        <v>2849</v>
      </c>
      <c r="I104" t="s">
        <v>7062</v>
      </c>
      <c r="J104" t="s">
        <v>7063</v>
      </c>
      <c r="K104" t="s">
        <v>23</v>
      </c>
      <c r="L104" s="2">
        <v>0.01</v>
      </c>
      <c r="M104" t="s">
        <v>7064</v>
      </c>
      <c r="N104" t="s">
        <v>28</v>
      </c>
      <c r="O104" t="s">
        <v>7065</v>
      </c>
      <c r="P104" t="s">
        <v>5290</v>
      </c>
      <c r="Q104" t="s">
        <v>5290</v>
      </c>
      <c r="R104" t="s">
        <v>6543</v>
      </c>
      <c r="S104" t="s">
        <v>3991</v>
      </c>
      <c r="T104" t="s">
        <v>6544</v>
      </c>
      <c r="U104" t="s">
        <v>6544</v>
      </c>
      <c r="V104" t="s">
        <v>6604</v>
      </c>
      <c r="W104" t="s">
        <v>4724</v>
      </c>
      <c r="X104" t="s">
        <v>4724</v>
      </c>
      <c r="Y104" t="s">
        <v>4724</v>
      </c>
      <c r="Z104" t="s">
        <v>4724</v>
      </c>
      <c r="AA104" t="s">
        <v>7066</v>
      </c>
      <c r="AB104" s="2">
        <v>-3.8E-3</v>
      </c>
      <c r="AC104" s="2">
        <v>-5.3E-3</v>
      </c>
      <c r="AD104" s="2">
        <v>1.8599999999999998E-2</v>
      </c>
      <c r="AE104" s="2">
        <v>2.76E-2</v>
      </c>
      <c r="AF104" s="2">
        <v>4.82E-2</v>
      </c>
      <c r="AG104" s="2">
        <v>-7.9200000000000007E-2</v>
      </c>
      <c r="AH104" t="s">
        <v>7067</v>
      </c>
      <c r="AI104" t="s">
        <v>130</v>
      </c>
      <c r="AJ104" t="s">
        <v>131</v>
      </c>
      <c r="AK104" t="s">
        <v>40</v>
      </c>
      <c r="AL104">
        <v>1</v>
      </c>
      <c r="AM104" t="s">
        <v>41</v>
      </c>
      <c r="AN104" t="s">
        <v>42</v>
      </c>
      <c r="AO104" t="s">
        <v>7065</v>
      </c>
      <c r="AP104" t="s">
        <v>225</v>
      </c>
      <c r="AQ104" t="s">
        <v>225</v>
      </c>
      <c r="AR104" t="s">
        <v>48</v>
      </c>
      <c r="AS104" t="s">
        <v>48</v>
      </c>
    </row>
    <row r="105" spans="1:54" x14ac:dyDescent="0.4">
      <c r="A105" t="s">
        <v>288</v>
      </c>
      <c r="B105" t="s">
        <v>10</v>
      </c>
      <c r="C105" t="s">
        <v>7034</v>
      </c>
      <c r="D105" t="s">
        <v>11</v>
      </c>
      <c r="E105" s="2">
        <v>-8.0999999999999996E-3</v>
      </c>
      <c r="F105" t="s">
        <v>12</v>
      </c>
      <c r="G105" s="4">
        <f>-0.85 / -0.81%</f>
        <v>104.93827160493825</v>
      </c>
      <c r="H105" t="s">
        <v>7034</v>
      </c>
      <c r="I105" t="s">
        <v>7035</v>
      </c>
      <c r="J105" t="s">
        <v>7036</v>
      </c>
      <c r="K105" t="s">
        <v>23</v>
      </c>
      <c r="L105" s="2">
        <v>1.6879999999999999E-2</v>
      </c>
      <c r="M105" t="s">
        <v>7037</v>
      </c>
      <c r="N105" t="s">
        <v>28</v>
      </c>
      <c r="O105" t="s">
        <v>6668</v>
      </c>
      <c r="P105" t="s">
        <v>7034</v>
      </c>
      <c r="Q105" t="s">
        <v>3044</v>
      </c>
      <c r="R105" t="s">
        <v>3044</v>
      </c>
      <c r="S105" t="s">
        <v>3044</v>
      </c>
      <c r="T105" t="s">
        <v>3044</v>
      </c>
      <c r="U105" t="s">
        <v>3044</v>
      </c>
      <c r="V105" t="s">
        <v>1609</v>
      </c>
      <c r="W105" t="s">
        <v>7038</v>
      </c>
      <c r="X105" t="s">
        <v>7038</v>
      </c>
      <c r="Y105" t="s">
        <v>7038</v>
      </c>
      <c r="Z105" t="s">
        <v>7038</v>
      </c>
      <c r="AA105" t="s">
        <v>7038</v>
      </c>
      <c r="AB105" s="2">
        <v>-1.5699999999999999E-2</v>
      </c>
      <c r="AC105" s="2">
        <v>-7.7000000000000002E-3</v>
      </c>
      <c r="AD105" s="2">
        <v>7.1000000000000004E-3</v>
      </c>
      <c r="AE105" s="2">
        <v>2.4400000000000002E-2</v>
      </c>
      <c r="AF105" s="2">
        <v>5.2600000000000001E-2</v>
      </c>
      <c r="AG105" s="2">
        <v>5.2600000000000001E-2</v>
      </c>
      <c r="AH105" t="s">
        <v>7039</v>
      </c>
      <c r="AI105" t="s">
        <v>130</v>
      </c>
      <c r="AJ105" t="s">
        <v>131</v>
      </c>
      <c r="AK105" t="s">
        <v>40</v>
      </c>
      <c r="AL105">
        <v>5</v>
      </c>
      <c r="AM105" t="s">
        <v>41</v>
      </c>
      <c r="AN105" t="s">
        <v>42</v>
      </c>
      <c r="AO105" t="s">
        <v>6668</v>
      </c>
      <c r="AP105" t="s">
        <v>2382</v>
      </c>
      <c r="AQ105" t="s">
        <v>2382</v>
      </c>
      <c r="AR105" t="s">
        <v>1694</v>
      </c>
      <c r="AS105" t="s">
        <v>1694</v>
      </c>
    </row>
    <row r="106" spans="1:54" x14ac:dyDescent="0.4">
      <c r="A106" t="s">
        <v>740</v>
      </c>
      <c r="B106" t="s">
        <v>10</v>
      </c>
      <c r="C106" t="s">
        <v>5010</v>
      </c>
      <c r="D106" t="s">
        <v>11</v>
      </c>
      <c r="E106" s="2">
        <v>1.1000000000000001E-3</v>
      </c>
      <c r="F106" t="s">
        <v>12</v>
      </c>
      <c r="G106" s="4" t="s">
        <v>3958</v>
      </c>
      <c r="H106" t="s">
        <v>5010</v>
      </c>
      <c r="I106" t="s">
        <v>5011</v>
      </c>
      <c r="J106" t="s">
        <v>5012</v>
      </c>
      <c r="K106" t="s">
        <v>23</v>
      </c>
      <c r="L106" s="2">
        <v>4.6249999999999999E-2</v>
      </c>
      <c r="M106" t="s">
        <v>5013</v>
      </c>
      <c r="N106" t="s">
        <v>28</v>
      </c>
      <c r="O106" t="s">
        <v>5014</v>
      </c>
      <c r="P106" t="s">
        <v>5015</v>
      </c>
      <c r="Q106" t="s">
        <v>5016</v>
      </c>
      <c r="R106" t="s">
        <v>719</v>
      </c>
      <c r="S106" t="s">
        <v>5017</v>
      </c>
      <c r="T106" t="s">
        <v>5018</v>
      </c>
      <c r="U106" t="s">
        <v>5018</v>
      </c>
      <c r="V106" t="s">
        <v>427</v>
      </c>
      <c r="W106" t="s">
        <v>5019</v>
      </c>
      <c r="X106" t="s">
        <v>4736</v>
      </c>
      <c r="Y106" t="s">
        <v>998</v>
      </c>
      <c r="Z106" t="s">
        <v>998</v>
      </c>
      <c r="AA106" t="s">
        <v>5020</v>
      </c>
      <c r="AB106" s="2">
        <v>1.9E-3</v>
      </c>
      <c r="AC106" s="2">
        <v>5.4999999999999997E-3</v>
      </c>
      <c r="AD106" s="2">
        <v>1.4500000000000001E-2</v>
      </c>
      <c r="AE106" s="2">
        <v>3.7400000000000003E-2</v>
      </c>
      <c r="AF106" s="2">
        <v>2.7900000000000001E-2</v>
      </c>
      <c r="AG106" s="2">
        <v>-7.9299999999999995E-2</v>
      </c>
      <c r="AH106" t="s">
        <v>192</v>
      </c>
      <c r="AI106" t="s">
        <v>130</v>
      </c>
      <c r="AJ106" t="s">
        <v>131</v>
      </c>
      <c r="AK106" t="s">
        <v>40</v>
      </c>
      <c r="AL106">
        <v>200</v>
      </c>
      <c r="AM106" t="s">
        <v>41</v>
      </c>
      <c r="AN106" t="s">
        <v>42</v>
      </c>
      <c r="AO106" t="s">
        <v>5014</v>
      </c>
      <c r="AP106" t="s">
        <v>5021</v>
      </c>
      <c r="AQ106" t="s">
        <v>5021</v>
      </c>
      <c r="AR106" t="s">
        <v>1612</v>
      </c>
      <c r="AS106" t="s">
        <v>1612</v>
      </c>
      <c r="BB106" t="s">
        <v>61</v>
      </c>
    </row>
    <row r="107" spans="1:54" x14ac:dyDescent="0.4">
      <c r="A107" t="s">
        <v>176</v>
      </c>
      <c r="B107" t="s">
        <v>10</v>
      </c>
      <c r="C107" t="s">
        <v>177</v>
      </c>
      <c r="D107" t="s">
        <v>11</v>
      </c>
      <c r="E107" s="2">
        <v>-8.9999999999999998E-4</v>
      </c>
      <c r="F107" t="s">
        <v>178</v>
      </c>
      <c r="G107" s="4">
        <f>-0.09 / -0.09%</f>
        <v>100</v>
      </c>
      <c r="H107" t="s">
        <v>177</v>
      </c>
      <c r="I107" t="s">
        <v>179</v>
      </c>
      <c r="J107" t="s">
        <v>180</v>
      </c>
      <c r="K107" t="s">
        <v>23</v>
      </c>
      <c r="L107" s="2">
        <v>5.0000000000000001E-3</v>
      </c>
      <c r="M107" t="s">
        <v>181</v>
      </c>
      <c r="N107" t="s">
        <v>28</v>
      </c>
      <c r="O107" t="s">
        <v>182</v>
      </c>
      <c r="P107" t="s">
        <v>183</v>
      </c>
      <c r="Q107" t="s">
        <v>184</v>
      </c>
      <c r="R107" t="s">
        <v>185</v>
      </c>
      <c r="S107" t="s">
        <v>186</v>
      </c>
      <c r="T107" t="s">
        <v>187</v>
      </c>
      <c r="U107" t="s">
        <v>188</v>
      </c>
      <c r="V107" t="s">
        <v>189</v>
      </c>
      <c r="W107" t="s">
        <v>190</v>
      </c>
      <c r="X107" t="s">
        <v>190</v>
      </c>
      <c r="Y107" t="s">
        <v>190</v>
      </c>
      <c r="Z107" t="s">
        <v>190</v>
      </c>
      <c r="AA107" t="s">
        <v>191</v>
      </c>
      <c r="AB107" s="2">
        <v>2.5000000000000001E-3</v>
      </c>
      <c r="AC107" s="2">
        <v>3.3999999999999998E-3</v>
      </c>
      <c r="AD107" s="2">
        <v>2.8000000000000001E-2</v>
      </c>
      <c r="AE107" s="2">
        <v>4.9500000000000002E-2</v>
      </c>
      <c r="AF107" s="2">
        <v>9.8299999999999998E-2</v>
      </c>
      <c r="AG107" s="2">
        <v>-3.7199999999999997E-2</v>
      </c>
      <c r="AH107" t="s">
        <v>192</v>
      </c>
      <c r="AI107" t="s">
        <v>130</v>
      </c>
      <c r="AJ107" t="s">
        <v>131</v>
      </c>
      <c r="AK107" t="s">
        <v>40</v>
      </c>
      <c r="AL107">
        <v>100</v>
      </c>
      <c r="AM107" t="s">
        <v>41</v>
      </c>
      <c r="AN107" t="s">
        <v>42</v>
      </c>
      <c r="AO107" t="s">
        <v>182</v>
      </c>
      <c r="AP107" t="s">
        <v>193</v>
      </c>
      <c r="AQ107" t="s">
        <v>193</v>
      </c>
      <c r="AR107" t="s">
        <v>48</v>
      </c>
      <c r="AS107" t="s">
        <v>48</v>
      </c>
      <c r="AT107" t="s">
        <v>194</v>
      </c>
      <c r="AU107" t="s">
        <v>195</v>
      </c>
      <c r="AV107" t="s">
        <v>173</v>
      </c>
      <c r="AX107" t="s">
        <v>196</v>
      </c>
      <c r="AZ107">
        <v>100</v>
      </c>
      <c r="BA107" t="s">
        <v>197</v>
      </c>
      <c r="BB107" t="s">
        <v>61</v>
      </c>
    </row>
    <row r="108" spans="1:54" x14ac:dyDescent="0.4">
      <c r="A108" t="s">
        <v>740</v>
      </c>
      <c r="B108" t="s">
        <v>10</v>
      </c>
      <c r="C108" t="s">
        <v>1407</v>
      </c>
      <c r="D108" t="s">
        <v>11</v>
      </c>
      <c r="E108" s="2">
        <v>3.3E-3</v>
      </c>
      <c r="F108" t="s">
        <v>12</v>
      </c>
      <c r="G108" s="4" t="s">
        <v>5543</v>
      </c>
      <c r="H108" t="s">
        <v>1407</v>
      </c>
      <c r="I108" t="s">
        <v>6729</v>
      </c>
      <c r="J108" t="s">
        <v>6730</v>
      </c>
      <c r="K108" t="s">
        <v>23</v>
      </c>
      <c r="L108" s="2">
        <v>4.8000000000000001E-2</v>
      </c>
      <c r="M108" t="s">
        <v>6731</v>
      </c>
      <c r="N108" t="s">
        <v>121</v>
      </c>
      <c r="O108" t="s">
        <v>6732</v>
      </c>
      <c r="P108" t="s">
        <v>994</v>
      </c>
      <c r="Q108" t="s">
        <v>994</v>
      </c>
      <c r="R108" t="s">
        <v>994</v>
      </c>
      <c r="S108" t="s">
        <v>1621</v>
      </c>
      <c r="T108" t="s">
        <v>3585</v>
      </c>
      <c r="U108" t="s">
        <v>4685</v>
      </c>
      <c r="V108" t="s">
        <v>2073</v>
      </c>
      <c r="W108" t="s">
        <v>1641</v>
      </c>
      <c r="X108" t="s">
        <v>1198</v>
      </c>
      <c r="Y108" t="s">
        <v>1198</v>
      </c>
      <c r="Z108" t="s">
        <v>1198</v>
      </c>
      <c r="AA108" t="s">
        <v>4969</v>
      </c>
      <c r="AB108" s="2">
        <v>4.3E-3</v>
      </c>
      <c r="AC108" s="2">
        <v>-4.8999999999999998E-3</v>
      </c>
      <c r="AD108" s="2">
        <v>-4.5999999999999999E-3</v>
      </c>
      <c r="AE108" s="2">
        <v>9.4999999999999998E-3</v>
      </c>
      <c r="AF108" s="2">
        <v>9.4999999999999998E-3</v>
      </c>
      <c r="AG108" s="2">
        <v>-0.1046</v>
      </c>
      <c r="AH108" t="s">
        <v>6733</v>
      </c>
      <c r="AI108" t="s">
        <v>130</v>
      </c>
      <c r="AJ108" t="s">
        <v>131</v>
      </c>
      <c r="AK108" t="s">
        <v>40</v>
      </c>
      <c r="AL108">
        <v>2</v>
      </c>
      <c r="AM108" t="s">
        <v>41</v>
      </c>
      <c r="AN108" t="s">
        <v>42</v>
      </c>
      <c r="AO108" t="s">
        <v>6732</v>
      </c>
      <c r="AP108" t="s">
        <v>225</v>
      </c>
      <c r="AQ108" t="s">
        <v>225</v>
      </c>
      <c r="AR108" t="s">
        <v>133</v>
      </c>
      <c r="AS108" t="s">
        <v>133</v>
      </c>
    </row>
    <row r="109" spans="1:54" x14ac:dyDescent="0.4">
      <c r="A109" t="s">
        <v>4453</v>
      </c>
      <c r="B109" t="s">
        <v>10</v>
      </c>
      <c r="C109" t="s">
        <v>4849</v>
      </c>
      <c r="D109" t="s">
        <v>11</v>
      </c>
      <c r="E109" s="2">
        <v>-4.0000000000000001E-3</v>
      </c>
      <c r="F109" t="s">
        <v>310</v>
      </c>
      <c r="G109" s="4">
        <f>-0.26 / -0.4%</f>
        <v>65</v>
      </c>
      <c r="H109" t="s">
        <v>4849</v>
      </c>
      <c r="I109" t="s">
        <v>4850</v>
      </c>
      <c r="J109" t="s">
        <v>4851</v>
      </c>
      <c r="K109" t="s">
        <v>23</v>
      </c>
      <c r="L109" s="2">
        <v>3.3750000000000002E-2</v>
      </c>
      <c r="M109" t="s">
        <v>4852</v>
      </c>
      <c r="N109" t="s">
        <v>121</v>
      </c>
      <c r="O109" t="s">
        <v>4853</v>
      </c>
      <c r="P109" t="s">
        <v>4854</v>
      </c>
      <c r="Q109" t="s">
        <v>4854</v>
      </c>
      <c r="R109" t="s">
        <v>4854</v>
      </c>
      <c r="S109" t="s">
        <v>4855</v>
      </c>
      <c r="T109" t="s">
        <v>4856</v>
      </c>
      <c r="U109" t="s">
        <v>4857</v>
      </c>
      <c r="V109" t="s">
        <v>4858</v>
      </c>
      <c r="W109" t="s">
        <v>4859</v>
      </c>
      <c r="X109" t="s">
        <v>4860</v>
      </c>
      <c r="Y109" t="s">
        <v>4861</v>
      </c>
      <c r="Z109" t="s">
        <v>772</v>
      </c>
      <c r="AA109" t="s">
        <v>1026</v>
      </c>
      <c r="AB109" s="2">
        <v>-5.4000000000000003E-3</v>
      </c>
      <c r="AC109" s="2">
        <v>-2.5999999999999999E-3</v>
      </c>
      <c r="AD109" s="2">
        <v>-1.1999999999999999E-3</v>
      </c>
      <c r="AE109" s="2">
        <v>-7.4899999999999994E-2</v>
      </c>
      <c r="AF109" s="2">
        <v>-8.72E-2</v>
      </c>
      <c r="AG109" s="2">
        <v>-0.31140000000000001</v>
      </c>
      <c r="AH109" t="s">
        <v>4862</v>
      </c>
      <c r="AI109" t="s">
        <v>130</v>
      </c>
      <c r="AJ109" t="s">
        <v>131</v>
      </c>
      <c r="AK109" t="s">
        <v>40</v>
      </c>
      <c r="AL109">
        <v>2</v>
      </c>
      <c r="AM109" t="s">
        <v>41</v>
      </c>
      <c r="AN109" t="s">
        <v>42</v>
      </c>
      <c r="AO109" t="s">
        <v>4853</v>
      </c>
      <c r="AP109" t="s">
        <v>4863</v>
      </c>
      <c r="AQ109" t="s">
        <v>4863</v>
      </c>
      <c r="AR109" t="s">
        <v>133</v>
      </c>
      <c r="AS109" t="s">
        <v>133</v>
      </c>
    </row>
    <row r="110" spans="1:54" x14ac:dyDescent="0.4">
      <c r="A110" t="s">
        <v>740</v>
      </c>
      <c r="B110" t="s">
        <v>10</v>
      </c>
      <c r="C110" t="s">
        <v>3172</v>
      </c>
      <c r="D110" t="s">
        <v>11</v>
      </c>
      <c r="E110" s="2">
        <v>-1.6999999999999999E-3</v>
      </c>
      <c r="F110" t="s">
        <v>12</v>
      </c>
      <c r="G110" s="4">
        <f>-0.17 / -0.17%</f>
        <v>100</v>
      </c>
      <c r="H110" t="s">
        <v>3172</v>
      </c>
      <c r="I110" t="s">
        <v>7545</v>
      </c>
      <c r="J110" t="s">
        <v>7546</v>
      </c>
      <c r="K110" t="s">
        <v>23</v>
      </c>
      <c r="L110" s="2">
        <v>3.7499999999999999E-2</v>
      </c>
      <c r="M110" t="s">
        <v>4895</v>
      </c>
      <c r="N110" t="s">
        <v>28</v>
      </c>
      <c r="O110" t="s">
        <v>1640</v>
      </c>
      <c r="P110" t="s">
        <v>1472</v>
      </c>
      <c r="Q110" t="s">
        <v>1472</v>
      </c>
      <c r="R110" t="s">
        <v>97</v>
      </c>
      <c r="S110" t="s">
        <v>975</v>
      </c>
      <c r="T110" t="s">
        <v>975</v>
      </c>
      <c r="U110" t="s">
        <v>975</v>
      </c>
      <c r="V110" t="s">
        <v>1942</v>
      </c>
      <c r="W110" t="s">
        <v>3382</v>
      </c>
      <c r="X110" t="s">
        <v>3382</v>
      </c>
      <c r="Y110" t="s">
        <v>3382</v>
      </c>
      <c r="Z110" t="s">
        <v>3382</v>
      </c>
      <c r="AA110" t="s">
        <v>3382</v>
      </c>
      <c r="AB110" s="2">
        <v>-9.2999999999999992E-3</v>
      </c>
      <c r="AC110" s="2">
        <v>-6.7999999999999996E-3</v>
      </c>
      <c r="AD110" s="2">
        <v>1.54E-2</v>
      </c>
      <c r="AE110" s="2">
        <v>2.2499999999999999E-2</v>
      </c>
      <c r="AF110" s="2">
        <v>2.2499999999999999E-2</v>
      </c>
      <c r="AG110" s="2">
        <v>2.2499999999999999E-2</v>
      </c>
      <c r="AH110" t="s">
        <v>7547</v>
      </c>
      <c r="AI110" t="s">
        <v>130</v>
      </c>
      <c r="AJ110" t="s">
        <v>131</v>
      </c>
      <c r="AK110" t="s">
        <v>40</v>
      </c>
      <c r="AL110">
        <v>100</v>
      </c>
      <c r="AM110" t="s">
        <v>41</v>
      </c>
      <c r="AN110" t="s">
        <v>42</v>
      </c>
      <c r="AO110" t="s">
        <v>1640</v>
      </c>
      <c r="AP110" t="s">
        <v>443</v>
      </c>
      <c r="AQ110" t="s">
        <v>443</v>
      </c>
      <c r="AR110" t="s">
        <v>48</v>
      </c>
      <c r="AS110" t="s">
        <v>48</v>
      </c>
    </row>
    <row r="111" spans="1:54" x14ac:dyDescent="0.4">
      <c r="A111" t="s">
        <v>4518</v>
      </c>
      <c r="B111" t="s">
        <v>10</v>
      </c>
      <c r="C111" t="s">
        <v>2617</v>
      </c>
      <c r="D111" t="s">
        <v>11</v>
      </c>
      <c r="E111" s="2">
        <v>4.0000000000000002E-4</v>
      </c>
      <c r="F111" t="s">
        <v>12</v>
      </c>
      <c r="G111" s="4" t="s">
        <v>6150</v>
      </c>
      <c r="H111" t="s">
        <v>2617</v>
      </c>
      <c r="I111" t="s">
        <v>6151</v>
      </c>
      <c r="J111" t="s">
        <v>6152</v>
      </c>
      <c r="K111" t="s">
        <v>23</v>
      </c>
      <c r="L111" s="2">
        <v>0.04</v>
      </c>
      <c r="M111" t="s">
        <v>2735</v>
      </c>
      <c r="N111" t="s">
        <v>121</v>
      </c>
      <c r="O111" t="s">
        <v>4570</v>
      </c>
      <c r="P111" s="1">
        <v>96915</v>
      </c>
      <c r="Q111" s="1">
        <v>96915</v>
      </c>
      <c r="R111" s="1">
        <v>96915</v>
      </c>
      <c r="S111" t="s">
        <v>2877</v>
      </c>
      <c r="T111" t="s">
        <v>2882</v>
      </c>
      <c r="U111" t="s">
        <v>2882</v>
      </c>
      <c r="V111" t="s">
        <v>2616</v>
      </c>
      <c r="W111" t="s">
        <v>4236</v>
      </c>
      <c r="X111" t="s">
        <v>211</v>
      </c>
      <c r="Y111" t="s">
        <v>211</v>
      </c>
      <c r="Z111" t="s">
        <v>591</v>
      </c>
      <c r="AA111" t="s">
        <v>6153</v>
      </c>
      <c r="AB111" s="2">
        <v>4.0000000000000002E-4</v>
      </c>
      <c r="AC111" s="2">
        <v>-6.4000000000000003E-3</v>
      </c>
      <c r="AD111" s="2">
        <v>5.0000000000000001E-4</v>
      </c>
      <c r="AE111" s="2">
        <v>7.3000000000000001E-3</v>
      </c>
      <c r="AF111" s="2">
        <v>-1.0500000000000001E-2</v>
      </c>
      <c r="AG111" s="2">
        <v>-0.1108</v>
      </c>
      <c r="AH111" t="s">
        <v>6154</v>
      </c>
      <c r="AI111" t="s">
        <v>130</v>
      </c>
      <c r="AJ111" t="s">
        <v>131</v>
      </c>
      <c r="AK111" t="s">
        <v>40</v>
      </c>
      <c r="AL111">
        <v>2</v>
      </c>
      <c r="AM111" t="s">
        <v>41</v>
      </c>
      <c r="AN111" t="s">
        <v>42</v>
      </c>
      <c r="AO111" t="s">
        <v>4570</v>
      </c>
      <c r="AP111" t="s">
        <v>407</v>
      </c>
      <c r="AQ111" t="s">
        <v>407</v>
      </c>
      <c r="AR111" t="s">
        <v>133</v>
      </c>
      <c r="AS111" t="s">
        <v>133</v>
      </c>
    </row>
    <row r="112" spans="1:54" x14ac:dyDescent="0.4">
      <c r="A112" t="s">
        <v>740</v>
      </c>
      <c r="B112" t="s">
        <v>10</v>
      </c>
      <c r="C112" s="1">
        <v>87825</v>
      </c>
      <c r="D112" t="s">
        <v>11</v>
      </c>
      <c r="E112" s="2">
        <v>-1.6000000000000001E-3</v>
      </c>
      <c r="F112" t="s">
        <v>12</v>
      </c>
      <c r="G112" s="4">
        <f>-0.14 / -0.16%</f>
        <v>87.5</v>
      </c>
      <c r="H112" s="1">
        <v>87825</v>
      </c>
      <c r="I112" t="s">
        <v>741</v>
      </c>
      <c r="J112" t="s">
        <v>742</v>
      </c>
      <c r="K112" t="s">
        <v>23</v>
      </c>
      <c r="L112" s="2">
        <v>1.231E-2</v>
      </c>
      <c r="M112" t="s">
        <v>743</v>
      </c>
      <c r="N112" t="s">
        <v>28</v>
      </c>
      <c r="O112" t="s">
        <v>744</v>
      </c>
      <c r="P112" s="1">
        <v>87405</v>
      </c>
      <c r="Q112" s="1">
        <v>87405</v>
      </c>
      <c r="R112" s="1">
        <v>86495</v>
      </c>
      <c r="S112" t="s">
        <v>745</v>
      </c>
      <c r="T112" t="s">
        <v>746</v>
      </c>
      <c r="U112" t="s">
        <v>747</v>
      </c>
      <c r="V112" s="1">
        <v>89005</v>
      </c>
      <c r="W112" s="1">
        <v>89925</v>
      </c>
      <c r="X112" s="1">
        <v>89925</v>
      </c>
      <c r="Y112" s="1">
        <v>89925</v>
      </c>
      <c r="Z112" s="1">
        <v>89925</v>
      </c>
      <c r="AA112" t="s">
        <v>748</v>
      </c>
      <c r="AB112" s="2">
        <v>-1.11E-2</v>
      </c>
      <c r="AC112" s="2">
        <v>-1.1299999999999999E-2</v>
      </c>
      <c r="AD112" s="2">
        <v>1.4E-2</v>
      </c>
      <c r="AE112" s="2">
        <v>3.0800000000000001E-2</v>
      </c>
      <c r="AF112" s="2">
        <v>6.54E-2</v>
      </c>
      <c r="AG112" s="2">
        <v>-0.13919999999999999</v>
      </c>
      <c r="AH112" t="s">
        <v>749</v>
      </c>
      <c r="AI112" t="s">
        <v>130</v>
      </c>
      <c r="AJ112" t="s">
        <v>131</v>
      </c>
      <c r="AK112" t="s">
        <v>40</v>
      </c>
      <c r="AL112">
        <v>100</v>
      </c>
      <c r="AM112" t="s">
        <v>41</v>
      </c>
      <c r="AN112" t="s">
        <v>42</v>
      </c>
      <c r="AO112" t="s">
        <v>744</v>
      </c>
      <c r="AP112" t="s">
        <v>750</v>
      </c>
      <c r="AQ112" t="s">
        <v>750</v>
      </c>
      <c r="AR112" t="s">
        <v>48</v>
      </c>
      <c r="AS112" t="s">
        <v>48</v>
      </c>
    </row>
    <row r="113" spans="1:53" x14ac:dyDescent="0.4">
      <c r="A113" t="s">
        <v>4769</v>
      </c>
      <c r="B113" t="s">
        <v>10</v>
      </c>
      <c r="C113" t="s">
        <v>4304</v>
      </c>
      <c r="D113" t="s">
        <v>11</v>
      </c>
      <c r="E113" s="2">
        <v>-2E-3</v>
      </c>
      <c r="F113" t="s">
        <v>12</v>
      </c>
      <c r="G113" s="4">
        <f>-0.21 / -0.2%</f>
        <v>105</v>
      </c>
      <c r="H113" t="s">
        <v>4304</v>
      </c>
      <c r="I113" t="s">
        <v>4770</v>
      </c>
      <c r="J113" t="s">
        <v>4771</v>
      </c>
      <c r="K113" t="s">
        <v>23</v>
      </c>
      <c r="L113" s="2">
        <v>3.875E-2</v>
      </c>
      <c r="M113" t="s">
        <v>3170</v>
      </c>
      <c r="N113" t="s">
        <v>28</v>
      </c>
      <c r="O113" t="s">
        <v>1394</v>
      </c>
      <c r="P113" t="s">
        <v>168</v>
      </c>
      <c r="Q113" t="s">
        <v>168</v>
      </c>
      <c r="R113" t="s">
        <v>168</v>
      </c>
      <c r="S113" t="s">
        <v>2527</v>
      </c>
      <c r="T113" t="s">
        <v>2527</v>
      </c>
      <c r="U113" t="s">
        <v>2527</v>
      </c>
      <c r="V113" t="s">
        <v>3665</v>
      </c>
      <c r="W113" t="s">
        <v>3539</v>
      </c>
      <c r="X113" t="s">
        <v>3539</v>
      </c>
      <c r="Y113" t="s">
        <v>3539</v>
      </c>
      <c r="Z113" t="s">
        <v>3539</v>
      </c>
      <c r="AA113" t="s">
        <v>3539</v>
      </c>
      <c r="AB113" s="2">
        <v>-6.0000000000000001E-3</v>
      </c>
      <c r="AC113" s="2">
        <v>-8.0999999999999996E-3</v>
      </c>
      <c r="AD113" s="2">
        <v>1.2999999999999999E-2</v>
      </c>
      <c r="AE113" s="2">
        <v>3.1300000000000001E-2</v>
      </c>
      <c r="AF113" s="2">
        <v>3.4099999999999998E-2</v>
      </c>
      <c r="AG113" s="2">
        <v>3.4099999999999998E-2</v>
      </c>
      <c r="AH113" t="s">
        <v>4772</v>
      </c>
      <c r="AI113" t="s">
        <v>130</v>
      </c>
      <c r="AJ113" t="s">
        <v>131</v>
      </c>
      <c r="AK113" t="s">
        <v>40</v>
      </c>
      <c r="AL113">
        <v>100</v>
      </c>
      <c r="AM113" t="s">
        <v>41</v>
      </c>
      <c r="AN113" t="s">
        <v>42</v>
      </c>
      <c r="AO113" t="s">
        <v>1394</v>
      </c>
      <c r="AP113" t="s">
        <v>193</v>
      </c>
      <c r="AQ113" t="s">
        <v>193</v>
      </c>
      <c r="AR113" t="s">
        <v>48</v>
      </c>
      <c r="AS113" t="s">
        <v>48</v>
      </c>
    </row>
    <row r="114" spans="1:53" x14ac:dyDescent="0.4">
      <c r="A114" t="s">
        <v>4746</v>
      </c>
      <c r="B114" t="s">
        <v>10</v>
      </c>
      <c r="C114" s="1">
        <v>99205</v>
      </c>
      <c r="D114" t="s">
        <v>11</v>
      </c>
      <c r="E114" s="2">
        <v>-5.9999999999999995E-4</v>
      </c>
      <c r="F114" t="s">
        <v>12</v>
      </c>
      <c r="G114" s="4">
        <f>-0.06 / -0.06%</f>
        <v>100</v>
      </c>
      <c r="H114" s="1">
        <v>99205</v>
      </c>
      <c r="I114" t="s">
        <v>4774</v>
      </c>
      <c r="J114" t="s">
        <v>4775</v>
      </c>
      <c r="K114" t="s">
        <v>23</v>
      </c>
      <c r="L114" s="2">
        <v>2.75E-2</v>
      </c>
      <c r="M114" t="s">
        <v>4776</v>
      </c>
      <c r="N114" t="s">
        <v>28</v>
      </c>
      <c r="O114" t="s">
        <v>4777</v>
      </c>
      <c r="P114" t="s">
        <v>4778</v>
      </c>
      <c r="Q114" t="s">
        <v>4778</v>
      </c>
      <c r="R114" t="s">
        <v>4778</v>
      </c>
      <c r="S114" t="s">
        <v>4778</v>
      </c>
      <c r="T114" t="s">
        <v>4778</v>
      </c>
      <c r="U114" t="s">
        <v>4778</v>
      </c>
      <c r="V114" s="1">
        <v>99705</v>
      </c>
      <c r="W114" s="1">
        <v>100765</v>
      </c>
      <c r="X114" s="1">
        <v>100765</v>
      </c>
      <c r="Y114" s="1">
        <v>100765</v>
      </c>
      <c r="Z114" s="1">
        <v>100765</v>
      </c>
      <c r="AA114" s="1">
        <v>100765</v>
      </c>
      <c r="AB114" s="2">
        <v>-6.8999999999999999E-3</v>
      </c>
      <c r="AC114" s="2">
        <v>-2.0999999999999999E-3</v>
      </c>
      <c r="AD114" s="2">
        <v>-2.0999999999999999E-3</v>
      </c>
      <c r="AE114" s="2">
        <v>-2.0999999999999999E-3</v>
      </c>
      <c r="AF114" s="2">
        <v>-2.0999999999999999E-3</v>
      </c>
      <c r="AG114" s="2">
        <v>-2.0999999999999999E-3</v>
      </c>
      <c r="AH114" t="s">
        <v>4779</v>
      </c>
      <c r="AI114" t="s">
        <v>130</v>
      </c>
      <c r="AJ114" t="s">
        <v>131</v>
      </c>
      <c r="AK114" t="s">
        <v>40</v>
      </c>
      <c r="AL114">
        <v>100</v>
      </c>
      <c r="AM114" t="s">
        <v>41</v>
      </c>
      <c r="AN114" t="s">
        <v>42</v>
      </c>
      <c r="AO114" t="s">
        <v>4777</v>
      </c>
      <c r="AP114" t="s">
        <v>407</v>
      </c>
      <c r="AQ114" t="s">
        <v>407</v>
      </c>
      <c r="AR114" t="s">
        <v>48</v>
      </c>
      <c r="AS114" t="s">
        <v>48</v>
      </c>
    </row>
    <row r="115" spans="1:53" x14ac:dyDescent="0.4">
      <c r="A115" t="s">
        <v>4453</v>
      </c>
      <c r="B115" t="s">
        <v>10</v>
      </c>
      <c r="C115" t="s">
        <v>5492</v>
      </c>
      <c r="D115" t="s">
        <v>11</v>
      </c>
      <c r="E115" s="2">
        <v>-6.9999999999999999E-4</v>
      </c>
      <c r="F115" t="s">
        <v>1057</v>
      </c>
      <c r="G115" s="4">
        <f>-0.07 / -0.07%</f>
        <v>100</v>
      </c>
      <c r="H115" t="s">
        <v>5492</v>
      </c>
      <c r="I115" t="s">
        <v>5493</v>
      </c>
      <c r="J115" t="s">
        <v>5494</v>
      </c>
      <c r="K115" t="s">
        <v>23</v>
      </c>
      <c r="L115" s="2">
        <v>3.7499999999999999E-2</v>
      </c>
      <c r="M115" t="s">
        <v>274</v>
      </c>
      <c r="N115" t="s">
        <v>28</v>
      </c>
      <c r="O115" t="s">
        <v>5171</v>
      </c>
      <c r="P115" t="s">
        <v>1660</v>
      </c>
      <c r="Q115" t="s">
        <v>1660</v>
      </c>
      <c r="R115" t="s">
        <v>169</v>
      </c>
      <c r="S115" t="s">
        <v>98</v>
      </c>
      <c r="T115" t="s">
        <v>5495</v>
      </c>
      <c r="U115" t="s">
        <v>5495</v>
      </c>
      <c r="V115" t="s">
        <v>1267</v>
      </c>
      <c r="W115" t="s">
        <v>1007</v>
      </c>
      <c r="X115" t="s">
        <v>1007</v>
      </c>
      <c r="Y115" t="s">
        <v>1007</v>
      </c>
      <c r="Z115" t="s">
        <v>1007</v>
      </c>
      <c r="AA115" t="s">
        <v>1007</v>
      </c>
      <c r="AB115" s="2">
        <v>-5.7999999999999996E-3</v>
      </c>
      <c r="AC115" s="2">
        <v>-9.2999999999999992E-3</v>
      </c>
      <c r="AD115" s="2">
        <v>6.3E-3</v>
      </c>
      <c r="AE115" s="2">
        <v>1.2699999999999999E-2</v>
      </c>
      <c r="AF115" s="2">
        <v>3.6700000000000003E-2</v>
      </c>
      <c r="AG115" s="2">
        <v>3.6700000000000003E-2</v>
      </c>
      <c r="AH115" t="s">
        <v>5496</v>
      </c>
      <c r="AI115" t="s">
        <v>130</v>
      </c>
      <c r="AJ115" t="s">
        <v>131</v>
      </c>
      <c r="AK115" t="s">
        <v>40</v>
      </c>
      <c r="AL115">
        <v>100</v>
      </c>
      <c r="AM115" t="s">
        <v>41</v>
      </c>
      <c r="AN115" t="s">
        <v>42</v>
      </c>
      <c r="AO115" t="s">
        <v>5171</v>
      </c>
      <c r="AP115" t="s">
        <v>357</v>
      </c>
      <c r="AQ115" t="s">
        <v>357</v>
      </c>
      <c r="AR115" t="s">
        <v>48</v>
      </c>
      <c r="AS115" t="s">
        <v>48</v>
      </c>
    </row>
    <row r="116" spans="1:53" x14ac:dyDescent="0.4">
      <c r="A116" t="s">
        <v>288</v>
      </c>
      <c r="B116" t="s">
        <v>10</v>
      </c>
      <c r="C116" t="s">
        <v>6068</v>
      </c>
      <c r="D116" t="s">
        <v>11</v>
      </c>
      <c r="E116" s="2">
        <v>-1.1000000000000001E-3</v>
      </c>
      <c r="F116" t="s">
        <v>12</v>
      </c>
      <c r="G116" s="4">
        <f>-0.1 / -0.11%</f>
        <v>90.909090909090907</v>
      </c>
      <c r="H116" t="s">
        <v>6068</v>
      </c>
      <c r="I116" t="s">
        <v>6069</v>
      </c>
      <c r="J116" t="s">
        <v>6070</v>
      </c>
      <c r="K116" t="s">
        <v>23</v>
      </c>
      <c r="L116" s="2">
        <v>8.7500000000000008E-3</v>
      </c>
      <c r="M116" t="s">
        <v>5462</v>
      </c>
      <c r="N116" t="s">
        <v>28</v>
      </c>
      <c r="O116" t="s">
        <v>5463</v>
      </c>
      <c r="P116" t="s">
        <v>1652</v>
      </c>
      <c r="Q116" t="s">
        <v>1652</v>
      </c>
      <c r="R116" s="1">
        <v>91435</v>
      </c>
      <c r="S116" s="1">
        <v>90155</v>
      </c>
      <c r="T116" s="1">
        <v>86495</v>
      </c>
      <c r="U116" s="1">
        <v>86495</v>
      </c>
      <c r="V116" t="s">
        <v>1098</v>
      </c>
      <c r="W116" t="s">
        <v>4747</v>
      </c>
      <c r="X116" t="s">
        <v>4747</v>
      </c>
      <c r="Y116" t="s">
        <v>4747</v>
      </c>
      <c r="Z116" t="s">
        <v>4747</v>
      </c>
      <c r="AA116" t="s">
        <v>584</v>
      </c>
      <c r="AB116" s="2">
        <v>-4.4999999999999997E-3</v>
      </c>
      <c r="AC116" s="2">
        <v>-6.7999999999999996E-3</v>
      </c>
      <c r="AD116" s="2">
        <v>1.44E-2</v>
      </c>
      <c r="AE116" s="2">
        <v>2.0400000000000001E-2</v>
      </c>
      <c r="AF116" s="2">
        <v>3.8600000000000002E-2</v>
      </c>
      <c r="AG116" s="2">
        <v>-0.1166</v>
      </c>
      <c r="AH116" t="s">
        <v>6071</v>
      </c>
      <c r="AI116" t="s">
        <v>130</v>
      </c>
      <c r="AJ116" t="s">
        <v>131</v>
      </c>
      <c r="AK116" t="s">
        <v>40</v>
      </c>
      <c r="AL116">
        <v>100</v>
      </c>
      <c r="AM116" t="s">
        <v>41</v>
      </c>
      <c r="AN116" t="s">
        <v>42</v>
      </c>
      <c r="AO116" t="s">
        <v>5463</v>
      </c>
      <c r="AP116" t="s">
        <v>6072</v>
      </c>
      <c r="AQ116" t="s">
        <v>6072</v>
      </c>
      <c r="AR116" t="s">
        <v>48</v>
      </c>
      <c r="AS116" t="s">
        <v>48</v>
      </c>
    </row>
    <row r="117" spans="1:53" x14ac:dyDescent="0.4">
      <c r="A117" t="s">
        <v>4453</v>
      </c>
      <c r="B117" t="s">
        <v>10</v>
      </c>
      <c r="C117" t="s">
        <v>6155</v>
      </c>
      <c r="D117" t="s">
        <v>11</v>
      </c>
      <c r="E117" s="2">
        <v>0</v>
      </c>
      <c r="F117" t="s">
        <v>310</v>
      </c>
      <c r="G117" s="4" t="s">
        <v>15</v>
      </c>
      <c r="H117" t="s">
        <v>6155</v>
      </c>
      <c r="I117" t="s">
        <v>6156</v>
      </c>
      <c r="J117" t="s">
        <v>6157</v>
      </c>
      <c r="K117" t="s">
        <v>23</v>
      </c>
      <c r="L117" s="2">
        <v>5.6250000000000001E-2</v>
      </c>
      <c r="M117" t="s">
        <v>6158</v>
      </c>
      <c r="N117" t="s">
        <v>121</v>
      </c>
      <c r="O117" t="s">
        <v>6159</v>
      </c>
      <c r="P117" t="s">
        <v>6160</v>
      </c>
      <c r="Q117" t="s">
        <v>6160</v>
      </c>
      <c r="R117" t="s">
        <v>6160</v>
      </c>
      <c r="S117" t="s">
        <v>6160</v>
      </c>
      <c r="T117" t="s">
        <v>6161</v>
      </c>
      <c r="U117" t="s">
        <v>6162</v>
      </c>
      <c r="V117" t="s">
        <v>6155</v>
      </c>
      <c r="W117" t="s">
        <v>4502</v>
      </c>
      <c r="X117" t="s">
        <v>5468</v>
      </c>
      <c r="Y117" t="s">
        <v>5468</v>
      </c>
      <c r="Z117" t="s">
        <v>5468</v>
      </c>
      <c r="AA117" t="s">
        <v>865</v>
      </c>
      <c r="AB117" s="2">
        <v>2.8299999999999999E-2</v>
      </c>
      <c r="AC117" s="2">
        <v>-3.7100000000000001E-2</v>
      </c>
      <c r="AD117" s="2">
        <v>-3.4700000000000002E-2</v>
      </c>
      <c r="AE117" s="2">
        <v>-3.2300000000000002E-2</v>
      </c>
      <c r="AF117" s="2">
        <v>-1.7100000000000001E-2</v>
      </c>
      <c r="AG117" s="2">
        <v>-0.12939999999999999</v>
      </c>
      <c r="AH117" t="s">
        <v>4228</v>
      </c>
      <c r="AI117" t="s">
        <v>130</v>
      </c>
      <c r="AJ117" t="s">
        <v>131</v>
      </c>
      <c r="AK117" t="s">
        <v>40</v>
      </c>
      <c r="AL117">
        <v>100</v>
      </c>
      <c r="AM117" t="s">
        <v>41</v>
      </c>
      <c r="AN117" t="s">
        <v>42</v>
      </c>
      <c r="AO117" t="s">
        <v>6159</v>
      </c>
      <c r="AP117" t="s">
        <v>6163</v>
      </c>
      <c r="AQ117" t="s">
        <v>6164</v>
      </c>
      <c r="AR117" t="s">
        <v>133</v>
      </c>
      <c r="AS117" t="s">
        <v>133</v>
      </c>
    </row>
    <row r="118" spans="1:53" x14ac:dyDescent="0.4">
      <c r="A118" t="s">
        <v>1431</v>
      </c>
      <c r="B118" t="s">
        <v>10</v>
      </c>
      <c r="C118" t="s">
        <v>2874</v>
      </c>
      <c r="D118" t="s">
        <v>11</v>
      </c>
      <c r="E118" s="2">
        <v>1.6999999999999999E-3</v>
      </c>
      <c r="F118" t="s">
        <v>12</v>
      </c>
      <c r="G118" s="4" t="s">
        <v>3927</v>
      </c>
      <c r="H118" t="s">
        <v>2874</v>
      </c>
      <c r="I118" t="s">
        <v>4219</v>
      </c>
      <c r="J118" t="s">
        <v>4220</v>
      </c>
      <c r="K118" t="s">
        <v>23</v>
      </c>
      <c r="L118" s="2">
        <v>7.1249999999999994E-2</v>
      </c>
      <c r="M118" t="s">
        <v>4221</v>
      </c>
      <c r="N118" t="s">
        <v>121</v>
      </c>
      <c r="O118" t="s">
        <v>4222</v>
      </c>
      <c r="P118" t="s">
        <v>4223</v>
      </c>
      <c r="Q118" t="s">
        <v>83</v>
      </c>
      <c r="R118" t="s">
        <v>83</v>
      </c>
      <c r="S118" t="s">
        <v>83</v>
      </c>
      <c r="T118" t="s">
        <v>1594</v>
      </c>
      <c r="U118" t="s">
        <v>1074</v>
      </c>
      <c r="V118" t="s">
        <v>4224</v>
      </c>
      <c r="W118" t="s">
        <v>4225</v>
      </c>
      <c r="X118" t="s">
        <v>4226</v>
      </c>
      <c r="Y118" t="s">
        <v>4226</v>
      </c>
      <c r="Z118" t="s">
        <v>4226</v>
      </c>
      <c r="AA118" t="s">
        <v>4227</v>
      </c>
      <c r="AB118" s="2">
        <v>2.2800000000000001E-2</v>
      </c>
      <c r="AC118" s="2">
        <v>-0.04</v>
      </c>
      <c r="AD118" s="2">
        <v>-2.5399999999999999E-2</v>
      </c>
      <c r="AE118" s="2">
        <v>-3.6900000000000002E-2</v>
      </c>
      <c r="AF118" s="2">
        <v>-4.41E-2</v>
      </c>
      <c r="AG118" s="2">
        <v>-0.1174</v>
      </c>
      <c r="AH118" t="s">
        <v>4228</v>
      </c>
      <c r="AI118" t="s">
        <v>130</v>
      </c>
      <c r="AJ118" t="s">
        <v>131</v>
      </c>
      <c r="AK118" t="s">
        <v>40</v>
      </c>
      <c r="AL118">
        <v>1</v>
      </c>
      <c r="AM118" t="s">
        <v>41</v>
      </c>
      <c r="AN118" t="s">
        <v>42</v>
      </c>
      <c r="AO118" t="s">
        <v>4222</v>
      </c>
      <c r="AP118" t="s">
        <v>4229</v>
      </c>
      <c r="AQ118" t="s">
        <v>4230</v>
      </c>
      <c r="AR118" t="s">
        <v>133</v>
      </c>
      <c r="AS118" t="s">
        <v>133</v>
      </c>
    </row>
    <row r="119" spans="1:53" x14ac:dyDescent="0.4">
      <c r="A119" t="s">
        <v>76</v>
      </c>
      <c r="B119" t="s">
        <v>10</v>
      </c>
      <c r="C119" t="s">
        <v>751</v>
      </c>
      <c r="D119" t="s">
        <v>11</v>
      </c>
      <c r="E119" s="2">
        <v>5.4000000000000003E-3</v>
      </c>
      <c r="F119" t="s">
        <v>12</v>
      </c>
      <c r="G119" s="4" t="s">
        <v>5530</v>
      </c>
      <c r="H119" t="s">
        <v>751</v>
      </c>
      <c r="I119" t="s">
        <v>5531</v>
      </c>
      <c r="J119" t="s">
        <v>5532</v>
      </c>
      <c r="K119" t="s">
        <v>23</v>
      </c>
      <c r="L119" s="2">
        <v>4.1250000000000002E-2</v>
      </c>
      <c r="M119" t="s">
        <v>5533</v>
      </c>
      <c r="N119" t="s">
        <v>121</v>
      </c>
      <c r="O119" t="s">
        <v>5534</v>
      </c>
      <c r="P119" t="s">
        <v>5535</v>
      </c>
      <c r="Q119" t="s">
        <v>5535</v>
      </c>
      <c r="R119" t="s">
        <v>5535</v>
      </c>
      <c r="S119" t="s">
        <v>5536</v>
      </c>
      <c r="T119" t="s">
        <v>5537</v>
      </c>
      <c r="U119" t="s">
        <v>5537</v>
      </c>
      <c r="V119" t="s">
        <v>3088</v>
      </c>
      <c r="W119" t="s">
        <v>2537</v>
      </c>
      <c r="X119" t="s">
        <v>3997</v>
      </c>
      <c r="Y119" t="s">
        <v>3997</v>
      </c>
      <c r="Z119" t="s">
        <v>5016</v>
      </c>
      <c r="AA119" t="s">
        <v>5538</v>
      </c>
      <c r="AB119" s="2">
        <v>-2.5000000000000001E-3</v>
      </c>
      <c r="AC119" s="2">
        <v>-2.76E-2</v>
      </c>
      <c r="AD119" s="2">
        <v>-1.43E-2</v>
      </c>
      <c r="AE119" s="2">
        <v>-2.64E-2</v>
      </c>
      <c r="AF119" s="2">
        <v>-8.43E-2</v>
      </c>
      <c r="AG119" s="2">
        <v>-0.24129999999999999</v>
      </c>
      <c r="AH119" t="s">
        <v>5539</v>
      </c>
      <c r="AI119" t="s">
        <v>130</v>
      </c>
      <c r="AJ119" t="s">
        <v>131</v>
      </c>
      <c r="AK119" t="s">
        <v>40</v>
      </c>
      <c r="AL119">
        <v>2</v>
      </c>
      <c r="AM119" t="s">
        <v>41</v>
      </c>
      <c r="AN119" t="s">
        <v>42</v>
      </c>
      <c r="AO119" t="s">
        <v>5534</v>
      </c>
      <c r="AP119" t="s">
        <v>5540</v>
      </c>
      <c r="AQ119" t="s">
        <v>5540</v>
      </c>
      <c r="AR119" t="s">
        <v>133</v>
      </c>
      <c r="AS119" t="s">
        <v>133</v>
      </c>
    </row>
    <row r="120" spans="1:53" x14ac:dyDescent="0.4">
      <c r="A120" t="s">
        <v>740</v>
      </c>
      <c r="B120" t="s">
        <v>10</v>
      </c>
      <c r="C120" t="s">
        <v>7403</v>
      </c>
      <c r="D120" t="s">
        <v>11</v>
      </c>
      <c r="E120" s="2">
        <v>4.7999999999999996E-3</v>
      </c>
      <c r="F120" t="s">
        <v>12</v>
      </c>
      <c r="G120" s="4" t="s">
        <v>7404</v>
      </c>
      <c r="H120" t="s">
        <v>7403</v>
      </c>
      <c r="I120" t="s">
        <v>7405</v>
      </c>
      <c r="J120" t="s">
        <v>7406</v>
      </c>
      <c r="K120" t="s">
        <v>23</v>
      </c>
      <c r="L120" s="2">
        <v>3.5000000000000003E-2</v>
      </c>
      <c r="M120" t="s">
        <v>3966</v>
      </c>
      <c r="N120" t="s">
        <v>121</v>
      </c>
      <c r="O120" t="s">
        <v>3563</v>
      </c>
      <c r="P120" t="s">
        <v>7407</v>
      </c>
      <c r="Q120" t="s">
        <v>7407</v>
      </c>
      <c r="R120" t="s">
        <v>7407</v>
      </c>
      <c r="S120" t="s">
        <v>7408</v>
      </c>
      <c r="T120" t="s">
        <v>4920</v>
      </c>
      <c r="U120" t="s">
        <v>7409</v>
      </c>
      <c r="V120" t="s">
        <v>7410</v>
      </c>
      <c r="W120" t="s">
        <v>7411</v>
      </c>
      <c r="X120" t="s">
        <v>6587</v>
      </c>
      <c r="Y120" t="s">
        <v>6587</v>
      </c>
      <c r="Z120" t="s">
        <v>6587</v>
      </c>
      <c r="AA120" t="s">
        <v>2230</v>
      </c>
      <c r="AB120" s="2">
        <v>-8.0999999999999996E-3</v>
      </c>
      <c r="AC120" s="2">
        <v>-2.1899999999999999E-2</v>
      </c>
      <c r="AD120" s="2">
        <v>-8.2000000000000007E-3</v>
      </c>
      <c r="AE120" s="2">
        <v>-1.7600000000000001E-2</v>
      </c>
      <c r="AF120" s="2">
        <v>4.3700000000000003E-2</v>
      </c>
      <c r="AG120" s="2">
        <v>-0.1759</v>
      </c>
      <c r="AH120" t="s">
        <v>7412</v>
      </c>
      <c r="AI120" t="s">
        <v>130</v>
      </c>
      <c r="AJ120" t="s">
        <v>131</v>
      </c>
      <c r="AK120" t="s">
        <v>40</v>
      </c>
      <c r="AL120">
        <v>2</v>
      </c>
      <c r="AM120" t="s">
        <v>41</v>
      </c>
      <c r="AN120" t="s">
        <v>42</v>
      </c>
      <c r="AO120" t="s">
        <v>3563</v>
      </c>
      <c r="AP120" t="s">
        <v>814</v>
      </c>
      <c r="AQ120" t="s">
        <v>814</v>
      </c>
      <c r="AR120" t="s">
        <v>133</v>
      </c>
      <c r="AS120" t="s">
        <v>133</v>
      </c>
    </row>
    <row r="121" spans="1:53" x14ac:dyDescent="0.4">
      <c r="A121" t="s">
        <v>740</v>
      </c>
      <c r="B121" t="s">
        <v>10</v>
      </c>
      <c r="C121" t="s">
        <v>4781</v>
      </c>
      <c r="D121" t="s">
        <v>11</v>
      </c>
      <c r="E121" s="2">
        <v>-1.6999999999999999E-3</v>
      </c>
      <c r="F121" t="s">
        <v>12</v>
      </c>
      <c r="G121" s="4">
        <f>-0.17 / -0.17%</f>
        <v>100</v>
      </c>
      <c r="H121" t="s">
        <v>4781</v>
      </c>
      <c r="I121" t="s">
        <v>4782</v>
      </c>
      <c r="J121" t="s">
        <v>4783</v>
      </c>
      <c r="K121" t="s">
        <v>23</v>
      </c>
      <c r="L121" s="2">
        <v>3.125E-2</v>
      </c>
      <c r="M121" t="s">
        <v>3468</v>
      </c>
      <c r="N121" t="s">
        <v>28</v>
      </c>
      <c r="O121" t="s">
        <v>1383</v>
      </c>
      <c r="P121" t="s">
        <v>461</v>
      </c>
      <c r="Q121" t="s">
        <v>461</v>
      </c>
      <c r="R121" t="s">
        <v>461</v>
      </c>
      <c r="S121" t="s">
        <v>461</v>
      </c>
      <c r="T121" t="s">
        <v>461</v>
      </c>
      <c r="U121" t="s">
        <v>461</v>
      </c>
      <c r="V121" t="s">
        <v>550</v>
      </c>
      <c r="W121" t="s">
        <v>1950</v>
      </c>
      <c r="X121" t="s">
        <v>1950</v>
      </c>
      <c r="Y121" t="s">
        <v>1950</v>
      </c>
      <c r="Z121" t="s">
        <v>1950</v>
      </c>
      <c r="AA121" t="s">
        <v>1950</v>
      </c>
      <c r="AB121" s="2">
        <v>-1.49E-2</v>
      </c>
      <c r="AC121" s="2">
        <v>-1.18E-2</v>
      </c>
      <c r="AD121" s="2">
        <v>-1.18E-2</v>
      </c>
      <c r="AE121" s="2">
        <v>-1.18E-2</v>
      </c>
      <c r="AF121" s="2">
        <v>-1.18E-2</v>
      </c>
      <c r="AG121" s="2">
        <v>-1.18E-2</v>
      </c>
      <c r="AH121" t="s">
        <v>4784</v>
      </c>
      <c r="AI121" t="s">
        <v>130</v>
      </c>
      <c r="AJ121" t="s">
        <v>131</v>
      </c>
      <c r="AK121" t="s">
        <v>40</v>
      </c>
      <c r="AL121">
        <v>100</v>
      </c>
      <c r="AM121" t="s">
        <v>41</v>
      </c>
      <c r="AN121" t="s">
        <v>42</v>
      </c>
      <c r="AO121" t="s">
        <v>1383</v>
      </c>
      <c r="AP121" t="s">
        <v>225</v>
      </c>
      <c r="AQ121" t="s">
        <v>225</v>
      </c>
      <c r="AR121" t="s">
        <v>48</v>
      </c>
      <c r="AS121" t="s">
        <v>48</v>
      </c>
    </row>
    <row r="122" spans="1:53" x14ac:dyDescent="0.4">
      <c r="A122" t="s">
        <v>4453</v>
      </c>
      <c r="B122" t="s">
        <v>10</v>
      </c>
      <c r="C122" t="s">
        <v>2022</v>
      </c>
      <c r="D122" t="s">
        <v>11</v>
      </c>
      <c r="E122" s="2">
        <v>-8.9999999999999998E-4</v>
      </c>
      <c r="F122" t="s">
        <v>178</v>
      </c>
      <c r="G122" s="4">
        <f>-0.08 / -0.09%</f>
        <v>88.8888888888889</v>
      </c>
      <c r="H122" t="s">
        <v>2022</v>
      </c>
      <c r="I122" t="s">
        <v>6052</v>
      </c>
      <c r="J122" t="s">
        <v>6053</v>
      </c>
      <c r="K122" t="s">
        <v>23</v>
      </c>
      <c r="L122" s="2">
        <v>1.125E-2</v>
      </c>
      <c r="M122" t="s">
        <v>6054</v>
      </c>
      <c r="N122" t="s">
        <v>28</v>
      </c>
      <c r="O122" t="s">
        <v>6055</v>
      </c>
      <c r="P122" t="s">
        <v>6056</v>
      </c>
      <c r="Q122" t="s">
        <v>6056</v>
      </c>
      <c r="R122" t="s">
        <v>2429</v>
      </c>
      <c r="S122" t="s">
        <v>6057</v>
      </c>
      <c r="T122" t="s">
        <v>6058</v>
      </c>
      <c r="U122" t="s">
        <v>6058</v>
      </c>
      <c r="V122" t="s">
        <v>6059</v>
      </c>
      <c r="W122" t="s">
        <v>206</v>
      </c>
      <c r="X122" t="s">
        <v>206</v>
      </c>
      <c r="Y122" t="s">
        <v>206</v>
      </c>
      <c r="Z122" t="s">
        <v>206</v>
      </c>
      <c r="AA122" t="s">
        <v>4404</v>
      </c>
      <c r="AB122" s="2">
        <v>-5.7999999999999996E-3</v>
      </c>
      <c r="AC122" s="2">
        <v>-1.14E-2</v>
      </c>
      <c r="AD122" s="2">
        <v>1.0999999999999999E-2</v>
      </c>
      <c r="AE122" s="2">
        <v>1.5699999999999999E-2</v>
      </c>
      <c r="AF122" s="2">
        <v>3.4299999999999997E-2</v>
      </c>
      <c r="AG122" s="2">
        <v>-0.1799</v>
      </c>
      <c r="AH122" t="s">
        <v>6060</v>
      </c>
      <c r="AI122" t="s">
        <v>130</v>
      </c>
      <c r="AJ122" t="s">
        <v>131</v>
      </c>
      <c r="AK122" t="s">
        <v>40</v>
      </c>
      <c r="AL122">
        <v>100</v>
      </c>
      <c r="AM122" t="s">
        <v>41</v>
      </c>
      <c r="AN122" t="s">
        <v>42</v>
      </c>
      <c r="AO122" t="s">
        <v>6055</v>
      </c>
      <c r="AP122" t="s">
        <v>333</v>
      </c>
      <c r="AQ122" t="s">
        <v>333</v>
      </c>
      <c r="AR122" t="s">
        <v>48</v>
      </c>
      <c r="AS122" t="s">
        <v>48</v>
      </c>
    </row>
    <row r="123" spans="1:53" x14ac:dyDescent="0.4">
      <c r="A123" t="s">
        <v>4453</v>
      </c>
      <c r="B123" t="s">
        <v>10</v>
      </c>
      <c r="C123" t="s">
        <v>6972</v>
      </c>
      <c r="D123" t="s">
        <v>11</v>
      </c>
      <c r="E123" s="2">
        <v>-5.0000000000000001E-4</v>
      </c>
      <c r="F123" t="s">
        <v>1057</v>
      </c>
      <c r="G123" s="4">
        <f>-0.06 / -0.05%</f>
        <v>120</v>
      </c>
      <c r="H123" t="s">
        <v>6972</v>
      </c>
      <c r="I123" t="s">
        <v>6973</v>
      </c>
      <c r="J123" t="s">
        <v>6974</v>
      </c>
      <c r="K123" t="s">
        <v>23</v>
      </c>
      <c r="L123" s="2">
        <v>5.3749999999999999E-2</v>
      </c>
      <c r="M123" t="s">
        <v>6975</v>
      </c>
      <c r="N123" t="s">
        <v>28</v>
      </c>
      <c r="O123" t="s">
        <v>6976</v>
      </c>
      <c r="P123" t="s">
        <v>319</v>
      </c>
      <c r="Q123" t="s">
        <v>319</v>
      </c>
      <c r="R123" t="s">
        <v>6977</v>
      </c>
      <c r="S123" t="s">
        <v>6978</v>
      </c>
      <c r="T123" t="s">
        <v>4592</v>
      </c>
      <c r="U123" t="s">
        <v>4592</v>
      </c>
      <c r="V123" t="s">
        <v>6979</v>
      </c>
      <c r="W123" t="s">
        <v>5338</v>
      </c>
      <c r="X123" t="s">
        <v>5338</v>
      </c>
      <c r="Y123" t="s">
        <v>5338</v>
      </c>
      <c r="Z123" t="s">
        <v>5338</v>
      </c>
      <c r="AA123" t="s">
        <v>5338</v>
      </c>
      <c r="AB123" s="2">
        <v>-6.3E-3</v>
      </c>
      <c r="AC123" s="2">
        <v>-6.3E-3</v>
      </c>
      <c r="AD123" s="2">
        <v>1.2800000000000001E-2</v>
      </c>
      <c r="AE123" s="2">
        <v>2.5899999999999999E-2</v>
      </c>
      <c r="AF123" s="2">
        <v>4.4299999999999999E-2</v>
      </c>
      <c r="AG123" s="2">
        <v>8.6599999999999996E-2</v>
      </c>
      <c r="AH123" t="s">
        <v>6980</v>
      </c>
      <c r="AI123" t="s">
        <v>130</v>
      </c>
      <c r="AJ123" t="s">
        <v>131</v>
      </c>
      <c r="AK123" t="s">
        <v>40</v>
      </c>
      <c r="AL123">
        <v>100</v>
      </c>
      <c r="AM123" t="s">
        <v>41</v>
      </c>
      <c r="AN123" t="s">
        <v>42</v>
      </c>
      <c r="AO123" t="s">
        <v>6976</v>
      </c>
      <c r="AP123" t="s">
        <v>407</v>
      </c>
      <c r="AZ123">
        <v>100</v>
      </c>
      <c r="BA123" t="s">
        <v>197</v>
      </c>
    </row>
    <row r="124" spans="1:53" x14ac:dyDescent="0.4">
      <c r="A124" t="s">
        <v>251</v>
      </c>
      <c r="B124" t="s">
        <v>10</v>
      </c>
      <c r="C124" t="s">
        <v>4001</v>
      </c>
      <c r="D124" t="s">
        <v>11</v>
      </c>
      <c r="E124" s="2">
        <v>8.0000000000000004E-4</v>
      </c>
      <c r="F124" t="s">
        <v>12</v>
      </c>
      <c r="G124" s="4" t="s">
        <v>4002</v>
      </c>
      <c r="H124" t="s">
        <v>4001</v>
      </c>
      <c r="I124" t="s">
        <v>4003</v>
      </c>
      <c r="J124" t="s">
        <v>4004</v>
      </c>
      <c r="K124" t="s">
        <v>23</v>
      </c>
      <c r="L124" s="2">
        <v>5.7500000000000002E-2</v>
      </c>
      <c r="M124" t="s">
        <v>4005</v>
      </c>
      <c r="N124" t="s">
        <v>121</v>
      </c>
      <c r="O124" t="s">
        <v>4006</v>
      </c>
      <c r="P124" t="s">
        <v>4007</v>
      </c>
      <c r="Q124" t="s">
        <v>4007</v>
      </c>
      <c r="R124" t="s">
        <v>4007</v>
      </c>
      <c r="S124" s="1">
        <v>108855</v>
      </c>
      <c r="T124" s="1">
        <v>106965</v>
      </c>
      <c r="U124" s="1">
        <v>106965</v>
      </c>
      <c r="V124" t="s">
        <v>4008</v>
      </c>
      <c r="W124" t="s">
        <v>4009</v>
      </c>
      <c r="X124" s="1">
        <v>113815</v>
      </c>
      <c r="Y124" s="1">
        <v>113815</v>
      </c>
      <c r="Z124" s="1">
        <v>117925</v>
      </c>
      <c r="AA124" t="s">
        <v>4010</v>
      </c>
      <c r="AB124" s="2">
        <v>0</v>
      </c>
      <c r="AC124" s="2">
        <v>-9.7000000000000003E-3</v>
      </c>
      <c r="AD124" s="2">
        <v>-3.8E-3</v>
      </c>
      <c r="AE124" s="2">
        <v>-3.0999999999999999E-3</v>
      </c>
      <c r="AF124" s="2">
        <v>-5.0599999999999999E-2</v>
      </c>
      <c r="AG124" s="2">
        <v>-0.1366</v>
      </c>
      <c r="AH124" t="s">
        <v>4011</v>
      </c>
      <c r="AI124" t="s">
        <v>130</v>
      </c>
      <c r="AJ124" t="s">
        <v>131</v>
      </c>
      <c r="AK124" t="s">
        <v>40</v>
      </c>
      <c r="AL124">
        <v>1</v>
      </c>
      <c r="AM124" t="s">
        <v>41</v>
      </c>
      <c r="AN124" t="s">
        <v>42</v>
      </c>
      <c r="AO124" t="s">
        <v>4006</v>
      </c>
      <c r="AP124" t="s">
        <v>4012</v>
      </c>
      <c r="AQ124" t="s">
        <v>4012</v>
      </c>
      <c r="AR124" t="s">
        <v>3144</v>
      </c>
      <c r="AS124" t="s">
        <v>3144</v>
      </c>
    </row>
    <row r="125" spans="1:53" x14ac:dyDescent="0.4">
      <c r="A125" t="s">
        <v>288</v>
      </c>
      <c r="B125" t="s">
        <v>10</v>
      </c>
      <c r="C125" s="1">
        <v>93685</v>
      </c>
      <c r="D125" t="s">
        <v>11</v>
      </c>
      <c r="E125" s="2">
        <v>-5.7000000000000002E-3</v>
      </c>
      <c r="F125" t="s">
        <v>12</v>
      </c>
      <c r="G125" s="4">
        <f>-0.54 / -0.57%</f>
        <v>94.736842105263179</v>
      </c>
      <c r="H125" s="1">
        <v>93685</v>
      </c>
      <c r="I125" t="s">
        <v>5059</v>
      </c>
      <c r="J125" t="s">
        <v>5060</v>
      </c>
      <c r="K125" t="s">
        <v>23</v>
      </c>
      <c r="L125" s="2">
        <v>3.7499999999999999E-3</v>
      </c>
      <c r="M125" t="s">
        <v>4250</v>
      </c>
      <c r="N125" t="s">
        <v>28</v>
      </c>
      <c r="O125" t="s">
        <v>202</v>
      </c>
      <c r="P125" t="s">
        <v>3086</v>
      </c>
      <c r="Q125" t="s">
        <v>5061</v>
      </c>
      <c r="R125" s="1">
        <v>91555</v>
      </c>
      <c r="S125" s="1">
        <v>90275</v>
      </c>
      <c r="T125" t="s">
        <v>5062</v>
      </c>
      <c r="U125" s="1">
        <v>85225</v>
      </c>
      <c r="V125" t="s">
        <v>5063</v>
      </c>
      <c r="W125" s="1">
        <v>94715</v>
      </c>
      <c r="X125" s="1">
        <v>94715</v>
      </c>
      <c r="Y125" s="1">
        <v>94715</v>
      </c>
      <c r="Z125" s="1">
        <v>94715</v>
      </c>
      <c r="AA125" s="1">
        <v>99735</v>
      </c>
      <c r="AB125" s="2">
        <v>-8.3999999999999995E-3</v>
      </c>
      <c r="AC125" s="2">
        <v>-2.8999999999999998E-3</v>
      </c>
      <c r="AD125" s="2">
        <v>2.2100000000000002E-2</v>
      </c>
      <c r="AE125" s="2">
        <v>3.5099999999999999E-2</v>
      </c>
      <c r="AF125" s="2">
        <v>5.7000000000000002E-2</v>
      </c>
      <c r="AG125" s="2">
        <v>-6.0699999999999997E-2</v>
      </c>
      <c r="AH125" t="s">
        <v>5064</v>
      </c>
      <c r="AI125" t="s">
        <v>130</v>
      </c>
      <c r="AJ125" t="s">
        <v>131</v>
      </c>
      <c r="AK125" t="s">
        <v>40</v>
      </c>
      <c r="AL125">
        <v>100</v>
      </c>
      <c r="AM125" t="s">
        <v>41</v>
      </c>
      <c r="AN125" t="s">
        <v>42</v>
      </c>
      <c r="AO125" t="s">
        <v>202</v>
      </c>
      <c r="AP125" t="s">
        <v>225</v>
      </c>
      <c r="AQ125" t="s">
        <v>225</v>
      </c>
      <c r="AR125" t="s">
        <v>48</v>
      </c>
      <c r="AS125" t="s">
        <v>48</v>
      </c>
    </row>
    <row r="126" spans="1:53" x14ac:dyDescent="0.4">
      <c r="A126" t="s">
        <v>740</v>
      </c>
      <c r="B126" t="s">
        <v>10</v>
      </c>
      <c r="C126" t="s">
        <v>2528</v>
      </c>
      <c r="D126" t="s">
        <v>11</v>
      </c>
      <c r="E126" s="2">
        <v>-1.1999999999999999E-3</v>
      </c>
      <c r="F126" t="s">
        <v>12</v>
      </c>
      <c r="G126" s="4">
        <f>-0.12 / -0.12%</f>
        <v>100</v>
      </c>
      <c r="H126" t="s">
        <v>2528</v>
      </c>
      <c r="I126" t="s">
        <v>6414</v>
      </c>
      <c r="J126" t="s">
        <v>6415</v>
      </c>
      <c r="K126" t="s">
        <v>23</v>
      </c>
      <c r="L126" s="2">
        <v>4.1250000000000002E-2</v>
      </c>
      <c r="M126" t="s">
        <v>1788</v>
      </c>
      <c r="N126" t="s">
        <v>28</v>
      </c>
      <c r="O126" t="s">
        <v>6416</v>
      </c>
      <c r="P126" t="s">
        <v>1388</v>
      </c>
      <c r="Q126" t="s">
        <v>1388</v>
      </c>
      <c r="R126" t="s">
        <v>1441</v>
      </c>
      <c r="S126" t="s">
        <v>3404</v>
      </c>
      <c r="T126" t="s">
        <v>3404</v>
      </c>
      <c r="U126" t="s">
        <v>3404</v>
      </c>
      <c r="V126" t="s">
        <v>1361</v>
      </c>
      <c r="W126" t="s">
        <v>316</v>
      </c>
      <c r="X126" t="s">
        <v>316</v>
      </c>
      <c r="Y126" t="s">
        <v>316</v>
      </c>
      <c r="Z126" t="s">
        <v>316</v>
      </c>
      <c r="AA126" t="s">
        <v>316</v>
      </c>
      <c r="AB126" s="2">
        <v>-1.0500000000000001E-2</v>
      </c>
      <c r="AC126" s="2">
        <v>-8.3000000000000001E-3</v>
      </c>
      <c r="AD126" s="2">
        <v>6.4999999999999997E-3</v>
      </c>
      <c r="AE126" s="2">
        <v>1.21E-2</v>
      </c>
      <c r="AF126" s="2">
        <v>1.21E-2</v>
      </c>
      <c r="AG126" s="2">
        <v>1.21E-2</v>
      </c>
      <c r="AH126" t="s">
        <v>6417</v>
      </c>
      <c r="AI126" t="s">
        <v>130</v>
      </c>
      <c r="AJ126" t="s">
        <v>131</v>
      </c>
      <c r="AK126" t="s">
        <v>40</v>
      </c>
      <c r="AL126">
        <v>100</v>
      </c>
      <c r="AM126" t="s">
        <v>41</v>
      </c>
      <c r="AN126" t="s">
        <v>42</v>
      </c>
      <c r="AO126" t="s">
        <v>6416</v>
      </c>
      <c r="AP126" t="s">
        <v>357</v>
      </c>
      <c r="AQ126" t="s">
        <v>357</v>
      </c>
      <c r="AR126" t="s">
        <v>48</v>
      </c>
      <c r="AS126" t="s">
        <v>48</v>
      </c>
    </row>
    <row r="127" spans="1:53" x14ac:dyDescent="0.4">
      <c r="A127" t="s">
        <v>2236</v>
      </c>
      <c r="B127" t="s">
        <v>10</v>
      </c>
      <c r="C127" s="1">
        <v>99775</v>
      </c>
      <c r="D127" t="s">
        <v>11</v>
      </c>
      <c r="E127" s="2">
        <v>4.3E-3</v>
      </c>
      <c r="F127" t="s">
        <v>12</v>
      </c>
      <c r="G127" s="4" t="s">
        <v>2237</v>
      </c>
      <c r="H127" s="1">
        <v>99775</v>
      </c>
      <c r="I127" t="s">
        <v>2238</v>
      </c>
      <c r="J127" t="s">
        <v>2239</v>
      </c>
      <c r="K127" t="s">
        <v>23</v>
      </c>
      <c r="L127" s="2">
        <v>4.7E-2</v>
      </c>
      <c r="M127" t="s">
        <v>1814</v>
      </c>
      <c r="N127" t="s">
        <v>121</v>
      </c>
      <c r="O127" t="s">
        <v>1383</v>
      </c>
      <c r="P127" s="1">
        <v>98385</v>
      </c>
      <c r="Q127" s="1">
        <v>98385</v>
      </c>
      <c r="R127" s="1">
        <v>98385</v>
      </c>
      <c r="S127" s="1">
        <v>98385</v>
      </c>
      <c r="T127" s="1">
        <v>98385</v>
      </c>
      <c r="U127" s="1">
        <v>98385</v>
      </c>
      <c r="V127" t="s">
        <v>656</v>
      </c>
      <c r="W127" t="s">
        <v>2240</v>
      </c>
      <c r="X127" t="s">
        <v>2240</v>
      </c>
      <c r="Y127" t="s">
        <v>2240</v>
      </c>
      <c r="Z127" t="s">
        <v>2240</v>
      </c>
      <c r="AA127" t="s">
        <v>2240</v>
      </c>
      <c r="AB127" s="2">
        <v>3.8999999999999998E-3</v>
      </c>
      <c r="AC127" s="2">
        <v>2.3999999999999998E-3</v>
      </c>
      <c r="AD127" s="2">
        <v>2.3999999999999998E-3</v>
      </c>
      <c r="AE127" s="2">
        <v>2.3999999999999998E-3</v>
      </c>
      <c r="AF127" s="2">
        <v>2.3999999999999998E-3</v>
      </c>
      <c r="AG127" s="2">
        <v>2.3999999999999998E-3</v>
      </c>
      <c r="AH127" t="s">
        <v>2241</v>
      </c>
      <c r="AI127" t="s">
        <v>130</v>
      </c>
      <c r="AJ127" t="s">
        <v>131</v>
      </c>
      <c r="AK127" t="s">
        <v>40</v>
      </c>
      <c r="AL127">
        <v>1</v>
      </c>
      <c r="AM127" t="s">
        <v>41</v>
      </c>
      <c r="AN127" t="s">
        <v>42</v>
      </c>
      <c r="AO127" t="s">
        <v>1383</v>
      </c>
      <c r="AP127" t="s">
        <v>739</v>
      </c>
      <c r="AQ127" t="s">
        <v>739</v>
      </c>
      <c r="AR127" t="s">
        <v>133</v>
      </c>
      <c r="AS127" t="s">
        <v>133</v>
      </c>
    </row>
    <row r="128" spans="1:53" x14ac:dyDescent="0.4">
      <c r="A128" t="s">
        <v>4453</v>
      </c>
      <c r="B128" t="s">
        <v>10</v>
      </c>
      <c r="C128" t="s">
        <v>3570</v>
      </c>
      <c r="D128" t="s">
        <v>11</v>
      </c>
      <c r="E128" s="2">
        <v>1.2999999999999999E-3</v>
      </c>
      <c r="F128" t="s">
        <v>310</v>
      </c>
      <c r="G128" s="4" t="s">
        <v>6119</v>
      </c>
      <c r="H128" t="s">
        <v>3570</v>
      </c>
      <c r="I128" t="s">
        <v>6120</v>
      </c>
      <c r="J128" t="s">
        <v>6121</v>
      </c>
      <c r="K128" t="s">
        <v>23</v>
      </c>
      <c r="L128" s="2">
        <v>2.7E-2</v>
      </c>
      <c r="M128" t="s">
        <v>5783</v>
      </c>
      <c r="N128" t="s">
        <v>121</v>
      </c>
      <c r="O128" t="s">
        <v>6122</v>
      </c>
      <c r="P128" t="s">
        <v>844</v>
      </c>
      <c r="Q128" t="s">
        <v>844</v>
      </c>
      <c r="R128" t="s">
        <v>6123</v>
      </c>
      <c r="S128" t="s">
        <v>6124</v>
      </c>
      <c r="T128" t="s">
        <v>6125</v>
      </c>
      <c r="U128" t="s">
        <v>6126</v>
      </c>
      <c r="V128" t="s">
        <v>6127</v>
      </c>
      <c r="W128" t="s">
        <v>4731</v>
      </c>
      <c r="X128" t="s">
        <v>5116</v>
      </c>
      <c r="Y128" t="s">
        <v>5116</v>
      </c>
      <c r="Z128" t="s">
        <v>5116</v>
      </c>
      <c r="AA128" t="s">
        <v>4105</v>
      </c>
      <c r="AB128" s="2">
        <v>1E-4</v>
      </c>
      <c r="AC128" s="2">
        <v>-1.14E-2</v>
      </c>
      <c r="AD128" s="2">
        <v>6.4000000000000003E-3</v>
      </c>
      <c r="AE128" s="2">
        <v>6.6E-3</v>
      </c>
      <c r="AF128" s="2">
        <v>3.0000000000000001E-3</v>
      </c>
      <c r="AG128" s="2">
        <v>-0.1178</v>
      </c>
      <c r="AH128" t="s">
        <v>6128</v>
      </c>
      <c r="AI128" t="s">
        <v>130</v>
      </c>
      <c r="AJ128" t="s">
        <v>131</v>
      </c>
      <c r="AK128" t="s">
        <v>40</v>
      </c>
      <c r="AL128">
        <v>2</v>
      </c>
      <c r="AM128" t="s">
        <v>41</v>
      </c>
      <c r="AN128" t="s">
        <v>42</v>
      </c>
      <c r="AO128" t="s">
        <v>6122</v>
      </c>
      <c r="AP128" t="s">
        <v>407</v>
      </c>
      <c r="AQ128" t="s">
        <v>407</v>
      </c>
      <c r="AR128" t="s">
        <v>133</v>
      </c>
      <c r="AS128" t="s">
        <v>133</v>
      </c>
    </row>
    <row r="129" spans="1:54" x14ac:dyDescent="0.4">
      <c r="A129" t="s">
        <v>9</v>
      </c>
      <c r="B129" t="s">
        <v>10</v>
      </c>
      <c r="C129" t="s">
        <v>6165</v>
      </c>
      <c r="D129" t="s">
        <v>11</v>
      </c>
      <c r="E129" s="2">
        <v>2.2000000000000001E-3</v>
      </c>
      <c r="F129" t="s">
        <v>12</v>
      </c>
      <c r="G129" s="4" t="s">
        <v>6166</v>
      </c>
      <c r="H129" t="s">
        <v>6165</v>
      </c>
      <c r="I129" t="s">
        <v>6167</v>
      </c>
      <c r="J129" t="s">
        <v>6168</v>
      </c>
      <c r="K129" t="s">
        <v>23</v>
      </c>
      <c r="L129" s="2">
        <v>3.5000000000000003E-2</v>
      </c>
      <c r="M129" t="s">
        <v>4804</v>
      </c>
      <c r="N129" t="s">
        <v>121</v>
      </c>
      <c r="O129" t="s">
        <v>3252</v>
      </c>
      <c r="P129" t="s">
        <v>6169</v>
      </c>
      <c r="Q129" t="s">
        <v>6169</v>
      </c>
      <c r="R129" t="s">
        <v>6170</v>
      </c>
      <c r="S129" t="s">
        <v>6171</v>
      </c>
      <c r="T129" t="s">
        <v>6172</v>
      </c>
      <c r="U129" t="s">
        <v>6172</v>
      </c>
      <c r="V129" t="s">
        <v>6173</v>
      </c>
      <c r="W129" t="s">
        <v>6174</v>
      </c>
      <c r="X129" t="s">
        <v>6174</v>
      </c>
      <c r="Y129" t="s">
        <v>6174</v>
      </c>
      <c r="Z129" t="s">
        <v>6174</v>
      </c>
      <c r="AA129" t="s">
        <v>6175</v>
      </c>
      <c r="AB129" s="2">
        <v>-1.6000000000000001E-3</v>
      </c>
      <c r="AC129" s="2">
        <v>1.35E-2</v>
      </c>
      <c r="AD129" s="2">
        <v>3.0599999999999999E-2</v>
      </c>
      <c r="AE129" s="2">
        <v>-2.3E-3</v>
      </c>
      <c r="AF129" s="2">
        <v>-1.6899999999999998E-2</v>
      </c>
      <c r="AG129" s="2">
        <v>-0.25240000000000001</v>
      </c>
      <c r="AH129" t="s">
        <v>6176</v>
      </c>
      <c r="AI129" t="s">
        <v>130</v>
      </c>
      <c r="AJ129" t="s">
        <v>131</v>
      </c>
      <c r="AK129" t="s">
        <v>40</v>
      </c>
      <c r="AL129">
        <v>2</v>
      </c>
      <c r="AM129" t="s">
        <v>41</v>
      </c>
      <c r="AN129" t="s">
        <v>42</v>
      </c>
      <c r="AO129" t="s">
        <v>3252</v>
      </c>
      <c r="AP129" t="s">
        <v>6177</v>
      </c>
      <c r="AQ129" t="s">
        <v>6177</v>
      </c>
      <c r="AR129" t="s">
        <v>133</v>
      </c>
      <c r="AS129" t="s">
        <v>133</v>
      </c>
    </row>
    <row r="130" spans="1:54" x14ac:dyDescent="0.4">
      <c r="A130" t="s">
        <v>161</v>
      </c>
      <c r="B130" t="s">
        <v>10</v>
      </c>
      <c r="C130" s="1">
        <v>87615</v>
      </c>
      <c r="D130" t="s">
        <v>11</v>
      </c>
      <c r="E130" s="2">
        <v>-1.3100000000000001E-2</v>
      </c>
      <c r="F130" t="s">
        <v>12</v>
      </c>
      <c r="G130" s="4">
        <f>-1.16 / -1.31%</f>
        <v>88.549618320610676</v>
      </c>
      <c r="H130" s="1">
        <v>87615</v>
      </c>
      <c r="I130" t="s">
        <v>227</v>
      </c>
      <c r="J130" t="s">
        <v>228</v>
      </c>
      <c r="K130" t="s">
        <v>23</v>
      </c>
      <c r="L130" s="2">
        <v>4.3749999999999997E-2</v>
      </c>
      <c r="M130" t="s">
        <v>229</v>
      </c>
      <c r="N130" t="s">
        <v>121</v>
      </c>
      <c r="O130" t="s">
        <v>230</v>
      </c>
      <c r="P130" s="1">
        <v>87335</v>
      </c>
      <c r="Q130" s="1">
        <v>87335</v>
      </c>
      <c r="R130" s="1">
        <v>87335</v>
      </c>
      <c r="S130" s="1">
        <v>87335</v>
      </c>
      <c r="T130" s="1">
        <v>87335</v>
      </c>
      <c r="U130" s="1">
        <v>79705</v>
      </c>
      <c r="V130" s="1">
        <v>91415</v>
      </c>
      <c r="W130" s="1">
        <v>98875</v>
      </c>
      <c r="X130" s="1">
        <v>98955</v>
      </c>
      <c r="Y130" s="1">
        <v>98955</v>
      </c>
      <c r="Z130" s="1">
        <v>98955</v>
      </c>
      <c r="AA130" s="1">
        <v>103805</v>
      </c>
      <c r="AB130" s="2">
        <v>-3.27E-2</v>
      </c>
      <c r="AC130" s="2">
        <v>-0.1133</v>
      </c>
      <c r="AD130" s="2">
        <v>-8.2100000000000006E-2</v>
      </c>
      <c r="AE130" s="2">
        <v>-9.3799999999999994E-2</v>
      </c>
      <c r="AF130" s="2">
        <v>-3.9199999999999999E-2</v>
      </c>
      <c r="AG130" s="2">
        <v>-0.1527</v>
      </c>
      <c r="AH130" t="s">
        <v>231</v>
      </c>
      <c r="AI130" t="s">
        <v>232</v>
      </c>
      <c r="AJ130" t="s">
        <v>131</v>
      </c>
      <c r="AK130" t="s">
        <v>40</v>
      </c>
      <c r="AL130">
        <v>100</v>
      </c>
      <c r="AM130" t="s">
        <v>41</v>
      </c>
      <c r="AN130" t="s">
        <v>42</v>
      </c>
      <c r="AO130" t="s">
        <v>230</v>
      </c>
      <c r="AP130" t="s">
        <v>233</v>
      </c>
      <c r="AQ130" t="s">
        <v>233</v>
      </c>
      <c r="AR130" t="s">
        <v>48</v>
      </c>
      <c r="AS130" t="s">
        <v>48</v>
      </c>
    </row>
    <row r="131" spans="1:54" x14ac:dyDescent="0.4">
      <c r="A131" t="s">
        <v>161</v>
      </c>
      <c r="B131" t="s">
        <v>10</v>
      </c>
      <c r="C131" t="s">
        <v>970</v>
      </c>
      <c r="D131" t="s">
        <v>11</v>
      </c>
      <c r="E131" s="2">
        <v>2.3999999999999998E-3</v>
      </c>
      <c r="F131" t="s">
        <v>12</v>
      </c>
      <c r="G131" s="4" t="s">
        <v>409</v>
      </c>
      <c r="H131" t="s">
        <v>970</v>
      </c>
      <c r="I131" t="s">
        <v>7451</v>
      </c>
      <c r="J131" t="s">
        <v>7452</v>
      </c>
      <c r="K131" t="s">
        <v>23</v>
      </c>
      <c r="L131" s="2">
        <v>4.7500000000000001E-2</v>
      </c>
      <c r="M131" t="s">
        <v>7453</v>
      </c>
      <c r="N131" t="s">
        <v>121</v>
      </c>
      <c r="O131" t="s">
        <v>3944</v>
      </c>
      <c r="P131" t="s">
        <v>2387</v>
      </c>
      <c r="Q131" t="s">
        <v>2387</v>
      </c>
      <c r="R131" t="s">
        <v>4591</v>
      </c>
      <c r="S131" t="s">
        <v>916</v>
      </c>
      <c r="T131" t="s">
        <v>938</v>
      </c>
      <c r="U131" t="s">
        <v>6033</v>
      </c>
      <c r="V131" t="s">
        <v>970</v>
      </c>
      <c r="W131" t="s">
        <v>4554</v>
      </c>
      <c r="X131" t="s">
        <v>83</v>
      </c>
      <c r="Y131" t="s">
        <v>83</v>
      </c>
      <c r="Z131" t="s">
        <v>83</v>
      </c>
      <c r="AA131" t="s">
        <v>1935</v>
      </c>
      <c r="AB131" s="2">
        <v>9.4999999999999998E-3</v>
      </c>
      <c r="AC131" s="2">
        <v>2E-3</v>
      </c>
      <c r="AD131" s="2">
        <v>1.06E-2</v>
      </c>
      <c r="AE131" s="2">
        <v>2.3400000000000001E-2</v>
      </c>
      <c r="AF131" s="2">
        <v>3.6700000000000003E-2</v>
      </c>
      <c r="AG131" s="2">
        <v>-6.6199999999999995E-2</v>
      </c>
      <c r="AH131" t="s">
        <v>7454</v>
      </c>
      <c r="AI131" t="s">
        <v>130</v>
      </c>
      <c r="AJ131" t="s">
        <v>131</v>
      </c>
      <c r="AK131" t="s">
        <v>40</v>
      </c>
      <c r="AL131">
        <v>200</v>
      </c>
      <c r="AM131" t="s">
        <v>41</v>
      </c>
      <c r="AN131" t="s">
        <v>42</v>
      </c>
      <c r="AO131" t="s">
        <v>3944</v>
      </c>
      <c r="AP131" t="s">
        <v>2886</v>
      </c>
      <c r="AQ131" t="s">
        <v>2886</v>
      </c>
      <c r="AR131" t="s">
        <v>133</v>
      </c>
      <c r="AS131" t="s">
        <v>133</v>
      </c>
    </row>
    <row r="132" spans="1:54" x14ac:dyDescent="0.4">
      <c r="A132" t="s">
        <v>161</v>
      </c>
      <c r="B132" t="s">
        <v>10</v>
      </c>
      <c r="C132" t="s">
        <v>110</v>
      </c>
      <c r="D132" t="s">
        <v>11</v>
      </c>
      <c r="E132" s="2">
        <v>0</v>
      </c>
      <c r="F132" t="s">
        <v>12</v>
      </c>
      <c r="G132" s="4" t="s">
        <v>15</v>
      </c>
      <c r="H132" t="s">
        <v>110</v>
      </c>
      <c r="I132" t="s">
        <v>2163</v>
      </c>
      <c r="J132" t="s">
        <v>6930</v>
      </c>
      <c r="K132" t="s">
        <v>23</v>
      </c>
      <c r="L132" s="2">
        <v>3.2300000000000002E-2</v>
      </c>
      <c r="M132" t="s">
        <v>4599</v>
      </c>
      <c r="N132" t="s">
        <v>121</v>
      </c>
      <c r="O132" t="s">
        <v>2975</v>
      </c>
      <c r="P132" t="s">
        <v>110</v>
      </c>
      <c r="Q132" t="s">
        <v>1979</v>
      </c>
      <c r="R132" t="s">
        <v>4303</v>
      </c>
      <c r="S132" t="s">
        <v>2904</v>
      </c>
      <c r="T132" t="s">
        <v>2904</v>
      </c>
      <c r="U132" t="s">
        <v>2650</v>
      </c>
      <c r="V132" t="s">
        <v>641</v>
      </c>
      <c r="W132" t="s">
        <v>641</v>
      </c>
      <c r="X132" t="s">
        <v>641</v>
      </c>
      <c r="Y132" t="s">
        <v>2724</v>
      </c>
      <c r="Z132" t="s">
        <v>2176</v>
      </c>
      <c r="AA132" t="s">
        <v>1284</v>
      </c>
      <c r="AB132" s="2">
        <v>-2.5000000000000001E-3</v>
      </c>
      <c r="AC132" s="2">
        <v>6.9999999999999999E-4</v>
      </c>
      <c r="AD132" s="2">
        <v>6.0000000000000001E-3</v>
      </c>
      <c r="AE132" s="2">
        <v>-3.8999999999999998E-3</v>
      </c>
      <c r="AF132" s="2">
        <v>2.5000000000000001E-3</v>
      </c>
      <c r="AG132" s="2">
        <v>-4.3E-3</v>
      </c>
      <c r="AH132" t="s">
        <v>6931</v>
      </c>
      <c r="AI132" t="s">
        <v>130</v>
      </c>
      <c r="AJ132" t="s">
        <v>131</v>
      </c>
      <c r="AK132" t="s">
        <v>40</v>
      </c>
      <c r="AL132" t="s">
        <v>6666</v>
      </c>
      <c r="AM132" t="s">
        <v>41</v>
      </c>
      <c r="AN132" t="s">
        <v>42</v>
      </c>
      <c r="AO132" t="s">
        <v>2975</v>
      </c>
      <c r="AP132" t="s">
        <v>2348</v>
      </c>
      <c r="AQ132" t="s">
        <v>2348</v>
      </c>
      <c r="AR132" t="s">
        <v>6932</v>
      </c>
      <c r="AS132" t="s">
        <v>6932</v>
      </c>
    </row>
    <row r="133" spans="1:54" x14ac:dyDescent="0.4">
      <c r="A133" t="s">
        <v>4453</v>
      </c>
      <c r="B133" t="s">
        <v>10</v>
      </c>
      <c r="C133" t="s">
        <v>877</v>
      </c>
      <c r="D133" t="s">
        <v>11</v>
      </c>
      <c r="E133" s="2">
        <v>-2.0000000000000001E-4</v>
      </c>
      <c r="F133" t="s">
        <v>310</v>
      </c>
      <c r="G133" s="4">
        <f>-0.02 / -0.02%</f>
        <v>100</v>
      </c>
      <c r="H133" t="s">
        <v>877</v>
      </c>
      <c r="I133" t="s">
        <v>6309</v>
      </c>
      <c r="J133" t="s">
        <v>6310</v>
      </c>
      <c r="K133" t="s">
        <v>23</v>
      </c>
      <c r="L133" s="2">
        <v>7.0000000000000007E-2</v>
      </c>
      <c r="M133" t="s">
        <v>4668</v>
      </c>
      <c r="N133" t="s">
        <v>121</v>
      </c>
      <c r="O133" t="s">
        <v>1739</v>
      </c>
      <c r="P133" t="s">
        <v>1197</v>
      </c>
      <c r="Q133" t="s">
        <v>1197</v>
      </c>
      <c r="R133" t="s">
        <v>1197</v>
      </c>
      <c r="S133" t="s">
        <v>1197</v>
      </c>
      <c r="T133" t="s">
        <v>1197</v>
      </c>
      <c r="U133" t="s">
        <v>1197</v>
      </c>
      <c r="V133" t="s">
        <v>859</v>
      </c>
      <c r="W133" t="s">
        <v>6311</v>
      </c>
      <c r="X133" t="s">
        <v>1701</v>
      </c>
      <c r="Y133" t="s">
        <v>1701</v>
      </c>
      <c r="Z133" t="s">
        <v>1701</v>
      </c>
      <c r="AA133" t="s">
        <v>1701</v>
      </c>
      <c r="AB133" s="2">
        <v>-2.5000000000000001E-3</v>
      </c>
      <c r="AC133" s="2">
        <v>-6.1999999999999998E-3</v>
      </c>
      <c r="AD133" s="2">
        <v>1.1599999999999999E-2</v>
      </c>
      <c r="AE133" s="2">
        <v>1.26E-2</v>
      </c>
      <c r="AF133" s="2">
        <v>1.26E-2</v>
      </c>
      <c r="AG133" s="2">
        <v>1.26E-2</v>
      </c>
      <c r="AH133" t="s">
        <v>6312</v>
      </c>
      <c r="AI133" t="s">
        <v>130</v>
      </c>
      <c r="AJ133" t="s">
        <v>131</v>
      </c>
      <c r="AK133" t="s">
        <v>40</v>
      </c>
      <c r="AL133">
        <v>2</v>
      </c>
      <c r="AM133" t="s">
        <v>41</v>
      </c>
      <c r="AN133" t="s">
        <v>42</v>
      </c>
      <c r="AO133" t="s">
        <v>1739</v>
      </c>
      <c r="AP133" t="s">
        <v>225</v>
      </c>
      <c r="AQ133" t="s">
        <v>225</v>
      </c>
      <c r="AR133" t="s">
        <v>133</v>
      </c>
      <c r="AS133" t="s">
        <v>133</v>
      </c>
    </row>
    <row r="134" spans="1:54" x14ac:dyDescent="0.4">
      <c r="A134" t="s">
        <v>4448</v>
      </c>
      <c r="B134" t="s">
        <v>10</v>
      </c>
      <c r="C134" t="s">
        <v>656</v>
      </c>
      <c r="D134" t="s">
        <v>11</v>
      </c>
      <c r="E134" s="2">
        <v>0</v>
      </c>
      <c r="F134" t="s">
        <v>4448</v>
      </c>
      <c r="G134" s="4" t="s">
        <v>15</v>
      </c>
      <c r="H134" t="s">
        <v>656</v>
      </c>
      <c r="I134" t="s">
        <v>7438</v>
      </c>
      <c r="J134" t="s">
        <v>7439</v>
      </c>
      <c r="K134" t="s">
        <v>214</v>
      </c>
      <c r="L134" s="2">
        <v>0.05</v>
      </c>
      <c r="M134" t="s">
        <v>7440</v>
      </c>
      <c r="N134" t="s">
        <v>28</v>
      </c>
      <c r="O134" t="s">
        <v>7441</v>
      </c>
      <c r="P134" t="s">
        <v>511</v>
      </c>
      <c r="Q134" t="s">
        <v>871</v>
      </c>
      <c r="R134" t="s">
        <v>885</v>
      </c>
      <c r="S134" t="s">
        <v>191</v>
      </c>
      <c r="T134" t="s">
        <v>1419</v>
      </c>
      <c r="U134" t="s">
        <v>5019</v>
      </c>
      <c r="V134" t="s">
        <v>656</v>
      </c>
      <c r="W134" t="s">
        <v>656</v>
      </c>
      <c r="X134" t="s">
        <v>656</v>
      </c>
      <c r="Y134" t="s">
        <v>656</v>
      </c>
      <c r="Z134" t="s">
        <v>656</v>
      </c>
      <c r="AA134" t="s">
        <v>2311</v>
      </c>
      <c r="AB134" s="2">
        <v>1E-3</v>
      </c>
      <c r="AC134" s="2">
        <v>3.3E-3</v>
      </c>
      <c r="AD134" s="2">
        <v>9.1000000000000004E-3</v>
      </c>
      <c r="AE134" s="2">
        <v>1.2999999999999999E-2</v>
      </c>
      <c r="AF134" s="2">
        <v>1.9300000000000001E-2</v>
      </c>
      <c r="AG134" s="2">
        <v>-8.9999999999999993E-3</v>
      </c>
      <c r="AH134" t="s">
        <v>7442</v>
      </c>
      <c r="AI134" t="s">
        <v>130</v>
      </c>
      <c r="AJ134" t="s">
        <v>131</v>
      </c>
      <c r="AK134" t="s">
        <v>40</v>
      </c>
      <c r="AM134" t="s">
        <v>41</v>
      </c>
      <c r="AN134" t="s">
        <v>42</v>
      </c>
      <c r="AO134" t="s">
        <v>7441</v>
      </c>
      <c r="AP134" t="s">
        <v>4183</v>
      </c>
      <c r="AQ134" t="s">
        <v>4183</v>
      </c>
      <c r="BA134" t="s">
        <v>59</v>
      </c>
      <c r="BB134" t="s">
        <v>61</v>
      </c>
    </row>
    <row r="135" spans="1:54" x14ac:dyDescent="0.4">
      <c r="A135" t="s">
        <v>493</v>
      </c>
      <c r="B135" t="s">
        <v>10</v>
      </c>
      <c r="C135" t="s">
        <v>97</v>
      </c>
      <c r="D135" t="s">
        <v>11</v>
      </c>
      <c r="E135" s="2">
        <v>-5.9999999999999995E-4</v>
      </c>
      <c r="F135" t="s">
        <v>12</v>
      </c>
      <c r="G135" s="4">
        <f>-0.062 / -0.06%</f>
        <v>103.33333333333334</v>
      </c>
      <c r="H135" t="s">
        <v>97</v>
      </c>
      <c r="I135" t="s">
        <v>494</v>
      </c>
      <c r="J135" t="s">
        <v>495</v>
      </c>
      <c r="K135" t="s">
        <v>23</v>
      </c>
      <c r="L135" s="2">
        <v>3.3000000000000002E-2</v>
      </c>
      <c r="M135" t="s">
        <v>496</v>
      </c>
      <c r="N135" t="s">
        <v>121</v>
      </c>
      <c r="O135" t="s">
        <v>497</v>
      </c>
      <c r="P135" s="1">
        <v>99393</v>
      </c>
      <c r="Q135" s="1">
        <v>99175</v>
      </c>
      <c r="R135" s="1">
        <v>98483</v>
      </c>
      <c r="S135" s="1">
        <v>97733</v>
      </c>
      <c r="T135" t="s">
        <v>498</v>
      </c>
      <c r="U135" s="1">
        <v>93885</v>
      </c>
      <c r="V135" s="1">
        <v>99663</v>
      </c>
      <c r="W135" s="1">
        <v>99663</v>
      </c>
      <c r="X135" s="1">
        <v>99663</v>
      </c>
      <c r="Y135" s="1">
        <v>99663</v>
      </c>
      <c r="Z135" s="1">
        <v>99663</v>
      </c>
      <c r="AA135" s="1">
        <v>104455</v>
      </c>
      <c r="AB135" s="2">
        <v>1.6000000000000001E-3</v>
      </c>
      <c r="AC135" s="2">
        <v>3.8999999999999998E-3</v>
      </c>
      <c r="AD135" s="2">
        <v>9.7999999999999997E-3</v>
      </c>
      <c r="AE135" s="2">
        <v>1.4E-2</v>
      </c>
      <c r="AF135" s="2">
        <v>2.0899999999999998E-2</v>
      </c>
      <c r="AG135" s="2">
        <v>-4.6399999999999997E-2</v>
      </c>
      <c r="AH135" t="s">
        <v>499</v>
      </c>
      <c r="AI135" t="s">
        <v>130</v>
      </c>
      <c r="AJ135" t="s">
        <v>131</v>
      </c>
      <c r="AK135" t="s">
        <v>40</v>
      </c>
      <c r="AL135">
        <v>1</v>
      </c>
      <c r="AM135" t="s">
        <v>41</v>
      </c>
      <c r="AN135" t="s">
        <v>42</v>
      </c>
      <c r="AO135" t="s">
        <v>497</v>
      </c>
      <c r="AP135" t="s">
        <v>500</v>
      </c>
      <c r="BA135" t="s">
        <v>360</v>
      </c>
      <c r="BB135" t="s">
        <v>61</v>
      </c>
    </row>
    <row r="136" spans="1:54" x14ac:dyDescent="0.4">
      <c r="A136" t="s">
        <v>4453</v>
      </c>
      <c r="B136" t="s">
        <v>10</v>
      </c>
      <c r="C136" s="1">
        <v>98405</v>
      </c>
      <c r="D136" t="s">
        <v>11</v>
      </c>
      <c r="E136" s="2">
        <v>-1.1999999999999999E-3</v>
      </c>
      <c r="F136" t="s">
        <v>178</v>
      </c>
      <c r="G136" s="4">
        <f>-0.115 / -0.12%</f>
        <v>95.833333333333343</v>
      </c>
      <c r="H136" s="1">
        <v>98405</v>
      </c>
      <c r="I136" t="s">
        <v>5852</v>
      </c>
      <c r="J136" t="s">
        <v>5853</v>
      </c>
      <c r="K136" t="s">
        <v>23</v>
      </c>
      <c r="L136" s="2">
        <v>5.0000000000000001E-3</v>
      </c>
      <c r="M136" t="s">
        <v>3859</v>
      </c>
      <c r="N136" t="s">
        <v>28</v>
      </c>
      <c r="O136" t="s">
        <v>2235</v>
      </c>
      <c r="P136" t="s">
        <v>4663</v>
      </c>
      <c r="Q136" s="1">
        <v>97545</v>
      </c>
      <c r="R136" t="s">
        <v>1253</v>
      </c>
      <c r="S136" t="s">
        <v>5854</v>
      </c>
      <c r="T136" s="1">
        <v>87745</v>
      </c>
      <c r="U136" s="1">
        <v>83885</v>
      </c>
      <c r="V136" s="1">
        <v>98765</v>
      </c>
      <c r="W136" s="1">
        <v>98765</v>
      </c>
      <c r="X136" s="1">
        <v>98765</v>
      </c>
      <c r="Y136" s="1">
        <v>98765</v>
      </c>
      <c r="Z136" s="1">
        <v>98765</v>
      </c>
      <c r="AA136" t="s">
        <v>2571</v>
      </c>
      <c r="AB136" s="2">
        <v>-2.3E-3</v>
      </c>
      <c r="AC136" s="2">
        <v>8.3000000000000001E-3</v>
      </c>
      <c r="AD136" s="2">
        <v>2.4899999999999999E-2</v>
      </c>
      <c r="AE136" s="2">
        <v>5.2999999999999999E-2</v>
      </c>
      <c r="AF136" s="2">
        <v>9.0999999999999998E-2</v>
      </c>
      <c r="AG136" s="2">
        <v>-8.8999999999999999E-3</v>
      </c>
      <c r="AH136" t="s">
        <v>499</v>
      </c>
      <c r="AI136" t="s">
        <v>130</v>
      </c>
      <c r="AJ136" t="s">
        <v>131</v>
      </c>
      <c r="AK136" t="s">
        <v>40</v>
      </c>
      <c r="AL136">
        <v>5</v>
      </c>
      <c r="AM136" t="s">
        <v>41</v>
      </c>
      <c r="AN136" t="s">
        <v>42</v>
      </c>
      <c r="AO136" t="s">
        <v>2235</v>
      </c>
      <c r="AP136" t="s">
        <v>5855</v>
      </c>
      <c r="AQ136" t="s">
        <v>5855</v>
      </c>
      <c r="AR136" t="s">
        <v>1694</v>
      </c>
      <c r="AS136" t="s">
        <v>1694</v>
      </c>
    </row>
    <row r="137" spans="1:54" x14ac:dyDescent="0.4">
      <c r="A137" t="s">
        <v>288</v>
      </c>
      <c r="B137" t="s">
        <v>10</v>
      </c>
      <c r="C137" t="s">
        <v>1236</v>
      </c>
      <c r="D137" t="s">
        <v>11</v>
      </c>
      <c r="E137" s="2">
        <v>1.5E-3</v>
      </c>
      <c r="F137" t="s">
        <v>12</v>
      </c>
      <c r="G137" s="4" t="s">
        <v>1237</v>
      </c>
      <c r="H137" t="s">
        <v>1236</v>
      </c>
      <c r="I137" t="s">
        <v>1238</v>
      </c>
      <c r="J137" t="s">
        <v>1239</v>
      </c>
      <c r="K137" t="s">
        <v>23</v>
      </c>
      <c r="L137" s="2">
        <v>4.1250000000000002E-2</v>
      </c>
      <c r="M137" t="s">
        <v>1240</v>
      </c>
      <c r="N137" t="s">
        <v>121</v>
      </c>
      <c r="O137" t="s">
        <v>1241</v>
      </c>
      <c r="P137" t="s">
        <v>1242</v>
      </c>
      <c r="Q137" t="s">
        <v>1242</v>
      </c>
      <c r="R137" t="s">
        <v>1242</v>
      </c>
      <c r="S137" t="s">
        <v>1243</v>
      </c>
      <c r="T137" t="s">
        <v>207</v>
      </c>
      <c r="U137" t="s">
        <v>1244</v>
      </c>
      <c r="V137" t="s">
        <v>1245</v>
      </c>
      <c r="W137" t="s">
        <v>1246</v>
      </c>
      <c r="X137" s="1">
        <v>99295</v>
      </c>
      <c r="Y137" s="1">
        <v>99295</v>
      </c>
      <c r="Z137" s="1">
        <v>99295</v>
      </c>
      <c r="AA137" t="s">
        <v>1247</v>
      </c>
      <c r="AB137" s="2">
        <v>4.4000000000000003E-3</v>
      </c>
      <c r="AC137" s="2">
        <v>-9.5999999999999992E-3</v>
      </c>
      <c r="AD137" s="2">
        <v>1E-3</v>
      </c>
      <c r="AE137" s="2">
        <v>1.2E-2</v>
      </c>
      <c r="AF137" s="2">
        <v>9.2999999999999992E-3</v>
      </c>
      <c r="AG137" s="2">
        <v>-9.7500000000000003E-2</v>
      </c>
      <c r="AH137" t="s">
        <v>499</v>
      </c>
      <c r="AI137" t="s">
        <v>130</v>
      </c>
      <c r="AJ137" t="s">
        <v>131</v>
      </c>
      <c r="AK137" t="s">
        <v>40</v>
      </c>
      <c r="AL137">
        <v>1</v>
      </c>
      <c r="AM137" t="s">
        <v>41</v>
      </c>
      <c r="AN137" t="s">
        <v>42</v>
      </c>
      <c r="AO137" t="s">
        <v>1241</v>
      </c>
      <c r="AP137" t="s">
        <v>500</v>
      </c>
      <c r="AQ137" t="s">
        <v>500</v>
      </c>
      <c r="AR137" t="s">
        <v>133</v>
      </c>
      <c r="AS137" t="s">
        <v>133</v>
      </c>
    </row>
    <row r="138" spans="1:54" x14ac:dyDescent="0.4">
      <c r="A138" t="s">
        <v>2242</v>
      </c>
      <c r="B138" t="s">
        <v>10</v>
      </c>
      <c r="C138" s="1">
        <v>98553</v>
      </c>
      <c r="D138" t="s">
        <v>11</v>
      </c>
      <c r="E138" s="2">
        <v>8.0000000000000004E-4</v>
      </c>
      <c r="F138" t="s">
        <v>12</v>
      </c>
      <c r="G138" s="4" t="s">
        <v>2243</v>
      </c>
      <c r="H138" s="1">
        <v>98553</v>
      </c>
      <c r="I138" t="s">
        <v>2244</v>
      </c>
      <c r="J138" t="s">
        <v>2245</v>
      </c>
      <c r="K138" t="s">
        <v>23</v>
      </c>
      <c r="L138" s="2">
        <v>3.4000000000000002E-2</v>
      </c>
      <c r="M138" t="s">
        <v>2246</v>
      </c>
      <c r="N138" t="s">
        <v>121</v>
      </c>
      <c r="O138" t="s">
        <v>2247</v>
      </c>
      <c r="P138" s="1">
        <v>98084</v>
      </c>
      <c r="Q138" s="1">
        <v>97954</v>
      </c>
      <c r="R138" s="1">
        <v>97046</v>
      </c>
      <c r="S138" t="s">
        <v>1778</v>
      </c>
      <c r="T138" t="s">
        <v>2248</v>
      </c>
      <c r="U138" s="1">
        <v>91825</v>
      </c>
      <c r="V138" s="1">
        <v>98553</v>
      </c>
      <c r="W138" s="1">
        <v>98553</v>
      </c>
      <c r="X138" s="1">
        <v>98813</v>
      </c>
      <c r="Y138" s="1">
        <v>98813</v>
      </c>
      <c r="Z138" s="1">
        <v>98813</v>
      </c>
      <c r="AA138" t="s">
        <v>541</v>
      </c>
      <c r="AB138" s="2">
        <v>4.7999999999999996E-3</v>
      </c>
      <c r="AC138" s="2">
        <v>4.4999999999999997E-3</v>
      </c>
      <c r="AD138" s="2">
        <v>1.5299999999999999E-2</v>
      </c>
      <c r="AE138" s="2">
        <v>2.2499999999999999E-2</v>
      </c>
      <c r="AF138" s="2">
        <v>2.6499999999999999E-2</v>
      </c>
      <c r="AG138" s="2">
        <v>-6.5799999999999997E-2</v>
      </c>
      <c r="AH138" t="s">
        <v>499</v>
      </c>
      <c r="AI138" t="s">
        <v>130</v>
      </c>
      <c r="AJ138" t="s">
        <v>131</v>
      </c>
      <c r="AK138" t="s">
        <v>40</v>
      </c>
      <c r="AL138">
        <v>1</v>
      </c>
      <c r="AM138" t="s">
        <v>41</v>
      </c>
      <c r="AN138" t="s">
        <v>42</v>
      </c>
      <c r="AO138" t="s">
        <v>2247</v>
      </c>
      <c r="AP138" t="s">
        <v>1825</v>
      </c>
      <c r="AQ138" t="s">
        <v>1825</v>
      </c>
      <c r="AR138" t="s">
        <v>133</v>
      </c>
      <c r="AS138" t="s">
        <v>133</v>
      </c>
    </row>
    <row r="139" spans="1:54" x14ac:dyDescent="0.4">
      <c r="A139" t="s">
        <v>4462</v>
      </c>
      <c r="B139" t="s">
        <v>10</v>
      </c>
      <c r="C139" t="s">
        <v>4718</v>
      </c>
      <c r="D139" t="s">
        <v>11</v>
      </c>
      <c r="E139" s="2">
        <v>2.9999999999999997E-4</v>
      </c>
      <c r="F139" t="s">
        <v>310</v>
      </c>
      <c r="G139" s="4" t="s">
        <v>2299</v>
      </c>
      <c r="H139" t="s">
        <v>4718</v>
      </c>
      <c r="I139" t="s">
        <v>5065</v>
      </c>
      <c r="J139" t="s">
        <v>5066</v>
      </c>
      <c r="K139" t="s">
        <v>23</v>
      </c>
      <c r="L139" s="2">
        <v>1.8749999999999999E-2</v>
      </c>
      <c r="M139" t="s">
        <v>5067</v>
      </c>
      <c r="N139" t="s">
        <v>121</v>
      </c>
      <c r="O139" t="s">
        <v>5068</v>
      </c>
      <c r="P139" t="s">
        <v>1255</v>
      </c>
      <c r="Q139" t="s">
        <v>975</v>
      </c>
      <c r="R139" t="s">
        <v>2334</v>
      </c>
      <c r="S139" t="s">
        <v>5069</v>
      </c>
      <c r="T139" t="s">
        <v>997</v>
      </c>
      <c r="U139" t="s">
        <v>5070</v>
      </c>
      <c r="V139" t="s">
        <v>4718</v>
      </c>
      <c r="W139" t="s">
        <v>4718</v>
      </c>
      <c r="X139" t="s">
        <v>4718</v>
      </c>
      <c r="Y139" t="s">
        <v>4718</v>
      </c>
      <c r="Z139" t="s">
        <v>4718</v>
      </c>
      <c r="AA139" t="s">
        <v>4718</v>
      </c>
      <c r="AB139" s="2">
        <v>4.1000000000000003E-3</v>
      </c>
      <c r="AC139" s="2">
        <v>9.5999999999999992E-3</v>
      </c>
      <c r="AD139" s="2">
        <v>1.61E-2</v>
      </c>
      <c r="AE139" s="2">
        <v>3.3300000000000003E-2</v>
      </c>
      <c r="AF139" s="2">
        <v>7.1599999999999997E-2</v>
      </c>
      <c r="AG139" s="2">
        <v>5.21E-2</v>
      </c>
      <c r="AH139" t="s">
        <v>5071</v>
      </c>
      <c r="AI139" t="s">
        <v>130</v>
      </c>
      <c r="AJ139" t="s">
        <v>131</v>
      </c>
      <c r="AK139" t="s">
        <v>40</v>
      </c>
      <c r="AL139">
        <v>200</v>
      </c>
      <c r="AM139" t="s">
        <v>41</v>
      </c>
      <c r="AN139" t="s">
        <v>42</v>
      </c>
      <c r="AO139" t="s">
        <v>5068</v>
      </c>
      <c r="AP139" t="s">
        <v>602</v>
      </c>
      <c r="AQ139" t="s">
        <v>602</v>
      </c>
      <c r="AR139" t="s">
        <v>133</v>
      </c>
      <c r="AS139" t="s">
        <v>133</v>
      </c>
    </row>
    <row r="140" spans="1:54" x14ac:dyDescent="0.4">
      <c r="A140" t="s">
        <v>9</v>
      </c>
      <c r="B140" t="s">
        <v>10</v>
      </c>
      <c r="C140" t="s">
        <v>3868</v>
      </c>
      <c r="D140" t="s">
        <v>11</v>
      </c>
      <c r="E140" s="2">
        <v>2.3999999999999998E-3</v>
      </c>
      <c r="F140" t="s">
        <v>12</v>
      </c>
      <c r="G140" s="4" t="s">
        <v>409</v>
      </c>
      <c r="H140" t="s">
        <v>3868</v>
      </c>
      <c r="I140" t="s">
        <v>4864</v>
      </c>
      <c r="J140" t="s">
        <v>4865</v>
      </c>
      <c r="K140" t="s">
        <v>23</v>
      </c>
      <c r="L140" s="2">
        <v>5.5E-2</v>
      </c>
      <c r="M140" t="s">
        <v>1470</v>
      </c>
      <c r="N140" t="s">
        <v>121</v>
      </c>
      <c r="O140" t="s">
        <v>4866</v>
      </c>
      <c r="P140" t="s">
        <v>1467</v>
      </c>
      <c r="Q140" t="s">
        <v>1467</v>
      </c>
      <c r="R140" t="s">
        <v>1467</v>
      </c>
      <c r="S140" s="1">
        <v>99035</v>
      </c>
      <c r="T140" t="s">
        <v>2446</v>
      </c>
      <c r="U140" t="s">
        <v>2446</v>
      </c>
      <c r="V140" t="s">
        <v>2146</v>
      </c>
      <c r="W140" t="s">
        <v>4867</v>
      </c>
      <c r="X140" t="s">
        <v>4868</v>
      </c>
      <c r="Y140" t="s">
        <v>4868</v>
      </c>
      <c r="Z140" t="s">
        <v>4868</v>
      </c>
      <c r="AA140" t="s">
        <v>4868</v>
      </c>
      <c r="AB140" s="2">
        <v>6.9999999999999999E-4</v>
      </c>
      <c r="AC140" s="2">
        <v>-1.09E-2</v>
      </c>
      <c r="AD140" s="2">
        <v>-1.9E-3</v>
      </c>
      <c r="AE140" s="2">
        <v>-7.7999999999999996E-3</v>
      </c>
      <c r="AF140" s="2">
        <v>2.2599999999999999E-2</v>
      </c>
      <c r="AG140" s="2">
        <v>2.2599999999999999E-2</v>
      </c>
      <c r="AH140" t="s">
        <v>4869</v>
      </c>
      <c r="AI140" t="s">
        <v>130</v>
      </c>
      <c r="AJ140" t="s">
        <v>131</v>
      </c>
      <c r="AK140" t="s">
        <v>40</v>
      </c>
      <c r="AL140">
        <v>2</v>
      </c>
      <c r="AM140" t="s">
        <v>41</v>
      </c>
      <c r="AN140" t="s">
        <v>42</v>
      </c>
      <c r="AO140" t="s">
        <v>4866</v>
      </c>
      <c r="AP140" t="s">
        <v>225</v>
      </c>
      <c r="AQ140" t="s">
        <v>225</v>
      </c>
      <c r="AR140" t="s">
        <v>133</v>
      </c>
      <c r="AS140" t="s">
        <v>133</v>
      </c>
    </row>
    <row r="141" spans="1:54" x14ac:dyDescent="0.4">
      <c r="A141" t="s">
        <v>4462</v>
      </c>
      <c r="B141" t="s">
        <v>10</v>
      </c>
      <c r="C141" t="s">
        <v>1030</v>
      </c>
      <c r="D141" t="s">
        <v>11</v>
      </c>
      <c r="E141" s="2">
        <v>0</v>
      </c>
      <c r="F141" t="s">
        <v>310</v>
      </c>
      <c r="G141" s="4" t="s">
        <v>15</v>
      </c>
      <c r="H141" t="s">
        <v>1030</v>
      </c>
      <c r="I141" t="s">
        <v>4463</v>
      </c>
      <c r="J141" t="s">
        <v>4464</v>
      </c>
      <c r="K141" t="s">
        <v>23</v>
      </c>
      <c r="L141" s="2">
        <v>0.06</v>
      </c>
      <c r="M141" t="s">
        <v>3269</v>
      </c>
      <c r="N141" t="s">
        <v>121</v>
      </c>
      <c r="O141" t="s">
        <v>4465</v>
      </c>
      <c r="P141" t="s">
        <v>1974</v>
      </c>
      <c r="Q141" t="s">
        <v>1974</v>
      </c>
      <c r="R141" t="s">
        <v>1974</v>
      </c>
      <c r="S141" t="s">
        <v>1974</v>
      </c>
      <c r="T141" t="s">
        <v>2145</v>
      </c>
      <c r="U141" t="s">
        <v>4466</v>
      </c>
      <c r="V141" t="s">
        <v>4467</v>
      </c>
      <c r="W141" t="s">
        <v>4468</v>
      </c>
      <c r="X141" t="s">
        <v>4469</v>
      </c>
      <c r="Y141" t="s">
        <v>3400</v>
      </c>
      <c r="Z141" t="s">
        <v>1712</v>
      </c>
      <c r="AA141" t="s">
        <v>4470</v>
      </c>
      <c r="AB141" s="2">
        <v>-5.5999999999999999E-3</v>
      </c>
      <c r="AC141" s="2">
        <v>-6.4999999999999997E-3</v>
      </c>
      <c r="AD141" s="2">
        <v>-2.3E-3</v>
      </c>
      <c r="AE141" s="2">
        <v>-7.4999999999999997E-3</v>
      </c>
      <c r="AF141" s="2">
        <v>-5.1999999999999998E-3</v>
      </c>
      <c r="AG141" s="2">
        <v>-0.1381</v>
      </c>
      <c r="AH141" t="s">
        <v>4471</v>
      </c>
      <c r="AI141" t="s">
        <v>130</v>
      </c>
      <c r="AJ141" t="s">
        <v>131</v>
      </c>
      <c r="AK141" t="s">
        <v>40</v>
      </c>
      <c r="AL141">
        <v>200</v>
      </c>
      <c r="AM141" t="s">
        <v>41</v>
      </c>
      <c r="AN141" t="s">
        <v>42</v>
      </c>
      <c r="AO141" t="s">
        <v>4465</v>
      </c>
      <c r="AP141" t="s">
        <v>225</v>
      </c>
      <c r="AQ141" t="s">
        <v>225</v>
      </c>
      <c r="AR141" t="s">
        <v>133</v>
      </c>
      <c r="AS141" t="s">
        <v>133</v>
      </c>
      <c r="BB141" t="s">
        <v>61</v>
      </c>
    </row>
    <row r="142" spans="1:54" x14ac:dyDescent="0.4">
      <c r="A142" t="s">
        <v>563</v>
      </c>
      <c r="B142" t="s">
        <v>10</v>
      </c>
      <c r="C142" t="s">
        <v>564</v>
      </c>
      <c r="D142" t="s">
        <v>11</v>
      </c>
      <c r="E142" s="2">
        <v>5.0000000000000001E-4</v>
      </c>
      <c r="F142" t="s">
        <v>363</v>
      </c>
      <c r="G142" s="4" t="s">
        <v>565</v>
      </c>
      <c r="H142" t="s">
        <v>564</v>
      </c>
      <c r="I142" t="s">
        <v>566</v>
      </c>
      <c r="J142" t="s">
        <v>567</v>
      </c>
      <c r="K142" t="s">
        <v>23</v>
      </c>
      <c r="L142" s="2">
        <v>3.8219999999999997E-2</v>
      </c>
      <c r="M142" t="s">
        <v>568</v>
      </c>
      <c r="N142" t="s">
        <v>28</v>
      </c>
      <c r="O142" t="s">
        <v>569</v>
      </c>
      <c r="P142" t="s">
        <v>570</v>
      </c>
      <c r="Q142" t="s">
        <v>570</v>
      </c>
      <c r="R142" t="s">
        <v>570</v>
      </c>
      <c r="S142" t="s">
        <v>571</v>
      </c>
      <c r="T142" t="s">
        <v>571</v>
      </c>
      <c r="U142" t="s">
        <v>571</v>
      </c>
      <c r="V142" t="s">
        <v>572</v>
      </c>
      <c r="W142" t="s">
        <v>573</v>
      </c>
      <c r="X142" t="s">
        <v>573</v>
      </c>
      <c r="Y142" t="s">
        <v>573</v>
      </c>
      <c r="Z142" t="s">
        <v>573</v>
      </c>
      <c r="AA142" t="s">
        <v>573</v>
      </c>
      <c r="AB142" s="2">
        <v>-7.0000000000000001E-3</v>
      </c>
      <c r="AC142" s="2">
        <v>-0.01</v>
      </c>
      <c r="AD142" s="2">
        <v>1.23E-2</v>
      </c>
      <c r="AE142" s="2">
        <v>2.98E-2</v>
      </c>
      <c r="AF142" s="2">
        <v>2.98E-2</v>
      </c>
      <c r="AG142" s="2">
        <v>2.98E-2</v>
      </c>
      <c r="AH142" t="s">
        <v>574</v>
      </c>
      <c r="AI142" t="s">
        <v>130</v>
      </c>
      <c r="AJ142" t="s">
        <v>131</v>
      </c>
      <c r="AK142" t="s">
        <v>40</v>
      </c>
      <c r="AL142">
        <v>100</v>
      </c>
      <c r="AM142" t="s">
        <v>41</v>
      </c>
      <c r="AN142" t="s">
        <v>42</v>
      </c>
      <c r="AO142" t="s">
        <v>569</v>
      </c>
      <c r="AP142" t="s">
        <v>407</v>
      </c>
      <c r="AQ142" t="s">
        <v>407</v>
      </c>
      <c r="AR142" t="s">
        <v>48</v>
      </c>
      <c r="AS142" t="s">
        <v>48</v>
      </c>
    </row>
    <row r="143" spans="1:54" x14ac:dyDescent="0.4">
      <c r="A143" t="s">
        <v>4453</v>
      </c>
      <c r="B143" t="s">
        <v>10</v>
      </c>
      <c r="C143" t="s">
        <v>1709</v>
      </c>
      <c r="D143" t="s">
        <v>11</v>
      </c>
      <c r="E143" s="2">
        <v>-5.0000000000000001E-4</v>
      </c>
      <c r="F143" t="s">
        <v>310</v>
      </c>
      <c r="G143" s="4">
        <f>-0.05 / -0.05%</f>
        <v>100</v>
      </c>
      <c r="H143" t="s">
        <v>1709</v>
      </c>
      <c r="I143" t="s">
        <v>5827</v>
      </c>
      <c r="J143" t="s">
        <v>5828</v>
      </c>
      <c r="K143" t="s">
        <v>23</v>
      </c>
      <c r="L143" s="2">
        <v>3.1060000000000001E-2</v>
      </c>
      <c r="M143" t="s">
        <v>334</v>
      </c>
      <c r="N143" t="s">
        <v>28</v>
      </c>
      <c r="O143" t="s">
        <v>468</v>
      </c>
      <c r="P143" t="s">
        <v>82</v>
      </c>
      <c r="Q143" t="s">
        <v>82</v>
      </c>
      <c r="R143" t="s">
        <v>82</v>
      </c>
      <c r="S143" t="s">
        <v>2003</v>
      </c>
      <c r="T143" t="s">
        <v>1006</v>
      </c>
      <c r="U143" t="s">
        <v>1006</v>
      </c>
      <c r="V143" t="s">
        <v>5829</v>
      </c>
      <c r="W143" t="s">
        <v>2326</v>
      </c>
      <c r="X143" t="s">
        <v>2326</v>
      </c>
      <c r="Y143" t="s">
        <v>2326</v>
      </c>
      <c r="Z143" t="s">
        <v>2326</v>
      </c>
      <c r="AA143" t="s">
        <v>2326</v>
      </c>
      <c r="AB143" s="2">
        <v>-7.4999999999999997E-3</v>
      </c>
      <c r="AC143" s="2">
        <v>-1.2699999999999999E-2</v>
      </c>
      <c r="AD143" s="2">
        <v>3.3E-3</v>
      </c>
      <c r="AE143" s="2">
        <v>5.8999999999999999E-3</v>
      </c>
      <c r="AF143" s="2">
        <v>1.32E-2</v>
      </c>
      <c r="AG143" s="2">
        <v>1.32E-2</v>
      </c>
      <c r="AH143" t="s">
        <v>574</v>
      </c>
      <c r="AI143" t="s">
        <v>130</v>
      </c>
      <c r="AJ143" t="s">
        <v>131</v>
      </c>
      <c r="AK143" t="s">
        <v>40</v>
      </c>
      <c r="AL143">
        <v>100</v>
      </c>
      <c r="AM143" t="s">
        <v>41</v>
      </c>
      <c r="AN143" t="s">
        <v>42</v>
      </c>
      <c r="AO143" t="s">
        <v>468</v>
      </c>
      <c r="AP143" t="s">
        <v>5830</v>
      </c>
      <c r="AQ143" t="s">
        <v>5830</v>
      </c>
      <c r="AR143" t="s">
        <v>48</v>
      </c>
      <c r="AS143" t="s">
        <v>48</v>
      </c>
    </row>
    <row r="144" spans="1:54" x14ac:dyDescent="0.4">
      <c r="A144" t="s">
        <v>4453</v>
      </c>
      <c r="B144" t="s">
        <v>10</v>
      </c>
      <c r="C144" t="s">
        <v>4662</v>
      </c>
      <c r="D144" t="s">
        <v>11</v>
      </c>
      <c r="E144" s="2">
        <v>-2.9999999999999997E-4</v>
      </c>
      <c r="F144" t="s">
        <v>178</v>
      </c>
      <c r="G144" s="4">
        <f>-0.03 / -0.03%</f>
        <v>100</v>
      </c>
      <c r="H144" t="s">
        <v>4662</v>
      </c>
      <c r="I144" t="s">
        <v>5820</v>
      </c>
      <c r="J144" t="s">
        <v>5821</v>
      </c>
      <c r="K144" t="s">
        <v>23</v>
      </c>
      <c r="L144" s="2">
        <v>2.8750000000000001E-2</v>
      </c>
      <c r="M144" t="s">
        <v>4773</v>
      </c>
      <c r="N144" t="s">
        <v>28</v>
      </c>
      <c r="O144" t="s">
        <v>806</v>
      </c>
      <c r="P144" t="s">
        <v>2597</v>
      </c>
      <c r="Q144" t="s">
        <v>2597</v>
      </c>
      <c r="R144" t="s">
        <v>2597</v>
      </c>
      <c r="S144" t="s">
        <v>5478</v>
      </c>
      <c r="T144" t="s">
        <v>3689</v>
      </c>
      <c r="U144" t="s">
        <v>3689</v>
      </c>
      <c r="V144" t="s">
        <v>3723</v>
      </c>
      <c r="W144" t="s">
        <v>3871</v>
      </c>
      <c r="X144" t="s">
        <v>3871</v>
      </c>
      <c r="Y144" t="s">
        <v>3871</v>
      </c>
      <c r="Z144" t="s">
        <v>3871</v>
      </c>
      <c r="AA144" t="s">
        <v>3871</v>
      </c>
      <c r="AB144" s="2">
        <v>-7.7999999999999996E-3</v>
      </c>
      <c r="AC144" s="2">
        <v>-1.26E-2</v>
      </c>
      <c r="AD144" s="2">
        <v>5.5999999999999999E-3</v>
      </c>
      <c r="AE144" s="2">
        <v>8.6999999999999994E-3</v>
      </c>
      <c r="AF144" s="2">
        <v>5.5999999999999999E-3</v>
      </c>
      <c r="AG144" s="2">
        <v>-1.2999999999999999E-3</v>
      </c>
      <c r="AH144" t="s">
        <v>574</v>
      </c>
      <c r="AI144" t="s">
        <v>130</v>
      </c>
      <c r="AJ144" t="s">
        <v>131</v>
      </c>
      <c r="AK144" t="s">
        <v>40</v>
      </c>
      <c r="AL144">
        <v>100</v>
      </c>
      <c r="AM144" t="s">
        <v>41</v>
      </c>
      <c r="AN144" t="s">
        <v>42</v>
      </c>
      <c r="AO144" t="s">
        <v>806</v>
      </c>
      <c r="AP144" t="s">
        <v>193</v>
      </c>
      <c r="AQ144" t="s">
        <v>193</v>
      </c>
      <c r="AR144" t="s">
        <v>48</v>
      </c>
      <c r="AS144" t="s">
        <v>48</v>
      </c>
    </row>
    <row r="145" spans="1:55" x14ac:dyDescent="0.4">
      <c r="A145" t="s">
        <v>161</v>
      </c>
      <c r="B145" t="s">
        <v>10</v>
      </c>
      <c r="C145" t="s">
        <v>162</v>
      </c>
      <c r="D145" t="s">
        <v>11</v>
      </c>
      <c r="E145" s="2">
        <v>-1.9E-3</v>
      </c>
      <c r="F145" t="s">
        <v>12</v>
      </c>
      <c r="G145" s="4">
        <f>-0.19 / -0.19%</f>
        <v>100</v>
      </c>
      <c r="H145" t="s">
        <v>162</v>
      </c>
      <c r="I145" t="s">
        <v>163</v>
      </c>
      <c r="J145" t="s">
        <v>164</v>
      </c>
      <c r="K145" t="s">
        <v>23</v>
      </c>
      <c r="L145" s="2">
        <v>3.2500000000000001E-2</v>
      </c>
      <c r="M145" t="s">
        <v>165</v>
      </c>
      <c r="N145" t="s">
        <v>28</v>
      </c>
      <c r="O145" t="s">
        <v>166</v>
      </c>
      <c r="P145" t="s">
        <v>167</v>
      </c>
      <c r="Q145" t="s">
        <v>167</v>
      </c>
      <c r="R145" t="s">
        <v>167</v>
      </c>
      <c r="S145" t="s">
        <v>167</v>
      </c>
      <c r="T145" t="s">
        <v>167</v>
      </c>
      <c r="U145" t="s">
        <v>167</v>
      </c>
      <c r="V145" t="s">
        <v>168</v>
      </c>
      <c r="W145" t="s">
        <v>169</v>
      </c>
      <c r="X145" t="s">
        <v>169</v>
      </c>
      <c r="Y145" t="s">
        <v>169</v>
      </c>
      <c r="Z145" t="s">
        <v>169</v>
      </c>
      <c r="AA145" t="s">
        <v>169</v>
      </c>
      <c r="AB145" s="2">
        <v>-1.43E-2</v>
      </c>
      <c r="AC145" s="2">
        <v>-1.2E-2</v>
      </c>
      <c r="AD145" s="2">
        <v>-5.1000000000000004E-3</v>
      </c>
      <c r="AE145" s="2">
        <v>-5.1000000000000004E-3</v>
      </c>
      <c r="AF145" s="2">
        <v>-5.1000000000000004E-3</v>
      </c>
      <c r="AG145" s="2">
        <v>-5.1000000000000004E-3</v>
      </c>
      <c r="AH145" t="s">
        <v>170</v>
      </c>
      <c r="AI145" t="s">
        <v>130</v>
      </c>
      <c r="AJ145" t="s">
        <v>131</v>
      </c>
      <c r="AK145" t="s">
        <v>40</v>
      </c>
      <c r="AL145">
        <v>100</v>
      </c>
      <c r="AM145" t="s">
        <v>41</v>
      </c>
      <c r="AN145" t="s">
        <v>42</v>
      </c>
      <c r="AO145" t="s">
        <v>166</v>
      </c>
      <c r="AP145" t="s">
        <v>171</v>
      </c>
      <c r="AQ145" t="s">
        <v>171</v>
      </c>
      <c r="AR145" t="s">
        <v>48</v>
      </c>
      <c r="AS145" t="s">
        <v>48</v>
      </c>
      <c r="AT145" t="s">
        <v>93</v>
      </c>
      <c r="AU145" t="s">
        <v>172</v>
      </c>
      <c r="AV145" t="s">
        <v>173</v>
      </c>
      <c r="AZ145">
        <v>100</v>
      </c>
      <c r="BA145" t="s">
        <v>174</v>
      </c>
      <c r="BB145" t="s">
        <v>61</v>
      </c>
      <c r="BC145" t="s">
        <v>175</v>
      </c>
    </row>
    <row r="146" spans="1:55" x14ac:dyDescent="0.4">
      <c r="A146" t="s">
        <v>288</v>
      </c>
      <c r="B146" t="s">
        <v>10</v>
      </c>
      <c r="C146" s="1">
        <v>97716</v>
      </c>
      <c r="D146" t="s">
        <v>11</v>
      </c>
      <c r="E146" s="2">
        <v>-6.9999999999999999E-4</v>
      </c>
      <c r="F146" t="s">
        <v>12</v>
      </c>
      <c r="G146" s="4">
        <f>-0.069 / -0.07%</f>
        <v>98.571428571428569</v>
      </c>
      <c r="H146" s="1">
        <v>97716</v>
      </c>
      <c r="I146" t="s">
        <v>289</v>
      </c>
      <c r="J146" t="s">
        <v>290</v>
      </c>
      <c r="K146" t="s">
        <v>23</v>
      </c>
      <c r="L146" s="2">
        <v>0.01</v>
      </c>
      <c r="M146" t="s">
        <v>291</v>
      </c>
      <c r="N146" t="s">
        <v>28</v>
      </c>
      <c r="O146" t="s">
        <v>292</v>
      </c>
      <c r="P146" s="1">
        <v>97596</v>
      </c>
      <c r="Q146" s="1">
        <v>97563</v>
      </c>
      <c r="R146" s="1">
        <v>96565</v>
      </c>
      <c r="S146" t="s">
        <v>293</v>
      </c>
      <c r="T146" s="1">
        <v>90905</v>
      </c>
      <c r="U146" s="1">
        <v>89975</v>
      </c>
      <c r="V146" t="s">
        <v>294</v>
      </c>
      <c r="W146" t="s">
        <v>294</v>
      </c>
      <c r="X146" t="s">
        <v>294</v>
      </c>
      <c r="Y146" t="s">
        <v>294</v>
      </c>
      <c r="Z146" t="s">
        <v>294</v>
      </c>
      <c r="AA146" s="1">
        <v>102435</v>
      </c>
      <c r="AB146" s="2">
        <v>8.9999999999999998E-4</v>
      </c>
      <c r="AC146" s="2">
        <v>-2.0999999999999999E-3</v>
      </c>
      <c r="AD146" s="2">
        <v>1.14E-2</v>
      </c>
      <c r="AE146" s="2">
        <v>2.8299999999999999E-2</v>
      </c>
      <c r="AF146" s="2">
        <v>5.1299999999999998E-2</v>
      </c>
      <c r="AG146" s="2">
        <v>-4.5699999999999998E-2</v>
      </c>
      <c r="AH146" t="s">
        <v>295</v>
      </c>
      <c r="AI146" t="s">
        <v>232</v>
      </c>
      <c r="AJ146" t="s">
        <v>38</v>
      </c>
      <c r="AK146" t="s">
        <v>40</v>
      </c>
      <c r="AL146">
        <v>1</v>
      </c>
      <c r="AM146" t="s">
        <v>41</v>
      </c>
      <c r="AN146" t="s">
        <v>42</v>
      </c>
      <c r="AO146" t="s">
        <v>292</v>
      </c>
      <c r="AP146" t="s">
        <v>193</v>
      </c>
      <c r="AQ146" t="s">
        <v>193</v>
      </c>
      <c r="AR146" t="s">
        <v>48</v>
      </c>
      <c r="AS146" t="s">
        <v>48</v>
      </c>
    </row>
    <row r="147" spans="1:55" x14ac:dyDescent="0.4">
      <c r="A147" t="s">
        <v>251</v>
      </c>
      <c r="B147" t="s">
        <v>10</v>
      </c>
      <c r="C147" s="1">
        <v>100914</v>
      </c>
      <c r="D147" t="s">
        <v>11</v>
      </c>
      <c r="E147" s="2">
        <v>6.4999999999999997E-3</v>
      </c>
      <c r="F147" t="s">
        <v>12</v>
      </c>
      <c r="G147" s="4" t="s">
        <v>2551</v>
      </c>
      <c r="H147" s="1">
        <v>100914</v>
      </c>
      <c r="I147" t="s">
        <v>2552</v>
      </c>
      <c r="J147" t="s">
        <v>2553</v>
      </c>
      <c r="K147" t="s">
        <v>23</v>
      </c>
      <c r="L147" s="2">
        <v>0.04</v>
      </c>
      <c r="M147" t="s">
        <v>2554</v>
      </c>
      <c r="N147" t="s">
        <v>28</v>
      </c>
      <c r="O147" t="s">
        <v>2555</v>
      </c>
      <c r="P147" t="s">
        <v>656</v>
      </c>
      <c r="Q147" t="s">
        <v>656</v>
      </c>
      <c r="R147" t="s">
        <v>2556</v>
      </c>
      <c r="S147" s="1">
        <v>98985</v>
      </c>
      <c r="T147" s="1">
        <v>92345</v>
      </c>
      <c r="U147" s="1">
        <v>92345</v>
      </c>
      <c r="V147" t="s">
        <v>890</v>
      </c>
      <c r="W147" t="s">
        <v>2557</v>
      </c>
      <c r="X147" t="s">
        <v>2557</v>
      </c>
      <c r="Y147" t="s">
        <v>2557</v>
      </c>
      <c r="Z147" t="s">
        <v>2557</v>
      </c>
      <c r="AA147" t="s">
        <v>2558</v>
      </c>
      <c r="AB147" s="2">
        <v>6.4999999999999997E-3</v>
      </c>
      <c r="AC147" s="2">
        <v>-1.6000000000000001E-3</v>
      </c>
      <c r="AD147" s="2">
        <v>7.7999999999999996E-3</v>
      </c>
      <c r="AE147" s="2">
        <v>8.8999999999999999E-3</v>
      </c>
      <c r="AF147" s="2">
        <v>1.0200000000000001E-2</v>
      </c>
      <c r="AG147" s="2">
        <v>-7.7700000000000005E-2</v>
      </c>
      <c r="AH147" t="s">
        <v>295</v>
      </c>
      <c r="AI147" t="s">
        <v>232</v>
      </c>
      <c r="AJ147" t="s">
        <v>38</v>
      </c>
      <c r="AK147" t="s">
        <v>40</v>
      </c>
      <c r="AL147">
        <v>1</v>
      </c>
      <c r="AM147" t="s">
        <v>41</v>
      </c>
      <c r="AN147" t="s">
        <v>42</v>
      </c>
      <c r="AO147" t="s">
        <v>2555</v>
      </c>
      <c r="AP147" t="s">
        <v>407</v>
      </c>
      <c r="AQ147" t="s">
        <v>407</v>
      </c>
      <c r="AR147" t="s">
        <v>48</v>
      </c>
      <c r="AS147" t="s">
        <v>48</v>
      </c>
    </row>
    <row r="148" spans="1:55" x14ac:dyDescent="0.4">
      <c r="A148" t="s">
        <v>288</v>
      </c>
      <c r="B148" t="s">
        <v>10</v>
      </c>
      <c r="C148" s="1">
        <v>95005</v>
      </c>
      <c r="D148" t="s">
        <v>11</v>
      </c>
      <c r="E148" s="2">
        <v>-1.5E-3</v>
      </c>
      <c r="F148" t="s">
        <v>12</v>
      </c>
      <c r="G148" s="4">
        <f>-0.145 / -0.15%</f>
        <v>96.666666666666657</v>
      </c>
      <c r="H148" s="1">
        <v>95005</v>
      </c>
      <c r="I148" t="s">
        <v>1292</v>
      </c>
      <c r="J148" t="s">
        <v>1293</v>
      </c>
      <c r="K148" t="s">
        <v>23</v>
      </c>
      <c r="L148" s="2">
        <v>1.4999999999999999E-2</v>
      </c>
      <c r="M148" t="s">
        <v>1294</v>
      </c>
      <c r="N148" t="s">
        <v>28</v>
      </c>
      <c r="O148" t="s">
        <v>1295</v>
      </c>
      <c r="P148" s="1">
        <v>94585</v>
      </c>
      <c r="Q148" s="1">
        <v>94585</v>
      </c>
      <c r="R148" s="1">
        <v>93335</v>
      </c>
      <c r="S148" t="s">
        <v>428</v>
      </c>
      <c r="T148" s="1">
        <v>86015</v>
      </c>
      <c r="U148" s="1">
        <v>85975</v>
      </c>
      <c r="V148" t="s">
        <v>1296</v>
      </c>
      <c r="W148" t="s">
        <v>1297</v>
      </c>
      <c r="X148" t="s">
        <v>1298</v>
      </c>
      <c r="Y148" t="s">
        <v>1298</v>
      </c>
      <c r="Z148" t="s">
        <v>1299</v>
      </c>
      <c r="AA148" t="s">
        <v>1300</v>
      </c>
      <c r="AB148" s="2">
        <v>-5.1999999999999998E-3</v>
      </c>
      <c r="AC148" s="2">
        <v>-1.49E-2</v>
      </c>
      <c r="AD148" s="2">
        <v>1.66E-2</v>
      </c>
      <c r="AE148" s="2">
        <v>8.3999999999999995E-3</v>
      </c>
      <c r="AF148" s="2">
        <v>4.02E-2</v>
      </c>
      <c r="AG148" s="2">
        <v>-0.104</v>
      </c>
      <c r="AH148" t="s">
        <v>295</v>
      </c>
      <c r="AI148" t="s">
        <v>232</v>
      </c>
      <c r="AJ148" t="s">
        <v>38</v>
      </c>
      <c r="AK148" t="s">
        <v>40</v>
      </c>
      <c r="AL148">
        <v>1</v>
      </c>
      <c r="AM148" t="s">
        <v>41</v>
      </c>
      <c r="AN148" t="s">
        <v>42</v>
      </c>
      <c r="AO148" t="s">
        <v>1295</v>
      </c>
      <c r="AP148" t="s">
        <v>225</v>
      </c>
      <c r="AQ148" t="s">
        <v>225</v>
      </c>
      <c r="AR148" t="s">
        <v>48</v>
      </c>
      <c r="AS148" t="s">
        <v>48</v>
      </c>
    </row>
    <row r="149" spans="1:55" x14ac:dyDescent="0.4">
      <c r="A149" t="s">
        <v>251</v>
      </c>
      <c r="B149" t="s">
        <v>10</v>
      </c>
      <c r="C149" s="1">
        <v>98169</v>
      </c>
      <c r="D149" t="s">
        <v>11</v>
      </c>
      <c r="E149" s="2">
        <v>-1E-4</v>
      </c>
      <c r="F149" t="s">
        <v>12</v>
      </c>
      <c r="G149" s="4">
        <f>-0.011 / -0.01%</f>
        <v>109.99999999999999</v>
      </c>
      <c r="H149" s="1">
        <v>98169</v>
      </c>
      <c r="I149" t="s">
        <v>901</v>
      </c>
      <c r="J149" t="s">
        <v>902</v>
      </c>
      <c r="K149" t="s">
        <v>23</v>
      </c>
      <c r="L149" s="2">
        <v>1E-3</v>
      </c>
      <c r="M149" t="s">
        <v>903</v>
      </c>
      <c r="N149" t="s">
        <v>28</v>
      </c>
      <c r="O149" t="s">
        <v>904</v>
      </c>
      <c r="P149" s="1">
        <v>98094</v>
      </c>
      <c r="Q149" s="1">
        <v>97711</v>
      </c>
      <c r="R149" t="s">
        <v>905</v>
      </c>
      <c r="S149" s="1">
        <v>94504</v>
      </c>
      <c r="T149" s="1">
        <v>90805</v>
      </c>
      <c r="U149" s="1">
        <v>89165</v>
      </c>
      <c r="V149" t="s">
        <v>824</v>
      </c>
      <c r="W149" t="s">
        <v>824</v>
      </c>
      <c r="X149" t="s">
        <v>824</v>
      </c>
      <c r="Y149" t="s">
        <v>824</v>
      </c>
      <c r="Z149" t="s">
        <v>824</v>
      </c>
      <c r="AA149" t="s">
        <v>153</v>
      </c>
      <c r="AB149" s="2">
        <v>2.5999999999999999E-3</v>
      </c>
      <c r="AC149" s="2">
        <v>4.4000000000000003E-3</v>
      </c>
      <c r="AD149" s="2">
        <v>2.1899999999999999E-2</v>
      </c>
      <c r="AE149" s="2">
        <v>3.8600000000000002E-2</v>
      </c>
      <c r="AF149" s="2">
        <v>5.8299999999999998E-2</v>
      </c>
      <c r="AG149" s="2">
        <v>-1.12E-2</v>
      </c>
      <c r="AH149" t="s">
        <v>295</v>
      </c>
      <c r="AI149" t="s">
        <v>232</v>
      </c>
      <c r="AJ149" t="s">
        <v>38</v>
      </c>
      <c r="AK149" t="s">
        <v>40</v>
      </c>
      <c r="AL149">
        <v>1</v>
      </c>
      <c r="AM149" t="s">
        <v>41</v>
      </c>
      <c r="AN149" t="s">
        <v>42</v>
      </c>
      <c r="AO149" t="s">
        <v>904</v>
      </c>
      <c r="AP149" t="s">
        <v>357</v>
      </c>
      <c r="AQ149" t="s">
        <v>357</v>
      </c>
      <c r="AR149" t="s">
        <v>48</v>
      </c>
      <c r="AS149" t="s">
        <v>48</v>
      </c>
    </row>
    <row r="150" spans="1:55" x14ac:dyDescent="0.4">
      <c r="A150" t="s">
        <v>6703</v>
      </c>
      <c r="B150" t="s">
        <v>10</v>
      </c>
      <c r="C150" t="s">
        <v>346</v>
      </c>
      <c r="D150" t="s">
        <v>11</v>
      </c>
      <c r="E150" s="2">
        <v>-1.1000000000000001E-3</v>
      </c>
      <c r="F150" t="s">
        <v>12</v>
      </c>
      <c r="G150" s="4">
        <f>-0.11 / -0.11%</f>
        <v>100</v>
      </c>
      <c r="H150" t="s">
        <v>346</v>
      </c>
      <c r="I150" t="s">
        <v>6704</v>
      </c>
      <c r="J150" t="s">
        <v>6705</v>
      </c>
      <c r="K150" t="s">
        <v>23</v>
      </c>
      <c r="L150" s="2">
        <v>3.5000000000000003E-2</v>
      </c>
      <c r="M150" t="s">
        <v>1341</v>
      </c>
      <c r="N150" t="s">
        <v>28</v>
      </c>
      <c r="O150" t="s">
        <v>216</v>
      </c>
      <c r="P150" t="s">
        <v>6706</v>
      </c>
      <c r="Q150" t="s">
        <v>6706</v>
      </c>
      <c r="R150" t="s">
        <v>6706</v>
      </c>
      <c r="S150" t="s">
        <v>1521</v>
      </c>
      <c r="T150" t="s">
        <v>6014</v>
      </c>
      <c r="U150" t="s">
        <v>6014</v>
      </c>
      <c r="V150" t="s">
        <v>657</v>
      </c>
      <c r="W150" t="s">
        <v>6707</v>
      </c>
      <c r="X150" t="s">
        <v>6707</v>
      </c>
      <c r="Y150" t="s">
        <v>6707</v>
      </c>
      <c r="Z150" t="s">
        <v>6707</v>
      </c>
      <c r="AA150" t="s">
        <v>6707</v>
      </c>
      <c r="AB150" s="2">
        <v>-1.2500000000000001E-2</v>
      </c>
      <c r="AC150" s="2">
        <v>-1.8800000000000001E-2</v>
      </c>
      <c r="AD150" s="2">
        <v>5.0000000000000001E-3</v>
      </c>
      <c r="AE150" s="2">
        <v>1.1900000000000001E-2</v>
      </c>
      <c r="AF150" s="2">
        <v>2.8199999999999999E-2</v>
      </c>
      <c r="AG150" s="2">
        <v>2.8199999999999999E-2</v>
      </c>
      <c r="AH150" t="s">
        <v>6037</v>
      </c>
      <c r="AI150" t="s">
        <v>130</v>
      </c>
      <c r="AJ150" t="s">
        <v>131</v>
      </c>
      <c r="AK150" t="s">
        <v>40</v>
      </c>
      <c r="AL150">
        <v>1</v>
      </c>
      <c r="AM150" t="s">
        <v>41</v>
      </c>
      <c r="AN150" t="s">
        <v>42</v>
      </c>
      <c r="AO150" t="s">
        <v>216</v>
      </c>
      <c r="AP150" t="s">
        <v>527</v>
      </c>
      <c r="AQ150" t="s">
        <v>527</v>
      </c>
      <c r="AR150" t="s">
        <v>48</v>
      </c>
      <c r="AS150" t="s">
        <v>48</v>
      </c>
    </row>
    <row r="151" spans="1:55" x14ac:dyDescent="0.4">
      <c r="A151" t="s">
        <v>4453</v>
      </c>
      <c r="B151" t="s">
        <v>10</v>
      </c>
      <c r="C151" t="s">
        <v>1257</v>
      </c>
      <c r="D151" t="s">
        <v>11</v>
      </c>
      <c r="E151" s="2">
        <v>-1.5E-3</v>
      </c>
      <c r="F151" t="s">
        <v>363</v>
      </c>
      <c r="G151" s="4">
        <f>-0.15 / -0.15%</f>
        <v>100</v>
      </c>
      <c r="H151" t="s">
        <v>1257</v>
      </c>
      <c r="I151" t="s">
        <v>6709</v>
      </c>
      <c r="J151" t="s">
        <v>6710</v>
      </c>
      <c r="K151" t="s">
        <v>23</v>
      </c>
      <c r="L151" s="2">
        <v>3.4000000000000002E-2</v>
      </c>
      <c r="M151" t="s">
        <v>6711</v>
      </c>
      <c r="N151" t="s">
        <v>28</v>
      </c>
      <c r="O151" t="s">
        <v>6712</v>
      </c>
      <c r="P151" t="s">
        <v>110</v>
      </c>
      <c r="Q151" t="s">
        <v>110</v>
      </c>
      <c r="R151" t="s">
        <v>110</v>
      </c>
      <c r="S151" t="s">
        <v>6713</v>
      </c>
      <c r="T151" t="s">
        <v>6713</v>
      </c>
      <c r="U151" t="s">
        <v>6713</v>
      </c>
      <c r="V151" t="s">
        <v>1113</v>
      </c>
      <c r="W151" t="s">
        <v>4868</v>
      </c>
      <c r="X151" t="s">
        <v>4868</v>
      </c>
      <c r="Y151" t="s">
        <v>4868</v>
      </c>
      <c r="Z151" t="s">
        <v>4868</v>
      </c>
      <c r="AA151" t="s">
        <v>4868</v>
      </c>
      <c r="AB151" s="2">
        <v>-1.04E-2</v>
      </c>
      <c r="AC151" s="2">
        <v>-1.66E-2</v>
      </c>
      <c r="AD151" s="2">
        <v>6.0000000000000001E-3</v>
      </c>
      <c r="AE151" s="2">
        <v>2.1100000000000001E-2</v>
      </c>
      <c r="AF151" s="2">
        <v>2.1100000000000001E-2</v>
      </c>
      <c r="AG151" s="2">
        <v>2.1100000000000001E-2</v>
      </c>
      <c r="AH151" t="s">
        <v>6037</v>
      </c>
      <c r="AI151" t="s">
        <v>130</v>
      </c>
      <c r="AJ151" t="s">
        <v>131</v>
      </c>
      <c r="AK151" t="s">
        <v>40</v>
      </c>
      <c r="AL151">
        <v>1</v>
      </c>
      <c r="AM151" t="s">
        <v>41</v>
      </c>
      <c r="AN151" t="s">
        <v>42</v>
      </c>
      <c r="AO151" t="s">
        <v>6712</v>
      </c>
      <c r="AP151" t="s">
        <v>171</v>
      </c>
      <c r="AQ151" t="s">
        <v>171</v>
      </c>
      <c r="AR151" t="s">
        <v>48</v>
      </c>
      <c r="AS151" t="s">
        <v>48</v>
      </c>
    </row>
    <row r="152" spans="1:55" x14ac:dyDescent="0.4">
      <c r="A152" t="s">
        <v>4453</v>
      </c>
      <c r="B152" t="s">
        <v>10</v>
      </c>
      <c r="C152" t="s">
        <v>1422</v>
      </c>
      <c r="D152" t="s">
        <v>11</v>
      </c>
      <c r="E152" s="2">
        <v>-1.6999999999999999E-3</v>
      </c>
      <c r="F152" t="s">
        <v>363</v>
      </c>
      <c r="G152" s="4">
        <f>-0.15 / -0.17%</f>
        <v>88.235294117647044</v>
      </c>
      <c r="H152" t="s">
        <v>1422</v>
      </c>
      <c r="I152" t="s">
        <v>6038</v>
      </c>
      <c r="J152" t="s">
        <v>6039</v>
      </c>
      <c r="K152" t="s">
        <v>23</v>
      </c>
      <c r="L152" s="2">
        <v>1.8749999999999999E-2</v>
      </c>
      <c r="M152" t="s">
        <v>6040</v>
      </c>
      <c r="N152" t="s">
        <v>28</v>
      </c>
      <c r="O152" t="s">
        <v>5423</v>
      </c>
      <c r="P152" t="s">
        <v>6041</v>
      </c>
      <c r="Q152" t="s">
        <v>6041</v>
      </c>
      <c r="R152" t="s">
        <v>3601</v>
      </c>
      <c r="S152" t="s">
        <v>6015</v>
      </c>
      <c r="T152" t="s">
        <v>6042</v>
      </c>
      <c r="U152" t="s">
        <v>6043</v>
      </c>
      <c r="V152" t="s">
        <v>1897</v>
      </c>
      <c r="W152" t="s">
        <v>6044</v>
      </c>
      <c r="X152" t="s">
        <v>6044</v>
      </c>
      <c r="Y152" t="s">
        <v>6044</v>
      </c>
      <c r="Z152" t="s">
        <v>6044</v>
      </c>
      <c r="AA152" t="s">
        <v>2893</v>
      </c>
      <c r="AB152" s="2">
        <v>-9.1000000000000004E-3</v>
      </c>
      <c r="AC152" s="2">
        <v>-1.4E-2</v>
      </c>
      <c r="AD152" s="2">
        <v>1.3100000000000001E-2</v>
      </c>
      <c r="AE152" s="2">
        <v>2.6800000000000001E-2</v>
      </c>
      <c r="AF152" s="2">
        <v>3.8199999999999998E-2</v>
      </c>
      <c r="AG152" s="2">
        <v>-7.9899999999999999E-2</v>
      </c>
      <c r="AH152" t="s">
        <v>6037</v>
      </c>
      <c r="AI152" t="s">
        <v>130</v>
      </c>
      <c r="AJ152" t="s">
        <v>131</v>
      </c>
      <c r="AK152" t="s">
        <v>40</v>
      </c>
      <c r="AL152">
        <v>1</v>
      </c>
      <c r="AM152" t="s">
        <v>41</v>
      </c>
      <c r="AN152" t="s">
        <v>42</v>
      </c>
      <c r="AO152" t="s">
        <v>5423</v>
      </c>
      <c r="AP152" t="s">
        <v>225</v>
      </c>
      <c r="AQ152" t="s">
        <v>225</v>
      </c>
      <c r="AR152" t="s">
        <v>48</v>
      </c>
      <c r="AS152" t="s">
        <v>48</v>
      </c>
    </row>
    <row r="153" spans="1:55" x14ac:dyDescent="0.4">
      <c r="A153" t="s">
        <v>4453</v>
      </c>
      <c r="B153" t="s">
        <v>10</v>
      </c>
      <c r="C153" t="s">
        <v>6693</v>
      </c>
      <c r="D153" t="s">
        <v>11</v>
      </c>
      <c r="E153" s="2">
        <v>-8.3999999999999995E-3</v>
      </c>
      <c r="F153" t="s">
        <v>363</v>
      </c>
      <c r="G153" s="4">
        <f>-0.37 / -0.84%</f>
        <v>44.047619047619051</v>
      </c>
      <c r="H153" t="s">
        <v>6693</v>
      </c>
      <c r="I153" t="s">
        <v>6694</v>
      </c>
      <c r="J153" t="s">
        <v>6695</v>
      </c>
      <c r="K153" t="s">
        <v>23</v>
      </c>
      <c r="L153" s="2">
        <v>1.375E-2</v>
      </c>
      <c r="M153" t="s">
        <v>6696</v>
      </c>
      <c r="N153" t="s">
        <v>28</v>
      </c>
      <c r="O153" t="s">
        <v>1000</v>
      </c>
      <c r="P153" t="s">
        <v>6697</v>
      </c>
      <c r="Q153" t="s">
        <v>6697</v>
      </c>
      <c r="R153" t="s">
        <v>6697</v>
      </c>
      <c r="S153" t="s">
        <v>6698</v>
      </c>
      <c r="T153" t="s">
        <v>6699</v>
      </c>
      <c r="U153" t="s">
        <v>6699</v>
      </c>
      <c r="V153" t="s">
        <v>6700</v>
      </c>
      <c r="W153" t="s">
        <v>4324</v>
      </c>
      <c r="X153" t="s">
        <v>4324</v>
      </c>
      <c r="Y153" t="s">
        <v>4324</v>
      </c>
      <c r="Z153" t="s">
        <v>4324</v>
      </c>
      <c r="AA153" t="s">
        <v>6701</v>
      </c>
      <c r="AB153" s="2">
        <v>-4.6199999999999998E-2</v>
      </c>
      <c r="AC153" s="2">
        <v>-2.8199999999999999E-2</v>
      </c>
      <c r="AD153" s="2">
        <v>5.3E-3</v>
      </c>
      <c r="AE153" s="2">
        <v>-2.8199999999999999E-2</v>
      </c>
      <c r="AF153" s="2">
        <v>-2.7099999999999999E-2</v>
      </c>
      <c r="AG153" s="2">
        <v>-0.45950000000000002</v>
      </c>
      <c r="AH153" t="s">
        <v>6037</v>
      </c>
      <c r="AI153" t="s">
        <v>130</v>
      </c>
      <c r="AJ153" t="s">
        <v>131</v>
      </c>
      <c r="AK153" t="s">
        <v>40</v>
      </c>
      <c r="AL153">
        <v>1</v>
      </c>
      <c r="AM153" t="s">
        <v>41</v>
      </c>
      <c r="AN153" t="s">
        <v>42</v>
      </c>
      <c r="AO153" t="s">
        <v>1000</v>
      </c>
      <c r="AP153" t="s">
        <v>6702</v>
      </c>
      <c r="AQ153" t="s">
        <v>6702</v>
      </c>
      <c r="AR153" t="s">
        <v>48</v>
      </c>
      <c r="AS153" t="s">
        <v>48</v>
      </c>
    </row>
    <row r="154" spans="1:55" x14ac:dyDescent="0.4">
      <c r="A154" t="s">
        <v>4453</v>
      </c>
      <c r="B154" t="s">
        <v>10</v>
      </c>
      <c r="C154" t="s">
        <v>4606</v>
      </c>
      <c r="D154" t="s">
        <v>11</v>
      </c>
      <c r="E154" s="2">
        <v>-1.2999999999999999E-3</v>
      </c>
      <c r="F154" t="s">
        <v>310</v>
      </c>
      <c r="G154" s="4">
        <f>-0.11 / -0.13%</f>
        <v>84.615384615384613</v>
      </c>
      <c r="H154" t="s">
        <v>4606</v>
      </c>
      <c r="I154" t="s">
        <v>4607</v>
      </c>
      <c r="J154" t="s">
        <v>6030</v>
      </c>
      <c r="K154" t="s">
        <v>23</v>
      </c>
      <c r="L154" s="2">
        <v>4.4999999999999997E-3</v>
      </c>
      <c r="M154" t="s">
        <v>6031</v>
      </c>
      <c r="N154" t="s">
        <v>28</v>
      </c>
      <c r="O154" t="s">
        <v>6032</v>
      </c>
      <c r="P154" t="s">
        <v>1923</v>
      </c>
      <c r="Q154" t="s">
        <v>1923</v>
      </c>
      <c r="R154" t="s">
        <v>6033</v>
      </c>
      <c r="S154" t="s">
        <v>6034</v>
      </c>
      <c r="T154" t="s">
        <v>6035</v>
      </c>
      <c r="U154" t="s">
        <v>6035</v>
      </c>
      <c r="V154" t="s">
        <v>6036</v>
      </c>
      <c r="W154" t="s">
        <v>768</v>
      </c>
      <c r="X154" t="s">
        <v>768</v>
      </c>
      <c r="Y154" t="s">
        <v>768</v>
      </c>
      <c r="Z154" t="s">
        <v>768</v>
      </c>
      <c r="AA154" t="s">
        <v>928</v>
      </c>
      <c r="AB154" s="2">
        <v>-4.4000000000000003E-3</v>
      </c>
      <c r="AC154" s="2">
        <v>-8.6E-3</v>
      </c>
      <c r="AD154" s="2">
        <v>2.23E-2</v>
      </c>
      <c r="AE154" s="2">
        <v>3.9800000000000002E-2</v>
      </c>
      <c r="AF154" s="2">
        <v>6.7799999999999999E-2</v>
      </c>
      <c r="AG154" s="2">
        <v>-0.14630000000000001</v>
      </c>
      <c r="AH154" t="s">
        <v>6037</v>
      </c>
      <c r="AI154" t="s">
        <v>130</v>
      </c>
      <c r="AJ154" t="s">
        <v>131</v>
      </c>
      <c r="AK154" t="s">
        <v>40</v>
      </c>
      <c r="AL154">
        <v>1</v>
      </c>
      <c r="AM154" t="s">
        <v>41</v>
      </c>
      <c r="AN154" t="s">
        <v>42</v>
      </c>
      <c r="AO154" t="s">
        <v>6032</v>
      </c>
      <c r="AP154" t="s">
        <v>407</v>
      </c>
      <c r="AQ154" t="s">
        <v>407</v>
      </c>
      <c r="AR154" t="s">
        <v>48</v>
      </c>
      <c r="AS154" t="s">
        <v>48</v>
      </c>
    </row>
    <row r="155" spans="1:55" x14ac:dyDescent="0.4">
      <c r="A155" t="s">
        <v>4453</v>
      </c>
      <c r="B155" t="s">
        <v>10</v>
      </c>
      <c r="C155" t="s">
        <v>866</v>
      </c>
      <c r="D155" t="s">
        <v>11</v>
      </c>
      <c r="E155" s="2">
        <v>-4.0000000000000002E-4</v>
      </c>
      <c r="F155" t="s">
        <v>310</v>
      </c>
      <c r="G155" s="4">
        <f>-0.04 / -0.04%</f>
        <v>100</v>
      </c>
      <c r="H155" t="s">
        <v>866</v>
      </c>
      <c r="I155" t="s">
        <v>7106</v>
      </c>
      <c r="J155" t="s">
        <v>7277</v>
      </c>
      <c r="K155" t="s">
        <v>23</v>
      </c>
      <c r="L155" s="2">
        <v>4.8000000000000001E-2</v>
      </c>
      <c r="M155" t="s">
        <v>4787</v>
      </c>
      <c r="N155" t="s">
        <v>121</v>
      </c>
      <c r="O155" t="s">
        <v>679</v>
      </c>
      <c r="P155" t="s">
        <v>2850</v>
      </c>
      <c r="Q155" t="s">
        <v>2850</v>
      </c>
      <c r="R155" t="s">
        <v>2850</v>
      </c>
      <c r="S155" t="s">
        <v>5279</v>
      </c>
      <c r="T155" t="s">
        <v>5279</v>
      </c>
      <c r="U155" t="s">
        <v>5279</v>
      </c>
      <c r="V155" t="s">
        <v>473</v>
      </c>
      <c r="W155" t="s">
        <v>1030</v>
      </c>
      <c r="X155" t="s">
        <v>1721</v>
      </c>
      <c r="Y155" t="s">
        <v>1721</v>
      </c>
      <c r="Z155" t="s">
        <v>1721</v>
      </c>
      <c r="AA155" t="s">
        <v>1721</v>
      </c>
      <c r="AB155" s="2">
        <v>-3.7000000000000002E-3</v>
      </c>
      <c r="AC155" s="2">
        <v>-1.35E-2</v>
      </c>
      <c r="AD155" s="2">
        <v>-7.7999999999999996E-3</v>
      </c>
      <c r="AE155" s="2">
        <v>-1.06E-2</v>
      </c>
      <c r="AF155" s="2">
        <v>-1.35E-2</v>
      </c>
      <c r="AG155" s="2">
        <v>-1.35E-2</v>
      </c>
      <c r="AH155" t="s">
        <v>7278</v>
      </c>
      <c r="AI155" t="s">
        <v>130</v>
      </c>
      <c r="AJ155" t="s">
        <v>131</v>
      </c>
      <c r="AK155" t="s">
        <v>40</v>
      </c>
      <c r="AL155">
        <v>2</v>
      </c>
      <c r="AM155" t="s">
        <v>41</v>
      </c>
      <c r="AN155" t="s">
        <v>42</v>
      </c>
      <c r="AO155" t="s">
        <v>679</v>
      </c>
      <c r="AP155" t="s">
        <v>4863</v>
      </c>
      <c r="AQ155" t="s">
        <v>4863</v>
      </c>
      <c r="AR155" t="s">
        <v>133</v>
      </c>
      <c r="AS155" t="s">
        <v>133</v>
      </c>
    </row>
    <row r="156" spans="1:55" x14ac:dyDescent="0.4">
      <c r="A156" t="s">
        <v>251</v>
      </c>
      <c r="B156" t="s">
        <v>10</v>
      </c>
      <c r="C156" s="1">
        <v>98819</v>
      </c>
      <c r="D156" t="s">
        <v>11</v>
      </c>
      <c r="E156" s="2">
        <v>-2.0000000000000001E-4</v>
      </c>
      <c r="F156" t="s">
        <v>12</v>
      </c>
      <c r="G156" s="4">
        <f>-0.021 / -0.02%</f>
        <v>105</v>
      </c>
      <c r="H156" s="1">
        <v>98819</v>
      </c>
      <c r="I156" t="s">
        <v>1408</v>
      </c>
      <c r="J156" t="s">
        <v>1409</v>
      </c>
      <c r="K156" t="s">
        <v>23</v>
      </c>
      <c r="L156" s="2">
        <v>3.7499999999999999E-3</v>
      </c>
      <c r="M156" t="s">
        <v>1410</v>
      </c>
      <c r="N156" t="s">
        <v>28</v>
      </c>
      <c r="O156" t="s">
        <v>1411</v>
      </c>
      <c r="P156" t="s">
        <v>191</v>
      </c>
      <c r="Q156" s="1">
        <v>98197</v>
      </c>
      <c r="R156" s="1">
        <v>97092</v>
      </c>
      <c r="S156" s="1">
        <v>95575</v>
      </c>
      <c r="T156" s="1">
        <v>92365</v>
      </c>
      <c r="U156" t="s">
        <v>1412</v>
      </c>
      <c r="V156" s="1">
        <v>98992</v>
      </c>
      <c r="W156" s="1">
        <v>98992</v>
      </c>
      <c r="X156" s="1">
        <v>98992</v>
      </c>
      <c r="Y156" s="1">
        <v>98992</v>
      </c>
      <c r="Z156" s="1">
        <v>98992</v>
      </c>
      <c r="AA156" s="1">
        <v>100495</v>
      </c>
      <c r="AB156" s="2">
        <v>3.3999999999999998E-3</v>
      </c>
      <c r="AC156" s="2">
        <v>6.0000000000000001E-3</v>
      </c>
      <c r="AD156" s="2">
        <v>1.7600000000000001E-2</v>
      </c>
      <c r="AE156" s="2">
        <v>3.3099999999999997E-2</v>
      </c>
      <c r="AF156" s="2">
        <v>5.91E-2</v>
      </c>
      <c r="AG156" s="2">
        <v>-1.6500000000000001E-2</v>
      </c>
      <c r="AH156" t="s">
        <v>1413</v>
      </c>
      <c r="AI156" t="s">
        <v>232</v>
      </c>
      <c r="AJ156" t="s">
        <v>131</v>
      </c>
      <c r="AK156" t="s">
        <v>40</v>
      </c>
      <c r="AL156">
        <v>1</v>
      </c>
      <c r="AM156" t="s">
        <v>41</v>
      </c>
      <c r="AN156" t="s">
        <v>42</v>
      </c>
      <c r="AO156" t="s">
        <v>1411</v>
      </c>
      <c r="AP156" t="s">
        <v>171</v>
      </c>
      <c r="AQ156" t="s">
        <v>171</v>
      </c>
      <c r="AR156" t="s">
        <v>48</v>
      </c>
      <c r="AS156" t="s">
        <v>48</v>
      </c>
    </row>
    <row r="157" spans="1:55" x14ac:dyDescent="0.4">
      <c r="A157" t="s">
        <v>161</v>
      </c>
      <c r="B157" t="s">
        <v>10</v>
      </c>
      <c r="C157" t="s">
        <v>3601</v>
      </c>
      <c r="D157" t="s">
        <v>11</v>
      </c>
      <c r="E157" s="2">
        <v>1.6000000000000001E-3</v>
      </c>
      <c r="F157" t="s">
        <v>12</v>
      </c>
      <c r="G157" s="4" t="s">
        <v>3596</v>
      </c>
      <c r="H157" t="s">
        <v>3601</v>
      </c>
      <c r="I157" t="s">
        <v>4950</v>
      </c>
      <c r="J157" t="s">
        <v>4951</v>
      </c>
      <c r="K157" t="s">
        <v>23</v>
      </c>
      <c r="L157" s="2">
        <v>0.03</v>
      </c>
      <c r="M157" t="s">
        <v>4952</v>
      </c>
      <c r="N157" t="s">
        <v>121</v>
      </c>
      <c r="O157" t="s">
        <v>3187</v>
      </c>
      <c r="P157" t="s">
        <v>4953</v>
      </c>
      <c r="Q157" t="s">
        <v>4953</v>
      </c>
      <c r="R157" t="s">
        <v>4953</v>
      </c>
      <c r="S157" t="s">
        <v>2922</v>
      </c>
      <c r="T157" t="s">
        <v>4954</v>
      </c>
      <c r="U157" t="s">
        <v>4955</v>
      </c>
      <c r="V157" t="s">
        <v>4956</v>
      </c>
      <c r="W157" t="s">
        <v>4957</v>
      </c>
      <c r="X157" t="s">
        <v>2231</v>
      </c>
      <c r="Y157" t="s">
        <v>2231</v>
      </c>
      <c r="Z157" t="s">
        <v>2231</v>
      </c>
      <c r="AA157" t="s">
        <v>2659</v>
      </c>
      <c r="AB157" s="2">
        <v>2.5000000000000001E-3</v>
      </c>
      <c r="AC157" s="2">
        <v>-1.15E-2</v>
      </c>
      <c r="AD157" s="2">
        <v>0</v>
      </c>
      <c r="AE157" s="2">
        <v>1.41E-2</v>
      </c>
      <c r="AF157" s="2">
        <v>-8.5000000000000006E-3</v>
      </c>
      <c r="AG157" s="2">
        <v>-0.1055</v>
      </c>
      <c r="AH157" t="s">
        <v>4958</v>
      </c>
      <c r="AI157" t="s">
        <v>130</v>
      </c>
      <c r="AJ157" t="s">
        <v>131</v>
      </c>
      <c r="AK157" t="s">
        <v>40</v>
      </c>
      <c r="AL157">
        <v>200</v>
      </c>
      <c r="AM157" t="s">
        <v>41</v>
      </c>
      <c r="AN157" t="s">
        <v>42</v>
      </c>
      <c r="AO157" t="s">
        <v>3187</v>
      </c>
      <c r="AP157" t="s">
        <v>4959</v>
      </c>
      <c r="AQ157" t="s">
        <v>4959</v>
      </c>
      <c r="AR157" t="s">
        <v>133</v>
      </c>
      <c r="AS157" t="s">
        <v>133</v>
      </c>
    </row>
    <row r="158" spans="1:55" x14ac:dyDescent="0.4">
      <c r="A158" t="s">
        <v>3643</v>
      </c>
      <c r="B158" t="s">
        <v>10</v>
      </c>
      <c r="C158" s="1">
        <v>97948</v>
      </c>
      <c r="D158" t="s">
        <v>11</v>
      </c>
      <c r="E158" s="2">
        <v>-2.0000000000000001E-4</v>
      </c>
      <c r="F158" t="s">
        <v>12</v>
      </c>
      <c r="G158" s="4">
        <f>-0.023 / -0.02%</f>
        <v>114.99999999999999</v>
      </c>
      <c r="H158" s="1">
        <v>97948</v>
      </c>
      <c r="I158" t="s">
        <v>3644</v>
      </c>
      <c r="J158" t="s">
        <v>3645</v>
      </c>
      <c r="K158" t="s">
        <v>23</v>
      </c>
      <c r="L158" s="2">
        <v>8.7500000000000008E-3</v>
      </c>
      <c r="M158" t="s">
        <v>3646</v>
      </c>
      <c r="N158" t="s">
        <v>28</v>
      </c>
      <c r="O158" t="s">
        <v>3647</v>
      </c>
      <c r="P158" s="1">
        <v>97842</v>
      </c>
      <c r="Q158" s="1">
        <v>97332</v>
      </c>
      <c r="R158" s="1">
        <v>96187</v>
      </c>
      <c r="S158" t="s">
        <v>1595</v>
      </c>
      <c r="T158" t="s">
        <v>3648</v>
      </c>
      <c r="U158" t="s">
        <v>3649</v>
      </c>
      <c r="V158" s="1">
        <v>98084</v>
      </c>
      <c r="W158" s="1">
        <v>98084</v>
      </c>
      <c r="X158" s="1">
        <v>98084</v>
      </c>
      <c r="Y158" s="1">
        <v>98084</v>
      </c>
      <c r="Z158" s="1">
        <v>98084</v>
      </c>
      <c r="AA158" t="s">
        <v>3650</v>
      </c>
      <c r="AB158" s="2">
        <v>-5.9999999999999995E-4</v>
      </c>
      <c r="AC158" s="2">
        <v>4.8999999999999998E-3</v>
      </c>
      <c r="AD158" s="2">
        <v>1.7999999999999999E-2</v>
      </c>
      <c r="AE158" s="2">
        <v>2.9700000000000001E-2</v>
      </c>
      <c r="AF158" s="2">
        <v>5.2999999999999999E-2</v>
      </c>
      <c r="AG158" s="2">
        <v>-4.07E-2</v>
      </c>
      <c r="AH158" t="s">
        <v>3651</v>
      </c>
      <c r="AI158" t="s">
        <v>232</v>
      </c>
      <c r="AJ158" t="s">
        <v>131</v>
      </c>
      <c r="AK158" t="s">
        <v>40</v>
      </c>
      <c r="AL158">
        <v>1</v>
      </c>
      <c r="AM158" t="s">
        <v>41</v>
      </c>
      <c r="AN158" t="s">
        <v>42</v>
      </c>
      <c r="AO158" t="s">
        <v>3647</v>
      </c>
      <c r="AP158" t="s">
        <v>225</v>
      </c>
      <c r="AQ158" t="s">
        <v>225</v>
      </c>
      <c r="AR158" t="s">
        <v>48</v>
      </c>
      <c r="AS158" t="s">
        <v>48</v>
      </c>
    </row>
    <row r="159" spans="1:55" x14ac:dyDescent="0.4">
      <c r="A159" t="s">
        <v>9</v>
      </c>
      <c r="B159" t="s">
        <v>10</v>
      </c>
      <c r="C159" t="s">
        <v>7249</v>
      </c>
      <c r="D159" t="s">
        <v>11</v>
      </c>
      <c r="E159" s="2">
        <v>3.0000000000000001E-3</v>
      </c>
      <c r="F159" t="s">
        <v>12</v>
      </c>
      <c r="G159" s="4" t="s">
        <v>7250</v>
      </c>
      <c r="H159" t="s">
        <v>7249</v>
      </c>
      <c r="I159" t="s">
        <v>7251</v>
      </c>
      <c r="J159" t="s">
        <v>7252</v>
      </c>
      <c r="K159" t="s">
        <v>23</v>
      </c>
      <c r="L159" s="2">
        <v>4.1000000000000002E-2</v>
      </c>
      <c r="M159" t="s">
        <v>1921</v>
      </c>
      <c r="N159" t="s">
        <v>121</v>
      </c>
      <c r="O159" t="s">
        <v>7253</v>
      </c>
      <c r="P159" t="s">
        <v>7254</v>
      </c>
      <c r="Q159" t="s">
        <v>7254</v>
      </c>
      <c r="R159" t="s">
        <v>7254</v>
      </c>
      <c r="S159" t="s">
        <v>5419</v>
      </c>
      <c r="T159" t="s">
        <v>5214</v>
      </c>
      <c r="U159" t="s">
        <v>5214</v>
      </c>
      <c r="V159" t="s">
        <v>5232</v>
      </c>
      <c r="W159" t="s">
        <v>1215</v>
      </c>
      <c r="X159" t="s">
        <v>1178</v>
      </c>
      <c r="Y159" t="s">
        <v>1178</v>
      </c>
      <c r="Z159" t="s">
        <v>1178</v>
      </c>
      <c r="AA159" t="s">
        <v>7255</v>
      </c>
      <c r="AB159" s="2">
        <v>-2E-3</v>
      </c>
      <c r="AC159" s="2">
        <v>-2.06E-2</v>
      </c>
      <c r="AD159" s="2">
        <v>-7.4000000000000003E-3</v>
      </c>
      <c r="AE159" s="2">
        <v>-1.11E-2</v>
      </c>
      <c r="AF159" s="2">
        <v>-3.2399999999999998E-2</v>
      </c>
      <c r="AG159" s="2">
        <v>-6.0900000000000003E-2</v>
      </c>
      <c r="AH159" t="s">
        <v>7256</v>
      </c>
      <c r="AI159" t="s">
        <v>130</v>
      </c>
      <c r="AJ159" t="s">
        <v>131</v>
      </c>
      <c r="AK159" t="s">
        <v>40</v>
      </c>
      <c r="AL159">
        <v>2</v>
      </c>
      <c r="AM159" t="s">
        <v>41</v>
      </c>
      <c r="AN159" t="s">
        <v>42</v>
      </c>
      <c r="AO159" t="s">
        <v>7253</v>
      </c>
      <c r="AP159" t="s">
        <v>7257</v>
      </c>
      <c r="AQ159" t="s">
        <v>7257</v>
      </c>
      <c r="AR159" t="s">
        <v>133</v>
      </c>
      <c r="AS159" t="s">
        <v>133</v>
      </c>
    </row>
    <row r="160" spans="1:55" x14ac:dyDescent="0.4">
      <c r="A160" t="s">
        <v>76</v>
      </c>
      <c r="B160" t="s">
        <v>10</v>
      </c>
      <c r="C160" t="s">
        <v>3043</v>
      </c>
      <c r="D160" t="s">
        <v>11</v>
      </c>
      <c r="E160" s="2">
        <v>6.3E-3</v>
      </c>
      <c r="F160" t="s">
        <v>12</v>
      </c>
      <c r="G160" s="4" t="s">
        <v>7258</v>
      </c>
      <c r="H160" t="s">
        <v>3043</v>
      </c>
      <c r="I160" t="s">
        <v>7259</v>
      </c>
      <c r="J160" t="s">
        <v>7260</v>
      </c>
      <c r="K160" t="s">
        <v>23</v>
      </c>
      <c r="L160" s="2">
        <v>4.8750000000000002E-2</v>
      </c>
      <c r="M160" t="s">
        <v>7261</v>
      </c>
      <c r="N160" t="s">
        <v>121</v>
      </c>
      <c r="O160" t="s">
        <v>7262</v>
      </c>
      <c r="P160" t="s">
        <v>7263</v>
      </c>
      <c r="Q160" t="s">
        <v>7263</v>
      </c>
      <c r="R160" t="s">
        <v>7263</v>
      </c>
      <c r="S160" t="s">
        <v>7263</v>
      </c>
      <c r="T160" t="s">
        <v>7264</v>
      </c>
      <c r="U160" t="s">
        <v>7264</v>
      </c>
      <c r="V160" t="s">
        <v>2159</v>
      </c>
      <c r="W160" t="s">
        <v>7265</v>
      </c>
      <c r="X160" t="s">
        <v>616</v>
      </c>
      <c r="Y160" t="s">
        <v>616</v>
      </c>
      <c r="Z160" t="s">
        <v>1834</v>
      </c>
      <c r="AA160" t="s">
        <v>7266</v>
      </c>
      <c r="AB160" s="2">
        <v>6.1999999999999998E-3</v>
      </c>
      <c r="AC160" s="2">
        <v>-2.29E-2</v>
      </c>
      <c r="AD160" s="2">
        <v>-2.7699999999999999E-2</v>
      </c>
      <c r="AE160" s="2">
        <v>-5.96E-2</v>
      </c>
      <c r="AF160" s="2">
        <v>-7.9299999999999995E-2</v>
      </c>
      <c r="AG160" s="2">
        <v>-0.22670000000000001</v>
      </c>
      <c r="AH160" t="s">
        <v>7267</v>
      </c>
      <c r="AI160" t="s">
        <v>130</v>
      </c>
      <c r="AJ160" t="s">
        <v>131</v>
      </c>
      <c r="AK160" t="s">
        <v>40</v>
      </c>
      <c r="AL160">
        <v>2</v>
      </c>
      <c r="AM160" t="s">
        <v>41</v>
      </c>
      <c r="AN160" t="s">
        <v>42</v>
      </c>
      <c r="AO160" t="s">
        <v>7262</v>
      </c>
      <c r="AP160" t="s">
        <v>1825</v>
      </c>
      <c r="AQ160" t="s">
        <v>7268</v>
      </c>
      <c r="AR160" t="s">
        <v>133</v>
      </c>
      <c r="AS160" t="s">
        <v>133</v>
      </c>
    </row>
    <row r="161" spans="1:54" x14ac:dyDescent="0.4">
      <c r="A161" t="s">
        <v>4453</v>
      </c>
      <c r="B161" t="s">
        <v>10</v>
      </c>
      <c r="C161" t="s">
        <v>2892</v>
      </c>
      <c r="D161" t="s">
        <v>11</v>
      </c>
      <c r="E161" s="2">
        <v>1.6000000000000001E-3</v>
      </c>
      <c r="F161" t="s">
        <v>310</v>
      </c>
      <c r="G161" s="4" t="s">
        <v>117</v>
      </c>
      <c r="H161" t="s">
        <v>2892</v>
      </c>
      <c r="I161" t="s">
        <v>6363</v>
      </c>
      <c r="J161" t="s">
        <v>6364</v>
      </c>
      <c r="K161" t="s">
        <v>23</v>
      </c>
      <c r="L161" s="2">
        <v>0.03</v>
      </c>
      <c r="M161" t="s">
        <v>3841</v>
      </c>
      <c r="N161" t="s">
        <v>121</v>
      </c>
      <c r="O161" t="s">
        <v>4184</v>
      </c>
      <c r="P161" t="s">
        <v>1122</v>
      </c>
      <c r="Q161" t="s">
        <v>6365</v>
      </c>
      <c r="R161" t="s">
        <v>1731</v>
      </c>
      <c r="S161" t="s">
        <v>6366</v>
      </c>
      <c r="T161" t="s">
        <v>2043</v>
      </c>
      <c r="U161" t="s">
        <v>6367</v>
      </c>
      <c r="V161" t="s">
        <v>4560</v>
      </c>
      <c r="W161" t="s">
        <v>1297</v>
      </c>
      <c r="X161" t="s">
        <v>1297</v>
      </c>
      <c r="Y161" t="s">
        <v>1297</v>
      </c>
      <c r="Z161" t="s">
        <v>1297</v>
      </c>
      <c r="AA161" t="s">
        <v>2833</v>
      </c>
      <c r="AB161" s="2">
        <v>-2.5000000000000001E-3</v>
      </c>
      <c r="AC161" s="2">
        <v>4.4699999999999997E-2</v>
      </c>
      <c r="AD161" s="2">
        <v>5.28E-2</v>
      </c>
      <c r="AE161" s="2">
        <v>8.7400000000000005E-2</v>
      </c>
      <c r="AF161" s="2">
        <v>0.19209999999999999</v>
      </c>
      <c r="AG161" s="2">
        <v>-4.2700000000000002E-2</v>
      </c>
      <c r="AH161" t="s">
        <v>6368</v>
      </c>
      <c r="AI161" t="s">
        <v>130</v>
      </c>
      <c r="AJ161" t="s">
        <v>131</v>
      </c>
      <c r="AK161" t="s">
        <v>40</v>
      </c>
      <c r="AL161">
        <v>100</v>
      </c>
      <c r="AM161" t="s">
        <v>41</v>
      </c>
      <c r="AN161" t="s">
        <v>42</v>
      </c>
      <c r="AO161" t="s">
        <v>4184</v>
      </c>
      <c r="AP161" t="s">
        <v>6369</v>
      </c>
      <c r="AQ161" t="s">
        <v>6369</v>
      </c>
      <c r="AR161" t="s">
        <v>48</v>
      </c>
      <c r="AS161" t="s">
        <v>48</v>
      </c>
    </row>
    <row r="162" spans="1:54" x14ac:dyDescent="0.4">
      <c r="A162" t="s">
        <v>4462</v>
      </c>
      <c r="B162" t="s">
        <v>10</v>
      </c>
      <c r="C162" t="s">
        <v>1950</v>
      </c>
      <c r="D162" t="s">
        <v>11</v>
      </c>
      <c r="E162" s="2">
        <v>-1.9E-3</v>
      </c>
      <c r="F162" t="s">
        <v>310</v>
      </c>
      <c r="G162" s="4">
        <f>-0.19 / -0.19%</f>
        <v>100</v>
      </c>
      <c r="H162" t="s">
        <v>1950</v>
      </c>
      <c r="I162" t="s">
        <v>4966</v>
      </c>
      <c r="J162" t="s">
        <v>4967</v>
      </c>
      <c r="K162" t="s">
        <v>23</v>
      </c>
      <c r="L162" s="2">
        <v>8.5000000000000006E-2</v>
      </c>
      <c r="M162" t="s">
        <v>4968</v>
      </c>
      <c r="N162" t="s">
        <v>121</v>
      </c>
      <c r="O162" t="s">
        <v>4391</v>
      </c>
      <c r="P162" t="s">
        <v>1102</v>
      </c>
      <c r="Q162" t="s">
        <v>1102</v>
      </c>
      <c r="R162" t="s">
        <v>1102</v>
      </c>
      <c r="S162" t="s">
        <v>98</v>
      </c>
      <c r="T162" t="s">
        <v>640</v>
      </c>
      <c r="U162" t="s">
        <v>4767</v>
      </c>
      <c r="V162" t="s">
        <v>2550</v>
      </c>
      <c r="W162" t="s">
        <v>2550</v>
      </c>
      <c r="X162" t="s">
        <v>2180</v>
      </c>
      <c r="Y162" t="s">
        <v>2180</v>
      </c>
      <c r="Z162" t="s">
        <v>2180</v>
      </c>
      <c r="AA162" t="s">
        <v>4969</v>
      </c>
      <c r="AB162" s="2">
        <v>-8.6E-3</v>
      </c>
      <c r="AC162" s="2">
        <v>-8.0000000000000002E-3</v>
      </c>
      <c r="AD162" s="2">
        <v>-1.6999999999999999E-3</v>
      </c>
      <c r="AE162" s="2">
        <v>7.6E-3</v>
      </c>
      <c r="AF162" s="2">
        <v>5.1900000000000002E-2</v>
      </c>
      <c r="AG162" s="2">
        <v>-7.1800000000000003E-2</v>
      </c>
      <c r="AH162" t="s">
        <v>4970</v>
      </c>
      <c r="AI162" t="s">
        <v>130</v>
      </c>
      <c r="AJ162" t="s">
        <v>131</v>
      </c>
      <c r="AK162" t="s">
        <v>40</v>
      </c>
      <c r="AL162">
        <v>100</v>
      </c>
      <c r="AM162" t="s">
        <v>41</v>
      </c>
      <c r="AN162" t="s">
        <v>42</v>
      </c>
      <c r="AO162" t="s">
        <v>4391</v>
      </c>
      <c r="AP162" t="s">
        <v>643</v>
      </c>
      <c r="AQ162" t="s">
        <v>643</v>
      </c>
      <c r="AR162" t="s">
        <v>133</v>
      </c>
      <c r="AS162" t="s">
        <v>133</v>
      </c>
    </row>
    <row r="163" spans="1:54" x14ac:dyDescent="0.4">
      <c r="A163" t="s">
        <v>740</v>
      </c>
      <c r="B163" t="s">
        <v>10</v>
      </c>
      <c r="C163" t="s">
        <v>1758</v>
      </c>
      <c r="D163" t="s">
        <v>11</v>
      </c>
      <c r="E163" s="2">
        <v>3.3999999999999998E-3</v>
      </c>
      <c r="F163" t="s">
        <v>12</v>
      </c>
      <c r="G163" s="4" t="s">
        <v>1759</v>
      </c>
      <c r="H163" t="s">
        <v>1758</v>
      </c>
      <c r="I163" t="s">
        <v>1760</v>
      </c>
      <c r="J163" t="s">
        <v>1761</v>
      </c>
      <c r="K163" t="s">
        <v>23</v>
      </c>
      <c r="L163" s="2">
        <v>0.08</v>
      </c>
      <c r="M163" t="s">
        <v>1762</v>
      </c>
      <c r="N163" t="s">
        <v>121</v>
      </c>
      <c r="O163" t="s">
        <v>1763</v>
      </c>
      <c r="P163" t="s">
        <v>1538</v>
      </c>
      <c r="Q163" t="s">
        <v>1764</v>
      </c>
      <c r="R163" t="s">
        <v>1764</v>
      </c>
      <c r="S163" t="s">
        <v>1764</v>
      </c>
      <c r="T163" t="s">
        <v>110</v>
      </c>
      <c r="U163" t="s">
        <v>110</v>
      </c>
      <c r="V163" t="s">
        <v>1765</v>
      </c>
      <c r="W163" t="s">
        <v>1765</v>
      </c>
      <c r="X163" t="s">
        <v>1766</v>
      </c>
      <c r="Y163" t="s">
        <v>1767</v>
      </c>
      <c r="Z163" t="s">
        <v>1767</v>
      </c>
      <c r="AA163" t="s">
        <v>1767</v>
      </c>
      <c r="AB163" s="2">
        <v>1.2200000000000001E-2</v>
      </c>
      <c r="AC163" s="2">
        <v>1.0699999999999999E-2</v>
      </c>
      <c r="AD163" s="2">
        <v>3.3999999999999998E-3</v>
      </c>
      <c r="AE163" s="2">
        <v>3.3999999999999998E-3</v>
      </c>
      <c r="AF163" s="2">
        <v>3.3500000000000002E-2</v>
      </c>
      <c r="AG163" s="2">
        <v>3.3500000000000002E-2</v>
      </c>
      <c r="AH163" t="s">
        <v>1768</v>
      </c>
      <c r="AI163" t="s">
        <v>232</v>
      </c>
      <c r="AJ163" t="s">
        <v>131</v>
      </c>
      <c r="AK163" t="s">
        <v>40</v>
      </c>
      <c r="AL163">
        <v>1</v>
      </c>
      <c r="AM163" t="s">
        <v>41</v>
      </c>
      <c r="AN163" t="s">
        <v>42</v>
      </c>
      <c r="AO163" t="s">
        <v>1763</v>
      </c>
      <c r="AP163" t="s">
        <v>978</v>
      </c>
      <c r="AQ163">
        <v>1</v>
      </c>
      <c r="BA163" t="s">
        <v>174</v>
      </c>
      <c r="BB163" t="s">
        <v>61</v>
      </c>
    </row>
    <row r="164" spans="1:54" x14ac:dyDescent="0.4">
      <c r="A164" t="s">
        <v>4448</v>
      </c>
      <c r="B164" t="s">
        <v>10</v>
      </c>
      <c r="C164" t="s">
        <v>1966</v>
      </c>
      <c r="D164" t="s">
        <v>11</v>
      </c>
      <c r="E164" s="2">
        <v>-1.6999999999999999E-3</v>
      </c>
      <c r="F164" t="s">
        <v>4448</v>
      </c>
      <c r="G164" s="4">
        <f>-0.17 / -0.17%</f>
        <v>100</v>
      </c>
      <c r="H164" t="s">
        <v>1966</v>
      </c>
      <c r="I164" t="s">
        <v>6605</v>
      </c>
      <c r="J164" t="s">
        <v>6606</v>
      </c>
      <c r="K164" t="s">
        <v>214</v>
      </c>
      <c r="L164" s="2">
        <v>5.1499999999999997E-2</v>
      </c>
      <c r="M164" t="s">
        <v>2911</v>
      </c>
      <c r="N164" t="s">
        <v>28</v>
      </c>
      <c r="O164" t="s">
        <v>112</v>
      </c>
      <c r="P164" t="s">
        <v>6229</v>
      </c>
      <c r="Q164" t="s">
        <v>1378</v>
      </c>
      <c r="R164" t="s">
        <v>2009</v>
      </c>
      <c r="S164" t="s">
        <v>1254</v>
      </c>
      <c r="T164" t="s">
        <v>5767</v>
      </c>
      <c r="U164" t="s">
        <v>5767</v>
      </c>
      <c r="V164" t="s">
        <v>1700</v>
      </c>
      <c r="W164" t="s">
        <v>3360</v>
      </c>
      <c r="X164" t="s">
        <v>3360</v>
      </c>
      <c r="Y164" t="s">
        <v>3360</v>
      </c>
      <c r="Z164" t="s">
        <v>3360</v>
      </c>
      <c r="AA164" t="s">
        <v>3360</v>
      </c>
      <c r="AB164" s="2">
        <v>8.3000000000000001E-3</v>
      </c>
      <c r="AC164" s="2">
        <v>1.8599999999999998E-2</v>
      </c>
      <c r="AD164" s="2">
        <v>5.3600000000000002E-2</v>
      </c>
      <c r="AE164" s="2">
        <v>8.9399999999999993E-2</v>
      </c>
      <c r="AF164" s="2">
        <v>7.0400000000000004E-2</v>
      </c>
      <c r="AG164" s="2">
        <v>7.0400000000000004E-2</v>
      </c>
      <c r="AH164" t="s">
        <v>4452</v>
      </c>
      <c r="AI164" t="s">
        <v>620</v>
      </c>
      <c r="AJ164" t="s">
        <v>38</v>
      </c>
      <c r="AK164" t="s">
        <v>40</v>
      </c>
      <c r="AM164" t="s">
        <v>41</v>
      </c>
      <c r="AN164" t="s">
        <v>42</v>
      </c>
      <c r="AO164" t="s">
        <v>112</v>
      </c>
      <c r="AP164" t="s">
        <v>1485</v>
      </c>
      <c r="AQ164" t="s">
        <v>1485</v>
      </c>
      <c r="AR164" t="s">
        <v>48</v>
      </c>
      <c r="AS164" t="s">
        <v>48</v>
      </c>
      <c r="AT164" t="s">
        <v>4071</v>
      </c>
    </row>
    <row r="165" spans="1:54" x14ac:dyDescent="0.4">
      <c r="A165" t="s">
        <v>4448</v>
      </c>
      <c r="B165" t="s">
        <v>10</v>
      </c>
      <c r="C165" t="s">
        <v>553</v>
      </c>
      <c r="D165" t="s">
        <v>11</v>
      </c>
      <c r="E165" s="2">
        <v>-1.6000000000000001E-3</v>
      </c>
      <c r="F165" t="s">
        <v>4448</v>
      </c>
      <c r="G165" s="4">
        <f>-0.17 / -0.16%</f>
        <v>106.25</v>
      </c>
      <c r="H165" t="s">
        <v>553</v>
      </c>
      <c r="I165" t="s">
        <v>5918</v>
      </c>
      <c r="J165" t="s">
        <v>5919</v>
      </c>
      <c r="K165" t="s">
        <v>214</v>
      </c>
      <c r="L165" s="2">
        <v>5.4620000000000002E-2</v>
      </c>
      <c r="M165" t="s">
        <v>278</v>
      </c>
      <c r="N165" t="s">
        <v>28</v>
      </c>
      <c r="O165" t="s">
        <v>4071</v>
      </c>
      <c r="P165" t="s">
        <v>4644</v>
      </c>
      <c r="Q165" t="s">
        <v>3869</v>
      </c>
      <c r="R165" t="s">
        <v>680</v>
      </c>
      <c r="S165" t="s">
        <v>297</v>
      </c>
      <c r="T165" t="s">
        <v>5920</v>
      </c>
      <c r="U165" t="s">
        <v>5920</v>
      </c>
      <c r="V165" t="s">
        <v>2327</v>
      </c>
      <c r="W165" t="s">
        <v>5921</v>
      </c>
      <c r="X165" t="s">
        <v>5921</v>
      </c>
      <c r="Y165" t="s">
        <v>5921</v>
      </c>
      <c r="Z165" t="s">
        <v>5921</v>
      </c>
      <c r="AA165" t="s">
        <v>5921</v>
      </c>
      <c r="AB165" s="2">
        <v>8.0999999999999996E-3</v>
      </c>
      <c r="AC165" s="2">
        <v>1.7899999999999999E-2</v>
      </c>
      <c r="AD165" s="2">
        <v>5.2200000000000003E-2</v>
      </c>
      <c r="AE165" s="2">
        <v>8.6599999999999996E-2</v>
      </c>
      <c r="AF165" s="2">
        <v>6.08E-2</v>
      </c>
      <c r="AG165" s="2">
        <v>6.08E-2</v>
      </c>
      <c r="AH165" t="s">
        <v>4452</v>
      </c>
      <c r="AI165" t="s">
        <v>620</v>
      </c>
      <c r="AJ165" t="s">
        <v>38</v>
      </c>
      <c r="AK165" t="s">
        <v>40</v>
      </c>
      <c r="AM165" t="s">
        <v>41</v>
      </c>
      <c r="AN165" t="s">
        <v>42</v>
      </c>
      <c r="AO165" t="s">
        <v>4071</v>
      </c>
      <c r="AP165" t="s">
        <v>3127</v>
      </c>
      <c r="AQ165" t="s">
        <v>3127</v>
      </c>
      <c r="AR165" t="s">
        <v>48</v>
      </c>
      <c r="AS165" t="s">
        <v>48</v>
      </c>
      <c r="AT165" t="s">
        <v>108</v>
      </c>
    </row>
    <row r="166" spans="1:54" x14ac:dyDescent="0.4">
      <c r="A166" t="s">
        <v>4448</v>
      </c>
      <c r="B166" t="s">
        <v>10</v>
      </c>
      <c r="C166" t="s">
        <v>6607</v>
      </c>
      <c r="D166" t="s">
        <v>11</v>
      </c>
      <c r="E166" s="2">
        <v>-1.6999999999999999E-3</v>
      </c>
      <c r="F166" t="s">
        <v>4448</v>
      </c>
      <c r="G166" s="4">
        <f>-0.18 / -0.17%</f>
        <v>105.88235294117646</v>
      </c>
      <c r="H166" t="s">
        <v>6607</v>
      </c>
      <c r="I166" t="s">
        <v>6608</v>
      </c>
      <c r="J166" t="s">
        <v>6609</v>
      </c>
      <c r="K166" t="s">
        <v>214</v>
      </c>
      <c r="L166" s="2">
        <v>3.78E-2</v>
      </c>
      <c r="M166" t="s">
        <v>4668</v>
      </c>
      <c r="N166" t="s">
        <v>28</v>
      </c>
      <c r="O166" t="s">
        <v>278</v>
      </c>
      <c r="P166" t="s">
        <v>324</v>
      </c>
      <c r="Q166" t="s">
        <v>324</v>
      </c>
      <c r="R166" t="s">
        <v>169</v>
      </c>
      <c r="S166" t="s">
        <v>2806</v>
      </c>
      <c r="T166" t="s">
        <v>2806</v>
      </c>
      <c r="U166" t="s">
        <v>2806</v>
      </c>
      <c r="V166" t="s">
        <v>6610</v>
      </c>
      <c r="W166" t="s">
        <v>2751</v>
      </c>
      <c r="X166" t="s">
        <v>2751</v>
      </c>
      <c r="Y166" t="s">
        <v>2751</v>
      </c>
      <c r="Z166" t="s">
        <v>2751</v>
      </c>
      <c r="AA166" t="s">
        <v>2751</v>
      </c>
      <c r="AB166" s="2">
        <v>-1.4E-2</v>
      </c>
      <c r="AC166" s="2">
        <v>-7.4999999999999997E-3</v>
      </c>
      <c r="AD166" s="2">
        <v>1.67E-2</v>
      </c>
      <c r="AE166" s="2">
        <v>3.85E-2</v>
      </c>
      <c r="AF166" s="2">
        <v>3.85E-2</v>
      </c>
      <c r="AG166" s="2">
        <v>3.85E-2</v>
      </c>
      <c r="AH166" t="s">
        <v>4452</v>
      </c>
      <c r="AI166" t="s">
        <v>620</v>
      </c>
      <c r="AJ166" t="s">
        <v>38</v>
      </c>
      <c r="AK166" t="s">
        <v>40</v>
      </c>
      <c r="AM166" t="s">
        <v>41</v>
      </c>
      <c r="AN166" t="s">
        <v>42</v>
      </c>
      <c r="AO166" t="s">
        <v>278</v>
      </c>
      <c r="AP166" t="s">
        <v>1138</v>
      </c>
      <c r="AQ166" t="s">
        <v>1138</v>
      </c>
      <c r="AR166" t="s">
        <v>48</v>
      </c>
      <c r="AS166" t="s">
        <v>48</v>
      </c>
      <c r="AT166" t="s">
        <v>3030</v>
      </c>
    </row>
    <row r="167" spans="1:54" x14ac:dyDescent="0.4">
      <c r="A167" t="s">
        <v>4448</v>
      </c>
      <c r="B167" t="s">
        <v>10</v>
      </c>
      <c r="C167" t="s">
        <v>2536</v>
      </c>
      <c r="D167" t="s">
        <v>11</v>
      </c>
      <c r="E167" s="2">
        <v>-4.0000000000000001E-3</v>
      </c>
      <c r="F167" t="s">
        <v>4448</v>
      </c>
      <c r="G167" s="4">
        <f>-0.42 / -0.4%</f>
        <v>105</v>
      </c>
      <c r="H167" t="s">
        <v>2536</v>
      </c>
      <c r="I167" t="s">
        <v>5344</v>
      </c>
      <c r="J167" t="s">
        <v>5345</v>
      </c>
      <c r="K167" t="s">
        <v>214</v>
      </c>
      <c r="L167" s="2">
        <v>4.2200000000000001E-2</v>
      </c>
      <c r="M167" t="s">
        <v>2165</v>
      </c>
      <c r="N167" t="s">
        <v>28</v>
      </c>
      <c r="O167" t="s">
        <v>5346</v>
      </c>
      <c r="P167" t="s">
        <v>3165</v>
      </c>
      <c r="Q167" t="s">
        <v>3165</v>
      </c>
      <c r="R167" t="s">
        <v>5347</v>
      </c>
      <c r="S167" t="s">
        <v>1495</v>
      </c>
      <c r="T167" t="s">
        <v>4303</v>
      </c>
      <c r="U167" t="s">
        <v>4303</v>
      </c>
      <c r="V167" t="s">
        <v>4630</v>
      </c>
      <c r="W167" t="s">
        <v>5348</v>
      </c>
      <c r="X167" t="s">
        <v>5348</v>
      </c>
      <c r="Y167" t="s">
        <v>5348</v>
      </c>
      <c r="Z167" t="s">
        <v>5348</v>
      </c>
      <c r="AA167" t="s">
        <v>5348</v>
      </c>
      <c r="AB167" s="2">
        <v>-1.41E-2</v>
      </c>
      <c r="AC167" s="2">
        <v>-1.72E-2</v>
      </c>
      <c r="AD167" s="2">
        <v>3.5000000000000001E-3</v>
      </c>
      <c r="AE167" s="2">
        <v>2.3400000000000001E-2</v>
      </c>
      <c r="AF167" s="2">
        <v>4.9599999999999998E-2</v>
      </c>
      <c r="AG167" s="2">
        <v>4.9599999999999998E-2</v>
      </c>
      <c r="AH167" t="s">
        <v>4452</v>
      </c>
      <c r="AI167" t="s">
        <v>620</v>
      </c>
      <c r="AJ167" t="s">
        <v>38</v>
      </c>
      <c r="AK167" t="s">
        <v>40</v>
      </c>
      <c r="AM167" t="s">
        <v>41</v>
      </c>
      <c r="AN167" t="s">
        <v>42</v>
      </c>
      <c r="AO167" t="s">
        <v>5346</v>
      </c>
      <c r="AP167" t="s">
        <v>3127</v>
      </c>
      <c r="AQ167" t="s">
        <v>3127</v>
      </c>
      <c r="AR167" t="s">
        <v>48</v>
      </c>
      <c r="AS167" t="s">
        <v>48</v>
      </c>
      <c r="AT167" t="s">
        <v>4962</v>
      </c>
    </row>
    <row r="168" spans="1:54" x14ac:dyDescent="0.4">
      <c r="A168" t="s">
        <v>4448</v>
      </c>
      <c r="B168" t="s">
        <v>10</v>
      </c>
      <c r="C168" t="s">
        <v>4638</v>
      </c>
      <c r="D168" t="s">
        <v>11</v>
      </c>
      <c r="E168" s="2">
        <v>-1.6000000000000001E-3</v>
      </c>
      <c r="F168" t="s">
        <v>4448</v>
      </c>
      <c r="G168" s="4">
        <f>-0.17 / -0.16%</f>
        <v>106.25</v>
      </c>
      <c r="H168" t="s">
        <v>4638</v>
      </c>
      <c r="I168" t="s">
        <v>4639</v>
      </c>
      <c r="J168" t="s">
        <v>4640</v>
      </c>
      <c r="K168" t="s">
        <v>214</v>
      </c>
      <c r="L168" s="2">
        <v>6.0299999999999999E-2</v>
      </c>
      <c r="M168" t="s">
        <v>4641</v>
      </c>
      <c r="N168" t="s">
        <v>28</v>
      </c>
      <c r="O168" t="s">
        <v>4642</v>
      </c>
      <c r="P168" t="s">
        <v>4643</v>
      </c>
      <c r="Q168" t="s">
        <v>1676</v>
      </c>
      <c r="R168" t="s">
        <v>4644</v>
      </c>
      <c r="S168" t="s">
        <v>2214</v>
      </c>
      <c r="T168" t="s">
        <v>1844</v>
      </c>
      <c r="U168" t="s">
        <v>1844</v>
      </c>
      <c r="V168" t="s">
        <v>4645</v>
      </c>
      <c r="W168" t="s">
        <v>4646</v>
      </c>
      <c r="X168" t="s">
        <v>4646</v>
      </c>
      <c r="Y168" t="s">
        <v>4646</v>
      </c>
      <c r="Z168" t="s">
        <v>4646</v>
      </c>
      <c r="AA168" t="s">
        <v>4646</v>
      </c>
      <c r="AB168" s="2">
        <v>8.0999999999999996E-3</v>
      </c>
      <c r="AC168" s="2">
        <v>1.7899999999999999E-2</v>
      </c>
      <c r="AD168" s="2">
        <v>5.1400000000000001E-2</v>
      </c>
      <c r="AE168" s="2">
        <v>8.5900000000000004E-2</v>
      </c>
      <c r="AF168" s="2">
        <v>8.2299999999999998E-2</v>
      </c>
      <c r="AG168" s="2">
        <v>8.2299999999999998E-2</v>
      </c>
      <c r="AH168" t="s">
        <v>4452</v>
      </c>
      <c r="AI168" t="s">
        <v>620</v>
      </c>
      <c r="AJ168" t="s">
        <v>38</v>
      </c>
      <c r="AK168" t="s">
        <v>40</v>
      </c>
      <c r="AM168" t="s">
        <v>41</v>
      </c>
      <c r="AN168" t="s">
        <v>42</v>
      </c>
      <c r="AO168" t="s">
        <v>4642</v>
      </c>
      <c r="AP168" t="s">
        <v>1138</v>
      </c>
      <c r="AQ168" t="s">
        <v>1138</v>
      </c>
      <c r="AR168" t="s">
        <v>48</v>
      </c>
      <c r="AS168" t="s">
        <v>48</v>
      </c>
      <c r="AT168" t="s">
        <v>4647</v>
      </c>
    </row>
    <row r="169" spans="1:54" x14ac:dyDescent="0.4">
      <c r="A169" t="s">
        <v>4596</v>
      </c>
      <c r="B169" t="s">
        <v>10</v>
      </c>
      <c r="C169" t="s">
        <v>5340</v>
      </c>
      <c r="D169" t="s">
        <v>11</v>
      </c>
      <c r="E169" s="2">
        <v>-2.8E-3</v>
      </c>
      <c r="F169" t="s">
        <v>4596</v>
      </c>
      <c r="G169" s="4">
        <f>-0.29 / -0.28%</f>
        <v>103.57142857142856</v>
      </c>
      <c r="H169" t="s">
        <v>5340</v>
      </c>
      <c r="I169" t="s">
        <v>5341</v>
      </c>
      <c r="J169" t="s">
        <v>5342</v>
      </c>
      <c r="K169" t="s">
        <v>214</v>
      </c>
      <c r="L169" s="2">
        <v>4.2099999999999999E-2</v>
      </c>
      <c r="M169" t="s">
        <v>3379</v>
      </c>
      <c r="N169" t="s">
        <v>28</v>
      </c>
      <c r="O169" t="s">
        <v>3380</v>
      </c>
      <c r="P169" t="s">
        <v>416</v>
      </c>
      <c r="Q169" t="s">
        <v>416</v>
      </c>
      <c r="R169" t="s">
        <v>5343</v>
      </c>
      <c r="S169" t="s">
        <v>853</v>
      </c>
      <c r="T169" t="s">
        <v>5237</v>
      </c>
      <c r="U169" t="s">
        <v>5237</v>
      </c>
      <c r="V169" t="s">
        <v>2500</v>
      </c>
      <c r="W169" t="s">
        <v>1464</v>
      </c>
      <c r="X169" t="s">
        <v>1464</v>
      </c>
      <c r="Y169" t="s">
        <v>1464</v>
      </c>
      <c r="Z169" t="s">
        <v>1464</v>
      </c>
      <c r="AA169" t="s">
        <v>1464</v>
      </c>
      <c r="AB169" s="2">
        <v>-1.15E-2</v>
      </c>
      <c r="AC169" s="2">
        <v>-1.4500000000000001E-2</v>
      </c>
      <c r="AD169" s="2">
        <v>4.8999999999999998E-3</v>
      </c>
      <c r="AE169" s="2">
        <v>1.5299999999999999E-2</v>
      </c>
      <c r="AF169" s="2">
        <v>3.4700000000000002E-2</v>
      </c>
      <c r="AG169" s="2">
        <v>3.4700000000000002E-2</v>
      </c>
      <c r="AH169" t="s">
        <v>4452</v>
      </c>
      <c r="AI169" t="s">
        <v>620</v>
      </c>
      <c r="AJ169" t="s">
        <v>38</v>
      </c>
      <c r="AK169" t="s">
        <v>40</v>
      </c>
      <c r="AM169" t="s">
        <v>41</v>
      </c>
      <c r="AN169" t="s">
        <v>42</v>
      </c>
      <c r="AO169" t="s">
        <v>3380</v>
      </c>
      <c r="AP169" t="s">
        <v>3080</v>
      </c>
      <c r="AQ169" t="s">
        <v>3080</v>
      </c>
      <c r="AR169" t="s">
        <v>48</v>
      </c>
      <c r="AS169" t="s">
        <v>48</v>
      </c>
      <c r="AT169" t="s">
        <v>883</v>
      </c>
    </row>
    <row r="170" spans="1:54" x14ac:dyDescent="0.4">
      <c r="A170" t="s">
        <v>4448</v>
      </c>
      <c r="B170" t="s">
        <v>10</v>
      </c>
      <c r="C170" t="s">
        <v>5922</v>
      </c>
      <c r="D170" t="s">
        <v>11</v>
      </c>
      <c r="E170" s="2">
        <v>-1.5E-3</v>
      </c>
      <c r="F170" t="s">
        <v>4448</v>
      </c>
      <c r="G170" s="4">
        <f>-0.16 / -0.15%</f>
        <v>106.66666666666667</v>
      </c>
      <c r="H170" t="s">
        <v>5922</v>
      </c>
      <c r="I170" t="s">
        <v>5923</v>
      </c>
      <c r="J170" t="s">
        <v>5924</v>
      </c>
      <c r="K170" t="s">
        <v>214</v>
      </c>
      <c r="L170" s="2">
        <v>5.6050000000000003E-2</v>
      </c>
      <c r="M170" t="s">
        <v>2383</v>
      </c>
      <c r="N170" t="s">
        <v>28</v>
      </c>
      <c r="O170" t="s">
        <v>5925</v>
      </c>
      <c r="P170" t="s">
        <v>5149</v>
      </c>
      <c r="Q170" t="s">
        <v>4629</v>
      </c>
      <c r="R170" t="s">
        <v>95</v>
      </c>
      <c r="S170" t="s">
        <v>507</v>
      </c>
      <c r="T170" t="s">
        <v>5089</v>
      </c>
      <c r="U170" t="s">
        <v>5089</v>
      </c>
      <c r="V170" t="s">
        <v>5926</v>
      </c>
      <c r="W170" t="s">
        <v>5927</v>
      </c>
      <c r="X170" t="s">
        <v>5927</v>
      </c>
      <c r="Y170" t="s">
        <v>5927</v>
      </c>
      <c r="Z170" t="s">
        <v>5927</v>
      </c>
      <c r="AA170" t="s">
        <v>5927</v>
      </c>
      <c r="AB170" s="2">
        <v>8.0000000000000002E-3</v>
      </c>
      <c r="AC170" s="2">
        <v>1.77E-2</v>
      </c>
      <c r="AD170" s="2">
        <v>5.16E-2</v>
      </c>
      <c r="AE170" s="2">
        <v>8.5599999999999996E-2</v>
      </c>
      <c r="AF170" s="2">
        <v>6.1600000000000002E-2</v>
      </c>
      <c r="AG170" s="2">
        <v>6.1600000000000002E-2</v>
      </c>
      <c r="AH170" t="s">
        <v>4452</v>
      </c>
      <c r="AI170" t="s">
        <v>620</v>
      </c>
      <c r="AJ170" t="s">
        <v>38</v>
      </c>
      <c r="AK170" t="s">
        <v>40</v>
      </c>
      <c r="AM170" t="s">
        <v>41</v>
      </c>
      <c r="AN170" t="s">
        <v>42</v>
      </c>
      <c r="AO170" t="s">
        <v>5925</v>
      </c>
      <c r="AP170" t="s">
        <v>3127</v>
      </c>
      <c r="AQ170" t="s">
        <v>3127</v>
      </c>
      <c r="AR170" t="s">
        <v>48</v>
      </c>
      <c r="AS170" t="s">
        <v>48</v>
      </c>
      <c r="AT170" t="s">
        <v>5928</v>
      </c>
    </row>
    <row r="171" spans="1:54" x14ac:dyDescent="0.4">
      <c r="A171" t="s">
        <v>4448</v>
      </c>
      <c r="B171" t="s">
        <v>10</v>
      </c>
      <c r="C171" t="s">
        <v>1121</v>
      </c>
      <c r="D171" t="s">
        <v>11</v>
      </c>
      <c r="E171" s="2">
        <v>4.0000000000000002E-4</v>
      </c>
      <c r="F171" t="s">
        <v>4448</v>
      </c>
      <c r="G171" s="4" t="s">
        <v>3547</v>
      </c>
      <c r="H171" t="s">
        <v>1121</v>
      </c>
      <c r="I171" t="s">
        <v>5365</v>
      </c>
      <c r="J171" t="s">
        <v>5366</v>
      </c>
      <c r="K171" t="s">
        <v>214</v>
      </c>
      <c r="L171" s="2">
        <v>2.3199999999999998E-2</v>
      </c>
      <c r="M171" t="s">
        <v>5367</v>
      </c>
      <c r="N171" t="s">
        <v>28</v>
      </c>
      <c r="O171" t="s">
        <v>5368</v>
      </c>
      <c r="P171" t="s">
        <v>2849</v>
      </c>
      <c r="Q171" t="s">
        <v>354</v>
      </c>
      <c r="R171" t="s">
        <v>1925</v>
      </c>
      <c r="S171" t="s">
        <v>1618</v>
      </c>
      <c r="T171" t="s">
        <v>5369</v>
      </c>
      <c r="U171" t="s">
        <v>5370</v>
      </c>
      <c r="V171" t="s">
        <v>1215</v>
      </c>
      <c r="W171" t="s">
        <v>1215</v>
      </c>
      <c r="X171" t="s">
        <v>4214</v>
      </c>
      <c r="Y171" t="s">
        <v>4214</v>
      </c>
      <c r="Z171" t="s">
        <v>4214</v>
      </c>
      <c r="AA171" t="s">
        <v>919</v>
      </c>
      <c r="AB171" s="2">
        <v>2.7000000000000001E-3</v>
      </c>
      <c r="AC171" s="2">
        <v>2.0999999999999999E-3</v>
      </c>
      <c r="AD171" s="2">
        <v>1.9900000000000001E-2</v>
      </c>
      <c r="AE171" s="2">
        <v>3.1600000000000003E-2</v>
      </c>
      <c r="AF171" s="2">
        <v>6.25E-2</v>
      </c>
      <c r="AG171" s="2">
        <v>-4.3799999999999999E-2</v>
      </c>
      <c r="AH171" t="s">
        <v>4452</v>
      </c>
      <c r="AI171" t="s">
        <v>130</v>
      </c>
      <c r="AJ171" t="s">
        <v>131</v>
      </c>
      <c r="AK171" t="s">
        <v>40</v>
      </c>
      <c r="AM171" t="s">
        <v>41</v>
      </c>
      <c r="AN171" t="s">
        <v>42</v>
      </c>
      <c r="AO171" t="s">
        <v>5368</v>
      </c>
      <c r="AP171" t="s">
        <v>3127</v>
      </c>
      <c r="AQ171" t="s">
        <v>3127</v>
      </c>
      <c r="AR171" t="s">
        <v>133</v>
      </c>
      <c r="AS171" t="s">
        <v>133</v>
      </c>
      <c r="AT171" t="s">
        <v>5368</v>
      </c>
    </row>
    <row r="172" spans="1:54" x14ac:dyDescent="0.4">
      <c r="A172" t="s">
        <v>4596</v>
      </c>
      <c r="B172" t="s">
        <v>10</v>
      </c>
      <c r="C172" t="s">
        <v>5929</v>
      </c>
      <c r="D172" t="s">
        <v>11</v>
      </c>
      <c r="E172" s="2">
        <v>-1.6999999999999999E-3</v>
      </c>
      <c r="F172" t="s">
        <v>4596</v>
      </c>
      <c r="G172" s="4">
        <f>-0.18 / -0.17%</f>
        <v>105.88235294117646</v>
      </c>
      <c r="H172" t="s">
        <v>5929</v>
      </c>
      <c r="I172" t="s">
        <v>5930</v>
      </c>
      <c r="J172" t="s">
        <v>5931</v>
      </c>
      <c r="K172" t="s">
        <v>214</v>
      </c>
      <c r="L172" s="2">
        <v>3.6299999999999999E-2</v>
      </c>
      <c r="M172" t="s">
        <v>4745</v>
      </c>
      <c r="N172" t="s">
        <v>28</v>
      </c>
      <c r="O172" t="s">
        <v>2383</v>
      </c>
      <c r="P172" t="s">
        <v>5932</v>
      </c>
      <c r="Q172" t="s">
        <v>5932</v>
      </c>
      <c r="R172" t="s">
        <v>5933</v>
      </c>
      <c r="S172" t="s">
        <v>5035</v>
      </c>
      <c r="T172" t="s">
        <v>5035</v>
      </c>
      <c r="U172" t="s">
        <v>5035</v>
      </c>
      <c r="V172" t="s">
        <v>5934</v>
      </c>
      <c r="W172" t="s">
        <v>5935</v>
      </c>
      <c r="X172" t="s">
        <v>5935</v>
      </c>
      <c r="Y172" t="s">
        <v>5935</v>
      </c>
      <c r="Z172" t="s">
        <v>5935</v>
      </c>
      <c r="AA172" t="s">
        <v>5935</v>
      </c>
      <c r="AB172" s="2">
        <v>-1.4E-2</v>
      </c>
      <c r="AC172" s="2">
        <v>-7.3000000000000001E-3</v>
      </c>
      <c r="AD172" s="2">
        <v>1.72E-2</v>
      </c>
      <c r="AE172" s="2">
        <v>4.4600000000000001E-2</v>
      </c>
      <c r="AF172" s="2">
        <v>4.4600000000000001E-2</v>
      </c>
      <c r="AG172" s="2">
        <v>4.4600000000000001E-2</v>
      </c>
      <c r="AH172" t="s">
        <v>4452</v>
      </c>
      <c r="AI172" t="s">
        <v>620</v>
      </c>
      <c r="AJ172" t="s">
        <v>38</v>
      </c>
      <c r="AK172" t="s">
        <v>40</v>
      </c>
      <c r="AM172" t="s">
        <v>41</v>
      </c>
      <c r="AN172" t="s">
        <v>42</v>
      </c>
      <c r="AO172" t="s">
        <v>2383</v>
      </c>
      <c r="AP172" t="s">
        <v>1138</v>
      </c>
      <c r="AQ172" t="s">
        <v>1138</v>
      </c>
      <c r="AR172" t="s">
        <v>48</v>
      </c>
      <c r="AS172" t="s">
        <v>48</v>
      </c>
      <c r="AT172" t="s">
        <v>5936</v>
      </c>
    </row>
    <row r="173" spans="1:54" x14ac:dyDescent="0.4">
      <c r="A173" t="s">
        <v>4448</v>
      </c>
      <c r="B173" t="s">
        <v>10</v>
      </c>
      <c r="C173" t="s">
        <v>1721</v>
      </c>
      <c r="D173" t="s">
        <v>11</v>
      </c>
      <c r="E173" s="2">
        <v>-1.6999999999999999E-3</v>
      </c>
      <c r="F173" t="s">
        <v>4448</v>
      </c>
      <c r="G173" s="4">
        <f>-0.17 / -0.17%</f>
        <v>100</v>
      </c>
      <c r="H173" t="s">
        <v>1721</v>
      </c>
      <c r="I173" t="s">
        <v>6611</v>
      </c>
      <c r="J173" t="s">
        <v>6612</v>
      </c>
      <c r="K173" t="s">
        <v>214</v>
      </c>
      <c r="L173" s="2">
        <v>3.5700000000000003E-2</v>
      </c>
      <c r="M173" t="s">
        <v>4745</v>
      </c>
      <c r="N173" t="s">
        <v>28</v>
      </c>
      <c r="O173" t="s">
        <v>2383</v>
      </c>
      <c r="P173" t="s">
        <v>2146</v>
      </c>
      <c r="Q173" t="s">
        <v>2146</v>
      </c>
      <c r="R173" t="s">
        <v>1378</v>
      </c>
      <c r="S173" t="s">
        <v>3537</v>
      </c>
      <c r="T173" t="s">
        <v>3537</v>
      </c>
      <c r="U173" t="s">
        <v>3537</v>
      </c>
      <c r="V173" t="s">
        <v>6613</v>
      </c>
      <c r="W173" t="s">
        <v>6614</v>
      </c>
      <c r="X173" t="s">
        <v>6614</v>
      </c>
      <c r="Y173" t="s">
        <v>6614</v>
      </c>
      <c r="Z173" t="s">
        <v>6614</v>
      </c>
      <c r="AA173" t="s">
        <v>6614</v>
      </c>
      <c r="AB173" s="2">
        <v>-1.2800000000000001E-2</v>
      </c>
      <c r="AC173" s="2">
        <v>-7.4999999999999997E-3</v>
      </c>
      <c r="AD173" s="2">
        <v>1.6299999999999999E-2</v>
      </c>
      <c r="AE173" s="2">
        <v>3.9100000000000003E-2</v>
      </c>
      <c r="AF173" s="2">
        <v>3.9100000000000003E-2</v>
      </c>
      <c r="AG173" s="2">
        <v>3.9100000000000003E-2</v>
      </c>
      <c r="AH173" t="s">
        <v>4452</v>
      </c>
      <c r="AI173" t="s">
        <v>620</v>
      </c>
      <c r="AJ173" t="s">
        <v>38</v>
      </c>
      <c r="AK173" t="s">
        <v>40</v>
      </c>
      <c r="AM173" t="s">
        <v>41</v>
      </c>
      <c r="AN173" t="s">
        <v>42</v>
      </c>
      <c r="AO173" t="s">
        <v>2383</v>
      </c>
      <c r="AP173" t="s">
        <v>1138</v>
      </c>
      <c r="AQ173" t="s">
        <v>1138</v>
      </c>
      <c r="AR173" t="s">
        <v>48</v>
      </c>
      <c r="AS173" t="s">
        <v>48</v>
      </c>
      <c r="AT173" t="s">
        <v>5936</v>
      </c>
    </row>
    <row r="174" spans="1:54" x14ac:dyDescent="0.4">
      <c r="A174" t="s">
        <v>4448</v>
      </c>
      <c r="B174" t="s">
        <v>10</v>
      </c>
      <c r="C174" t="s">
        <v>6615</v>
      </c>
      <c r="D174" t="s">
        <v>11</v>
      </c>
      <c r="E174" s="2">
        <v>-1E-3</v>
      </c>
      <c r="F174" t="s">
        <v>4448</v>
      </c>
      <c r="G174" s="4">
        <f>-0.09 / -0.1%</f>
        <v>90</v>
      </c>
      <c r="H174" t="s">
        <v>6615</v>
      </c>
      <c r="I174" t="s">
        <v>6616</v>
      </c>
      <c r="J174" t="s">
        <v>6617</v>
      </c>
      <c r="K174" t="s">
        <v>214</v>
      </c>
      <c r="L174" s="2">
        <v>1.78E-2</v>
      </c>
      <c r="M174" t="s">
        <v>6618</v>
      </c>
      <c r="N174" t="s">
        <v>28</v>
      </c>
      <c r="O174" t="s">
        <v>6063</v>
      </c>
      <c r="P174" t="s">
        <v>6619</v>
      </c>
      <c r="Q174" t="s">
        <v>6619</v>
      </c>
      <c r="R174" t="s">
        <v>6432</v>
      </c>
      <c r="S174" t="s">
        <v>6620</v>
      </c>
      <c r="T174" t="s">
        <v>6621</v>
      </c>
      <c r="U174" t="s">
        <v>6621</v>
      </c>
      <c r="V174" t="s">
        <v>6622</v>
      </c>
      <c r="W174" t="s">
        <v>2921</v>
      </c>
      <c r="X174" t="s">
        <v>2921</v>
      </c>
      <c r="Y174" t="s">
        <v>2921</v>
      </c>
      <c r="Z174" t="s">
        <v>2921</v>
      </c>
      <c r="AA174" t="s">
        <v>6623</v>
      </c>
      <c r="AB174" s="2">
        <v>-1.17E-2</v>
      </c>
      <c r="AC174" s="2">
        <v>1E-4</v>
      </c>
      <c r="AD174" s="2">
        <v>3.04E-2</v>
      </c>
      <c r="AE174" s="2">
        <v>8.0100000000000005E-2</v>
      </c>
      <c r="AF174" s="2">
        <v>6.9500000000000006E-2</v>
      </c>
      <c r="AG174" s="2">
        <v>-0.1681</v>
      </c>
      <c r="AH174" t="s">
        <v>4452</v>
      </c>
      <c r="AI174" t="s">
        <v>620</v>
      </c>
      <c r="AJ174" t="s">
        <v>38</v>
      </c>
      <c r="AK174" t="s">
        <v>40</v>
      </c>
      <c r="AM174" t="s">
        <v>41</v>
      </c>
      <c r="AN174" t="s">
        <v>42</v>
      </c>
      <c r="AO174" t="s">
        <v>6063</v>
      </c>
      <c r="AP174" t="s">
        <v>2055</v>
      </c>
      <c r="AQ174" t="s">
        <v>2055</v>
      </c>
      <c r="AR174" t="s">
        <v>48</v>
      </c>
      <c r="AS174" t="s">
        <v>48</v>
      </c>
      <c r="AT174" t="s">
        <v>6624</v>
      </c>
    </row>
    <row r="175" spans="1:54" x14ac:dyDescent="0.4">
      <c r="A175" t="s">
        <v>4448</v>
      </c>
      <c r="B175" t="s">
        <v>10</v>
      </c>
      <c r="C175" t="s">
        <v>1279</v>
      </c>
      <c r="D175" t="s">
        <v>11</v>
      </c>
      <c r="E175" s="2">
        <v>2.9999999999999997E-4</v>
      </c>
      <c r="F175" t="s">
        <v>4448</v>
      </c>
      <c r="G175" s="4" t="s">
        <v>2299</v>
      </c>
      <c r="H175" t="s">
        <v>1279</v>
      </c>
      <c r="I175" t="s">
        <v>5378</v>
      </c>
      <c r="J175" t="s">
        <v>5379</v>
      </c>
      <c r="K175" t="s">
        <v>214</v>
      </c>
      <c r="L175" s="2">
        <v>8.0000000000000002E-3</v>
      </c>
      <c r="M175" t="s">
        <v>5373</v>
      </c>
      <c r="N175" t="s">
        <v>28</v>
      </c>
      <c r="O175" t="s">
        <v>5374</v>
      </c>
      <c r="P175" t="s">
        <v>897</v>
      </c>
      <c r="Q175" t="s">
        <v>2859</v>
      </c>
      <c r="R175" t="s">
        <v>5380</v>
      </c>
      <c r="S175" t="s">
        <v>258</v>
      </c>
      <c r="T175" t="s">
        <v>5381</v>
      </c>
      <c r="U175" t="s">
        <v>5304</v>
      </c>
      <c r="V175" t="s">
        <v>1279</v>
      </c>
      <c r="W175" t="s">
        <v>1279</v>
      </c>
      <c r="X175" t="s">
        <v>1279</v>
      </c>
      <c r="Y175" t="s">
        <v>1279</v>
      </c>
      <c r="Z175" t="s">
        <v>1279</v>
      </c>
      <c r="AA175" t="s">
        <v>1279</v>
      </c>
      <c r="AB175" s="2">
        <v>4.4000000000000003E-3</v>
      </c>
      <c r="AC175" s="2">
        <v>8.0999999999999996E-3</v>
      </c>
      <c r="AD175" s="2">
        <v>1.95E-2</v>
      </c>
      <c r="AE175" s="2">
        <v>3.5400000000000001E-2</v>
      </c>
      <c r="AF175" s="2">
        <v>6.2799999999999995E-2</v>
      </c>
      <c r="AG175" s="2">
        <v>1.9699999999999999E-2</v>
      </c>
      <c r="AH175" t="s">
        <v>4452</v>
      </c>
      <c r="AI175" t="s">
        <v>130</v>
      </c>
      <c r="AJ175" t="s">
        <v>131</v>
      </c>
      <c r="AK175" t="s">
        <v>40</v>
      </c>
      <c r="AM175" t="s">
        <v>41</v>
      </c>
      <c r="AN175" t="s">
        <v>42</v>
      </c>
      <c r="AO175" t="s">
        <v>5374</v>
      </c>
      <c r="AP175" t="s">
        <v>835</v>
      </c>
      <c r="AQ175" t="s">
        <v>835</v>
      </c>
      <c r="AR175" t="s">
        <v>2671</v>
      </c>
      <c r="AS175" t="s">
        <v>2671</v>
      </c>
      <c r="AT175" t="s">
        <v>5374</v>
      </c>
    </row>
    <row r="176" spans="1:54" x14ac:dyDescent="0.4">
      <c r="A176" t="s">
        <v>4596</v>
      </c>
      <c r="B176" t="s">
        <v>10</v>
      </c>
      <c r="C176" t="s">
        <v>4571</v>
      </c>
      <c r="D176" t="s">
        <v>11</v>
      </c>
      <c r="E176" s="2">
        <v>5.0000000000000001E-4</v>
      </c>
      <c r="F176" t="s">
        <v>4596</v>
      </c>
      <c r="G176" s="4" t="s">
        <v>565</v>
      </c>
      <c r="H176" t="s">
        <v>4571</v>
      </c>
      <c r="I176" t="s">
        <v>5371</v>
      </c>
      <c r="J176" t="s">
        <v>5372</v>
      </c>
      <c r="K176" t="s">
        <v>214</v>
      </c>
      <c r="L176" s="2">
        <v>4.0000000000000001E-3</v>
      </c>
      <c r="M176" t="s">
        <v>5373</v>
      </c>
      <c r="N176" t="s">
        <v>28</v>
      </c>
      <c r="O176" t="s">
        <v>5374</v>
      </c>
      <c r="P176" t="s">
        <v>5118</v>
      </c>
      <c r="Q176" t="s">
        <v>394</v>
      </c>
      <c r="R176" t="s">
        <v>3991</v>
      </c>
      <c r="S176" t="s">
        <v>5375</v>
      </c>
      <c r="T176" t="s">
        <v>5376</v>
      </c>
      <c r="U176" t="s">
        <v>5377</v>
      </c>
      <c r="V176" t="s">
        <v>876</v>
      </c>
      <c r="W176" t="s">
        <v>876</v>
      </c>
      <c r="X176" t="s">
        <v>876</v>
      </c>
      <c r="Y176" t="s">
        <v>876</v>
      </c>
      <c r="Z176" t="s">
        <v>876</v>
      </c>
      <c r="AA176" t="s">
        <v>876</v>
      </c>
      <c r="AB176" s="2">
        <v>4.1000000000000003E-3</v>
      </c>
      <c r="AC176" s="2">
        <v>8.8000000000000005E-3</v>
      </c>
      <c r="AD176" s="2">
        <v>2.8000000000000001E-2</v>
      </c>
      <c r="AE176" s="2">
        <v>4.6699999999999998E-2</v>
      </c>
      <c r="AF176" s="2">
        <v>9.2200000000000004E-2</v>
      </c>
      <c r="AG176" s="2">
        <v>1.7000000000000001E-2</v>
      </c>
      <c r="AH176" t="s">
        <v>4452</v>
      </c>
      <c r="AI176" t="s">
        <v>130</v>
      </c>
      <c r="AJ176" t="s">
        <v>131</v>
      </c>
      <c r="AK176" t="s">
        <v>40</v>
      </c>
      <c r="AM176" t="s">
        <v>41</v>
      </c>
      <c r="AN176" t="s">
        <v>42</v>
      </c>
      <c r="AO176" t="s">
        <v>5374</v>
      </c>
      <c r="AP176" t="s">
        <v>835</v>
      </c>
      <c r="AQ176" t="s">
        <v>835</v>
      </c>
      <c r="AR176" t="s">
        <v>133</v>
      </c>
      <c r="AS176" t="s">
        <v>133</v>
      </c>
      <c r="AT176" t="s">
        <v>5374</v>
      </c>
    </row>
    <row r="177" spans="1:46" x14ac:dyDescent="0.4">
      <c r="A177" t="s">
        <v>4448</v>
      </c>
      <c r="B177" t="s">
        <v>10</v>
      </c>
      <c r="C177" t="s">
        <v>455</v>
      </c>
      <c r="D177" t="s">
        <v>11</v>
      </c>
      <c r="E177" s="2">
        <v>0</v>
      </c>
      <c r="F177" t="s">
        <v>4448</v>
      </c>
      <c r="G177" s="4" t="s">
        <v>15</v>
      </c>
      <c r="H177" t="s">
        <v>455</v>
      </c>
      <c r="I177" t="s">
        <v>4631</v>
      </c>
      <c r="J177" t="s">
        <v>4632</v>
      </c>
      <c r="K177" t="s">
        <v>214</v>
      </c>
      <c r="L177" s="2">
        <v>3.109E-2</v>
      </c>
      <c r="M177" t="s">
        <v>679</v>
      </c>
      <c r="N177" t="s">
        <v>121</v>
      </c>
      <c r="O177" t="s">
        <v>4633</v>
      </c>
      <c r="P177" t="s">
        <v>211</v>
      </c>
      <c r="Q177" t="s">
        <v>211</v>
      </c>
      <c r="R177" t="s">
        <v>1751</v>
      </c>
      <c r="S177" t="s">
        <v>813</v>
      </c>
      <c r="T177" t="s">
        <v>1472</v>
      </c>
      <c r="U177" t="s">
        <v>1472</v>
      </c>
      <c r="V177" t="s">
        <v>455</v>
      </c>
      <c r="W177" t="s">
        <v>455</v>
      </c>
      <c r="X177" t="s">
        <v>455</v>
      </c>
      <c r="Y177" t="s">
        <v>455</v>
      </c>
      <c r="Z177" t="s">
        <v>455</v>
      </c>
      <c r="AA177" t="s">
        <v>455</v>
      </c>
      <c r="AB177" s="2">
        <v>1.2999999999999999E-3</v>
      </c>
      <c r="AC177" s="2">
        <v>1E-3</v>
      </c>
      <c r="AD177" s="2">
        <v>1.6999999999999999E-3</v>
      </c>
      <c r="AE177" s="2">
        <v>2.0999999999999999E-3</v>
      </c>
      <c r="AF177" s="2">
        <v>2E-3</v>
      </c>
      <c r="AG177" s="2">
        <v>2E-3</v>
      </c>
      <c r="AH177" t="s">
        <v>4452</v>
      </c>
      <c r="AI177" t="s">
        <v>620</v>
      </c>
      <c r="AJ177" t="s">
        <v>38</v>
      </c>
      <c r="AK177" t="s">
        <v>40</v>
      </c>
      <c r="AM177" t="s">
        <v>41</v>
      </c>
      <c r="AN177" t="s">
        <v>42</v>
      </c>
      <c r="AO177" t="s">
        <v>4633</v>
      </c>
      <c r="AP177" t="s">
        <v>1138</v>
      </c>
      <c r="AQ177" t="s">
        <v>1138</v>
      </c>
      <c r="AR177" t="s">
        <v>48</v>
      </c>
      <c r="AS177" t="s">
        <v>48</v>
      </c>
      <c r="AT177" t="s">
        <v>1763</v>
      </c>
    </row>
    <row r="178" spans="1:46" x14ac:dyDescent="0.4">
      <c r="A178" t="s">
        <v>4596</v>
      </c>
      <c r="B178" t="s">
        <v>10</v>
      </c>
      <c r="C178" t="s">
        <v>7113</v>
      </c>
      <c r="D178" t="s">
        <v>11</v>
      </c>
      <c r="E178" s="2">
        <v>-1.6000000000000001E-3</v>
      </c>
      <c r="F178" t="s">
        <v>4596</v>
      </c>
      <c r="G178" s="4">
        <f>-0.17 / -0.16%</f>
        <v>106.25</v>
      </c>
      <c r="H178" t="s">
        <v>7113</v>
      </c>
      <c r="I178" t="s">
        <v>7114</v>
      </c>
      <c r="J178" t="s">
        <v>7115</v>
      </c>
      <c r="K178" t="s">
        <v>214</v>
      </c>
      <c r="L178" s="2">
        <v>5.4600000000000003E-2</v>
      </c>
      <c r="M178" t="s">
        <v>7116</v>
      </c>
      <c r="N178" t="s">
        <v>28</v>
      </c>
      <c r="O178" t="s">
        <v>6708</v>
      </c>
      <c r="P178" t="s">
        <v>3120</v>
      </c>
      <c r="Q178" t="s">
        <v>1862</v>
      </c>
      <c r="R178" t="s">
        <v>6870</v>
      </c>
      <c r="S178" t="s">
        <v>937</v>
      </c>
      <c r="T178" t="s">
        <v>6365</v>
      </c>
      <c r="U178" t="s">
        <v>6365</v>
      </c>
      <c r="V178" t="s">
        <v>7117</v>
      </c>
      <c r="W178" t="s">
        <v>7118</v>
      </c>
      <c r="X178" t="s">
        <v>7118</v>
      </c>
      <c r="Y178" t="s">
        <v>7118</v>
      </c>
      <c r="Z178" t="s">
        <v>7118</v>
      </c>
      <c r="AA178" t="s">
        <v>7118</v>
      </c>
      <c r="AB178" s="2">
        <v>8.0999999999999996E-3</v>
      </c>
      <c r="AC178" s="2">
        <v>1.7999999999999999E-2</v>
      </c>
      <c r="AD178" s="2">
        <v>5.2200000000000003E-2</v>
      </c>
      <c r="AE178" s="2">
        <v>8.6900000000000005E-2</v>
      </c>
      <c r="AF178" s="2">
        <v>6.5000000000000002E-2</v>
      </c>
      <c r="AG178" s="2">
        <v>6.5000000000000002E-2</v>
      </c>
      <c r="AH178" t="s">
        <v>4452</v>
      </c>
      <c r="AI178" t="s">
        <v>620</v>
      </c>
      <c r="AJ178" t="s">
        <v>38</v>
      </c>
      <c r="AK178" t="s">
        <v>40</v>
      </c>
      <c r="AM178" t="s">
        <v>41</v>
      </c>
      <c r="AN178" t="s">
        <v>42</v>
      </c>
      <c r="AO178" t="s">
        <v>6708</v>
      </c>
      <c r="AP178" t="s">
        <v>2055</v>
      </c>
      <c r="AQ178" t="s">
        <v>2055</v>
      </c>
      <c r="AR178" t="s">
        <v>48</v>
      </c>
      <c r="AS178" t="s">
        <v>48</v>
      </c>
      <c r="AT178" t="s">
        <v>1932</v>
      </c>
    </row>
    <row r="179" spans="1:46" x14ac:dyDescent="0.4">
      <c r="A179" t="s">
        <v>4448</v>
      </c>
      <c r="B179" t="s">
        <v>10</v>
      </c>
      <c r="C179" t="s">
        <v>1259</v>
      </c>
      <c r="D179" t="s">
        <v>11</v>
      </c>
      <c r="E179" s="2">
        <v>-8.9999999999999998E-4</v>
      </c>
      <c r="F179" t="s">
        <v>4448</v>
      </c>
      <c r="G179" s="4">
        <f>-0.09 / -0.09%</f>
        <v>100</v>
      </c>
      <c r="H179" t="s">
        <v>1259</v>
      </c>
      <c r="I179" t="s">
        <v>5946</v>
      </c>
      <c r="J179" t="s">
        <v>5947</v>
      </c>
      <c r="K179" t="s">
        <v>214</v>
      </c>
      <c r="L179" s="2">
        <v>3.61E-2</v>
      </c>
      <c r="M179" t="s">
        <v>66</v>
      </c>
      <c r="N179" t="s">
        <v>28</v>
      </c>
      <c r="O179" t="s">
        <v>5948</v>
      </c>
      <c r="P179" t="s">
        <v>369</v>
      </c>
      <c r="Q179" t="s">
        <v>369</v>
      </c>
      <c r="R179" t="s">
        <v>262</v>
      </c>
      <c r="S179" t="s">
        <v>2093</v>
      </c>
      <c r="T179" t="s">
        <v>2093</v>
      </c>
      <c r="U179" t="s">
        <v>2093</v>
      </c>
      <c r="V179" t="s">
        <v>2390</v>
      </c>
      <c r="W179" t="s">
        <v>1477</v>
      </c>
      <c r="X179" t="s">
        <v>1477</v>
      </c>
      <c r="Y179" t="s">
        <v>1477</v>
      </c>
      <c r="Z179" t="s">
        <v>1477</v>
      </c>
      <c r="AA179" t="s">
        <v>1477</v>
      </c>
      <c r="AB179" s="2">
        <v>-1.0800000000000001E-2</v>
      </c>
      <c r="AC179" s="2">
        <v>-8.3000000000000001E-3</v>
      </c>
      <c r="AD179" s="2">
        <v>1.38E-2</v>
      </c>
      <c r="AE179" s="2">
        <v>3.4599999999999999E-2</v>
      </c>
      <c r="AF179" s="2">
        <v>2.8799999999999999E-2</v>
      </c>
      <c r="AG179" s="2">
        <v>2.8799999999999999E-2</v>
      </c>
      <c r="AH179" t="s">
        <v>4452</v>
      </c>
      <c r="AI179" t="s">
        <v>620</v>
      </c>
      <c r="AJ179" t="s">
        <v>38</v>
      </c>
      <c r="AK179" t="s">
        <v>40</v>
      </c>
      <c r="AM179" t="s">
        <v>41</v>
      </c>
      <c r="AN179" t="s">
        <v>42</v>
      </c>
      <c r="AO179" t="s">
        <v>5948</v>
      </c>
      <c r="AP179" t="s">
        <v>3127</v>
      </c>
      <c r="AQ179" t="s">
        <v>3127</v>
      </c>
      <c r="AR179" t="s">
        <v>48</v>
      </c>
      <c r="AS179" t="s">
        <v>48</v>
      </c>
      <c r="AT179" t="s">
        <v>5949</v>
      </c>
    </row>
    <row r="180" spans="1:46" x14ac:dyDescent="0.4">
      <c r="A180" t="s">
        <v>4448</v>
      </c>
      <c r="B180" t="s">
        <v>10</v>
      </c>
      <c r="C180" t="s">
        <v>5326</v>
      </c>
      <c r="D180" t="s">
        <v>11</v>
      </c>
      <c r="E180" s="2">
        <v>-3.8E-3</v>
      </c>
      <c r="F180" t="s">
        <v>4448</v>
      </c>
      <c r="G180" s="4">
        <f>-0.4 / -0.38%</f>
        <v>105.26315789473685</v>
      </c>
      <c r="H180" t="s">
        <v>5326</v>
      </c>
      <c r="I180" t="s">
        <v>5327</v>
      </c>
      <c r="J180" t="s">
        <v>5328</v>
      </c>
      <c r="K180" t="s">
        <v>214</v>
      </c>
      <c r="L180" s="2">
        <v>4.24E-2</v>
      </c>
      <c r="M180" t="s">
        <v>5187</v>
      </c>
      <c r="N180" t="s">
        <v>28</v>
      </c>
      <c r="O180" t="s">
        <v>3006</v>
      </c>
      <c r="P180" t="s">
        <v>5329</v>
      </c>
      <c r="Q180" t="s">
        <v>5329</v>
      </c>
      <c r="R180" t="s">
        <v>5330</v>
      </c>
      <c r="S180" t="s">
        <v>376</v>
      </c>
      <c r="T180" t="s">
        <v>3109</v>
      </c>
      <c r="U180" t="s">
        <v>3109</v>
      </c>
      <c r="V180" t="s">
        <v>2486</v>
      </c>
      <c r="W180" t="s">
        <v>2345</v>
      </c>
      <c r="X180" t="s">
        <v>2345</v>
      </c>
      <c r="Y180" t="s">
        <v>2345</v>
      </c>
      <c r="Z180" t="s">
        <v>2345</v>
      </c>
      <c r="AA180" t="s">
        <v>2345</v>
      </c>
      <c r="AB180" s="2">
        <v>-1.3599999999999999E-2</v>
      </c>
      <c r="AC180" s="2">
        <v>-1.67E-2</v>
      </c>
      <c r="AD180" s="2">
        <v>3.3999999999999998E-3</v>
      </c>
      <c r="AE180" s="2">
        <v>2.3300000000000001E-2</v>
      </c>
      <c r="AF180" s="2">
        <v>4.1599999999999998E-2</v>
      </c>
      <c r="AG180" s="2">
        <v>4.1599999999999998E-2</v>
      </c>
      <c r="AH180" t="s">
        <v>4452</v>
      </c>
      <c r="AI180" t="s">
        <v>620</v>
      </c>
      <c r="AJ180" t="s">
        <v>38</v>
      </c>
      <c r="AK180" t="s">
        <v>40</v>
      </c>
      <c r="AM180" t="s">
        <v>41</v>
      </c>
      <c r="AN180" t="s">
        <v>42</v>
      </c>
      <c r="AO180" t="s">
        <v>3006</v>
      </c>
      <c r="AP180" t="s">
        <v>1138</v>
      </c>
      <c r="AQ180" t="s">
        <v>1138</v>
      </c>
      <c r="AR180" t="s">
        <v>48</v>
      </c>
      <c r="AS180" t="s">
        <v>48</v>
      </c>
      <c r="AT180" t="s">
        <v>5331</v>
      </c>
    </row>
    <row r="181" spans="1:46" x14ac:dyDescent="0.4">
      <c r="A181" t="s">
        <v>4448</v>
      </c>
      <c r="B181" t="s">
        <v>10</v>
      </c>
      <c r="C181" t="s">
        <v>1933</v>
      </c>
      <c r="D181" t="s">
        <v>11</v>
      </c>
      <c r="E181" s="2">
        <v>-8.0000000000000004E-4</v>
      </c>
      <c r="F181" t="s">
        <v>4448</v>
      </c>
      <c r="G181" s="4">
        <f>-0.08 / -0.08%</f>
        <v>100</v>
      </c>
      <c r="H181" t="s">
        <v>1933</v>
      </c>
      <c r="I181" t="s">
        <v>5349</v>
      </c>
      <c r="J181" t="s">
        <v>5350</v>
      </c>
      <c r="K181" t="s">
        <v>214</v>
      </c>
      <c r="L181" s="2">
        <v>3.5029999999999999E-2</v>
      </c>
      <c r="M181" t="s">
        <v>5351</v>
      </c>
      <c r="N181" t="s">
        <v>28</v>
      </c>
      <c r="O181" t="s">
        <v>1367</v>
      </c>
      <c r="P181" t="s">
        <v>5352</v>
      </c>
      <c r="Q181" t="s">
        <v>5352</v>
      </c>
      <c r="R181" t="s">
        <v>5353</v>
      </c>
      <c r="S181" t="s">
        <v>655</v>
      </c>
      <c r="T181" t="s">
        <v>655</v>
      </c>
      <c r="U181" t="s">
        <v>655</v>
      </c>
      <c r="V181" t="s">
        <v>1033</v>
      </c>
      <c r="W181" t="s">
        <v>1554</v>
      </c>
      <c r="X181" t="s">
        <v>1554</v>
      </c>
      <c r="Y181" t="s">
        <v>1554</v>
      </c>
      <c r="Z181" t="s">
        <v>1554</v>
      </c>
      <c r="AA181" t="s">
        <v>1554</v>
      </c>
      <c r="AB181" s="2">
        <v>-9.9000000000000008E-3</v>
      </c>
      <c r="AC181" s="2">
        <v>-9.1000000000000004E-3</v>
      </c>
      <c r="AD181" s="2">
        <v>1.32E-2</v>
      </c>
      <c r="AE181" s="2">
        <v>3.04E-2</v>
      </c>
      <c r="AF181" s="2">
        <v>1.6400000000000001E-2</v>
      </c>
      <c r="AG181" s="2">
        <v>1.6400000000000001E-2</v>
      </c>
      <c r="AH181" t="s">
        <v>4452</v>
      </c>
      <c r="AI181" t="s">
        <v>620</v>
      </c>
      <c r="AJ181" t="s">
        <v>38</v>
      </c>
      <c r="AK181" t="s">
        <v>40</v>
      </c>
      <c r="AM181" t="s">
        <v>41</v>
      </c>
      <c r="AN181" t="s">
        <v>42</v>
      </c>
      <c r="AO181" t="s">
        <v>1367</v>
      </c>
      <c r="AP181" t="s">
        <v>1138</v>
      </c>
      <c r="AQ181" t="s">
        <v>1138</v>
      </c>
      <c r="AR181" t="s">
        <v>48</v>
      </c>
      <c r="AS181" t="s">
        <v>48</v>
      </c>
      <c r="AT181" t="s">
        <v>5354</v>
      </c>
    </row>
    <row r="182" spans="1:46" x14ac:dyDescent="0.4">
      <c r="A182" t="s">
        <v>4448</v>
      </c>
      <c r="B182" t="s">
        <v>10</v>
      </c>
      <c r="C182" t="s">
        <v>1198</v>
      </c>
      <c r="D182" t="s">
        <v>11</v>
      </c>
      <c r="E182" s="2">
        <v>-4.0000000000000002E-4</v>
      </c>
      <c r="F182" t="s">
        <v>4448</v>
      </c>
      <c r="G182" s="4">
        <f>-0.04 / -0.04%</f>
        <v>100</v>
      </c>
      <c r="H182" t="s">
        <v>1198</v>
      </c>
      <c r="I182" t="s">
        <v>5950</v>
      </c>
      <c r="J182" t="s">
        <v>5951</v>
      </c>
      <c r="K182" t="s">
        <v>214</v>
      </c>
      <c r="L182" s="2">
        <v>3.3250000000000002E-2</v>
      </c>
      <c r="M182" t="s">
        <v>5952</v>
      </c>
      <c r="N182" t="s">
        <v>28</v>
      </c>
      <c r="O182" t="s">
        <v>1367</v>
      </c>
      <c r="P182" t="s">
        <v>111</v>
      </c>
      <c r="Q182" t="s">
        <v>111</v>
      </c>
      <c r="R182" t="s">
        <v>4095</v>
      </c>
      <c r="S182" t="s">
        <v>2806</v>
      </c>
      <c r="T182" t="s">
        <v>2806</v>
      </c>
      <c r="U182" t="s">
        <v>2806</v>
      </c>
      <c r="V182" t="s">
        <v>3512</v>
      </c>
      <c r="W182" t="s">
        <v>5953</v>
      </c>
      <c r="X182" t="s">
        <v>5953</v>
      </c>
      <c r="Y182" t="s">
        <v>5953</v>
      </c>
      <c r="Z182" t="s">
        <v>5953</v>
      </c>
      <c r="AA182" t="s">
        <v>5953</v>
      </c>
      <c r="AB182" s="2">
        <v>-7.0000000000000001E-3</v>
      </c>
      <c r="AC182" s="2">
        <v>-7.6E-3</v>
      </c>
      <c r="AD182" s="2">
        <v>1.1900000000000001E-2</v>
      </c>
      <c r="AE182" s="2">
        <v>1.84E-2</v>
      </c>
      <c r="AF182" s="2">
        <v>1.18E-2</v>
      </c>
      <c r="AG182" s="2">
        <v>1.18E-2</v>
      </c>
      <c r="AH182" t="s">
        <v>4452</v>
      </c>
      <c r="AI182" t="s">
        <v>620</v>
      </c>
      <c r="AJ182" t="s">
        <v>38</v>
      </c>
      <c r="AK182" t="s">
        <v>40</v>
      </c>
      <c r="AM182" t="s">
        <v>41</v>
      </c>
      <c r="AN182" t="s">
        <v>42</v>
      </c>
      <c r="AO182" t="s">
        <v>1367</v>
      </c>
      <c r="AP182" t="s">
        <v>1138</v>
      </c>
      <c r="AQ182" t="s">
        <v>1138</v>
      </c>
      <c r="AR182" t="s">
        <v>48</v>
      </c>
      <c r="AS182" t="s">
        <v>48</v>
      </c>
      <c r="AT182" t="s">
        <v>5354</v>
      </c>
    </row>
    <row r="183" spans="1:46" x14ac:dyDescent="0.4">
      <c r="A183" t="s">
        <v>4448</v>
      </c>
      <c r="B183" t="s">
        <v>10</v>
      </c>
      <c r="C183" t="s">
        <v>1197</v>
      </c>
      <c r="D183" t="s">
        <v>11</v>
      </c>
      <c r="E183" s="2">
        <v>0</v>
      </c>
      <c r="F183" t="s">
        <v>4448</v>
      </c>
      <c r="G183" s="4" t="s">
        <v>15</v>
      </c>
      <c r="H183" t="s">
        <v>1197</v>
      </c>
      <c r="I183" t="s">
        <v>4449</v>
      </c>
      <c r="J183" t="s">
        <v>4450</v>
      </c>
      <c r="K183" t="s">
        <v>214</v>
      </c>
      <c r="L183" s="2">
        <v>3.925E-2</v>
      </c>
      <c r="M183" t="s">
        <v>1739</v>
      </c>
      <c r="N183" t="s">
        <v>28</v>
      </c>
      <c r="O183" t="s">
        <v>101</v>
      </c>
      <c r="P183" t="s">
        <v>4451</v>
      </c>
      <c r="Q183" t="s">
        <v>4451</v>
      </c>
      <c r="R183" t="s">
        <v>1976</v>
      </c>
      <c r="S183" t="s">
        <v>656</v>
      </c>
      <c r="T183" t="s">
        <v>1385</v>
      </c>
      <c r="U183" t="s">
        <v>1385</v>
      </c>
      <c r="V183" t="s">
        <v>1834</v>
      </c>
      <c r="W183" t="s">
        <v>1494</v>
      </c>
      <c r="X183" t="s">
        <v>1494</v>
      </c>
      <c r="Y183" t="s">
        <v>1494</v>
      </c>
      <c r="Z183" t="s">
        <v>262</v>
      </c>
      <c r="AA183" t="s">
        <v>262</v>
      </c>
      <c r="AB183" s="2">
        <v>-1.1999999999999999E-3</v>
      </c>
      <c r="AC183" s="2">
        <v>-2.3E-3</v>
      </c>
      <c r="AD183" s="2">
        <v>2.5999999999999999E-3</v>
      </c>
      <c r="AE183" s="2">
        <v>2.0000000000000001E-4</v>
      </c>
      <c r="AF183" s="2">
        <v>3.8E-3</v>
      </c>
      <c r="AG183" s="2">
        <v>3.8E-3</v>
      </c>
      <c r="AH183" t="s">
        <v>4452</v>
      </c>
      <c r="AI183" t="s">
        <v>620</v>
      </c>
      <c r="AJ183" t="s">
        <v>38</v>
      </c>
      <c r="AK183" t="s">
        <v>40</v>
      </c>
      <c r="AM183" t="s">
        <v>41</v>
      </c>
      <c r="AN183" t="s">
        <v>42</v>
      </c>
      <c r="AO183" t="s">
        <v>101</v>
      </c>
      <c r="AP183" t="s">
        <v>835</v>
      </c>
      <c r="AQ183" t="s">
        <v>835</v>
      </c>
      <c r="AR183" t="s">
        <v>48</v>
      </c>
      <c r="AS183" t="s">
        <v>48</v>
      </c>
      <c r="AT183" t="s">
        <v>1583</v>
      </c>
    </row>
    <row r="184" spans="1:46" x14ac:dyDescent="0.4">
      <c r="A184" t="s">
        <v>4448</v>
      </c>
      <c r="B184" t="s">
        <v>10</v>
      </c>
      <c r="C184" t="s">
        <v>5937</v>
      </c>
      <c r="D184" t="s">
        <v>11</v>
      </c>
      <c r="E184" s="2">
        <v>-1.8E-3</v>
      </c>
      <c r="F184" t="s">
        <v>4448</v>
      </c>
      <c r="G184" s="4">
        <f>-0.2 / -0.18%</f>
        <v>111.11111111111111</v>
      </c>
      <c r="H184" t="s">
        <v>5937</v>
      </c>
      <c r="I184" t="s">
        <v>5938</v>
      </c>
      <c r="J184" t="s">
        <v>5939</v>
      </c>
      <c r="K184" t="s">
        <v>214</v>
      </c>
      <c r="L184" s="2">
        <v>6.2600000000000003E-2</v>
      </c>
      <c r="M184" t="s">
        <v>2438</v>
      </c>
      <c r="N184" t="s">
        <v>28</v>
      </c>
      <c r="O184" t="s">
        <v>539</v>
      </c>
      <c r="P184" t="s">
        <v>5940</v>
      </c>
      <c r="Q184" t="s">
        <v>5941</v>
      </c>
      <c r="R184" t="s">
        <v>5272</v>
      </c>
      <c r="S184" t="s">
        <v>5942</v>
      </c>
      <c r="T184" t="s">
        <v>2214</v>
      </c>
      <c r="U184" t="s">
        <v>2214</v>
      </c>
      <c r="V184" t="s">
        <v>5943</v>
      </c>
      <c r="W184" t="s">
        <v>5944</v>
      </c>
      <c r="X184" t="s">
        <v>5944</v>
      </c>
      <c r="Y184" t="s">
        <v>5944</v>
      </c>
      <c r="Z184" t="s">
        <v>5944</v>
      </c>
      <c r="AA184" t="s">
        <v>5944</v>
      </c>
      <c r="AB184" s="2">
        <v>0.01</v>
      </c>
      <c r="AC184" s="2">
        <v>2.3800000000000002E-2</v>
      </c>
      <c r="AD184" s="2">
        <v>5.8700000000000002E-2</v>
      </c>
      <c r="AE184" s="2">
        <v>8.0399999999999999E-2</v>
      </c>
      <c r="AF184" s="2">
        <v>0.1158</v>
      </c>
      <c r="AG184" s="2">
        <v>0.1158</v>
      </c>
      <c r="AH184" t="s">
        <v>4452</v>
      </c>
      <c r="AI184" t="s">
        <v>620</v>
      </c>
      <c r="AJ184" t="s">
        <v>38</v>
      </c>
      <c r="AK184" t="s">
        <v>40</v>
      </c>
      <c r="AM184" t="s">
        <v>41</v>
      </c>
      <c r="AN184" t="s">
        <v>42</v>
      </c>
      <c r="AO184" t="s">
        <v>539</v>
      </c>
      <c r="AP184" t="s">
        <v>3127</v>
      </c>
      <c r="AQ184" t="s">
        <v>3127</v>
      </c>
      <c r="AR184" t="s">
        <v>48</v>
      </c>
      <c r="AS184" t="s">
        <v>48</v>
      </c>
      <c r="AT184" t="s">
        <v>5945</v>
      </c>
    </row>
    <row r="185" spans="1:46" x14ac:dyDescent="0.4">
      <c r="A185" t="s">
        <v>4596</v>
      </c>
      <c r="B185" t="s">
        <v>10</v>
      </c>
      <c r="C185" t="s">
        <v>1659</v>
      </c>
      <c r="D185" t="s">
        <v>11</v>
      </c>
      <c r="E185" s="2">
        <v>-8.9999999999999998E-4</v>
      </c>
      <c r="F185" t="s">
        <v>4596</v>
      </c>
      <c r="G185" s="4">
        <f>-0.09 / -0.09%</f>
        <v>100</v>
      </c>
      <c r="H185" t="s">
        <v>1659</v>
      </c>
      <c r="I185" t="s">
        <v>6601</v>
      </c>
      <c r="J185" t="s">
        <v>6602</v>
      </c>
      <c r="K185" t="s">
        <v>214</v>
      </c>
      <c r="L185" s="2">
        <v>3.2250000000000001E-2</v>
      </c>
      <c r="M185" t="s">
        <v>3106</v>
      </c>
      <c r="N185" t="s">
        <v>28</v>
      </c>
      <c r="O185" t="s">
        <v>6603</v>
      </c>
      <c r="P185" t="s">
        <v>976</v>
      </c>
      <c r="Q185" t="s">
        <v>976</v>
      </c>
      <c r="R185" t="s">
        <v>970</v>
      </c>
      <c r="S185" t="s">
        <v>6604</v>
      </c>
      <c r="T185" t="s">
        <v>2702</v>
      </c>
      <c r="U185" t="s">
        <v>2702</v>
      </c>
      <c r="V185" t="s">
        <v>3420</v>
      </c>
      <c r="W185" t="s">
        <v>128</v>
      </c>
      <c r="X185" t="s">
        <v>128</v>
      </c>
      <c r="Y185" t="s">
        <v>128</v>
      </c>
      <c r="Z185" t="s">
        <v>128</v>
      </c>
      <c r="AA185" t="s">
        <v>128</v>
      </c>
      <c r="AB185" s="2">
        <v>-1.0500000000000001E-2</v>
      </c>
      <c r="AC185" s="2">
        <v>-8.2000000000000007E-3</v>
      </c>
      <c r="AD185" s="2">
        <v>1.4800000000000001E-2</v>
      </c>
      <c r="AE185" s="2">
        <v>3.7600000000000001E-2</v>
      </c>
      <c r="AF185" s="2">
        <v>1.7899999999999999E-2</v>
      </c>
      <c r="AG185" s="2">
        <v>2.5999999999999999E-3</v>
      </c>
      <c r="AH185" t="s">
        <v>4452</v>
      </c>
      <c r="AI185" t="s">
        <v>620</v>
      </c>
      <c r="AJ185" t="s">
        <v>38</v>
      </c>
      <c r="AK185" t="s">
        <v>40</v>
      </c>
      <c r="AM185" t="s">
        <v>41</v>
      </c>
      <c r="AN185" t="s">
        <v>42</v>
      </c>
      <c r="AO185" t="s">
        <v>6603</v>
      </c>
      <c r="AP185" t="s">
        <v>1486</v>
      </c>
      <c r="AQ185" t="s">
        <v>1486</v>
      </c>
      <c r="AR185" t="s">
        <v>48</v>
      </c>
      <c r="AS185" t="s">
        <v>48</v>
      </c>
      <c r="AT185" t="s">
        <v>5756</v>
      </c>
    </row>
    <row r="186" spans="1:46" x14ac:dyDescent="0.4">
      <c r="A186" t="s">
        <v>4448</v>
      </c>
      <c r="B186" t="s">
        <v>10</v>
      </c>
      <c r="C186" t="s">
        <v>1197</v>
      </c>
      <c r="D186" t="s">
        <v>11</v>
      </c>
      <c r="E186" s="2">
        <v>1E-4</v>
      </c>
      <c r="F186" t="s">
        <v>4448</v>
      </c>
      <c r="G186" s="4" t="s">
        <v>148</v>
      </c>
      <c r="H186" t="s">
        <v>1197</v>
      </c>
      <c r="I186" t="s">
        <v>4449</v>
      </c>
      <c r="J186" t="s">
        <v>5324</v>
      </c>
      <c r="K186" t="s">
        <v>214</v>
      </c>
      <c r="L186" s="2">
        <v>3.4889999999999997E-2</v>
      </c>
      <c r="M186" t="s">
        <v>3174</v>
      </c>
      <c r="N186" t="s">
        <v>121</v>
      </c>
      <c r="O186" t="s">
        <v>94</v>
      </c>
      <c r="P186" t="s">
        <v>259</v>
      </c>
      <c r="Q186" t="s">
        <v>259</v>
      </c>
      <c r="R186" t="s">
        <v>259</v>
      </c>
      <c r="S186" t="s">
        <v>234</v>
      </c>
      <c r="T186" t="s">
        <v>1169</v>
      </c>
      <c r="U186" t="s">
        <v>1169</v>
      </c>
      <c r="V186" t="s">
        <v>1112</v>
      </c>
      <c r="W186" t="s">
        <v>2724</v>
      </c>
      <c r="X186" t="s">
        <v>68</v>
      </c>
      <c r="Y186" t="s">
        <v>68</v>
      </c>
      <c r="Z186" t="s">
        <v>1709</v>
      </c>
      <c r="AA186" t="s">
        <v>1709</v>
      </c>
      <c r="AB186" s="2">
        <v>-2.0000000000000001E-4</v>
      </c>
      <c r="AC186" s="2">
        <v>-6.9999999999999999E-4</v>
      </c>
      <c r="AD186" s="2">
        <v>1E-4</v>
      </c>
      <c r="AE186" s="2">
        <v>9.1999999999999998E-3</v>
      </c>
      <c r="AF186" s="2">
        <v>4.7000000000000002E-3</v>
      </c>
      <c r="AG186" s="2">
        <v>4.7000000000000002E-3</v>
      </c>
      <c r="AH186" t="s">
        <v>4452</v>
      </c>
      <c r="AI186" t="s">
        <v>620</v>
      </c>
      <c r="AJ186" t="s">
        <v>38</v>
      </c>
      <c r="AK186" t="s">
        <v>40</v>
      </c>
      <c r="AM186" t="s">
        <v>41</v>
      </c>
      <c r="AN186" t="s">
        <v>42</v>
      </c>
      <c r="AO186" t="s">
        <v>94</v>
      </c>
      <c r="AP186" t="s">
        <v>1138</v>
      </c>
      <c r="AQ186" t="s">
        <v>1138</v>
      </c>
      <c r="AR186" t="s">
        <v>48</v>
      </c>
      <c r="AS186" t="s">
        <v>48</v>
      </c>
      <c r="AT186" t="s">
        <v>5325</v>
      </c>
    </row>
    <row r="187" spans="1:46" x14ac:dyDescent="0.4">
      <c r="A187" t="s">
        <v>4596</v>
      </c>
      <c r="B187" t="s">
        <v>10</v>
      </c>
      <c r="C187" t="s">
        <v>7119</v>
      </c>
      <c r="D187" t="s">
        <v>11</v>
      </c>
      <c r="E187" s="2">
        <v>-4.3E-3</v>
      </c>
      <c r="F187" t="s">
        <v>4596</v>
      </c>
      <c r="G187" s="4">
        <f>-0.45 / -0.43%</f>
        <v>104.65116279069768</v>
      </c>
      <c r="H187" t="s">
        <v>7119</v>
      </c>
      <c r="I187" t="s">
        <v>7120</v>
      </c>
      <c r="J187" t="s">
        <v>7121</v>
      </c>
      <c r="K187" t="s">
        <v>214</v>
      </c>
      <c r="L187" s="2">
        <v>4.1200000000000001E-2</v>
      </c>
      <c r="M187" t="s">
        <v>7122</v>
      </c>
      <c r="N187" t="s">
        <v>28</v>
      </c>
      <c r="O187" t="s">
        <v>4676</v>
      </c>
      <c r="P187" t="s">
        <v>1757</v>
      </c>
      <c r="Q187" t="s">
        <v>1757</v>
      </c>
      <c r="R187" t="s">
        <v>4629</v>
      </c>
      <c r="S187" t="s">
        <v>168</v>
      </c>
      <c r="T187" t="s">
        <v>1185</v>
      </c>
      <c r="U187" t="s">
        <v>1185</v>
      </c>
      <c r="V187" t="s">
        <v>7123</v>
      </c>
      <c r="W187" t="s">
        <v>4123</v>
      </c>
      <c r="X187" t="s">
        <v>4123</v>
      </c>
      <c r="Y187" t="s">
        <v>4123</v>
      </c>
      <c r="Z187" t="s">
        <v>4123</v>
      </c>
      <c r="AA187" t="s">
        <v>4123</v>
      </c>
      <c r="AB187" s="2">
        <v>-1.4500000000000001E-2</v>
      </c>
      <c r="AC187" s="2">
        <v>-1.7399999999999999E-2</v>
      </c>
      <c r="AD187" s="2">
        <v>3.7000000000000002E-3</v>
      </c>
      <c r="AE187" s="2">
        <v>2.9399999999999999E-2</v>
      </c>
      <c r="AF187" s="2">
        <v>3.9800000000000002E-2</v>
      </c>
      <c r="AG187" s="2">
        <v>3.9800000000000002E-2</v>
      </c>
      <c r="AH187" t="s">
        <v>4452</v>
      </c>
      <c r="AI187" t="s">
        <v>620</v>
      </c>
      <c r="AJ187" t="s">
        <v>38</v>
      </c>
      <c r="AK187" t="s">
        <v>40</v>
      </c>
      <c r="AM187" t="s">
        <v>41</v>
      </c>
      <c r="AN187" t="s">
        <v>42</v>
      </c>
      <c r="AO187" t="s">
        <v>4676</v>
      </c>
      <c r="AP187" t="s">
        <v>835</v>
      </c>
      <c r="AQ187" t="s">
        <v>835</v>
      </c>
      <c r="AR187" t="s">
        <v>48</v>
      </c>
      <c r="AS187" t="s">
        <v>48</v>
      </c>
      <c r="AT187" t="s">
        <v>1368</v>
      </c>
    </row>
    <row r="188" spans="1:46" x14ac:dyDescent="0.4">
      <c r="A188" t="s">
        <v>4448</v>
      </c>
      <c r="B188" t="s">
        <v>10</v>
      </c>
      <c r="C188" t="s">
        <v>7124</v>
      </c>
      <c r="D188" t="s">
        <v>11</v>
      </c>
      <c r="E188" s="2">
        <v>-4.3E-3</v>
      </c>
      <c r="F188" t="s">
        <v>4448</v>
      </c>
      <c r="G188" s="4">
        <f>-0.45 / -0.43%</f>
        <v>104.65116279069768</v>
      </c>
      <c r="H188" t="s">
        <v>7124</v>
      </c>
      <c r="I188" t="s">
        <v>7125</v>
      </c>
      <c r="J188" t="s">
        <v>7126</v>
      </c>
      <c r="K188" t="s">
        <v>214</v>
      </c>
      <c r="L188" s="2">
        <v>4.1399999999999999E-2</v>
      </c>
      <c r="M188" t="s">
        <v>5187</v>
      </c>
      <c r="N188" t="s">
        <v>28</v>
      </c>
      <c r="O188" t="s">
        <v>1368</v>
      </c>
      <c r="P188" t="s">
        <v>2061</v>
      </c>
      <c r="Q188" t="s">
        <v>2061</v>
      </c>
      <c r="R188" t="s">
        <v>7127</v>
      </c>
      <c r="S188" t="s">
        <v>590</v>
      </c>
      <c r="T188" t="s">
        <v>1205</v>
      </c>
      <c r="U188" t="s">
        <v>1205</v>
      </c>
      <c r="V188" t="s">
        <v>3166</v>
      </c>
      <c r="W188" t="s">
        <v>7128</v>
      </c>
      <c r="X188" t="s">
        <v>7128</v>
      </c>
      <c r="Y188" t="s">
        <v>7128</v>
      </c>
      <c r="Z188" t="s">
        <v>7128</v>
      </c>
      <c r="AA188" t="s">
        <v>7128</v>
      </c>
      <c r="AB188" s="2">
        <v>-1.4500000000000001E-2</v>
      </c>
      <c r="AC188" s="2">
        <v>-1.7399999999999999E-2</v>
      </c>
      <c r="AD188" s="2">
        <v>3.5999999999999999E-3</v>
      </c>
      <c r="AE188" s="2">
        <v>2.93E-2</v>
      </c>
      <c r="AF188" s="2">
        <v>4.0899999999999999E-2</v>
      </c>
      <c r="AG188" s="2">
        <v>4.0899999999999999E-2</v>
      </c>
      <c r="AH188" t="s">
        <v>4452</v>
      </c>
      <c r="AI188" t="s">
        <v>620</v>
      </c>
      <c r="AJ188" t="s">
        <v>38</v>
      </c>
      <c r="AK188" t="s">
        <v>40</v>
      </c>
      <c r="AM188" t="s">
        <v>41</v>
      </c>
      <c r="AN188" t="s">
        <v>42</v>
      </c>
      <c r="AO188" t="s">
        <v>1368</v>
      </c>
      <c r="AP188" t="s">
        <v>835</v>
      </c>
      <c r="AQ188" t="s">
        <v>835</v>
      </c>
      <c r="AR188" t="s">
        <v>48</v>
      </c>
      <c r="AS188" t="s">
        <v>48</v>
      </c>
      <c r="AT188" t="s">
        <v>87</v>
      </c>
    </row>
    <row r="189" spans="1:46" x14ac:dyDescent="0.4">
      <c r="A189" t="s">
        <v>4448</v>
      </c>
      <c r="B189" t="s">
        <v>10</v>
      </c>
      <c r="C189" t="s">
        <v>4617</v>
      </c>
      <c r="D189" t="s">
        <v>11</v>
      </c>
      <c r="E189" s="2">
        <v>-4.3E-3</v>
      </c>
      <c r="F189" t="s">
        <v>4448</v>
      </c>
      <c r="G189" s="4">
        <f>-0.45 / -0.43%</f>
        <v>104.65116279069768</v>
      </c>
      <c r="H189" t="s">
        <v>4617</v>
      </c>
      <c r="I189" t="s">
        <v>4618</v>
      </c>
      <c r="J189" t="s">
        <v>4619</v>
      </c>
      <c r="K189" t="s">
        <v>214</v>
      </c>
      <c r="L189" s="2">
        <v>4.0500000000000001E-2</v>
      </c>
      <c r="M189" t="s">
        <v>4620</v>
      </c>
      <c r="N189" t="s">
        <v>28</v>
      </c>
      <c r="O189" t="s">
        <v>4621</v>
      </c>
      <c r="P189" t="s">
        <v>416</v>
      </c>
      <c r="Q189" t="s">
        <v>416</v>
      </c>
      <c r="R189" t="s">
        <v>1267</v>
      </c>
      <c r="S189" t="s">
        <v>1807</v>
      </c>
      <c r="T189" t="s">
        <v>3089</v>
      </c>
      <c r="U189" t="s">
        <v>3089</v>
      </c>
      <c r="V189" t="s">
        <v>2512</v>
      </c>
      <c r="W189" t="s">
        <v>4622</v>
      </c>
      <c r="X189" t="s">
        <v>4622</v>
      </c>
      <c r="Y189" t="s">
        <v>4622</v>
      </c>
      <c r="Z189" t="s">
        <v>4622</v>
      </c>
      <c r="AA189" t="s">
        <v>4622</v>
      </c>
      <c r="AB189" s="2">
        <v>-1.4500000000000001E-2</v>
      </c>
      <c r="AC189" s="2">
        <v>-1.7399999999999999E-2</v>
      </c>
      <c r="AD189" s="2">
        <v>3.8E-3</v>
      </c>
      <c r="AE189" s="2">
        <v>3.0800000000000001E-2</v>
      </c>
      <c r="AF189" s="2">
        <v>4.3099999999999999E-2</v>
      </c>
      <c r="AG189" s="2">
        <v>4.3099999999999999E-2</v>
      </c>
      <c r="AH189" t="s">
        <v>4452</v>
      </c>
      <c r="AI189" t="s">
        <v>620</v>
      </c>
      <c r="AJ189" t="s">
        <v>38</v>
      </c>
      <c r="AK189" t="s">
        <v>40</v>
      </c>
      <c r="AM189" t="s">
        <v>41</v>
      </c>
      <c r="AN189" t="s">
        <v>42</v>
      </c>
      <c r="AO189" t="s">
        <v>4621</v>
      </c>
      <c r="AP189" t="s">
        <v>3127</v>
      </c>
      <c r="AQ189" t="s">
        <v>3127</v>
      </c>
      <c r="AR189" t="s">
        <v>48</v>
      </c>
      <c r="AS189" t="s">
        <v>48</v>
      </c>
      <c r="AT189" t="s">
        <v>4623</v>
      </c>
    </row>
    <row r="190" spans="1:46" x14ac:dyDescent="0.4">
      <c r="A190" t="s">
        <v>4448</v>
      </c>
      <c r="B190" t="s">
        <v>10</v>
      </c>
      <c r="C190" t="s">
        <v>5355</v>
      </c>
      <c r="D190" t="s">
        <v>11</v>
      </c>
      <c r="E190" s="2">
        <v>-8.9999999999999998E-4</v>
      </c>
      <c r="F190" t="s">
        <v>4448</v>
      </c>
      <c r="G190" s="4">
        <f>-0.08 / -0.09%</f>
        <v>88.8888888888889</v>
      </c>
      <c r="H190" t="s">
        <v>5355</v>
      </c>
      <c r="I190" t="s">
        <v>5356</v>
      </c>
      <c r="J190" t="s">
        <v>5357</v>
      </c>
      <c r="K190" t="s">
        <v>214</v>
      </c>
      <c r="L190" s="2">
        <v>1.3599999999999999E-2</v>
      </c>
      <c r="M190" t="s">
        <v>5358</v>
      </c>
      <c r="N190" t="s">
        <v>28</v>
      </c>
      <c r="O190" t="s">
        <v>5359</v>
      </c>
      <c r="P190" t="s">
        <v>5360</v>
      </c>
      <c r="Q190" t="s">
        <v>5360</v>
      </c>
      <c r="R190" t="s">
        <v>5361</v>
      </c>
      <c r="S190" t="s">
        <v>5362</v>
      </c>
      <c r="T190" t="s">
        <v>4353</v>
      </c>
      <c r="U190" t="s">
        <v>4353</v>
      </c>
      <c r="V190" t="s">
        <v>3516</v>
      </c>
      <c r="W190" t="s">
        <v>5363</v>
      </c>
      <c r="X190" t="s">
        <v>5363</v>
      </c>
      <c r="Y190" t="s">
        <v>5363</v>
      </c>
      <c r="Z190" t="s">
        <v>5363</v>
      </c>
      <c r="AA190" t="s">
        <v>775</v>
      </c>
      <c r="AB190" s="2">
        <v>-1.34E-2</v>
      </c>
      <c r="AC190" s="2">
        <v>-1.3100000000000001E-2</v>
      </c>
      <c r="AD190" s="2">
        <v>1.46E-2</v>
      </c>
      <c r="AE190" s="2">
        <v>6.0199999999999997E-2</v>
      </c>
      <c r="AF190" s="2">
        <v>7.4999999999999997E-2</v>
      </c>
      <c r="AG190" s="2">
        <v>-0.15040000000000001</v>
      </c>
      <c r="AH190" t="s">
        <v>4452</v>
      </c>
      <c r="AI190" t="s">
        <v>620</v>
      </c>
      <c r="AJ190" t="s">
        <v>38</v>
      </c>
      <c r="AK190" t="s">
        <v>40</v>
      </c>
      <c r="AM190" t="s">
        <v>41</v>
      </c>
      <c r="AN190" t="s">
        <v>42</v>
      </c>
      <c r="AO190" t="s">
        <v>5359</v>
      </c>
      <c r="AP190" t="s">
        <v>2055</v>
      </c>
      <c r="AQ190" t="s">
        <v>2055</v>
      </c>
      <c r="AR190" t="s">
        <v>48</v>
      </c>
      <c r="AS190" t="s">
        <v>48</v>
      </c>
      <c r="AT190" t="s">
        <v>5364</v>
      </c>
    </row>
    <row r="191" spans="1:46" x14ac:dyDescent="0.4">
      <c r="A191" t="s">
        <v>4448</v>
      </c>
      <c r="B191" t="s">
        <v>10</v>
      </c>
      <c r="C191" t="s">
        <v>96</v>
      </c>
      <c r="D191" t="s">
        <v>11</v>
      </c>
      <c r="E191" s="2">
        <v>1E-4</v>
      </c>
      <c r="F191" t="s">
        <v>4448</v>
      </c>
      <c r="G191" s="4" t="s">
        <v>148</v>
      </c>
      <c r="H191" t="s">
        <v>96</v>
      </c>
      <c r="I191" t="s">
        <v>4634</v>
      </c>
      <c r="J191" t="s">
        <v>4635</v>
      </c>
      <c r="K191" t="s">
        <v>214</v>
      </c>
      <c r="L191" s="2">
        <v>4.1680000000000002E-2</v>
      </c>
      <c r="M191" t="s">
        <v>4636</v>
      </c>
      <c r="N191" t="s">
        <v>121</v>
      </c>
      <c r="O191" t="s">
        <v>2276</v>
      </c>
      <c r="P191" t="s">
        <v>217</v>
      </c>
      <c r="Q191" t="s">
        <v>217</v>
      </c>
      <c r="R191" t="s">
        <v>1065</v>
      </c>
      <c r="S191" t="s">
        <v>1385</v>
      </c>
      <c r="T191" t="s">
        <v>535</v>
      </c>
      <c r="U191" t="s">
        <v>535</v>
      </c>
      <c r="V191" t="s">
        <v>96</v>
      </c>
      <c r="W191" t="s">
        <v>96</v>
      </c>
      <c r="X191" t="s">
        <v>96</v>
      </c>
      <c r="Y191" t="s">
        <v>96</v>
      </c>
      <c r="Z191" t="s">
        <v>96</v>
      </c>
      <c r="AA191" t="s">
        <v>96</v>
      </c>
      <c r="AB191" s="2">
        <v>2.3999999999999998E-3</v>
      </c>
      <c r="AC191" s="2">
        <v>2.3E-3</v>
      </c>
      <c r="AD191" s="2">
        <v>3.3E-3</v>
      </c>
      <c r="AE191" s="2">
        <v>3.7000000000000002E-3</v>
      </c>
      <c r="AF191" s="2">
        <v>5.9999999999999995E-4</v>
      </c>
      <c r="AG191" s="2">
        <v>5.9999999999999995E-4</v>
      </c>
      <c r="AH191" t="s">
        <v>4452</v>
      </c>
      <c r="AI191" t="s">
        <v>620</v>
      </c>
      <c r="AJ191" t="s">
        <v>38</v>
      </c>
      <c r="AK191" t="s">
        <v>40</v>
      </c>
      <c r="AM191" t="s">
        <v>41</v>
      </c>
      <c r="AN191" t="s">
        <v>42</v>
      </c>
      <c r="AO191" t="s">
        <v>2276</v>
      </c>
      <c r="AP191" t="s">
        <v>2055</v>
      </c>
      <c r="AQ191" t="s">
        <v>1138</v>
      </c>
      <c r="AR191" t="s">
        <v>48</v>
      </c>
      <c r="AS191" t="s">
        <v>48</v>
      </c>
      <c r="AT191" t="s">
        <v>4637</v>
      </c>
    </row>
    <row r="192" spans="1:46" x14ac:dyDescent="0.4">
      <c r="A192" t="s">
        <v>4448</v>
      </c>
      <c r="B192" t="s">
        <v>10</v>
      </c>
      <c r="C192" t="s">
        <v>5332</v>
      </c>
      <c r="D192" t="s">
        <v>11</v>
      </c>
      <c r="E192" s="2">
        <v>-1.9E-3</v>
      </c>
      <c r="F192" t="s">
        <v>4448</v>
      </c>
      <c r="G192" s="4">
        <f>-0.21 / -0.19%</f>
        <v>110.52631578947368</v>
      </c>
      <c r="H192" t="s">
        <v>5332</v>
      </c>
      <c r="I192" t="s">
        <v>5333</v>
      </c>
      <c r="J192" t="s">
        <v>5334</v>
      </c>
      <c r="K192" t="s">
        <v>214</v>
      </c>
      <c r="L192" s="2">
        <v>6.2199999999999998E-2</v>
      </c>
      <c r="M192" t="s">
        <v>437</v>
      </c>
      <c r="N192" t="s">
        <v>28</v>
      </c>
      <c r="O192" t="s">
        <v>314</v>
      </c>
      <c r="P192" t="s">
        <v>5335</v>
      </c>
      <c r="Q192" t="s">
        <v>5336</v>
      </c>
      <c r="R192" t="s">
        <v>5337</v>
      </c>
      <c r="S192" t="s">
        <v>1472</v>
      </c>
      <c r="T192" t="s">
        <v>4572</v>
      </c>
      <c r="U192" t="s">
        <v>4572</v>
      </c>
      <c r="V192" t="s">
        <v>5338</v>
      </c>
      <c r="W192" t="s">
        <v>5339</v>
      </c>
      <c r="X192" t="s">
        <v>5339</v>
      </c>
      <c r="Y192" t="s">
        <v>5339</v>
      </c>
      <c r="Z192" t="s">
        <v>5339</v>
      </c>
      <c r="AA192" t="s">
        <v>5339</v>
      </c>
      <c r="AB192" s="2">
        <v>1.14E-2</v>
      </c>
      <c r="AC192" s="2">
        <v>2.75E-2</v>
      </c>
      <c r="AD192" s="2">
        <v>6.4299999999999996E-2</v>
      </c>
      <c r="AE192" s="2">
        <v>9.4600000000000004E-2</v>
      </c>
      <c r="AF192" s="2">
        <v>0.16039999999999999</v>
      </c>
      <c r="AG192" s="2">
        <v>0.16039999999999999</v>
      </c>
      <c r="AH192" t="s">
        <v>4452</v>
      </c>
      <c r="AI192" t="s">
        <v>620</v>
      </c>
      <c r="AJ192" t="s">
        <v>38</v>
      </c>
      <c r="AK192" t="s">
        <v>40</v>
      </c>
      <c r="AM192" t="s">
        <v>41</v>
      </c>
      <c r="AN192" t="s">
        <v>42</v>
      </c>
      <c r="AO192" t="s">
        <v>314</v>
      </c>
      <c r="AP192" t="s">
        <v>3127</v>
      </c>
      <c r="AQ192" t="s">
        <v>3127</v>
      </c>
      <c r="AR192" t="s">
        <v>48</v>
      </c>
      <c r="AS192" t="s">
        <v>48</v>
      </c>
      <c r="AT192" t="s">
        <v>557</v>
      </c>
    </row>
    <row r="193" spans="1:54" x14ac:dyDescent="0.4">
      <c r="A193" t="s">
        <v>4448</v>
      </c>
      <c r="B193" t="s">
        <v>10</v>
      </c>
      <c r="C193" t="s">
        <v>1361</v>
      </c>
      <c r="D193" t="s">
        <v>11</v>
      </c>
      <c r="E193" s="2">
        <v>-4.5999999999999999E-3</v>
      </c>
      <c r="F193" t="s">
        <v>4448</v>
      </c>
      <c r="G193" s="4">
        <f>-0.48 / -0.46%</f>
        <v>104.34782608695652</v>
      </c>
      <c r="H193" t="s">
        <v>1361</v>
      </c>
      <c r="I193" t="s">
        <v>4624</v>
      </c>
      <c r="J193" t="s">
        <v>4625</v>
      </c>
      <c r="K193" t="s">
        <v>214</v>
      </c>
      <c r="L193" s="2">
        <v>4.0399999999999998E-2</v>
      </c>
      <c r="M193" t="s">
        <v>4626</v>
      </c>
      <c r="N193" t="s">
        <v>28</v>
      </c>
      <c r="O193" t="s">
        <v>4627</v>
      </c>
      <c r="P193" t="s">
        <v>4628</v>
      </c>
      <c r="Q193" t="s">
        <v>4628</v>
      </c>
      <c r="R193" t="s">
        <v>4629</v>
      </c>
      <c r="S193" t="s">
        <v>1069</v>
      </c>
      <c r="T193" t="s">
        <v>394</v>
      </c>
      <c r="U193" t="s">
        <v>394</v>
      </c>
      <c r="V193" t="s">
        <v>4630</v>
      </c>
      <c r="W193" t="s">
        <v>318</v>
      </c>
      <c r="X193" t="s">
        <v>318</v>
      </c>
      <c r="Y193" t="s">
        <v>318</v>
      </c>
      <c r="Z193" t="s">
        <v>318</v>
      </c>
      <c r="AA193" t="s">
        <v>318</v>
      </c>
      <c r="AB193" s="2">
        <v>-1.6E-2</v>
      </c>
      <c r="AC193" s="2">
        <v>-1.8100000000000002E-2</v>
      </c>
      <c r="AD193" s="2">
        <v>4.4000000000000003E-3</v>
      </c>
      <c r="AE193" s="2">
        <v>3.9E-2</v>
      </c>
      <c r="AF193" s="2">
        <v>4.0599999999999997E-2</v>
      </c>
      <c r="AG193" s="2">
        <v>4.0599999999999997E-2</v>
      </c>
      <c r="AH193" t="s">
        <v>4452</v>
      </c>
      <c r="AI193" t="s">
        <v>620</v>
      </c>
      <c r="AJ193" t="s">
        <v>38</v>
      </c>
      <c r="AK193" t="s">
        <v>40</v>
      </c>
      <c r="AM193" t="s">
        <v>41</v>
      </c>
      <c r="AN193" t="s">
        <v>42</v>
      </c>
      <c r="AO193" t="s">
        <v>4627</v>
      </c>
      <c r="AP193" t="s">
        <v>3127</v>
      </c>
      <c r="AQ193" t="s">
        <v>3127</v>
      </c>
      <c r="AR193" t="s">
        <v>48</v>
      </c>
      <c r="AS193" t="s">
        <v>48</v>
      </c>
      <c r="AT193" t="s">
        <v>2195</v>
      </c>
    </row>
    <row r="194" spans="1:54" x14ac:dyDescent="0.4">
      <c r="A194" t="s">
        <v>251</v>
      </c>
      <c r="B194" t="s">
        <v>10</v>
      </c>
      <c r="C194" s="1">
        <v>95254</v>
      </c>
      <c r="D194" t="s">
        <v>11</v>
      </c>
      <c r="E194" s="2">
        <v>1E-4</v>
      </c>
      <c r="F194" t="s">
        <v>12</v>
      </c>
      <c r="G194" s="4" t="s">
        <v>7068</v>
      </c>
      <c r="H194" s="1">
        <v>95254</v>
      </c>
      <c r="I194" t="s">
        <v>7069</v>
      </c>
      <c r="J194" t="s">
        <v>7070</v>
      </c>
      <c r="K194" t="s">
        <v>23</v>
      </c>
      <c r="L194" s="2">
        <v>0.01</v>
      </c>
      <c r="M194" t="s">
        <v>7071</v>
      </c>
      <c r="N194" t="s">
        <v>121</v>
      </c>
      <c r="O194" t="s">
        <v>7072</v>
      </c>
      <c r="P194" s="1">
        <v>94601</v>
      </c>
      <c r="Q194" t="s">
        <v>6289</v>
      </c>
      <c r="R194" s="1">
        <v>89329</v>
      </c>
      <c r="S194" t="s">
        <v>7073</v>
      </c>
      <c r="T194" t="s">
        <v>3048</v>
      </c>
      <c r="U194" t="s">
        <v>7074</v>
      </c>
      <c r="V194" t="s">
        <v>4988</v>
      </c>
      <c r="W194" t="s">
        <v>4988</v>
      </c>
      <c r="X194" t="s">
        <v>4988</v>
      </c>
      <c r="Y194" t="s">
        <v>4988</v>
      </c>
      <c r="Z194" t="s">
        <v>4988</v>
      </c>
      <c r="AA194" t="s">
        <v>4988</v>
      </c>
      <c r="AB194" s="2">
        <v>3.2000000000000002E-3</v>
      </c>
      <c r="AC194" s="2">
        <v>2.7199999999999998E-2</v>
      </c>
      <c r="AD194" s="2">
        <v>6.6299999999999998E-2</v>
      </c>
      <c r="AE194" s="2">
        <v>0.15190000000000001</v>
      </c>
      <c r="AF194" s="2">
        <v>0.23519999999999999</v>
      </c>
      <c r="AG194" s="2">
        <v>0.1734</v>
      </c>
      <c r="AH194" t="s">
        <v>7075</v>
      </c>
      <c r="AI194" t="s">
        <v>232</v>
      </c>
      <c r="AJ194" t="s">
        <v>131</v>
      </c>
      <c r="AK194" t="s">
        <v>40</v>
      </c>
      <c r="AL194">
        <v>100</v>
      </c>
      <c r="AM194" t="s">
        <v>41</v>
      </c>
      <c r="AN194" t="s">
        <v>42</v>
      </c>
      <c r="AO194" t="s">
        <v>7072</v>
      </c>
      <c r="AP194" t="s">
        <v>357</v>
      </c>
      <c r="AQ194">
        <v>100</v>
      </c>
      <c r="BA194" t="s">
        <v>136</v>
      </c>
      <c r="BB194" t="s">
        <v>61</v>
      </c>
    </row>
    <row r="195" spans="1:54" x14ac:dyDescent="0.4">
      <c r="A195" t="s">
        <v>740</v>
      </c>
      <c r="B195" t="s">
        <v>10</v>
      </c>
      <c r="C195" t="s">
        <v>5448</v>
      </c>
      <c r="D195" t="s">
        <v>11</v>
      </c>
      <c r="E195" s="2">
        <v>0</v>
      </c>
      <c r="F195" t="s">
        <v>12</v>
      </c>
      <c r="G195" s="4" t="s">
        <v>15</v>
      </c>
      <c r="H195" t="s">
        <v>5448</v>
      </c>
      <c r="I195" t="s">
        <v>7076</v>
      </c>
      <c r="J195" t="s">
        <v>7077</v>
      </c>
      <c r="K195" t="s">
        <v>23</v>
      </c>
      <c r="L195" s="2">
        <v>2.1250000000000002E-2</v>
      </c>
      <c r="M195" t="s">
        <v>5806</v>
      </c>
      <c r="N195" t="s">
        <v>121</v>
      </c>
      <c r="O195" t="s">
        <v>7072</v>
      </c>
      <c r="P195" t="s">
        <v>1881</v>
      </c>
      <c r="Q195" t="s">
        <v>1881</v>
      </c>
      <c r="R195" t="s">
        <v>7078</v>
      </c>
      <c r="S195" t="s">
        <v>7079</v>
      </c>
      <c r="T195" t="s">
        <v>7080</v>
      </c>
      <c r="U195" t="s">
        <v>3270</v>
      </c>
      <c r="V195" t="s">
        <v>5785</v>
      </c>
      <c r="W195" t="s">
        <v>6727</v>
      </c>
      <c r="X195" t="s">
        <v>6727</v>
      </c>
      <c r="Y195" t="s">
        <v>6727</v>
      </c>
      <c r="Z195" t="s">
        <v>6727</v>
      </c>
      <c r="AA195" t="s">
        <v>6727</v>
      </c>
      <c r="AB195" s="2">
        <v>-7.4999999999999997E-3</v>
      </c>
      <c r="AC195" s="2">
        <v>-4.1999999999999997E-3</v>
      </c>
      <c r="AD195" s="2">
        <v>0.15620000000000001</v>
      </c>
      <c r="AE195" s="2">
        <v>0.25640000000000002</v>
      </c>
      <c r="AF195" s="2">
        <v>0.27239999999999998</v>
      </c>
      <c r="AG195" s="2">
        <v>4.1099999999999998E-2</v>
      </c>
      <c r="AH195" t="s">
        <v>7075</v>
      </c>
      <c r="AI195" t="s">
        <v>232</v>
      </c>
      <c r="AJ195" t="s">
        <v>131</v>
      </c>
      <c r="AK195" t="s">
        <v>40</v>
      </c>
      <c r="AL195">
        <v>100</v>
      </c>
      <c r="AM195" t="s">
        <v>41</v>
      </c>
      <c r="AN195" t="s">
        <v>42</v>
      </c>
      <c r="AO195" t="s">
        <v>7072</v>
      </c>
      <c r="AP195" t="s">
        <v>225</v>
      </c>
      <c r="AQ195">
        <v>100</v>
      </c>
      <c r="BA195" t="s">
        <v>174</v>
      </c>
      <c r="BB195" t="s">
        <v>61</v>
      </c>
    </row>
    <row r="196" spans="1:54" x14ac:dyDescent="0.4">
      <c r="A196" t="s">
        <v>740</v>
      </c>
      <c r="B196" t="s">
        <v>10</v>
      </c>
      <c r="C196" t="s">
        <v>860</v>
      </c>
      <c r="D196" t="s">
        <v>11</v>
      </c>
      <c r="E196" s="2">
        <v>2.5000000000000001E-3</v>
      </c>
      <c r="F196" t="s">
        <v>12</v>
      </c>
      <c r="G196" s="4" t="s">
        <v>7219</v>
      </c>
      <c r="H196" t="s">
        <v>860</v>
      </c>
      <c r="I196" t="s">
        <v>7279</v>
      </c>
      <c r="J196" t="s">
        <v>7280</v>
      </c>
      <c r="K196" t="s">
        <v>23</v>
      </c>
      <c r="L196" s="2">
        <v>5.2999999999999999E-2</v>
      </c>
      <c r="M196" t="s">
        <v>895</v>
      </c>
      <c r="N196" t="s">
        <v>121</v>
      </c>
      <c r="O196" t="s">
        <v>7281</v>
      </c>
      <c r="P196" t="s">
        <v>1030</v>
      </c>
      <c r="Q196" t="s">
        <v>1030</v>
      </c>
      <c r="R196" t="s">
        <v>1030</v>
      </c>
      <c r="S196" t="s">
        <v>4517</v>
      </c>
      <c r="T196" t="s">
        <v>4517</v>
      </c>
      <c r="U196" t="s">
        <v>4517</v>
      </c>
      <c r="V196" t="s">
        <v>2374</v>
      </c>
      <c r="W196" t="s">
        <v>7282</v>
      </c>
      <c r="X196" t="s">
        <v>7283</v>
      </c>
      <c r="Y196" t="s">
        <v>7283</v>
      </c>
      <c r="Z196" t="s">
        <v>7283</v>
      </c>
      <c r="AA196" t="s">
        <v>7283</v>
      </c>
      <c r="AB196" s="2">
        <v>5.0000000000000001E-4</v>
      </c>
      <c r="AC196" s="2">
        <v>-1.4800000000000001E-2</v>
      </c>
      <c r="AD196" s="2">
        <v>-8.5000000000000006E-3</v>
      </c>
      <c r="AE196" s="2">
        <v>-9.9000000000000008E-3</v>
      </c>
      <c r="AF196" s="2">
        <v>-9.9000000000000008E-3</v>
      </c>
      <c r="AG196" s="2">
        <v>-9.9000000000000008E-3</v>
      </c>
      <c r="AH196" t="s">
        <v>7284</v>
      </c>
      <c r="AI196" t="s">
        <v>130</v>
      </c>
      <c r="AJ196" t="s">
        <v>131</v>
      </c>
      <c r="AK196" t="s">
        <v>40</v>
      </c>
      <c r="AL196">
        <v>2</v>
      </c>
      <c r="AM196" t="s">
        <v>41</v>
      </c>
      <c r="AN196" t="s">
        <v>42</v>
      </c>
      <c r="AO196" t="s">
        <v>7281</v>
      </c>
      <c r="AP196" t="s">
        <v>7285</v>
      </c>
      <c r="AQ196" t="s">
        <v>7285</v>
      </c>
      <c r="AR196" t="s">
        <v>133</v>
      </c>
      <c r="AS196" t="s">
        <v>133</v>
      </c>
    </row>
    <row r="197" spans="1:54" x14ac:dyDescent="0.4">
      <c r="A197" t="s">
        <v>1431</v>
      </c>
      <c r="B197" t="s">
        <v>10</v>
      </c>
      <c r="C197" s="1">
        <v>94945</v>
      </c>
      <c r="D197" t="s">
        <v>11</v>
      </c>
      <c r="E197" s="2">
        <v>-8.0000000000000004E-4</v>
      </c>
      <c r="F197" t="s">
        <v>12</v>
      </c>
      <c r="G197" s="4">
        <f>-0.08 / -0.08%</f>
        <v>100</v>
      </c>
      <c r="H197" s="1">
        <v>94945</v>
      </c>
      <c r="I197" t="s">
        <v>2406</v>
      </c>
      <c r="J197" t="s">
        <v>2407</v>
      </c>
      <c r="K197" t="s">
        <v>23</v>
      </c>
      <c r="L197" s="2">
        <v>1.125E-2</v>
      </c>
      <c r="M197" t="s">
        <v>2408</v>
      </c>
      <c r="N197" t="s">
        <v>28</v>
      </c>
      <c r="O197" t="s">
        <v>2409</v>
      </c>
      <c r="P197" s="1">
        <v>94785</v>
      </c>
      <c r="Q197" s="1">
        <v>94785</v>
      </c>
      <c r="R197" s="1">
        <v>94025</v>
      </c>
      <c r="S197" s="1">
        <v>91715</v>
      </c>
      <c r="T197" s="1">
        <v>87505</v>
      </c>
      <c r="U197" s="1">
        <v>87505</v>
      </c>
      <c r="V197" t="s">
        <v>2410</v>
      </c>
      <c r="W197" t="s">
        <v>2411</v>
      </c>
      <c r="X197" t="s">
        <v>1798</v>
      </c>
      <c r="Y197" t="s">
        <v>1798</v>
      </c>
      <c r="Z197" t="s">
        <v>1798</v>
      </c>
      <c r="AA197" s="1">
        <v>104995</v>
      </c>
      <c r="AB197" s="2">
        <v>-8.8000000000000005E-3</v>
      </c>
      <c r="AC197" s="2">
        <v>-1.41E-2</v>
      </c>
      <c r="AD197" s="2">
        <v>8.6E-3</v>
      </c>
      <c r="AE197" s="2">
        <v>1.7399999999999999E-2</v>
      </c>
      <c r="AF197" s="2">
        <v>1.5E-3</v>
      </c>
      <c r="AG197" s="2">
        <v>-9.5500000000000002E-2</v>
      </c>
      <c r="AH197" t="s">
        <v>562</v>
      </c>
      <c r="AI197" t="s">
        <v>232</v>
      </c>
      <c r="AJ197" t="s">
        <v>38</v>
      </c>
      <c r="AK197" t="s">
        <v>2412</v>
      </c>
      <c r="AL197">
        <v>1</v>
      </c>
      <c r="AM197" t="s">
        <v>41</v>
      </c>
      <c r="AN197" t="s">
        <v>42</v>
      </c>
      <c r="AO197" t="s">
        <v>2409</v>
      </c>
      <c r="AP197" t="s">
        <v>171</v>
      </c>
      <c r="AQ197" t="s">
        <v>171</v>
      </c>
      <c r="AR197" t="s">
        <v>48</v>
      </c>
      <c r="AS197" t="s">
        <v>48</v>
      </c>
      <c r="BB197" t="s">
        <v>61</v>
      </c>
    </row>
    <row r="198" spans="1:54" x14ac:dyDescent="0.4">
      <c r="A198" t="s">
        <v>552</v>
      </c>
      <c r="B198" t="s">
        <v>10</v>
      </c>
      <c r="C198" t="s">
        <v>553</v>
      </c>
      <c r="D198" t="s">
        <v>11</v>
      </c>
      <c r="E198" s="2">
        <v>-8.0000000000000004E-4</v>
      </c>
      <c r="F198" t="s">
        <v>12</v>
      </c>
      <c r="G198" s="4">
        <f>-0.08 / -0.08%</f>
        <v>100</v>
      </c>
      <c r="H198" t="s">
        <v>553</v>
      </c>
      <c r="I198" t="s">
        <v>554</v>
      </c>
      <c r="J198" t="s">
        <v>555</v>
      </c>
      <c r="K198" t="s">
        <v>23</v>
      </c>
      <c r="L198" s="2">
        <v>3.875E-2</v>
      </c>
      <c r="M198" t="s">
        <v>556</v>
      </c>
      <c r="N198" t="s">
        <v>28</v>
      </c>
      <c r="O198" t="s">
        <v>557</v>
      </c>
      <c r="P198" t="s">
        <v>324</v>
      </c>
      <c r="Q198" t="s">
        <v>324</v>
      </c>
      <c r="R198" t="s">
        <v>324</v>
      </c>
      <c r="S198" t="s">
        <v>558</v>
      </c>
      <c r="T198" t="s">
        <v>559</v>
      </c>
      <c r="U198" t="s">
        <v>559</v>
      </c>
      <c r="V198" t="s">
        <v>560</v>
      </c>
      <c r="W198" t="s">
        <v>561</v>
      </c>
      <c r="X198" t="s">
        <v>561</v>
      </c>
      <c r="Y198" t="s">
        <v>561</v>
      </c>
      <c r="Z198" t="s">
        <v>561</v>
      </c>
      <c r="AA198" t="s">
        <v>561</v>
      </c>
      <c r="AB198" s="2">
        <v>-1.11E-2</v>
      </c>
      <c r="AC198" s="2">
        <v>-6.4999999999999997E-3</v>
      </c>
      <c r="AD198" s="2">
        <v>8.8000000000000005E-3</v>
      </c>
      <c r="AE198" s="2">
        <v>1.2200000000000001E-2</v>
      </c>
      <c r="AF198" s="2">
        <v>6.0999999999999999E-2</v>
      </c>
      <c r="AG198" s="2">
        <v>6.0999999999999999E-2</v>
      </c>
      <c r="AH198" t="s">
        <v>562</v>
      </c>
      <c r="AI198" t="s">
        <v>232</v>
      </c>
      <c r="AJ198" t="s">
        <v>38</v>
      </c>
      <c r="AK198" t="s">
        <v>40</v>
      </c>
      <c r="AL198">
        <v>100</v>
      </c>
      <c r="AM198" t="s">
        <v>41</v>
      </c>
      <c r="AN198" t="s">
        <v>42</v>
      </c>
      <c r="AO198" t="s">
        <v>557</v>
      </c>
      <c r="AP198" t="s">
        <v>193</v>
      </c>
      <c r="AQ198" t="s">
        <v>193</v>
      </c>
      <c r="AR198" t="s">
        <v>48</v>
      </c>
      <c r="AS198" t="s">
        <v>48</v>
      </c>
    </row>
    <row r="199" spans="1:54" x14ac:dyDescent="0.4">
      <c r="A199" t="s">
        <v>251</v>
      </c>
      <c r="B199" t="s">
        <v>10</v>
      </c>
      <c r="C199" t="s">
        <v>529</v>
      </c>
      <c r="D199" t="s">
        <v>11</v>
      </c>
      <c r="E199" s="2">
        <v>-1.26E-2</v>
      </c>
      <c r="F199" t="s">
        <v>12</v>
      </c>
      <c r="G199" s="4">
        <f>-1.34 / -1.26%</f>
        <v>106.34920634920636</v>
      </c>
      <c r="H199" t="s">
        <v>529</v>
      </c>
      <c r="I199" t="s">
        <v>530</v>
      </c>
      <c r="J199" t="s">
        <v>531</v>
      </c>
      <c r="K199" t="s">
        <v>23</v>
      </c>
      <c r="L199" s="2">
        <v>0.04</v>
      </c>
      <c r="M199" t="s">
        <v>532</v>
      </c>
      <c r="N199" t="s">
        <v>28</v>
      </c>
      <c r="O199" t="s">
        <v>533</v>
      </c>
      <c r="P199" t="s">
        <v>534</v>
      </c>
      <c r="Q199" t="s">
        <v>534</v>
      </c>
      <c r="R199" t="s">
        <v>534</v>
      </c>
      <c r="S199" t="s">
        <v>518</v>
      </c>
      <c r="T199" t="s">
        <v>535</v>
      </c>
      <c r="U199" t="s">
        <v>535</v>
      </c>
      <c r="V199" t="s">
        <v>536</v>
      </c>
      <c r="W199" t="s">
        <v>537</v>
      </c>
      <c r="X199" t="s">
        <v>537</v>
      </c>
      <c r="Y199" t="s">
        <v>537</v>
      </c>
      <c r="Z199" t="s">
        <v>537</v>
      </c>
      <c r="AA199" t="s">
        <v>537</v>
      </c>
      <c r="AB199" s="2">
        <v>-2.3400000000000001E-2</v>
      </c>
      <c r="AC199" s="2">
        <v>-2.46E-2</v>
      </c>
      <c r="AD199" s="2">
        <v>-1.4E-3</v>
      </c>
      <c r="AE199" s="2">
        <v>-4.1999999999999997E-3</v>
      </c>
      <c r="AF199" s="2">
        <v>3.7100000000000001E-2</v>
      </c>
      <c r="AG199" s="2">
        <v>3.7100000000000001E-2</v>
      </c>
      <c r="AH199" t="s">
        <v>538</v>
      </c>
      <c r="AI199" t="s">
        <v>232</v>
      </c>
      <c r="AJ199" t="s">
        <v>131</v>
      </c>
      <c r="AK199" t="s">
        <v>40</v>
      </c>
      <c r="AL199">
        <v>100</v>
      </c>
      <c r="AM199" t="s">
        <v>41</v>
      </c>
      <c r="AN199" t="s">
        <v>42</v>
      </c>
      <c r="AO199" t="s">
        <v>533</v>
      </c>
      <c r="AP199" t="s">
        <v>333</v>
      </c>
      <c r="AQ199" t="s">
        <v>333</v>
      </c>
      <c r="AR199" t="s">
        <v>48</v>
      </c>
      <c r="AS199" t="s">
        <v>48</v>
      </c>
    </row>
    <row r="200" spans="1:54" x14ac:dyDescent="0.4">
      <c r="A200" t="s">
        <v>1750</v>
      </c>
      <c r="B200" t="s">
        <v>10</v>
      </c>
      <c r="C200" t="s">
        <v>1751</v>
      </c>
      <c r="D200" t="s">
        <v>11</v>
      </c>
      <c r="E200" s="2">
        <v>-8.9999999999999998E-4</v>
      </c>
      <c r="F200" t="s">
        <v>12</v>
      </c>
      <c r="G200" s="4">
        <f>-0.09 / -0.09%</f>
        <v>100</v>
      </c>
      <c r="H200" t="s">
        <v>1751</v>
      </c>
      <c r="I200" t="s">
        <v>1752</v>
      </c>
      <c r="J200" t="s">
        <v>1753</v>
      </c>
      <c r="K200" t="s">
        <v>23</v>
      </c>
      <c r="L200" s="2">
        <v>3.3750000000000002E-2</v>
      </c>
      <c r="M200" t="s">
        <v>1511</v>
      </c>
      <c r="N200" t="s">
        <v>28</v>
      </c>
      <c r="O200" t="s">
        <v>1754</v>
      </c>
      <c r="P200" t="s">
        <v>368</v>
      </c>
      <c r="Q200" t="s">
        <v>368</v>
      </c>
      <c r="R200" t="s">
        <v>368</v>
      </c>
      <c r="S200" t="s">
        <v>1755</v>
      </c>
      <c r="T200" t="s">
        <v>1755</v>
      </c>
      <c r="U200" t="s">
        <v>1755</v>
      </c>
      <c r="V200" t="s">
        <v>1756</v>
      </c>
      <c r="W200" t="s">
        <v>1757</v>
      </c>
      <c r="X200" t="s">
        <v>1757</v>
      </c>
      <c r="Y200" t="s">
        <v>1757</v>
      </c>
      <c r="Z200" t="s">
        <v>1757</v>
      </c>
      <c r="AA200" t="s">
        <v>1757</v>
      </c>
      <c r="AB200" s="2">
        <v>-1.9E-2</v>
      </c>
      <c r="AC200" s="2">
        <v>-5.8999999999999999E-3</v>
      </c>
      <c r="AD200" s="2">
        <v>5.9999999999999995E-4</v>
      </c>
      <c r="AE200" s="2">
        <v>1.5800000000000002E-2</v>
      </c>
      <c r="AF200" s="2">
        <v>1.5800000000000002E-2</v>
      </c>
      <c r="AG200" s="2">
        <v>1.5800000000000002E-2</v>
      </c>
      <c r="AH200" t="s">
        <v>538</v>
      </c>
      <c r="AI200" t="s">
        <v>232</v>
      </c>
      <c r="AJ200" t="s">
        <v>131</v>
      </c>
      <c r="AK200" t="s">
        <v>40</v>
      </c>
      <c r="AL200">
        <v>1</v>
      </c>
      <c r="AM200" t="s">
        <v>41</v>
      </c>
      <c r="AN200" t="s">
        <v>42</v>
      </c>
      <c r="AO200" t="s">
        <v>1754</v>
      </c>
      <c r="AP200" t="s">
        <v>225</v>
      </c>
      <c r="AQ200" t="s">
        <v>225</v>
      </c>
      <c r="AR200" t="s">
        <v>48</v>
      </c>
      <c r="AS200" t="s">
        <v>48</v>
      </c>
    </row>
    <row r="201" spans="1:54" x14ac:dyDescent="0.4">
      <c r="A201" t="s">
        <v>251</v>
      </c>
      <c r="B201" t="s">
        <v>10</v>
      </c>
      <c r="C201" t="s">
        <v>871</v>
      </c>
      <c r="D201" t="s">
        <v>11</v>
      </c>
      <c r="E201" s="2">
        <v>-5.8999999999999999E-3</v>
      </c>
      <c r="F201" t="s">
        <v>12</v>
      </c>
      <c r="G201" s="4">
        <f>-0.59 / -0.59%</f>
        <v>100</v>
      </c>
      <c r="H201" t="s">
        <v>871</v>
      </c>
      <c r="I201" t="s">
        <v>872</v>
      </c>
      <c r="J201" t="s">
        <v>873</v>
      </c>
      <c r="K201" t="s">
        <v>23</v>
      </c>
      <c r="L201" s="2">
        <v>2.75E-2</v>
      </c>
      <c r="M201" t="s">
        <v>874</v>
      </c>
      <c r="N201" t="s">
        <v>28</v>
      </c>
      <c r="O201" t="s">
        <v>875</v>
      </c>
      <c r="P201" s="1">
        <v>99385</v>
      </c>
      <c r="Q201" s="1">
        <v>99385</v>
      </c>
      <c r="R201" s="1">
        <v>99385</v>
      </c>
      <c r="S201" s="1">
        <v>97835</v>
      </c>
      <c r="T201" t="s">
        <v>876</v>
      </c>
      <c r="U201" t="s">
        <v>876</v>
      </c>
      <c r="V201" s="1">
        <v>101075</v>
      </c>
      <c r="W201" t="s">
        <v>877</v>
      </c>
      <c r="X201" s="1">
        <v>102435</v>
      </c>
      <c r="Y201" s="1">
        <v>102435</v>
      </c>
      <c r="Z201" s="1">
        <v>102435</v>
      </c>
      <c r="AA201" t="s">
        <v>878</v>
      </c>
      <c r="AB201" s="2">
        <v>-9.7999999999999997E-3</v>
      </c>
      <c r="AC201" s="2">
        <v>-1.72E-2</v>
      </c>
      <c r="AD201" s="2">
        <v>-2E-3</v>
      </c>
      <c r="AE201" s="2">
        <v>8.0000000000000002E-3</v>
      </c>
      <c r="AF201" s="2">
        <v>1.2999999999999999E-3</v>
      </c>
      <c r="AG201" s="2">
        <v>-0.15359999999999999</v>
      </c>
      <c r="AH201" t="s">
        <v>538</v>
      </c>
      <c r="AI201" t="s">
        <v>232</v>
      </c>
      <c r="AJ201" t="s">
        <v>131</v>
      </c>
      <c r="AK201" t="s">
        <v>40</v>
      </c>
      <c r="AL201">
        <v>1</v>
      </c>
      <c r="AM201" t="s">
        <v>41</v>
      </c>
      <c r="AN201" t="s">
        <v>42</v>
      </c>
      <c r="AO201" t="s">
        <v>875</v>
      </c>
      <c r="AP201" t="s">
        <v>225</v>
      </c>
      <c r="AQ201" t="s">
        <v>225</v>
      </c>
      <c r="AR201" t="s">
        <v>48</v>
      </c>
      <c r="AS201" t="s">
        <v>48</v>
      </c>
    </row>
    <row r="202" spans="1:54" x14ac:dyDescent="0.4">
      <c r="A202" t="s">
        <v>251</v>
      </c>
      <c r="B202" t="s">
        <v>10</v>
      </c>
      <c r="C202" t="s">
        <v>3685</v>
      </c>
      <c r="D202" t="s">
        <v>11</v>
      </c>
      <c r="E202" s="2">
        <v>0</v>
      </c>
      <c r="F202" t="s">
        <v>12</v>
      </c>
      <c r="G202" s="4" t="s">
        <v>15</v>
      </c>
      <c r="H202" t="s">
        <v>3685</v>
      </c>
      <c r="I202" t="s">
        <v>3686</v>
      </c>
      <c r="J202" t="s">
        <v>3687</v>
      </c>
      <c r="K202" t="s">
        <v>23</v>
      </c>
      <c r="N202" t="s">
        <v>1142</v>
      </c>
      <c r="O202" t="s">
        <v>3688</v>
      </c>
      <c r="P202" t="s">
        <v>3685</v>
      </c>
      <c r="Q202" t="s">
        <v>3689</v>
      </c>
      <c r="R202" t="s">
        <v>1996</v>
      </c>
      <c r="S202" t="s">
        <v>1574</v>
      </c>
      <c r="T202" t="s">
        <v>3690</v>
      </c>
      <c r="U202" t="s">
        <v>3233</v>
      </c>
      <c r="V202" t="s">
        <v>639</v>
      </c>
      <c r="W202" t="s">
        <v>639</v>
      </c>
      <c r="X202" t="s">
        <v>639</v>
      </c>
      <c r="Y202" t="s">
        <v>639</v>
      </c>
      <c r="Z202" t="s">
        <v>639</v>
      </c>
      <c r="AA202" t="s">
        <v>639</v>
      </c>
      <c r="AB202" s="2">
        <v>0</v>
      </c>
      <c r="AC202" s="2">
        <v>1.06E-2</v>
      </c>
      <c r="AD202" s="2">
        <v>5.28E-2</v>
      </c>
      <c r="AE202" s="2">
        <v>7.6499999999999999E-2</v>
      </c>
      <c r="AF202" s="2">
        <v>0.12970000000000001</v>
      </c>
      <c r="AG202" s="2">
        <v>3.5099999999999999E-2</v>
      </c>
      <c r="AH202" t="s">
        <v>2488</v>
      </c>
      <c r="AI202" t="s">
        <v>130</v>
      </c>
      <c r="AJ202" t="s">
        <v>131</v>
      </c>
      <c r="AK202" t="s">
        <v>40</v>
      </c>
      <c r="AL202">
        <v>10</v>
      </c>
      <c r="AM202" t="s">
        <v>41</v>
      </c>
      <c r="AN202" t="s">
        <v>42</v>
      </c>
      <c r="AO202" t="s">
        <v>3691</v>
      </c>
      <c r="AP202" t="s">
        <v>1165</v>
      </c>
      <c r="AQ202" t="s">
        <v>1165</v>
      </c>
      <c r="AR202" t="s">
        <v>3692</v>
      </c>
      <c r="AS202" t="s">
        <v>3692</v>
      </c>
      <c r="AT202" t="s">
        <v>492</v>
      </c>
    </row>
    <row r="203" spans="1:54" x14ac:dyDescent="0.4">
      <c r="A203" t="s">
        <v>6529</v>
      </c>
      <c r="B203" t="s">
        <v>10</v>
      </c>
      <c r="C203" s="1">
        <v>83755</v>
      </c>
      <c r="D203" t="s">
        <v>11</v>
      </c>
      <c r="E203" s="2">
        <v>6.9999999999999999E-4</v>
      </c>
      <c r="F203" t="s">
        <v>6529</v>
      </c>
      <c r="G203" s="4" t="s">
        <v>2353</v>
      </c>
      <c r="H203" s="1">
        <v>83755</v>
      </c>
      <c r="I203" t="s">
        <v>6530</v>
      </c>
      <c r="J203" t="s">
        <v>6531</v>
      </c>
      <c r="K203" t="s">
        <v>214</v>
      </c>
      <c r="L203" s="2">
        <v>1.0500000000000001E-2</v>
      </c>
      <c r="M203" t="s">
        <v>6532</v>
      </c>
      <c r="N203" t="s">
        <v>28</v>
      </c>
      <c r="O203" t="s">
        <v>4968</v>
      </c>
      <c r="P203" s="1">
        <v>82925</v>
      </c>
      <c r="Q203" s="1">
        <v>82925</v>
      </c>
      <c r="R203" t="s">
        <v>4906</v>
      </c>
      <c r="S203" t="s">
        <v>6533</v>
      </c>
      <c r="T203" t="s">
        <v>6534</v>
      </c>
      <c r="U203" t="s">
        <v>6534</v>
      </c>
      <c r="V203" s="1">
        <v>84495</v>
      </c>
      <c r="W203" t="s">
        <v>6535</v>
      </c>
      <c r="X203" t="s">
        <v>6535</v>
      </c>
      <c r="Y203" t="s">
        <v>6535</v>
      </c>
      <c r="Z203" t="s">
        <v>6535</v>
      </c>
      <c r="AA203" t="s">
        <v>110</v>
      </c>
      <c r="AB203" s="2">
        <v>-9.1999999999999998E-3</v>
      </c>
      <c r="AC203" s="2">
        <v>-4.4999999999999997E-3</v>
      </c>
      <c r="AD203" s="2">
        <v>4.41E-2</v>
      </c>
      <c r="AE203" s="2">
        <v>0.08</v>
      </c>
      <c r="AF203" s="2">
        <v>0.1074</v>
      </c>
      <c r="AG203" s="2">
        <v>-0.16250000000000001</v>
      </c>
      <c r="AH203" t="s">
        <v>2488</v>
      </c>
      <c r="AI203" t="s">
        <v>232</v>
      </c>
      <c r="AJ203" t="s">
        <v>38</v>
      </c>
      <c r="AK203" t="s">
        <v>40</v>
      </c>
      <c r="AM203" t="s">
        <v>41</v>
      </c>
      <c r="AN203" t="s">
        <v>42</v>
      </c>
      <c r="AO203" t="s">
        <v>4968</v>
      </c>
      <c r="AP203" t="s">
        <v>978</v>
      </c>
      <c r="AQ203" t="s">
        <v>978</v>
      </c>
      <c r="AR203" t="s">
        <v>48</v>
      </c>
      <c r="AS203" t="s">
        <v>48</v>
      </c>
      <c r="AT203" t="s">
        <v>6536</v>
      </c>
    </row>
    <row r="204" spans="1:54" x14ac:dyDescent="0.4">
      <c r="A204" t="s">
        <v>2479</v>
      </c>
      <c r="B204" t="s">
        <v>10</v>
      </c>
      <c r="C204" t="s">
        <v>1643</v>
      </c>
      <c r="D204" t="s">
        <v>11</v>
      </c>
      <c r="E204" s="2">
        <v>1.9E-2</v>
      </c>
      <c r="F204" t="s">
        <v>2480</v>
      </c>
      <c r="G204" s="4" t="s">
        <v>2481</v>
      </c>
      <c r="H204" t="s">
        <v>1643</v>
      </c>
      <c r="I204" t="s">
        <v>2482</v>
      </c>
      <c r="J204" t="s">
        <v>2483</v>
      </c>
      <c r="K204" t="s">
        <v>214</v>
      </c>
      <c r="L204" s="2">
        <v>4.65E-2</v>
      </c>
      <c r="M204" t="s">
        <v>2484</v>
      </c>
      <c r="N204" t="s">
        <v>28</v>
      </c>
      <c r="O204" t="s">
        <v>2485</v>
      </c>
      <c r="P204" t="s">
        <v>2179</v>
      </c>
      <c r="Q204" t="s">
        <v>2179</v>
      </c>
      <c r="R204" t="s">
        <v>859</v>
      </c>
      <c r="S204" t="s">
        <v>90</v>
      </c>
      <c r="T204" s="1">
        <v>93185</v>
      </c>
      <c r="U204" s="1">
        <v>93185</v>
      </c>
      <c r="V204" t="s">
        <v>1643</v>
      </c>
      <c r="W204" t="s">
        <v>1643</v>
      </c>
      <c r="X204" t="s">
        <v>2486</v>
      </c>
      <c r="Y204" t="s">
        <v>2486</v>
      </c>
      <c r="Z204" t="s">
        <v>2486</v>
      </c>
      <c r="AA204" t="s">
        <v>2487</v>
      </c>
      <c r="AB204" s="2">
        <v>1.09E-2</v>
      </c>
      <c r="AC204" s="2">
        <v>7.7000000000000002E-3</v>
      </c>
      <c r="AD204" s="2">
        <v>8.3000000000000001E-3</v>
      </c>
      <c r="AE204" s="2">
        <v>4.1300000000000003E-2</v>
      </c>
      <c r="AF204" s="2">
        <v>4.9000000000000002E-2</v>
      </c>
      <c r="AG204" s="2">
        <v>-9.3399999999999997E-2</v>
      </c>
      <c r="AH204" t="s">
        <v>2488</v>
      </c>
      <c r="AI204" t="s">
        <v>232</v>
      </c>
      <c r="AJ204" t="s">
        <v>38</v>
      </c>
      <c r="AK204" t="s">
        <v>40</v>
      </c>
      <c r="AM204" t="s">
        <v>41</v>
      </c>
      <c r="AN204" t="s">
        <v>42</v>
      </c>
      <c r="AO204" t="s">
        <v>2485</v>
      </c>
      <c r="AP204" t="s">
        <v>2489</v>
      </c>
      <c r="AQ204" t="s">
        <v>2490</v>
      </c>
      <c r="AR204" t="s">
        <v>48</v>
      </c>
      <c r="AS204" t="s">
        <v>48</v>
      </c>
      <c r="AT204" t="s">
        <v>492</v>
      </c>
    </row>
    <row r="205" spans="1:54" x14ac:dyDescent="0.4">
      <c r="A205" t="s">
        <v>9</v>
      </c>
      <c r="B205" t="s">
        <v>10</v>
      </c>
      <c r="C205" t="s">
        <v>2760</v>
      </c>
      <c r="D205" t="s">
        <v>11</v>
      </c>
      <c r="E205" s="2">
        <v>0</v>
      </c>
      <c r="F205" t="s">
        <v>12</v>
      </c>
      <c r="G205" s="4" t="s">
        <v>1414</v>
      </c>
      <c r="H205" t="s">
        <v>2760</v>
      </c>
      <c r="I205" t="s">
        <v>2761</v>
      </c>
      <c r="J205" t="s">
        <v>2762</v>
      </c>
      <c r="K205" t="s">
        <v>23</v>
      </c>
      <c r="L205" s="2">
        <v>4.1000000000000002E-2</v>
      </c>
      <c r="M205" t="s">
        <v>2763</v>
      </c>
      <c r="N205" t="s">
        <v>121</v>
      </c>
      <c r="O205" t="s">
        <v>2764</v>
      </c>
      <c r="P205" s="1">
        <v>98635</v>
      </c>
      <c r="Q205" s="1">
        <v>98345</v>
      </c>
      <c r="R205" t="s">
        <v>381</v>
      </c>
      <c r="S205" t="s">
        <v>2765</v>
      </c>
      <c r="T205" t="s">
        <v>939</v>
      </c>
      <c r="U205" t="s">
        <v>939</v>
      </c>
      <c r="V205" t="s">
        <v>1204</v>
      </c>
      <c r="W205" t="s">
        <v>1204</v>
      </c>
      <c r="X205" t="s">
        <v>1589</v>
      </c>
      <c r="Y205" t="s">
        <v>1589</v>
      </c>
      <c r="Z205" t="s">
        <v>1589</v>
      </c>
      <c r="AA205" t="s">
        <v>2766</v>
      </c>
      <c r="AB205" s="2">
        <v>2.5000000000000001E-3</v>
      </c>
      <c r="AC205" s="2">
        <v>4.4999999999999997E-3</v>
      </c>
      <c r="AD205" s="2">
        <v>9.4999999999999998E-3</v>
      </c>
      <c r="AE205" s="2">
        <v>1.9900000000000001E-2</v>
      </c>
      <c r="AF205" s="2">
        <v>9.1999999999999998E-3</v>
      </c>
      <c r="AG205" s="2">
        <v>-6.4199999999999993E-2</v>
      </c>
      <c r="AH205" t="s">
        <v>2488</v>
      </c>
      <c r="AI205" t="s">
        <v>130</v>
      </c>
      <c r="AJ205" t="s">
        <v>131</v>
      </c>
      <c r="AK205" t="s">
        <v>40</v>
      </c>
      <c r="AL205">
        <v>1</v>
      </c>
      <c r="AM205" t="s">
        <v>41</v>
      </c>
      <c r="AN205" t="s">
        <v>42</v>
      </c>
      <c r="AO205" t="s">
        <v>2764</v>
      </c>
      <c r="AP205" t="s">
        <v>357</v>
      </c>
      <c r="AQ205" t="s">
        <v>357</v>
      </c>
      <c r="AR205" t="s">
        <v>133</v>
      </c>
      <c r="AS205" t="s">
        <v>133</v>
      </c>
    </row>
    <row r="206" spans="1:54" x14ac:dyDescent="0.4">
      <c r="A206" t="s">
        <v>2423</v>
      </c>
      <c r="B206" t="s">
        <v>10</v>
      </c>
      <c r="C206" t="s">
        <v>1719</v>
      </c>
      <c r="D206" t="s">
        <v>11</v>
      </c>
      <c r="E206" s="2">
        <v>1.5E-3</v>
      </c>
      <c r="F206" t="s">
        <v>12</v>
      </c>
      <c r="G206" s="4" t="s">
        <v>325</v>
      </c>
      <c r="H206" t="s">
        <v>1719</v>
      </c>
      <c r="I206" t="s">
        <v>2424</v>
      </c>
      <c r="J206" t="s">
        <v>2425</v>
      </c>
      <c r="K206" t="s">
        <v>23</v>
      </c>
      <c r="L206" s="2">
        <v>4.3819999999999998E-2</v>
      </c>
      <c r="M206" t="s">
        <v>841</v>
      </c>
      <c r="N206" t="s">
        <v>28</v>
      </c>
      <c r="O206" t="s">
        <v>2426</v>
      </c>
      <c r="P206" t="s">
        <v>2427</v>
      </c>
      <c r="Q206" t="s">
        <v>153</v>
      </c>
      <c r="R206" t="s">
        <v>1386</v>
      </c>
      <c r="S206" t="s">
        <v>2428</v>
      </c>
      <c r="T206" t="s">
        <v>2429</v>
      </c>
      <c r="U206" t="s">
        <v>1310</v>
      </c>
      <c r="V206" t="s">
        <v>343</v>
      </c>
      <c r="W206" t="s">
        <v>262</v>
      </c>
      <c r="X206" t="s">
        <v>262</v>
      </c>
      <c r="Y206" t="s">
        <v>262</v>
      </c>
      <c r="Z206" t="s">
        <v>262</v>
      </c>
      <c r="AA206" t="s">
        <v>262</v>
      </c>
      <c r="AB206" s="2">
        <v>1.6999999999999999E-3</v>
      </c>
      <c r="AC206" s="2">
        <v>-5.0000000000000001E-4</v>
      </c>
      <c r="AD206" s="2">
        <v>1.52E-2</v>
      </c>
      <c r="AE206" s="2">
        <v>2.1600000000000001E-2</v>
      </c>
      <c r="AF206" s="2">
        <v>0.1203</v>
      </c>
      <c r="AG206" s="2">
        <v>6.0000000000000001E-3</v>
      </c>
      <c r="AH206" t="s">
        <v>1041</v>
      </c>
      <c r="AI206" t="s">
        <v>232</v>
      </c>
      <c r="AJ206" t="s">
        <v>131</v>
      </c>
      <c r="AK206" t="s">
        <v>40</v>
      </c>
      <c r="AL206">
        <v>1</v>
      </c>
      <c r="AM206" t="s">
        <v>41</v>
      </c>
      <c r="AN206" t="s">
        <v>42</v>
      </c>
      <c r="AO206" t="s">
        <v>2426</v>
      </c>
      <c r="AP206" t="s">
        <v>225</v>
      </c>
      <c r="AZ206">
        <v>1</v>
      </c>
      <c r="BA206" t="s">
        <v>174</v>
      </c>
    </row>
    <row r="207" spans="1:54" x14ac:dyDescent="0.4">
      <c r="A207" t="s">
        <v>104</v>
      </c>
      <c r="B207" t="s">
        <v>10</v>
      </c>
      <c r="C207" t="s">
        <v>576</v>
      </c>
      <c r="D207" t="s">
        <v>11</v>
      </c>
      <c r="E207" s="2">
        <v>-1.4E-3</v>
      </c>
      <c r="F207" t="s">
        <v>12</v>
      </c>
      <c r="G207" s="4">
        <f>-0.14 / -0.14%</f>
        <v>100</v>
      </c>
      <c r="H207" t="s">
        <v>576</v>
      </c>
      <c r="I207" t="s">
        <v>1374</v>
      </c>
      <c r="J207" t="s">
        <v>1375</v>
      </c>
      <c r="K207" t="s">
        <v>23</v>
      </c>
      <c r="L207" s="2">
        <v>4.1250000000000002E-2</v>
      </c>
      <c r="M207" t="s">
        <v>1376</v>
      </c>
      <c r="N207" t="s">
        <v>28</v>
      </c>
      <c r="O207" t="s">
        <v>1377</v>
      </c>
      <c r="P207" t="s">
        <v>168</v>
      </c>
      <c r="Q207" t="s">
        <v>1378</v>
      </c>
      <c r="R207" t="s">
        <v>279</v>
      </c>
      <c r="S207" t="s">
        <v>279</v>
      </c>
      <c r="T207" t="s">
        <v>279</v>
      </c>
      <c r="U207" t="s">
        <v>279</v>
      </c>
      <c r="V207" t="s">
        <v>1379</v>
      </c>
      <c r="W207" t="s">
        <v>1380</v>
      </c>
      <c r="X207" t="s">
        <v>1380</v>
      </c>
      <c r="Y207" t="s">
        <v>1380</v>
      </c>
      <c r="Z207" t="s">
        <v>1380</v>
      </c>
      <c r="AA207" t="s">
        <v>1380</v>
      </c>
      <c r="AB207" s="2">
        <v>-1.3599999999999999E-2</v>
      </c>
      <c r="AC207" s="2">
        <v>-2.7000000000000001E-3</v>
      </c>
      <c r="AD207" s="2">
        <v>1.8499999999999999E-2</v>
      </c>
      <c r="AE207" s="2">
        <v>1.8499999999999999E-2</v>
      </c>
      <c r="AF207" s="2">
        <v>1.8499999999999999E-2</v>
      </c>
      <c r="AG207" s="2">
        <v>1.8499999999999999E-2</v>
      </c>
      <c r="AH207" t="s">
        <v>1041</v>
      </c>
      <c r="AI207" t="s">
        <v>232</v>
      </c>
      <c r="AJ207" t="s">
        <v>131</v>
      </c>
      <c r="AK207" t="s">
        <v>40</v>
      </c>
      <c r="AL207">
        <v>1</v>
      </c>
      <c r="AM207" t="s">
        <v>41</v>
      </c>
      <c r="AN207" t="s">
        <v>42</v>
      </c>
      <c r="AO207" t="s">
        <v>1377</v>
      </c>
      <c r="AP207" t="s">
        <v>225</v>
      </c>
      <c r="AQ207" t="s">
        <v>225</v>
      </c>
      <c r="AR207" t="s">
        <v>48</v>
      </c>
      <c r="AS207" t="s">
        <v>48</v>
      </c>
    </row>
    <row r="208" spans="1:54" x14ac:dyDescent="0.4">
      <c r="A208" t="s">
        <v>1032</v>
      </c>
      <c r="B208" t="s">
        <v>10</v>
      </c>
      <c r="C208" t="s">
        <v>1033</v>
      </c>
      <c r="D208" t="s">
        <v>11</v>
      </c>
      <c r="E208" s="2">
        <v>1.1999999999999999E-3</v>
      </c>
      <c r="F208" t="s">
        <v>1034</v>
      </c>
      <c r="G208" s="4" t="s">
        <v>1035</v>
      </c>
      <c r="H208" t="s">
        <v>1033</v>
      </c>
      <c r="I208" t="s">
        <v>1036</v>
      </c>
      <c r="J208" t="s">
        <v>1037</v>
      </c>
      <c r="K208" t="s">
        <v>23</v>
      </c>
      <c r="L208" s="2">
        <v>0.04</v>
      </c>
      <c r="M208" t="s">
        <v>1038</v>
      </c>
      <c r="N208" t="s">
        <v>28</v>
      </c>
      <c r="O208" t="s">
        <v>1039</v>
      </c>
      <c r="P208" s="1">
        <v>101615</v>
      </c>
      <c r="Q208" s="1">
        <v>101615</v>
      </c>
      <c r="R208" t="s">
        <v>464</v>
      </c>
      <c r="S208" s="1">
        <v>99025</v>
      </c>
      <c r="T208" s="1">
        <v>99025</v>
      </c>
      <c r="U208" s="1">
        <v>99025</v>
      </c>
      <c r="V208" s="1">
        <v>103815</v>
      </c>
      <c r="W208" t="s">
        <v>1040</v>
      </c>
      <c r="X208" t="s">
        <v>1040</v>
      </c>
      <c r="Y208" t="s">
        <v>1040</v>
      </c>
      <c r="Z208" t="s">
        <v>1040</v>
      </c>
      <c r="AA208" t="s">
        <v>1040</v>
      </c>
      <c r="AB208" s="2">
        <v>-9.7000000000000003E-3</v>
      </c>
      <c r="AC208" s="2">
        <v>-7.7000000000000002E-3</v>
      </c>
      <c r="AD208" s="2">
        <v>1.6899999999999998E-2</v>
      </c>
      <c r="AE208" s="2">
        <v>2.9600000000000001E-2</v>
      </c>
      <c r="AF208" s="2">
        <v>2.9600000000000001E-2</v>
      </c>
      <c r="AG208" s="2">
        <v>2.9600000000000001E-2</v>
      </c>
      <c r="AH208" t="s">
        <v>1041</v>
      </c>
      <c r="AI208" t="s">
        <v>232</v>
      </c>
      <c r="AJ208" t="s">
        <v>131</v>
      </c>
      <c r="AK208" t="s">
        <v>40</v>
      </c>
      <c r="AL208">
        <v>1</v>
      </c>
      <c r="AM208" t="s">
        <v>41</v>
      </c>
      <c r="AN208" t="s">
        <v>42</v>
      </c>
      <c r="AO208" t="s">
        <v>1039</v>
      </c>
      <c r="AP208" t="s">
        <v>357</v>
      </c>
      <c r="AQ208" t="s">
        <v>357</v>
      </c>
      <c r="AR208" t="s">
        <v>48</v>
      </c>
      <c r="AS208" t="s">
        <v>48</v>
      </c>
    </row>
    <row r="209" spans="1:54" x14ac:dyDescent="0.4">
      <c r="A209" t="s">
        <v>161</v>
      </c>
      <c r="B209" t="s">
        <v>10</v>
      </c>
      <c r="C209" t="s">
        <v>674</v>
      </c>
      <c r="D209" t="s">
        <v>11</v>
      </c>
      <c r="E209" s="2">
        <v>-1E-3</v>
      </c>
      <c r="F209" t="s">
        <v>12</v>
      </c>
      <c r="G209" s="4">
        <f>-0.1 / -0.1%</f>
        <v>100</v>
      </c>
      <c r="H209" t="s">
        <v>674</v>
      </c>
      <c r="I209" t="s">
        <v>3402</v>
      </c>
      <c r="J209" t="s">
        <v>3403</v>
      </c>
      <c r="K209" t="s">
        <v>23</v>
      </c>
      <c r="L209" s="2">
        <v>3.6249999999999998E-2</v>
      </c>
      <c r="M209" t="s">
        <v>1376</v>
      </c>
      <c r="N209" t="s">
        <v>28</v>
      </c>
      <c r="O209" t="s">
        <v>1377</v>
      </c>
      <c r="P209" t="s">
        <v>1659</v>
      </c>
      <c r="Q209" t="s">
        <v>1659</v>
      </c>
      <c r="R209" t="s">
        <v>408</v>
      </c>
      <c r="S209" t="s">
        <v>408</v>
      </c>
      <c r="T209" t="s">
        <v>408</v>
      </c>
      <c r="U209" t="s">
        <v>408</v>
      </c>
      <c r="V209" t="s">
        <v>1134</v>
      </c>
      <c r="W209" t="s">
        <v>1862</v>
      </c>
      <c r="X209" t="s">
        <v>1862</v>
      </c>
      <c r="Y209" t="s">
        <v>1862</v>
      </c>
      <c r="Z209" t="s">
        <v>1862</v>
      </c>
      <c r="AA209" t="s">
        <v>1862</v>
      </c>
      <c r="AB209" s="2">
        <v>-6.7000000000000002E-3</v>
      </c>
      <c r="AC209" s="2">
        <v>-2E-3</v>
      </c>
      <c r="AD209" s="2">
        <v>1.1599999999999999E-2</v>
      </c>
      <c r="AE209" s="2">
        <v>1.1599999999999999E-2</v>
      </c>
      <c r="AF209" s="2">
        <v>1.1599999999999999E-2</v>
      </c>
      <c r="AG209" s="2">
        <v>1.1599999999999999E-2</v>
      </c>
      <c r="AH209" t="s">
        <v>1041</v>
      </c>
      <c r="AI209" t="s">
        <v>232</v>
      </c>
      <c r="AJ209" t="s">
        <v>131</v>
      </c>
      <c r="AK209" t="s">
        <v>40</v>
      </c>
      <c r="AL209">
        <v>1</v>
      </c>
      <c r="AM209" t="s">
        <v>41</v>
      </c>
      <c r="AN209" t="s">
        <v>42</v>
      </c>
      <c r="AO209" t="s">
        <v>1377</v>
      </c>
      <c r="AP209" t="s">
        <v>225</v>
      </c>
      <c r="AQ209" t="s">
        <v>225</v>
      </c>
      <c r="AR209" t="s">
        <v>48</v>
      </c>
      <c r="AS209" t="s">
        <v>48</v>
      </c>
    </row>
    <row r="210" spans="1:54" x14ac:dyDescent="0.4">
      <c r="A210" t="s">
        <v>251</v>
      </c>
      <c r="B210" t="s">
        <v>10</v>
      </c>
      <c r="C210" t="s">
        <v>611</v>
      </c>
      <c r="D210" t="s">
        <v>11</v>
      </c>
      <c r="E210" s="2">
        <v>-1.1000000000000001E-3</v>
      </c>
      <c r="F210" t="s">
        <v>12</v>
      </c>
      <c r="G210" s="4">
        <f>-0.11 / -0.11%</f>
        <v>100</v>
      </c>
      <c r="H210" t="s">
        <v>611</v>
      </c>
      <c r="I210" t="s">
        <v>612</v>
      </c>
      <c r="J210" t="s">
        <v>613</v>
      </c>
      <c r="K210" t="s">
        <v>23</v>
      </c>
      <c r="L210" s="2">
        <v>0.04</v>
      </c>
      <c r="M210" t="s">
        <v>614</v>
      </c>
      <c r="N210" t="s">
        <v>28</v>
      </c>
      <c r="O210" t="s">
        <v>615</v>
      </c>
      <c r="P210" t="s">
        <v>616</v>
      </c>
      <c r="Q210" t="s">
        <v>617</v>
      </c>
      <c r="R210" t="s">
        <v>617</v>
      </c>
      <c r="S210" t="s">
        <v>617</v>
      </c>
      <c r="T210" t="s">
        <v>617</v>
      </c>
      <c r="U210" t="s">
        <v>617</v>
      </c>
      <c r="V210" t="s">
        <v>618</v>
      </c>
      <c r="W210" t="s">
        <v>445</v>
      </c>
      <c r="X210" t="s">
        <v>445</v>
      </c>
      <c r="Y210" t="s">
        <v>445</v>
      </c>
      <c r="Z210" t="s">
        <v>445</v>
      </c>
      <c r="AA210" t="s">
        <v>445</v>
      </c>
      <c r="AB210" s="2">
        <v>-8.0000000000000002E-3</v>
      </c>
      <c r="AC210" s="2">
        <v>1.2999999999999999E-3</v>
      </c>
      <c r="AD210" s="2">
        <v>1.2999999999999999E-3</v>
      </c>
      <c r="AE210" s="2">
        <v>1.2999999999999999E-3</v>
      </c>
      <c r="AF210" s="2">
        <v>1.2999999999999999E-3</v>
      </c>
      <c r="AG210" s="2">
        <v>1.2999999999999999E-3</v>
      </c>
      <c r="AH210" t="s">
        <v>619</v>
      </c>
      <c r="AI210" t="s">
        <v>620</v>
      </c>
      <c r="AJ210" t="s">
        <v>131</v>
      </c>
      <c r="AK210" t="s">
        <v>40</v>
      </c>
      <c r="AL210">
        <v>1</v>
      </c>
      <c r="AM210" t="s">
        <v>41</v>
      </c>
      <c r="AN210" t="s">
        <v>42</v>
      </c>
      <c r="AO210" t="s">
        <v>615</v>
      </c>
      <c r="AP210" t="s">
        <v>225</v>
      </c>
      <c r="AQ210" t="s">
        <v>225</v>
      </c>
      <c r="AR210" t="s">
        <v>48</v>
      </c>
      <c r="AS210" t="s">
        <v>48</v>
      </c>
    </row>
    <row r="211" spans="1:54" x14ac:dyDescent="0.4">
      <c r="A211" t="s">
        <v>1944</v>
      </c>
      <c r="B211" t="s">
        <v>10</v>
      </c>
      <c r="C211" t="s">
        <v>1945</v>
      </c>
      <c r="D211" t="s">
        <v>11</v>
      </c>
      <c r="E211" s="2">
        <v>6.4999999999999997E-3</v>
      </c>
      <c r="F211" t="s">
        <v>178</v>
      </c>
      <c r="G211" s="4" t="s">
        <v>1946</v>
      </c>
      <c r="H211" t="s">
        <v>1945</v>
      </c>
      <c r="I211" t="s">
        <v>1947</v>
      </c>
      <c r="J211" t="s">
        <v>1948</v>
      </c>
      <c r="K211" t="s">
        <v>23</v>
      </c>
      <c r="L211" s="2">
        <v>3.5000000000000003E-2</v>
      </c>
      <c r="M211" t="s">
        <v>1949</v>
      </c>
      <c r="N211" t="s">
        <v>28</v>
      </c>
      <c r="O211" t="s">
        <v>1940</v>
      </c>
      <c r="P211" t="s">
        <v>154</v>
      </c>
      <c r="Q211" t="s">
        <v>154</v>
      </c>
      <c r="R211" t="s">
        <v>154</v>
      </c>
      <c r="S211" t="s">
        <v>427</v>
      </c>
      <c r="T211" t="s">
        <v>427</v>
      </c>
      <c r="U211" t="s">
        <v>427</v>
      </c>
      <c r="V211" t="s">
        <v>1950</v>
      </c>
      <c r="W211" t="s">
        <v>1951</v>
      </c>
      <c r="X211" t="s">
        <v>1951</v>
      </c>
      <c r="Y211" t="s">
        <v>1951</v>
      </c>
      <c r="Z211" t="s">
        <v>1951</v>
      </c>
      <c r="AA211" t="s">
        <v>1951</v>
      </c>
      <c r="AB211" s="2">
        <v>5.9999999999999995E-4</v>
      </c>
      <c r="AC211" s="2">
        <v>5.4000000000000003E-3</v>
      </c>
      <c r="AD211" s="2">
        <v>1.37E-2</v>
      </c>
      <c r="AE211" s="2">
        <v>1.9199999999999998E-2</v>
      </c>
      <c r="AF211" s="2">
        <v>1.9199999999999998E-2</v>
      </c>
      <c r="AG211" s="2">
        <v>1.9199999999999998E-2</v>
      </c>
      <c r="AH211" t="s">
        <v>509</v>
      </c>
      <c r="AI211" t="s">
        <v>232</v>
      </c>
      <c r="AJ211" t="s">
        <v>131</v>
      </c>
      <c r="AK211" t="s">
        <v>40</v>
      </c>
      <c r="AL211">
        <v>1</v>
      </c>
      <c r="AM211" t="s">
        <v>41</v>
      </c>
      <c r="AN211" t="s">
        <v>42</v>
      </c>
      <c r="AO211" t="s">
        <v>1940</v>
      </c>
      <c r="AP211" t="s">
        <v>407</v>
      </c>
      <c r="AQ211" t="s">
        <v>407</v>
      </c>
      <c r="AR211" t="s">
        <v>48</v>
      </c>
      <c r="AS211" t="s">
        <v>48</v>
      </c>
    </row>
    <row r="212" spans="1:54" x14ac:dyDescent="0.4">
      <c r="A212" t="s">
        <v>251</v>
      </c>
      <c r="B212" t="s">
        <v>10</v>
      </c>
      <c r="C212" s="1">
        <v>95145</v>
      </c>
      <c r="D212" t="s">
        <v>11</v>
      </c>
      <c r="E212" s="2">
        <v>-1.6999999999999999E-3</v>
      </c>
      <c r="F212" t="s">
        <v>12</v>
      </c>
      <c r="G212" s="4">
        <f>-0.16 / -0.17%</f>
        <v>94.117647058823522</v>
      </c>
      <c r="H212" s="1">
        <v>95145</v>
      </c>
      <c r="I212" t="s">
        <v>501</v>
      </c>
      <c r="J212" t="s">
        <v>502</v>
      </c>
      <c r="K212" t="s">
        <v>23</v>
      </c>
      <c r="L212" s="2">
        <v>0.01</v>
      </c>
      <c r="M212" t="s">
        <v>503</v>
      </c>
      <c r="N212" t="s">
        <v>28</v>
      </c>
      <c r="O212" t="s">
        <v>504</v>
      </c>
      <c r="P212" t="s">
        <v>505</v>
      </c>
      <c r="Q212" s="1">
        <v>95035</v>
      </c>
      <c r="R212" s="1">
        <v>93935</v>
      </c>
      <c r="S212" s="1">
        <v>91755</v>
      </c>
      <c r="T212" t="s">
        <v>506</v>
      </c>
      <c r="U212" s="1">
        <v>88595</v>
      </c>
      <c r="V212" t="s">
        <v>507</v>
      </c>
      <c r="W212" s="1">
        <v>96675</v>
      </c>
      <c r="X212" s="1">
        <v>96675</v>
      </c>
      <c r="Y212" s="1">
        <v>96675</v>
      </c>
      <c r="Z212" s="1">
        <v>96675</v>
      </c>
      <c r="AA212" t="s">
        <v>508</v>
      </c>
      <c r="AB212" s="2">
        <v>-9.9000000000000008E-3</v>
      </c>
      <c r="AC212" s="2">
        <v>-6.8999999999999999E-3</v>
      </c>
      <c r="AD212" s="2">
        <v>1.17E-2</v>
      </c>
      <c r="AE212" s="2">
        <v>2.1399999999999999E-2</v>
      </c>
      <c r="AF212" s="2">
        <v>2.8199999999999999E-2</v>
      </c>
      <c r="AG212" s="2">
        <v>-9.1999999999999998E-2</v>
      </c>
      <c r="AH212" t="s">
        <v>509</v>
      </c>
      <c r="AI212" t="s">
        <v>232</v>
      </c>
      <c r="AJ212" t="s">
        <v>131</v>
      </c>
      <c r="AK212" t="s">
        <v>40</v>
      </c>
      <c r="AL212">
        <v>1</v>
      </c>
      <c r="AM212" t="s">
        <v>41</v>
      </c>
      <c r="AN212" t="s">
        <v>42</v>
      </c>
      <c r="AO212" t="s">
        <v>504</v>
      </c>
      <c r="AP212" t="s">
        <v>225</v>
      </c>
      <c r="AQ212" t="s">
        <v>225</v>
      </c>
      <c r="AR212" t="s">
        <v>48</v>
      </c>
      <c r="AS212" t="s">
        <v>48</v>
      </c>
    </row>
    <row r="213" spans="1:54" x14ac:dyDescent="0.4">
      <c r="A213" t="s">
        <v>251</v>
      </c>
      <c r="B213" t="s">
        <v>10</v>
      </c>
      <c r="C213" s="1">
        <v>92785</v>
      </c>
      <c r="D213" t="s">
        <v>11</v>
      </c>
      <c r="E213" s="2">
        <v>-3.8999999999999998E-3</v>
      </c>
      <c r="F213" t="s">
        <v>12</v>
      </c>
      <c r="G213" s="4">
        <f>-0.36 / -0.39%</f>
        <v>92.307692307692292</v>
      </c>
      <c r="H213" s="1">
        <v>92785</v>
      </c>
      <c r="I213" t="s">
        <v>2854</v>
      </c>
      <c r="J213" t="s">
        <v>2855</v>
      </c>
      <c r="K213" t="s">
        <v>23</v>
      </c>
      <c r="L213" s="2">
        <v>7.4999999999999997E-3</v>
      </c>
      <c r="M213" t="s">
        <v>1093</v>
      </c>
      <c r="N213" t="s">
        <v>28</v>
      </c>
      <c r="O213" t="s">
        <v>2692</v>
      </c>
      <c r="P213" t="s">
        <v>2856</v>
      </c>
      <c r="Q213" t="s">
        <v>2856</v>
      </c>
      <c r="R213" t="s">
        <v>2857</v>
      </c>
      <c r="S213" s="1">
        <v>88305</v>
      </c>
      <c r="T213" s="1">
        <v>85295</v>
      </c>
      <c r="U213" t="s">
        <v>2858</v>
      </c>
      <c r="V213" s="1">
        <v>93945</v>
      </c>
      <c r="W213" t="s">
        <v>2859</v>
      </c>
      <c r="X213" t="s">
        <v>2859</v>
      </c>
      <c r="Y213" t="s">
        <v>2859</v>
      </c>
      <c r="Z213" t="s">
        <v>2859</v>
      </c>
      <c r="AA213" t="s">
        <v>1562</v>
      </c>
      <c r="AB213" s="2">
        <v>-9.1999999999999998E-3</v>
      </c>
      <c r="AC213" s="2">
        <v>-9.7999999999999997E-3</v>
      </c>
      <c r="AD213" s="2">
        <v>-1.14E-2</v>
      </c>
      <c r="AE213" s="2">
        <v>3.1600000000000003E-2</v>
      </c>
      <c r="AF213" s="2">
        <v>4.36E-2</v>
      </c>
      <c r="AG213" s="2">
        <v>-9.7900000000000001E-2</v>
      </c>
      <c r="AH213" t="s">
        <v>509</v>
      </c>
      <c r="AI213" t="s">
        <v>232</v>
      </c>
      <c r="AJ213" t="s">
        <v>131</v>
      </c>
      <c r="AK213" t="s">
        <v>40</v>
      </c>
      <c r="AL213">
        <v>1</v>
      </c>
      <c r="AM213" t="s">
        <v>41</v>
      </c>
      <c r="AN213" t="s">
        <v>42</v>
      </c>
      <c r="AO213" t="s">
        <v>2692</v>
      </c>
      <c r="AP213" t="s">
        <v>357</v>
      </c>
      <c r="AQ213" t="s">
        <v>357</v>
      </c>
      <c r="AR213" t="s">
        <v>48</v>
      </c>
      <c r="AS213" t="s">
        <v>48</v>
      </c>
    </row>
    <row r="214" spans="1:54" x14ac:dyDescent="0.4">
      <c r="A214" t="s">
        <v>76</v>
      </c>
      <c r="B214" t="s">
        <v>10</v>
      </c>
      <c r="C214" s="1">
        <v>97064</v>
      </c>
      <c r="D214" t="s">
        <v>11</v>
      </c>
      <c r="E214" s="2">
        <v>-2.0000000000000001E-4</v>
      </c>
      <c r="F214" t="s">
        <v>12</v>
      </c>
      <c r="G214" s="4">
        <f>-0.022 / -0.02%</f>
        <v>109.99999999999999</v>
      </c>
      <c r="H214" s="1">
        <v>97064</v>
      </c>
      <c r="I214" t="s">
        <v>2690</v>
      </c>
      <c r="J214" t="s">
        <v>2691</v>
      </c>
      <c r="K214" t="s">
        <v>23</v>
      </c>
      <c r="L214" s="2">
        <v>3.7499999999999999E-3</v>
      </c>
      <c r="M214" t="s">
        <v>1093</v>
      </c>
      <c r="N214" t="s">
        <v>28</v>
      </c>
      <c r="O214" t="s">
        <v>2692</v>
      </c>
      <c r="P214" s="1">
        <v>96912</v>
      </c>
      <c r="Q214" t="s">
        <v>2410</v>
      </c>
      <c r="R214" t="s">
        <v>2693</v>
      </c>
      <c r="S214" s="1">
        <v>93325</v>
      </c>
      <c r="T214" t="s">
        <v>2694</v>
      </c>
      <c r="U214" t="s">
        <v>2694</v>
      </c>
      <c r="V214" s="1">
        <v>97144</v>
      </c>
      <c r="W214" s="1">
        <v>97144</v>
      </c>
      <c r="X214" s="1">
        <v>97144</v>
      </c>
      <c r="Y214" s="1">
        <v>97144</v>
      </c>
      <c r="Z214" s="1">
        <v>97144</v>
      </c>
      <c r="AA214" t="s">
        <v>2695</v>
      </c>
      <c r="AB214" s="2">
        <v>0</v>
      </c>
      <c r="AC214" s="2">
        <v>3.2000000000000002E-3</v>
      </c>
      <c r="AD214" s="2">
        <v>2.0400000000000001E-2</v>
      </c>
      <c r="AE214" s="2">
        <v>3.2599999999999997E-2</v>
      </c>
      <c r="AF214" s="2">
        <v>4.3499999999999997E-2</v>
      </c>
      <c r="AG214" s="2">
        <v>-3.8199999999999998E-2</v>
      </c>
      <c r="AH214" t="s">
        <v>509</v>
      </c>
      <c r="AI214" t="s">
        <v>232</v>
      </c>
      <c r="AJ214" t="s">
        <v>131</v>
      </c>
      <c r="AK214" t="s">
        <v>40</v>
      </c>
      <c r="AL214">
        <v>1</v>
      </c>
      <c r="AM214" t="s">
        <v>41</v>
      </c>
      <c r="AN214" t="s">
        <v>42</v>
      </c>
      <c r="AO214" t="s">
        <v>2692</v>
      </c>
      <c r="AP214" t="s">
        <v>357</v>
      </c>
      <c r="AQ214" t="s">
        <v>357</v>
      </c>
      <c r="AR214" t="s">
        <v>48</v>
      </c>
      <c r="AS214" t="s">
        <v>48</v>
      </c>
    </row>
    <row r="215" spans="1:54" x14ac:dyDescent="0.4">
      <c r="A215" t="s">
        <v>251</v>
      </c>
      <c r="B215" t="s">
        <v>10</v>
      </c>
      <c r="C215" t="s">
        <v>1327</v>
      </c>
      <c r="D215" t="s">
        <v>11</v>
      </c>
      <c r="E215" s="2">
        <v>0</v>
      </c>
      <c r="F215" t="s">
        <v>12</v>
      </c>
      <c r="G215" s="4" t="s">
        <v>15</v>
      </c>
      <c r="H215" t="s">
        <v>1327</v>
      </c>
      <c r="I215" t="s">
        <v>5889</v>
      </c>
      <c r="J215" t="s">
        <v>5890</v>
      </c>
      <c r="K215" t="s">
        <v>23</v>
      </c>
      <c r="L215" s="2">
        <v>2.2440000000000002E-2</v>
      </c>
      <c r="M215" t="s">
        <v>5891</v>
      </c>
      <c r="N215" t="s">
        <v>121</v>
      </c>
      <c r="O215" t="s">
        <v>5892</v>
      </c>
      <c r="P215" t="s">
        <v>957</v>
      </c>
      <c r="Q215" t="s">
        <v>5893</v>
      </c>
      <c r="R215" t="s">
        <v>4700</v>
      </c>
      <c r="S215" t="s">
        <v>4701</v>
      </c>
      <c r="T215" t="s">
        <v>5894</v>
      </c>
      <c r="U215" t="s">
        <v>5894</v>
      </c>
      <c r="V215" t="s">
        <v>1079</v>
      </c>
      <c r="W215" t="s">
        <v>1079</v>
      </c>
      <c r="X215" t="s">
        <v>1079</v>
      </c>
      <c r="Y215" t="s">
        <v>1079</v>
      </c>
      <c r="Z215" t="s">
        <v>1079</v>
      </c>
      <c r="AA215" s="1">
        <v>97518</v>
      </c>
      <c r="AB215" s="2">
        <v>3.32E-2</v>
      </c>
      <c r="AC215" s="2">
        <v>7.0499999999999993E-2</v>
      </c>
      <c r="AD215" s="2">
        <v>7.6100000000000001E-2</v>
      </c>
      <c r="AE215" s="2">
        <v>0.1079</v>
      </c>
      <c r="AF215" s="2">
        <v>0.23330000000000001</v>
      </c>
      <c r="AG215" s="2">
        <v>-8.7400000000000005E-2</v>
      </c>
      <c r="AH215" t="s">
        <v>5895</v>
      </c>
      <c r="AI215" t="s">
        <v>130</v>
      </c>
      <c r="AJ215" t="s">
        <v>38</v>
      </c>
      <c r="AK215" t="s">
        <v>40</v>
      </c>
      <c r="AL215">
        <v>1</v>
      </c>
      <c r="AM215" t="s">
        <v>41</v>
      </c>
      <c r="AN215" t="s">
        <v>42</v>
      </c>
      <c r="AO215" t="s">
        <v>5892</v>
      </c>
      <c r="AP215" t="s">
        <v>643</v>
      </c>
      <c r="AQ215">
        <v>1</v>
      </c>
      <c r="BA215" t="s">
        <v>136</v>
      </c>
      <c r="BB215" t="s">
        <v>61</v>
      </c>
    </row>
    <row r="216" spans="1:54" x14ac:dyDescent="0.4">
      <c r="A216" t="s">
        <v>251</v>
      </c>
      <c r="B216" t="s">
        <v>10</v>
      </c>
      <c r="C216" t="s">
        <v>5241</v>
      </c>
      <c r="D216" t="s">
        <v>11</v>
      </c>
      <c r="E216" s="2">
        <v>-3.5999999999999999E-3</v>
      </c>
      <c r="F216" t="s">
        <v>12</v>
      </c>
      <c r="G216" s="4">
        <f>-0.32 / -0.36%</f>
        <v>88.8888888888889</v>
      </c>
      <c r="H216" t="s">
        <v>5241</v>
      </c>
      <c r="I216" t="s">
        <v>5242</v>
      </c>
      <c r="J216" t="s">
        <v>5243</v>
      </c>
      <c r="K216" t="s">
        <v>23</v>
      </c>
      <c r="L216" s="2">
        <v>2.912E-2</v>
      </c>
      <c r="M216" t="s">
        <v>5244</v>
      </c>
      <c r="N216" t="s">
        <v>28</v>
      </c>
      <c r="O216" t="s">
        <v>5245</v>
      </c>
      <c r="P216" t="s">
        <v>715</v>
      </c>
      <c r="Q216" t="s">
        <v>188</v>
      </c>
      <c r="R216" t="s">
        <v>2450</v>
      </c>
      <c r="S216" t="s">
        <v>2450</v>
      </c>
      <c r="T216" t="s">
        <v>5246</v>
      </c>
      <c r="U216" t="s">
        <v>5246</v>
      </c>
      <c r="V216" t="s">
        <v>939</v>
      </c>
      <c r="W216" t="s">
        <v>939</v>
      </c>
      <c r="X216" t="s">
        <v>939</v>
      </c>
      <c r="Y216" t="s">
        <v>939</v>
      </c>
      <c r="Z216" t="s">
        <v>939</v>
      </c>
      <c r="AA216" s="1">
        <v>97565</v>
      </c>
      <c r="AB216" s="2">
        <v>3.1199999999999999E-2</v>
      </c>
      <c r="AC216" s="2">
        <v>7.3099999999999998E-2</v>
      </c>
      <c r="AD216" s="2">
        <v>7.3800000000000004E-2</v>
      </c>
      <c r="AE216" s="2">
        <v>8.8300000000000003E-2</v>
      </c>
      <c r="AF216" s="2">
        <v>0.23569999999999999</v>
      </c>
      <c r="AG216" s="2">
        <v>-8.8800000000000004E-2</v>
      </c>
      <c r="AH216" t="s">
        <v>5247</v>
      </c>
      <c r="AI216" t="s">
        <v>130</v>
      </c>
      <c r="AJ216" t="s">
        <v>131</v>
      </c>
      <c r="AK216" t="s">
        <v>40</v>
      </c>
      <c r="AL216">
        <v>1</v>
      </c>
      <c r="AM216" t="s">
        <v>41</v>
      </c>
      <c r="AN216" t="s">
        <v>42</v>
      </c>
      <c r="AO216" t="s">
        <v>5245</v>
      </c>
      <c r="AP216" t="s">
        <v>643</v>
      </c>
      <c r="AQ216">
        <v>1</v>
      </c>
      <c r="BA216" t="s">
        <v>136</v>
      </c>
      <c r="BB216" t="s">
        <v>61</v>
      </c>
    </row>
    <row r="217" spans="1:54" x14ac:dyDescent="0.4">
      <c r="A217" t="s">
        <v>161</v>
      </c>
      <c r="B217" t="s">
        <v>10</v>
      </c>
      <c r="C217" t="s">
        <v>571</v>
      </c>
      <c r="D217" t="s">
        <v>11</v>
      </c>
      <c r="E217" s="2">
        <v>-1.2999999999999999E-3</v>
      </c>
      <c r="F217" t="s">
        <v>12</v>
      </c>
      <c r="G217" s="4">
        <f>-0.13 / -0.13%</f>
        <v>100.00000000000001</v>
      </c>
      <c r="H217" t="s">
        <v>571</v>
      </c>
      <c r="I217" t="s">
        <v>2215</v>
      </c>
      <c r="J217" t="s">
        <v>2215</v>
      </c>
      <c r="K217" t="s">
        <v>23</v>
      </c>
      <c r="L217" s="2">
        <v>0.03</v>
      </c>
      <c r="M217" t="s">
        <v>2216</v>
      </c>
      <c r="N217" t="s">
        <v>28</v>
      </c>
      <c r="O217" t="s">
        <v>2217</v>
      </c>
      <c r="P217" t="s">
        <v>2218</v>
      </c>
      <c r="Q217" t="s">
        <v>2218</v>
      </c>
      <c r="R217" t="s">
        <v>2218</v>
      </c>
      <c r="S217" t="s">
        <v>2218</v>
      </c>
      <c r="T217" t="s">
        <v>2218</v>
      </c>
      <c r="U217" t="s">
        <v>2218</v>
      </c>
      <c r="V217" t="s">
        <v>153</v>
      </c>
      <c r="W217" t="s">
        <v>153</v>
      </c>
      <c r="X217" t="s">
        <v>153</v>
      </c>
      <c r="Y217" t="s">
        <v>153</v>
      </c>
      <c r="Z217" t="s">
        <v>153</v>
      </c>
      <c r="AA217" t="s">
        <v>153</v>
      </c>
      <c r="AB217" s="2">
        <v>-2.7000000000000001E-3</v>
      </c>
      <c r="AC217" s="2">
        <v>-2.7000000000000001E-3</v>
      </c>
      <c r="AD217" s="2">
        <v>-2.7000000000000001E-3</v>
      </c>
      <c r="AE217" s="2">
        <v>-2.7000000000000001E-3</v>
      </c>
      <c r="AF217" s="2">
        <v>-2.7000000000000001E-3</v>
      </c>
      <c r="AG217" s="2">
        <v>-2.7000000000000001E-3</v>
      </c>
      <c r="AH217" t="s">
        <v>1103</v>
      </c>
      <c r="AI217" t="s">
        <v>232</v>
      </c>
      <c r="AJ217" t="s">
        <v>131</v>
      </c>
      <c r="AK217" t="s">
        <v>40</v>
      </c>
      <c r="AL217">
        <v>1</v>
      </c>
      <c r="AM217" t="s">
        <v>41</v>
      </c>
      <c r="AN217" t="s">
        <v>42</v>
      </c>
      <c r="AO217" t="s">
        <v>2217</v>
      </c>
      <c r="AP217" t="s">
        <v>225</v>
      </c>
      <c r="AZ217">
        <v>1</v>
      </c>
      <c r="BA217" t="s">
        <v>174</v>
      </c>
    </row>
    <row r="218" spans="1:54" x14ac:dyDescent="0.4">
      <c r="A218" t="s">
        <v>9</v>
      </c>
      <c r="B218" t="s">
        <v>10</v>
      </c>
      <c r="C218" t="s">
        <v>1458</v>
      </c>
      <c r="D218" t="s">
        <v>11</v>
      </c>
      <c r="E218" s="2">
        <v>-1.6000000000000001E-3</v>
      </c>
      <c r="F218" t="s">
        <v>12</v>
      </c>
      <c r="G218" s="4">
        <f>-0.16 / -0.16%</f>
        <v>100</v>
      </c>
      <c r="H218" t="s">
        <v>1458</v>
      </c>
      <c r="I218" t="s">
        <v>4083</v>
      </c>
      <c r="J218" t="s">
        <v>4084</v>
      </c>
      <c r="K218" t="s">
        <v>23</v>
      </c>
      <c r="L218" s="2">
        <v>3.2500000000000001E-2</v>
      </c>
      <c r="M218" t="s">
        <v>2648</v>
      </c>
      <c r="N218" t="s">
        <v>28</v>
      </c>
      <c r="O218" t="s">
        <v>1500</v>
      </c>
      <c r="P218" t="s">
        <v>1336</v>
      </c>
      <c r="Q218" t="s">
        <v>1336</v>
      </c>
      <c r="R218" t="s">
        <v>1336</v>
      </c>
      <c r="S218" t="s">
        <v>1336</v>
      </c>
      <c r="T218" t="s">
        <v>1336</v>
      </c>
      <c r="U218" t="s">
        <v>1336</v>
      </c>
      <c r="V218" t="s">
        <v>1834</v>
      </c>
      <c r="W218" t="s">
        <v>1115</v>
      </c>
      <c r="X218" t="s">
        <v>1115</v>
      </c>
      <c r="Y218" t="s">
        <v>1115</v>
      </c>
      <c r="Z218" t="s">
        <v>1115</v>
      </c>
      <c r="AA218" t="s">
        <v>1115</v>
      </c>
      <c r="AB218" s="2">
        <v>-1.9199999999999998E-2</v>
      </c>
      <c r="AC218" s="2">
        <v>-1.6199999999999999E-2</v>
      </c>
      <c r="AD218" s="2">
        <v>-1.6199999999999999E-2</v>
      </c>
      <c r="AE218" s="2">
        <v>-1.6199999999999999E-2</v>
      </c>
      <c r="AF218" s="2">
        <v>-1.6199999999999999E-2</v>
      </c>
      <c r="AG218" s="2">
        <v>-1.6199999999999999E-2</v>
      </c>
      <c r="AH218" t="s">
        <v>1103</v>
      </c>
      <c r="AI218" t="s">
        <v>232</v>
      </c>
      <c r="AJ218" t="s">
        <v>131</v>
      </c>
      <c r="AK218" t="s">
        <v>40</v>
      </c>
      <c r="AL218">
        <v>1</v>
      </c>
      <c r="AM218" t="s">
        <v>41</v>
      </c>
      <c r="AN218" t="s">
        <v>42</v>
      </c>
      <c r="AO218" t="s">
        <v>1500</v>
      </c>
      <c r="AP218" t="s">
        <v>443</v>
      </c>
      <c r="AQ218" t="s">
        <v>443</v>
      </c>
      <c r="AR218" t="s">
        <v>48</v>
      </c>
      <c r="AS218" t="s">
        <v>48</v>
      </c>
    </row>
    <row r="219" spans="1:54" x14ac:dyDescent="0.4">
      <c r="A219" t="s">
        <v>251</v>
      </c>
      <c r="B219" t="s">
        <v>10</v>
      </c>
      <c r="C219" s="1">
        <v>94825</v>
      </c>
      <c r="D219" t="s">
        <v>11</v>
      </c>
      <c r="E219" s="2">
        <v>-1.6999999999999999E-3</v>
      </c>
      <c r="F219" t="s">
        <v>12</v>
      </c>
      <c r="G219" s="4">
        <f>-0.165 / -0.17%</f>
        <v>97.058823529411768</v>
      </c>
      <c r="H219" s="1">
        <v>94825</v>
      </c>
      <c r="I219" t="s">
        <v>1094</v>
      </c>
      <c r="J219" t="s">
        <v>1095</v>
      </c>
      <c r="K219" t="s">
        <v>23</v>
      </c>
      <c r="L219" s="2">
        <v>5.0000000000000001E-3</v>
      </c>
      <c r="M219" t="s">
        <v>1096</v>
      </c>
      <c r="N219" t="s">
        <v>28</v>
      </c>
      <c r="O219" t="s">
        <v>1097</v>
      </c>
      <c r="P219" s="1">
        <v>94565</v>
      </c>
      <c r="Q219" s="1">
        <v>94405</v>
      </c>
      <c r="R219" t="s">
        <v>1098</v>
      </c>
      <c r="S219" t="s">
        <v>1099</v>
      </c>
      <c r="T219" s="1">
        <v>87895</v>
      </c>
      <c r="U219" s="1">
        <v>86915</v>
      </c>
      <c r="V219" t="s">
        <v>1100</v>
      </c>
      <c r="W219" t="s">
        <v>1101</v>
      </c>
      <c r="X219" t="s">
        <v>1101</v>
      </c>
      <c r="Y219" t="s">
        <v>1101</v>
      </c>
      <c r="Z219" t="s">
        <v>1101</v>
      </c>
      <c r="AA219" t="s">
        <v>1102</v>
      </c>
      <c r="AB219" s="2">
        <v>-3.3999999999999998E-3</v>
      </c>
      <c r="AC219" s="2">
        <v>-2.7000000000000001E-3</v>
      </c>
      <c r="AD219" s="2">
        <v>1.4999999999999999E-2</v>
      </c>
      <c r="AE219" s="2">
        <v>2.7E-2</v>
      </c>
      <c r="AF219" s="2">
        <v>5.16E-2</v>
      </c>
      <c r="AG219" s="2">
        <v>-6.4100000000000004E-2</v>
      </c>
      <c r="AH219" t="s">
        <v>1103</v>
      </c>
      <c r="AI219" t="s">
        <v>232</v>
      </c>
      <c r="AJ219" t="s">
        <v>131</v>
      </c>
      <c r="AK219" t="s">
        <v>40</v>
      </c>
      <c r="AL219">
        <v>1</v>
      </c>
      <c r="AM219" t="s">
        <v>41</v>
      </c>
      <c r="AN219" t="s">
        <v>42</v>
      </c>
      <c r="AO219" t="s">
        <v>1097</v>
      </c>
      <c r="AP219" t="s">
        <v>193</v>
      </c>
      <c r="AQ219" t="s">
        <v>1104</v>
      </c>
      <c r="AR219" t="s">
        <v>48</v>
      </c>
      <c r="AS219" t="s">
        <v>48</v>
      </c>
    </row>
    <row r="220" spans="1:54" x14ac:dyDescent="0.4">
      <c r="A220" t="s">
        <v>3276</v>
      </c>
      <c r="B220" t="s">
        <v>10</v>
      </c>
      <c r="C220" t="s">
        <v>126</v>
      </c>
      <c r="D220" t="s">
        <v>11</v>
      </c>
      <c r="E220" s="2">
        <v>-1.1999999999999999E-3</v>
      </c>
      <c r="F220" t="s">
        <v>178</v>
      </c>
      <c r="G220" s="4">
        <f>-0.11 / -0.12%</f>
        <v>91.666666666666671</v>
      </c>
      <c r="H220" t="s">
        <v>126</v>
      </c>
      <c r="I220" t="s">
        <v>3277</v>
      </c>
      <c r="J220" t="s">
        <v>3278</v>
      </c>
      <c r="K220" t="s">
        <v>23</v>
      </c>
      <c r="L220" s="2">
        <v>1.4999999999999999E-2</v>
      </c>
      <c r="M220" t="s">
        <v>3279</v>
      </c>
      <c r="N220" t="s">
        <v>28</v>
      </c>
      <c r="O220" t="s">
        <v>2555</v>
      </c>
      <c r="P220" t="s">
        <v>1608</v>
      </c>
      <c r="Q220" t="s">
        <v>915</v>
      </c>
      <c r="R220" t="s">
        <v>1925</v>
      </c>
      <c r="S220" t="s">
        <v>721</v>
      </c>
      <c r="T220" t="s">
        <v>3280</v>
      </c>
      <c r="U220" t="s">
        <v>3281</v>
      </c>
      <c r="V220" t="s">
        <v>1594</v>
      </c>
      <c r="W220" t="s">
        <v>1255</v>
      </c>
      <c r="X220" t="s">
        <v>1255</v>
      </c>
      <c r="Y220" t="s">
        <v>1255</v>
      </c>
      <c r="Z220" t="s">
        <v>1255</v>
      </c>
      <c r="AA220" t="s">
        <v>3282</v>
      </c>
      <c r="AB220" s="2">
        <v>-7.1000000000000004E-3</v>
      </c>
      <c r="AC220" s="2">
        <v>-5.4999999999999997E-3</v>
      </c>
      <c r="AD220" s="2">
        <v>1.47E-2</v>
      </c>
      <c r="AE220" s="2">
        <v>1.61E-2</v>
      </c>
      <c r="AF220" s="2">
        <v>3.8199999999999998E-2</v>
      </c>
      <c r="AG220" s="2">
        <v>-9.98E-2</v>
      </c>
      <c r="AH220" t="s">
        <v>3283</v>
      </c>
      <c r="AI220" t="s">
        <v>130</v>
      </c>
      <c r="AJ220" t="s">
        <v>131</v>
      </c>
      <c r="AK220" t="s">
        <v>40</v>
      </c>
      <c r="AL220">
        <v>1</v>
      </c>
      <c r="AM220" t="s">
        <v>41</v>
      </c>
      <c r="AN220" t="s">
        <v>42</v>
      </c>
      <c r="AO220" t="s">
        <v>2555</v>
      </c>
      <c r="AP220" t="s">
        <v>500</v>
      </c>
      <c r="AQ220" t="s">
        <v>500</v>
      </c>
      <c r="AR220" t="s">
        <v>48</v>
      </c>
      <c r="AS220" t="s">
        <v>48</v>
      </c>
    </row>
    <row r="221" spans="1:54" x14ac:dyDescent="0.4">
      <c r="A221" t="s">
        <v>76</v>
      </c>
      <c r="B221" t="s">
        <v>10</v>
      </c>
      <c r="C221" t="s">
        <v>1178</v>
      </c>
      <c r="D221" t="s">
        <v>11</v>
      </c>
      <c r="E221" s="2">
        <v>0</v>
      </c>
      <c r="F221" t="s">
        <v>12</v>
      </c>
      <c r="G221" s="4" t="s">
        <v>15</v>
      </c>
      <c r="H221" t="s">
        <v>1178</v>
      </c>
      <c r="I221" t="s">
        <v>1179</v>
      </c>
      <c r="J221" t="s">
        <v>1180</v>
      </c>
      <c r="K221" t="s">
        <v>23</v>
      </c>
      <c r="N221" t="s">
        <v>1142</v>
      </c>
      <c r="O221" t="s">
        <v>1181</v>
      </c>
      <c r="P221" t="s">
        <v>1182</v>
      </c>
      <c r="Q221" t="s">
        <v>1183</v>
      </c>
      <c r="R221" t="s">
        <v>1184</v>
      </c>
      <c r="S221" t="s">
        <v>1185</v>
      </c>
      <c r="T221" t="s">
        <v>1185</v>
      </c>
      <c r="U221" t="s">
        <v>1185</v>
      </c>
      <c r="V221" t="s">
        <v>1186</v>
      </c>
      <c r="W221" t="s">
        <v>1186</v>
      </c>
      <c r="X221" t="s">
        <v>1186</v>
      </c>
      <c r="Y221" t="s">
        <v>1186</v>
      </c>
      <c r="Z221" t="s">
        <v>1186</v>
      </c>
      <c r="AA221" t="s">
        <v>1186</v>
      </c>
      <c r="AB221" s="2">
        <v>1.5E-3</v>
      </c>
      <c r="AC221" s="2">
        <v>6.4000000000000003E-3</v>
      </c>
      <c r="AD221" s="2">
        <v>1.9599999999999999E-2</v>
      </c>
      <c r="AE221" s="2">
        <v>2.1000000000000001E-2</v>
      </c>
      <c r="AF221" s="2">
        <v>2.1000000000000001E-2</v>
      </c>
      <c r="AG221" s="2">
        <v>2.1000000000000001E-2</v>
      </c>
      <c r="AH221" t="s">
        <v>34</v>
      </c>
      <c r="AI221" t="s">
        <v>36</v>
      </c>
      <c r="AJ221" t="s">
        <v>131</v>
      </c>
      <c r="AK221" t="s">
        <v>40</v>
      </c>
      <c r="AL221">
        <v>0</v>
      </c>
      <c r="AM221" t="s">
        <v>41</v>
      </c>
      <c r="AN221" t="s">
        <v>42</v>
      </c>
      <c r="AO221" t="s">
        <v>1187</v>
      </c>
      <c r="AP221" t="s">
        <v>1188</v>
      </c>
      <c r="AQ221" t="s">
        <v>1188</v>
      </c>
      <c r="BB221" t="s">
        <v>61</v>
      </c>
    </row>
    <row r="222" spans="1:54" x14ac:dyDescent="0.4">
      <c r="A222" t="s">
        <v>104</v>
      </c>
      <c r="B222" t="s">
        <v>10</v>
      </c>
      <c r="C222" s="1">
        <v>97793</v>
      </c>
      <c r="D222" t="s">
        <v>11</v>
      </c>
      <c r="E222" s="2">
        <v>1E-4</v>
      </c>
      <c r="F222" t="s">
        <v>12</v>
      </c>
      <c r="G222" s="4" t="s">
        <v>1937</v>
      </c>
      <c r="H222" s="1">
        <v>97793</v>
      </c>
      <c r="I222" t="s">
        <v>2672</v>
      </c>
      <c r="J222" t="s">
        <v>2673</v>
      </c>
      <c r="K222" t="s">
        <v>23</v>
      </c>
      <c r="N222" t="s">
        <v>1142</v>
      </c>
      <c r="O222" t="s">
        <v>2674</v>
      </c>
      <c r="P222" t="s">
        <v>1857</v>
      </c>
      <c r="Q222" t="s">
        <v>1857</v>
      </c>
      <c r="R222" t="s">
        <v>1857</v>
      </c>
      <c r="S222" t="s">
        <v>1857</v>
      </c>
      <c r="T222" t="s">
        <v>1857</v>
      </c>
      <c r="U222" t="s">
        <v>1857</v>
      </c>
      <c r="V222" s="1">
        <v>97822</v>
      </c>
      <c r="W222" s="1">
        <v>97822</v>
      </c>
      <c r="X222" s="1">
        <v>97822</v>
      </c>
      <c r="Y222" s="1">
        <v>97822</v>
      </c>
      <c r="Z222" s="1">
        <v>97822</v>
      </c>
      <c r="AA222" s="1">
        <v>97822</v>
      </c>
      <c r="AB222" s="2">
        <v>1.1999999999999999E-3</v>
      </c>
      <c r="AC222" s="2">
        <v>1.1999999999999999E-3</v>
      </c>
      <c r="AD222" s="2">
        <v>1.1999999999999999E-3</v>
      </c>
      <c r="AE222" s="2">
        <v>1.1999999999999999E-3</v>
      </c>
      <c r="AF222" s="2">
        <v>1.1999999999999999E-3</v>
      </c>
      <c r="AG222" s="2">
        <v>1.1999999999999999E-3</v>
      </c>
      <c r="AH222" t="s">
        <v>34</v>
      </c>
      <c r="AI222" t="s">
        <v>36</v>
      </c>
      <c r="AJ222" t="s">
        <v>131</v>
      </c>
      <c r="AK222" t="s">
        <v>40</v>
      </c>
      <c r="AL222">
        <v>0</v>
      </c>
      <c r="AM222" t="s">
        <v>41</v>
      </c>
      <c r="AN222" t="s">
        <v>42</v>
      </c>
      <c r="AO222" t="s">
        <v>449</v>
      </c>
      <c r="AP222" t="s">
        <v>814</v>
      </c>
      <c r="AQ222" t="s">
        <v>814</v>
      </c>
      <c r="BB222" t="s">
        <v>61</v>
      </c>
    </row>
    <row r="223" spans="1:54" x14ac:dyDescent="0.4">
      <c r="A223" t="s">
        <v>251</v>
      </c>
      <c r="B223" t="s">
        <v>10</v>
      </c>
      <c r="C223" t="s">
        <v>2411</v>
      </c>
      <c r="D223" t="s">
        <v>11</v>
      </c>
      <c r="E223" s="2">
        <v>0</v>
      </c>
      <c r="F223" t="s">
        <v>12</v>
      </c>
      <c r="G223" s="4" t="s">
        <v>15</v>
      </c>
      <c r="H223" t="s">
        <v>2411</v>
      </c>
      <c r="I223" t="s">
        <v>3976</v>
      </c>
      <c r="J223" t="s">
        <v>3977</v>
      </c>
      <c r="K223" t="s">
        <v>23</v>
      </c>
      <c r="N223" t="s">
        <v>1142</v>
      </c>
      <c r="O223" t="s">
        <v>3978</v>
      </c>
      <c r="P223" s="1">
        <v>96057</v>
      </c>
      <c r="Q223" s="1">
        <v>95091</v>
      </c>
      <c r="R223" s="1">
        <v>93827</v>
      </c>
      <c r="S223" s="1">
        <v>92402</v>
      </c>
      <c r="T223" s="1">
        <v>89253</v>
      </c>
      <c r="U223" s="1">
        <v>89253</v>
      </c>
      <c r="V223" s="1">
        <v>98772</v>
      </c>
      <c r="W223" s="1">
        <v>98918</v>
      </c>
      <c r="X223" s="1">
        <v>98918</v>
      </c>
      <c r="Y223" s="1">
        <v>98918</v>
      </c>
      <c r="Z223" s="1">
        <v>98918</v>
      </c>
      <c r="AA223" s="1">
        <v>100713</v>
      </c>
      <c r="AB223" s="2">
        <v>-8.9999999999999998E-4</v>
      </c>
      <c r="AC223" s="2">
        <v>6.3E-3</v>
      </c>
      <c r="AD223" s="2">
        <v>1.7100000000000001E-2</v>
      </c>
      <c r="AE223" s="2">
        <v>3.73E-2</v>
      </c>
      <c r="AF223" s="2">
        <v>5.6899999999999999E-2</v>
      </c>
      <c r="AG223" s="2">
        <v>-3.8899999999999997E-2</v>
      </c>
      <c r="AH223" t="s">
        <v>34</v>
      </c>
      <c r="AI223" t="s">
        <v>36</v>
      </c>
      <c r="AJ223" t="s">
        <v>38</v>
      </c>
      <c r="AK223" t="s">
        <v>40</v>
      </c>
      <c r="AL223">
        <v>0</v>
      </c>
      <c r="AM223" t="s">
        <v>41</v>
      </c>
      <c r="AN223" t="s">
        <v>42</v>
      </c>
      <c r="AO223" t="s">
        <v>3978</v>
      </c>
      <c r="AP223" t="s">
        <v>3979</v>
      </c>
      <c r="AQ223" t="s">
        <v>3979</v>
      </c>
      <c r="AR223" t="s">
        <v>48</v>
      </c>
      <c r="AS223" t="s">
        <v>48</v>
      </c>
      <c r="AT223" t="s">
        <v>492</v>
      </c>
    </row>
    <row r="224" spans="1:54" x14ac:dyDescent="0.4">
      <c r="A224" t="s">
        <v>1139</v>
      </c>
      <c r="B224" t="s">
        <v>10</v>
      </c>
      <c r="C224" s="1">
        <v>73593</v>
      </c>
      <c r="D224" t="s">
        <v>11</v>
      </c>
      <c r="E224" s="2">
        <v>-3.5999999999999999E-3</v>
      </c>
      <c r="F224" t="s">
        <v>12</v>
      </c>
      <c r="G224" s="4">
        <f>-0.266 / -0.36%</f>
        <v>73.8888888888889</v>
      </c>
      <c r="H224" s="1">
        <v>73593</v>
      </c>
      <c r="I224" t="s">
        <v>1140</v>
      </c>
      <c r="J224" t="s">
        <v>1141</v>
      </c>
      <c r="K224" t="s">
        <v>23</v>
      </c>
      <c r="N224" t="s">
        <v>1142</v>
      </c>
      <c r="O224" t="s">
        <v>1143</v>
      </c>
      <c r="P224" s="1">
        <v>68603</v>
      </c>
      <c r="Q224" s="1">
        <v>68603</v>
      </c>
      <c r="R224" s="1">
        <v>68603</v>
      </c>
      <c r="S224" s="1">
        <v>68603</v>
      </c>
      <c r="T224" s="1">
        <v>62929</v>
      </c>
      <c r="U224" s="1">
        <v>62929</v>
      </c>
      <c r="V224" s="1">
        <v>73859</v>
      </c>
      <c r="W224" s="1">
        <v>76943</v>
      </c>
      <c r="X224" t="s">
        <v>1144</v>
      </c>
      <c r="Y224" t="s">
        <v>1144</v>
      </c>
      <c r="Z224" t="s">
        <v>1144</v>
      </c>
      <c r="AA224" s="1">
        <v>96895</v>
      </c>
      <c r="AB224" s="2">
        <v>-5.1000000000000004E-3</v>
      </c>
      <c r="AC224" s="2">
        <v>-1.9E-3</v>
      </c>
      <c r="AD224" s="2">
        <v>2.1399999999999999E-2</v>
      </c>
      <c r="AE224" s="2">
        <v>2.5999999999999999E-2</v>
      </c>
      <c r="AF224" s="2">
        <v>4.1300000000000003E-2</v>
      </c>
      <c r="AG224" s="2">
        <v>-0.2399</v>
      </c>
      <c r="AH224" t="s">
        <v>34</v>
      </c>
      <c r="AI224" t="s">
        <v>36</v>
      </c>
      <c r="AJ224" t="s">
        <v>38</v>
      </c>
      <c r="AK224" t="s">
        <v>40</v>
      </c>
      <c r="AL224">
        <v>0</v>
      </c>
      <c r="AM224" t="s">
        <v>41</v>
      </c>
      <c r="AN224" t="s">
        <v>42</v>
      </c>
      <c r="AO224" t="s">
        <v>1143</v>
      </c>
      <c r="AP224" t="s">
        <v>1145</v>
      </c>
      <c r="AQ224" t="s">
        <v>1145</v>
      </c>
      <c r="AR224" t="s">
        <v>48</v>
      </c>
      <c r="AS224" t="s">
        <v>48</v>
      </c>
      <c r="AT224" t="s">
        <v>492</v>
      </c>
    </row>
    <row r="225" spans="1:55" x14ac:dyDescent="0.4">
      <c r="A225" t="s">
        <v>251</v>
      </c>
      <c r="B225" t="s">
        <v>10</v>
      </c>
      <c r="C225" s="1">
        <v>92038</v>
      </c>
      <c r="D225" t="s">
        <v>11</v>
      </c>
      <c r="E225" s="2">
        <v>-1.1999999999999999E-3</v>
      </c>
      <c r="F225" t="s">
        <v>12</v>
      </c>
      <c r="G225" s="4">
        <f>-0.11 / -0.12%</f>
        <v>91.666666666666671</v>
      </c>
      <c r="H225" s="1">
        <v>92038</v>
      </c>
      <c r="I225" t="s">
        <v>1345</v>
      </c>
      <c r="J225" t="s">
        <v>1346</v>
      </c>
      <c r="K225" t="s">
        <v>23</v>
      </c>
      <c r="N225" t="s">
        <v>1142</v>
      </c>
      <c r="O225" t="s">
        <v>1347</v>
      </c>
      <c r="P225" s="1">
        <v>91489</v>
      </c>
      <c r="Q225" s="1">
        <v>91489</v>
      </c>
      <c r="R225" t="s">
        <v>1348</v>
      </c>
      <c r="S225" s="1">
        <v>89869</v>
      </c>
      <c r="T225" s="1">
        <v>85586</v>
      </c>
      <c r="U225" s="1">
        <v>85586</v>
      </c>
      <c r="V225" t="s">
        <v>666</v>
      </c>
      <c r="W225" t="s">
        <v>666</v>
      </c>
      <c r="X225" t="s">
        <v>666</v>
      </c>
      <c r="Y225" t="s">
        <v>666</v>
      </c>
      <c r="Z225" t="s">
        <v>666</v>
      </c>
      <c r="AA225" s="1">
        <v>101513</v>
      </c>
      <c r="AB225" s="2">
        <v>-1.03E-2</v>
      </c>
      <c r="AC225" s="2">
        <v>-5.8999999999999999E-3</v>
      </c>
      <c r="AD225" s="2">
        <v>6.4999999999999997E-3</v>
      </c>
      <c r="AE225" s="2">
        <v>1.26E-2</v>
      </c>
      <c r="AF225" s="2">
        <v>2.92E-2</v>
      </c>
      <c r="AG225" s="2">
        <v>-9.2700000000000005E-2</v>
      </c>
      <c r="AH225" t="s">
        <v>34</v>
      </c>
      <c r="AI225" t="s">
        <v>36</v>
      </c>
      <c r="AJ225" t="s">
        <v>38</v>
      </c>
      <c r="AK225" t="s">
        <v>40</v>
      </c>
      <c r="AL225">
        <v>0</v>
      </c>
      <c r="AM225" t="s">
        <v>41</v>
      </c>
      <c r="AN225" t="s">
        <v>42</v>
      </c>
      <c r="AO225" t="s">
        <v>1347</v>
      </c>
      <c r="AP225" t="s">
        <v>1349</v>
      </c>
      <c r="AQ225" t="s">
        <v>1350</v>
      </c>
      <c r="AR225" t="s">
        <v>48</v>
      </c>
      <c r="AS225" t="s">
        <v>48</v>
      </c>
      <c r="AT225" t="s">
        <v>492</v>
      </c>
    </row>
    <row r="226" spans="1:55" x14ac:dyDescent="0.4">
      <c r="A226" t="s">
        <v>138</v>
      </c>
      <c r="B226" t="s">
        <v>10</v>
      </c>
      <c r="C226" s="1">
        <v>106222</v>
      </c>
      <c r="D226" t="s">
        <v>11</v>
      </c>
      <c r="E226" s="2">
        <v>-3.3E-3</v>
      </c>
      <c r="F226" t="s">
        <v>12</v>
      </c>
      <c r="G226" s="4">
        <f>-0.353 / -0.33%</f>
        <v>106.96969696969697</v>
      </c>
      <c r="H226" s="1">
        <v>106222</v>
      </c>
      <c r="I226" t="s">
        <v>139</v>
      </c>
      <c r="J226" t="s">
        <v>140</v>
      </c>
      <c r="K226" t="s">
        <v>23</v>
      </c>
      <c r="L226" s="2">
        <v>3.2500000000000001E-2</v>
      </c>
      <c r="M226" t="s">
        <v>141</v>
      </c>
      <c r="N226" t="s">
        <v>28</v>
      </c>
      <c r="O226" t="s">
        <v>142</v>
      </c>
      <c r="P226" t="s">
        <v>143</v>
      </c>
      <c r="Q226" t="s">
        <v>143</v>
      </c>
      <c r="R226" t="s">
        <v>143</v>
      </c>
      <c r="S226" s="1">
        <v>104959</v>
      </c>
      <c r="T226" s="1">
        <v>100315</v>
      </c>
      <c r="U226" s="1">
        <v>100315</v>
      </c>
      <c r="V226" s="1">
        <v>109671</v>
      </c>
      <c r="W226" s="1">
        <v>114174</v>
      </c>
      <c r="X226" s="1">
        <v>114174</v>
      </c>
      <c r="Y226" s="1">
        <v>114174</v>
      </c>
      <c r="Z226" s="1">
        <v>117552</v>
      </c>
      <c r="AA226" s="1">
        <v>166845</v>
      </c>
      <c r="AB226" s="2">
        <v>-3.1099999999999999E-2</v>
      </c>
      <c r="AC226" s="2">
        <v>-3.2899999999999999E-2</v>
      </c>
      <c r="AD226" s="2">
        <v>-1.8700000000000001E-2</v>
      </c>
      <c r="AE226" s="2">
        <v>-3.4000000000000002E-2</v>
      </c>
      <c r="AF226" s="2">
        <v>-8.5599999999999996E-2</v>
      </c>
      <c r="AG226" s="2">
        <v>-0.3619</v>
      </c>
      <c r="AH226" t="s">
        <v>34</v>
      </c>
      <c r="AI226" t="s">
        <v>36</v>
      </c>
      <c r="AJ226" t="s">
        <v>38</v>
      </c>
      <c r="AK226" t="s">
        <v>40</v>
      </c>
      <c r="AL226">
        <v>0</v>
      </c>
      <c r="AM226" t="s">
        <v>41</v>
      </c>
      <c r="AN226" t="s">
        <v>42</v>
      </c>
      <c r="AO226" t="s">
        <v>142</v>
      </c>
      <c r="AP226" t="s">
        <v>144</v>
      </c>
      <c r="AQ226" t="s">
        <v>144</v>
      </c>
      <c r="AR226" t="s">
        <v>48</v>
      </c>
      <c r="AS226" t="s">
        <v>48</v>
      </c>
      <c r="AT226" t="s">
        <v>145</v>
      </c>
      <c r="AU226" t="s">
        <v>146</v>
      </c>
      <c r="AZ226">
        <v>0</v>
      </c>
      <c r="BA226" t="s">
        <v>136</v>
      </c>
      <c r="BB226" t="s">
        <v>61</v>
      </c>
      <c r="BC226" t="s">
        <v>147</v>
      </c>
    </row>
    <row r="227" spans="1:55" x14ac:dyDescent="0.4">
      <c r="A227" t="s">
        <v>76</v>
      </c>
      <c r="B227" t="s">
        <v>10</v>
      </c>
      <c r="C227" s="1">
        <v>99485</v>
      </c>
      <c r="D227" t="s">
        <v>11</v>
      </c>
      <c r="E227" s="2">
        <v>1E-4</v>
      </c>
      <c r="F227" t="s">
        <v>12</v>
      </c>
      <c r="G227" s="4" t="s">
        <v>148</v>
      </c>
      <c r="H227" s="1">
        <v>99485</v>
      </c>
      <c r="I227" t="s">
        <v>149</v>
      </c>
      <c r="J227" t="s">
        <v>150</v>
      </c>
      <c r="K227" t="s">
        <v>23</v>
      </c>
      <c r="M227" t="s">
        <v>151</v>
      </c>
      <c r="N227" t="s">
        <v>28</v>
      </c>
      <c r="O227" t="s">
        <v>152</v>
      </c>
      <c r="P227" t="s">
        <v>153</v>
      </c>
      <c r="Q227" t="s">
        <v>154</v>
      </c>
      <c r="R227" t="s">
        <v>155</v>
      </c>
      <c r="S227" t="s">
        <v>156</v>
      </c>
      <c r="T227" s="1">
        <v>93449</v>
      </c>
      <c r="U227" s="1">
        <v>93449</v>
      </c>
      <c r="V227" s="1">
        <v>99502</v>
      </c>
      <c r="W227" s="1">
        <v>99502</v>
      </c>
      <c r="X227" s="1">
        <v>99502</v>
      </c>
      <c r="Y227" s="1">
        <v>99502</v>
      </c>
      <c r="Z227" s="1">
        <v>99502</v>
      </c>
      <c r="AA227" s="1">
        <v>101952</v>
      </c>
      <c r="AB227" s="2">
        <v>2E-3</v>
      </c>
      <c r="AC227" s="2">
        <v>6.7000000000000002E-3</v>
      </c>
      <c r="AD227" s="2">
        <v>1.7500000000000002E-2</v>
      </c>
      <c r="AE227" s="2">
        <v>3.1600000000000003E-2</v>
      </c>
      <c r="AF227" s="2">
        <v>4.9299999999999997E-2</v>
      </c>
      <c r="AG227" s="2">
        <v>-2.3199999999999998E-2</v>
      </c>
      <c r="AH227" t="s">
        <v>34</v>
      </c>
      <c r="AI227" t="s">
        <v>36</v>
      </c>
      <c r="AJ227" t="s">
        <v>38</v>
      </c>
      <c r="AK227" t="s">
        <v>40</v>
      </c>
      <c r="AL227">
        <v>0</v>
      </c>
      <c r="AM227" t="s">
        <v>41</v>
      </c>
      <c r="AN227" t="s">
        <v>42</v>
      </c>
      <c r="AO227" t="s">
        <v>152</v>
      </c>
      <c r="AP227" t="s">
        <v>157</v>
      </c>
      <c r="AQ227" t="s">
        <v>157</v>
      </c>
      <c r="AR227" t="s">
        <v>48</v>
      </c>
      <c r="AS227" t="s">
        <v>48</v>
      </c>
      <c r="AT227" t="s">
        <v>158</v>
      </c>
      <c r="AU227" t="s">
        <v>159</v>
      </c>
      <c r="AZ227">
        <v>0</v>
      </c>
      <c r="BA227" t="s">
        <v>59</v>
      </c>
      <c r="BB227" t="s">
        <v>61</v>
      </c>
      <c r="BC227" t="s">
        <v>160</v>
      </c>
    </row>
    <row r="228" spans="1:55" x14ac:dyDescent="0.4">
      <c r="A228" t="s">
        <v>104</v>
      </c>
      <c r="B228" t="s">
        <v>10</v>
      </c>
      <c r="C228" s="1">
        <v>99963</v>
      </c>
      <c r="D228" t="s">
        <v>11</v>
      </c>
      <c r="E228" s="2">
        <v>0</v>
      </c>
      <c r="F228" t="s">
        <v>12</v>
      </c>
      <c r="G228" s="4" t="e">
        <f>-0.002 / 0%</f>
        <v>#DIV/0!</v>
      </c>
      <c r="H228" s="1">
        <v>99963</v>
      </c>
      <c r="I228" t="s">
        <v>105</v>
      </c>
      <c r="J228" t="s">
        <v>106</v>
      </c>
      <c r="K228" t="s">
        <v>23</v>
      </c>
      <c r="L228" s="2">
        <v>2.5000000000000001E-2</v>
      </c>
      <c r="M228" t="s">
        <v>107</v>
      </c>
      <c r="N228" t="s">
        <v>28</v>
      </c>
      <c r="O228" t="s">
        <v>108</v>
      </c>
      <c r="P228" s="1">
        <v>99935</v>
      </c>
      <c r="Q228" t="s">
        <v>109</v>
      </c>
      <c r="R228" s="1">
        <v>99505</v>
      </c>
      <c r="S228" s="1">
        <v>99043</v>
      </c>
      <c r="T228" s="1">
        <v>98384</v>
      </c>
      <c r="U228" s="1">
        <v>98384</v>
      </c>
      <c r="V228" t="s">
        <v>110</v>
      </c>
      <c r="W228" t="s">
        <v>82</v>
      </c>
      <c r="X228" t="s">
        <v>82</v>
      </c>
      <c r="Y228" t="s">
        <v>82</v>
      </c>
      <c r="Z228" t="s">
        <v>111</v>
      </c>
      <c r="AA228" t="s">
        <v>111</v>
      </c>
      <c r="AB228" s="2">
        <v>-2.0000000000000001E-4</v>
      </c>
      <c r="AC228" s="2">
        <v>1.1000000000000001E-3</v>
      </c>
      <c r="AD228" s="2">
        <v>4.5999999999999999E-3</v>
      </c>
      <c r="AE228" s="2">
        <v>6.7000000000000002E-3</v>
      </c>
      <c r="AF228" s="2">
        <v>2E-3</v>
      </c>
      <c r="AG228" s="2">
        <v>2E-3</v>
      </c>
      <c r="AH228" t="s">
        <v>34</v>
      </c>
      <c r="AI228" t="s">
        <v>36</v>
      </c>
      <c r="AJ228" t="s">
        <v>38</v>
      </c>
      <c r="AK228" t="s">
        <v>40</v>
      </c>
      <c r="AL228">
        <v>0</v>
      </c>
      <c r="AM228" t="s">
        <v>41</v>
      </c>
      <c r="AN228" t="s">
        <v>42</v>
      </c>
      <c r="AO228" t="s">
        <v>108</v>
      </c>
      <c r="AP228" t="s">
        <v>86</v>
      </c>
      <c r="AQ228" t="s">
        <v>86</v>
      </c>
      <c r="AR228" t="s">
        <v>48</v>
      </c>
      <c r="AS228" t="s">
        <v>48</v>
      </c>
      <c r="AT228" t="s">
        <v>112</v>
      </c>
      <c r="AU228" t="s">
        <v>113</v>
      </c>
      <c r="AZ228">
        <v>0</v>
      </c>
      <c r="BA228" t="s">
        <v>59</v>
      </c>
      <c r="BB228" t="s">
        <v>61</v>
      </c>
      <c r="BC228" t="s">
        <v>114</v>
      </c>
    </row>
    <row r="229" spans="1:55" x14ac:dyDescent="0.4">
      <c r="A229" t="s">
        <v>76</v>
      </c>
      <c r="B229" t="s">
        <v>10</v>
      </c>
      <c r="C229" t="s">
        <v>77</v>
      </c>
      <c r="D229" t="s">
        <v>11</v>
      </c>
      <c r="E229" s="2">
        <v>-1E-4</v>
      </c>
      <c r="F229" t="s">
        <v>12</v>
      </c>
      <c r="G229" s="4">
        <f>-0.01 / -0.01%</f>
        <v>100</v>
      </c>
      <c r="H229" t="s">
        <v>77</v>
      </c>
      <c r="I229" t="s">
        <v>78</v>
      </c>
      <c r="J229" t="s">
        <v>79</v>
      </c>
      <c r="K229" t="s">
        <v>23</v>
      </c>
      <c r="L229" s="2">
        <v>2.8000000000000001E-2</v>
      </c>
      <c r="M229" t="s">
        <v>80</v>
      </c>
      <c r="N229" t="s">
        <v>28</v>
      </c>
      <c r="O229" t="s">
        <v>81</v>
      </c>
      <c r="P229" t="s">
        <v>82</v>
      </c>
      <c r="Q229" t="s">
        <v>82</v>
      </c>
      <c r="R229" t="s">
        <v>83</v>
      </c>
      <c r="S229" s="1">
        <v>99316</v>
      </c>
      <c r="T229" s="1">
        <v>98999</v>
      </c>
      <c r="U229" s="1">
        <v>98999</v>
      </c>
      <c r="V229" t="s">
        <v>84</v>
      </c>
      <c r="W229" s="1">
        <v>100173</v>
      </c>
      <c r="X229" s="1">
        <v>100173</v>
      </c>
      <c r="Y229" s="1">
        <v>100173</v>
      </c>
      <c r="Z229" t="s">
        <v>85</v>
      </c>
      <c r="AA229" t="s">
        <v>85</v>
      </c>
      <c r="AB229" s="2">
        <v>-5.0000000000000001E-4</v>
      </c>
      <c r="AC229" s="2">
        <v>-1E-4</v>
      </c>
      <c r="AD229" s="2">
        <v>4.0000000000000001E-3</v>
      </c>
      <c r="AE229" s="2">
        <v>3.2000000000000002E-3</v>
      </c>
      <c r="AF229" s="2">
        <v>1.1000000000000001E-3</v>
      </c>
      <c r="AG229" s="2">
        <v>1.1000000000000001E-3</v>
      </c>
      <c r="AH229" t="s">
        <v>34</v>
      </c>
      <c r="AI229" t="s">
        <v>36</v>
      </c>
      <c r="AJ229" t="s">
        <v>38</v>
      </c>
      <c r="AK229" t="s">
        <v>40</v>
      </c>
      <c r="AL229">
        <v>0</v>
      </c>
      <c r="AM229" t="s">
        <v>41</v>
      </c>
      <c r="AN229" t="s">
        <v>42</v>
      </c>
      <c r="AO229" t="s">
        <v>81</v>
      </c>
      <c r="AP229" t="s">
        <v>86</v>
      </c>
      <c r="AQ229" t="s">
        <v>86</v>
      </c>
      <c r="AR229" t="s">
        <v>48</v>
      </c>
      <c r="AS229" t="s">
        <v>48</v>
      </c>
      <c r="AT229" t="s">
        <v>87</v>
      </c>
      <c r="AU229" t="s">
        <v>88</v>
      </c>
      <c r="AZ229">
        <v>0</v>
      </c>
      <c r="BA229" t="s">
        <v>59</v>
      </c>
      <c r="BB229" t="s">
        <v>61</v>
      </c>
      <c r="BC229" t="s">
        <v>89</v>
      </c>
    </row>
    <row r="230" spans="1:55" x14ac:dyDescent="0.4">
      <c r="A230" t="s">
        <v>9</v>
      </c>
      <c r="B230" t="s">
        <v>10</v>
      </c>
      <c r="C230" t="s">
        <v>90</v>
      </c>
      <c r="D230" t="s">
        <v>11</v>
      </c>
      <c r="E230" s="2">
        <v>-2.0000000000000001E-4</v>
      </c>
      <c r="F230" t="s">
        <v>12</v>
      </c>
      <c r="G230" s="4">
        <f>-0.02 / -0.02%</f>
        <v>100</v>
      </c>
      <c r="H230" t="s">
        <v>90</v>
      </c>
      <c r="I230" t="s">
        <v>91</v>
      </c>
      <c r="J230" t="s">
        <v>92</v>
      </c>
      <c r="K230" t="s">
        <v>23</v>
      </c>
      <c r="L230" s="2">
        <v>3.1E-2</v>
      </c>
      <c r="M230" t="s">
        <v>93</v>
      </c>
      <c r="N230" t="s">
        <v>28</v>
      </c>
      <c r="O230" t="s">
        <v>94</v>
      </c>
      <c r="P230" t="s">
        <v>95</v>
      </c>
      <c r="Q230" t="s">
        <v>95</v>
      </c>
      <c r="R230" t="s">
        <v>96</v>
      </c>
      <c r="S230" s="1">
        <v>99695</v>
      </c>
      <c r="T230" t="s">
        <v>97</v>
      </c>
      <c r="U230" t="s">
        <v>97</v>
      </c>
      <c r="V230" s="1">
        <v>100555</v>
      </c>
      <c r="W230" t="s">
        <v>98</v>
      </c>
      <c r="X230" s="1">
        <v>100625</v>
      </c>
      <c r="Y230" s="1">
        <v>100728</v>
      </c>
      <c r="Z230" t="s">
        <v>99</v>
      </c>
      <c r="AA230" t="s">
        <v>99</v>
      </c>
      <c r="AB230" s="2">
        <v>-1.6999999999999999E-3</v>
      </c>
      <c r="AC230" s="2">
        <v>-2E-3</v>
      </c>
      <c r="AD230" s="2">
        <v>2.7000000000000001E-3</v>
      </c>
      <c r="AE230" s="2">
        <v>-6.9999999999999999E-4</v>
      </c>
      <c r="AF230" s="2">
        <v>2.3999999999999998E-3</v>
      </c>
      <c r="AG230" s="2">
        <v>2.3999999999999998E-3</v>
      </c>
      <c r="AH230" t="s">
        <v>34</v>
      </c>
      <c r="AI230" t="s">
        <v>36</v>
      </c>
      <c r="AJ230" t="s">
        <v>38</v>
      </c>
      <c r="AK230" t="s">
        <v>40</v>
      </c>
      <c r="AL230">
        <v>0</v>
      </c>
      <c r="AM230" t="s">
        <v>41</v>
      </c>
      <c r="AN230" t="s">
        <v>42</v>
      </c>
      <c r="AO230" t="s">
        <v>94</v>
      </c>
      <c r="AP230" t="s">
        <v>100</v>
      </c>
      <c r="AQ230" t="s">
        <v>100</v>
      </c>
      <c r="AR230" t="s">
        <v>48</v>
      </c>
      <c r="AS230" t="s">
        <v>48</v>
      </c>
      <c r="AT230" t="s">
        <v>101</v>
      </c>
      <c r="AU230" t="s">
        <v>102</v>
      </c>
      <c r="AZ230">
        <v>0</v>
      </c>
      <c r="BA230" t="s">
        <v>59</v>
      </c>
      <c r="BB230" t="s">
        <v>61</v>
      </c>
      <c r="BC230" t="s">
        <v>103</v>
      </c>
    </row>
    <row r="231" spans="1:55" x14ac:dyDescent="0.4">
      <c r="A231" t="s">
        <v>9</v>
      </c>
      <c r="B231" t="s">
        <v>10</v>
      </c>
      <c r="C231" t="s">
        <v>63</v>
      </c>
      <c r="D231" t="s">
        <v>11</v>
      </c>
      <c r="E231" s="2">
        <v>-2.0000000000000001E-4</v>
      </c>
      <c r="F231" t="s">
        <v>12</v>
      </c>
      <c r="G231" s="4">
        <f>-0.02 / -0.02%</f>
        <v>100</v>
      </c>
      <c r="H231" t="s">
        <v>63</v>
      </c>
      <c r="I231" t="s">
        <v>64</v>
      </c>
      <c r="J231" t="s">
        <v>65</v>
      </c>
      <c r="K231" t="s">
        <v>23</v>
      </c>
      <c r="L231" s="2">
        <v>3.1E-2</v>
      </c>
      <c r="M231" t="s">
        <v>66</v>
      </c>
      <c r="N231" t="s">
        <v>28</v>
      </c>
      <c r="O231" t="s">
        <v>67</v>
      </c>
      <c r="P231" t="s">
        <v>68</v>
      </c>
      <c r="Q231" t="s">
        <v>68</v>
      </c>
      <c r="R231" t="s">
        <v>69</v>
      </c>
      <c r="S231" t="s">
        <v>70</v>
      </c>
      <c r="T231" t="s">
        <v>70</v>
      </c>
      <c r="U231" t="s">
        <v>70</v>
      </c>
      <c r="V231" s="1">
        <v>100845</v>
      </c>
      <c r="W231" s="1">
        <v>100957</v>
      </c>
      <c r="X231" t="s">
        <v>71</v>
      </c>
      <c r="Y231" s="1">
        <v>101062</v>
      </c>
      <c r="Z231" s="1">
        <v>101363</v>
      </c>
      <c r="AA231" s="1">
        <v>101363</v>
      </c>
      <c r="AB231" s="2">
        <v>-2.5999999999999999E-3</v>
      </c>
      <c r="AC231" s="2">
        <v>-2.7000000000000001E-3</v>
      </c>
      <c r="AD231" s="2">
        <v>3.3E-3</v>
      </c>
      <c r="AE231" s="2">
        <v>-1.1999999999999999E-3</v>
      </c>
      <c r="AF231" s="2">
        <v>7.3000000000000001E-3</v>
      </c>
      <c r="AG231" s="2">
        <v>7.3000000000000001E-3</v>
      </c>
      <c r="AH231" t="s">
        <v>34</v>
      </c>
      <c r="AI231" t="s">
        <v>36</v>
      </c>
      <c r="AJ231" t="s">
        <v>38</v>
      </c>
      <c r="AK231" t="s">
        <v>40</v>
      </c>
      <c r="AL231">
        <v>0</v>
      </c>
      <c r="AM231" t="s">
        <v>41</v>
      </c>
      <c r="AN231" t="s">
        <v>42</v>
      </c>
      <c r="AO231" t="s">
        <v>67</v>
      </c>
      <c r="AP231" t="s">
        <v>72</v>
      </c>
      <c r="AQ231" t="s">
        <v>72</v>
      </c>
      <c r="AR231" t="s">
        <v>48</v>
      </c>
      <c r="AS231" t="s">
        <v>48</v>
      </c>
      <c r="AT231" t="s">
        <v>73</v>
      </c>
      <c r="AU231" t="s">
        <v>74</v>
      </c>
      <c r="AZ231">
        <v>0</v>
      </c>
      <c r="BA231" t="s">
        <v>59</v>
      </c>
      <c r="BB231" t="s">
        <v>61</v>
      </c>
      <c r="BC231" t="s">
        <v>75</v>
      </c>
    </row>
    <row r="232" spans="1:55" x14ac:dyDescent="0.4">
      <c r="A232" t="s">
        <v>138</v>
      </c>
      <c r="B232" t="s">
        <v>10</v>
      </c>
      <c r="C232" s="1">
        <v>96108</v>
      </c>
      <c r="D232" t="s">
        <v>11</v>
      </c>
      <c r="E232" s="2">
        <v>-5.7999999999999996E-3</v>
      </c>
      <c r="F232" t="s">
        <v>12</v>
      </c>
      <c r="G232" s="4">
        <f>-0.557 / -0.58%</f>
        <v>96.034482758620712</v>
      </c>
      <c r="H232" s="1">
        <v>96108</v>
      </c>
      <c r="I232" t="s">
        <v>4388</v>
      </c>
      <c r="J232" t="s">
        <v>4389</v>
      </c>
      <c r="K232" t="s">
        <v>23</v>
      </c>
      <c r="L232" s="2">
        <v>1.1800000000000001E-3</v>
      </c>
      <c r="M232" t="s">
        <v>4390</v>
      </c>
      <c r="N232" t="s">
        <v>28</v>
      </c>
      <c r="O232" t="s">
        <v>4391</v>
      </c>
      <c r="P232" s="1">
        <v>95761</v>
      </c>
      <c r="Q232" s="1">
        <v>95761</v>
      </c>
      <c r="R232" s="1">
        <v>95761</v>
      </c>
      <c r="S232" s="1">
        <v>95568</v>
      </c>
      <c r="T232" s="1">
        <v>94332</v>
      </c>
      <c r="U232" s="1">
        <v>94332</v>
      </c>
      <c r="V232" s="1">
        <v>97433</v>
      </c>
      <c r="W232" t="s">
        <v>2645</v>
      </c>
      <c r="X232" s="1">
        <v>99187</v>
      </c>
      <c r="Y232" t="s">
        <v>362</v>
      </c>
      <c r="Z232" t="s">
        <v>4392</v>
      </c>
      <c r="AA232" t="s">
        <v>4393</v>
      </c>
      <c r="AB232" s="2">
        <v>-8.8000000000000005E-3</v>
      </c>
      <c r="AC232" s="2">
        <v>-1.7399999999999999E-2</v>
      </c>
      <c r="AD232" s="2">
        <v>-1.01E-2</v>
      </c>
      <c r="AE232" s="2">
        <v>-1.84E-2</v>
      </c>
      <c r="AF232" s="2">
        <v>-3.85E-2</v>
      </c>
      <c r="AG232" s="2">
        <v>-0.22450000000000001</v>
      </c>
      <c r="AH232" t="s">
        <v>34</v>
      </c>
      <c r="AI232" t="s">
        <v>36</v>
      </c>
      <c r="AJ232" t="s">
        <v>38</v>
      </c>
      <c r="AK232" t="s">
        <v>40</v>
      </c>
      <c r="AL232">
        <v>0</v>
      </c>
      <c r="AM232" t="s">
        <v>41</v>
      </c>
      <c r="AN232" t="s">
        <v>42</v>
      </c>
      <c r="AO232" t="s">
        <v>4391</v>
      </c>
      <c r="AP232" t="s">
        <v>4394</v>
      </c>
      <c r="BA232" t="s">
        <v>136</v>
      </c>
      <c r="BB232" t="s">
        <v>61</v>
      </c>
    </row>
    <row r="233" spans="1:55" x14ac:dyDescent="0.4">
      <c r="A233" t="s">
        <v>138</v>
      </c>
      <c r="B233" t="s">
        <v>10</v>
      </c>
      <c r="C233" s="1">
        <v>47549</v>
      </c>
      <c r="D233" t="s">
        <v>11</v>
      </c>
      <c r="E233" s="2">
        <v>-4.4999999999999997E-3</v>
      </c>
      <c r="F233" t="s">
        <v>12</v>
      </c>
      <c r="G233" s="4">
        <f>-0.216 / -0.45%</f>
        <v>47.999999999999993</v>
      </c>
      <c r="H233" s="1">
        <v>47549</v>
      </c>
      <c r="I233" t="s">
        <v>3963</v>
      </c>
      <c r="J233" t="s">
        <v>3964</v>
      </c>
      <c r="K233" t="s">
        <v>23</v>
      </c>
      <c r="M233" t="s">
        <v>3965</v>
      </c>
      <c r="N233" t="s">
        <v>28</v>
      </c>
      <c r="O233" t="s">
        <v>3966</v>
      </c>
      <c r="P233" t="s">
        <v>3967</v>
      </c>
      <c r="Q233" t="s">
        <v>3967</v>
      </c>
      <c r="R233" t="s">
        <v>3967</v>
      </c>
      <c r="S233" s="1">
        <v>45964</v>
      </c>
      <c r="T233" s="1">
        <v>40403</v>
      </c>
      <c r="U233" s="1">
        <v>40403</v>
      </c>
      <c r="V233" t="s">
        <v>3968</v>
      </c>
      <c r="W233" s="1">
        <v>54475</v>
      </c>
      <c r="X233" s="1">
        <v>54475</v>
      </c>
      <c r="Y233" s="1">
        <v>54475</v>
      </c>
      <c r="Z233" s="1">
        <v>56941</v>
      </c>
      <c r="AA233" s="1">
        <v>96322</v>
      </c>
      <c r="AB233" s="2">
        <v>-5.8000000000000003E-2</v>
      </c>
      <c r="AC233" s="2">
        <v>-4.3400000000000001E-2</v>
      </c>
      <c r="AD233" s="2">
        <v>-1.67E-2</v>
      </c>
      <c r="AE233" s="2">
        <v>-0.04</v>
      </c>
      <c r="AF233" s="2">
        <v>-0.1371</v>
      </c>
      <c r="AG233" s="2">
        <v>-0.49349999999999999</v>
      </c>
      <c r="AH233" t="s">
        <v>34</v>
      </c>
      <c r="AI233" t="s">
        <v>36</v>
      </c>
      <c r="AJ233" t="s">
        <v>38</v>
      </c>
      <c r="AK233" t="s">
        <v>40</v>
      </c>
      <c r="AL233">
        <v>0</v>
      </c>
      <c r="AM233" t="s">
        <v>41</v>
      </c>
      <c r="AN233" t="s">
        <v>42</v>
      </c>
      <c r="AO233" t="s">
        <v>3966</v>
      </c>
      <c r="AP233" t="s">
        <v>3969</v>
      </c>
      <c r="AQ233" t="s">
        <v>3969</v>
      </c>
      <c r="AR233" t="s">
        <v>48</v>
      </c>
      <c r="AS233" t="s">
        <v>48</v>
      </c>
      <c r="AT233" t="s">
        <v>3970</v>
      </c>
    </row>
    <row r="234" spans="1:55" x14ac:dyDescent="0.4">
      <c r="A234" t="s">
        <v>76</v>
      </c>
      <c r="B234" t="s">
        <v>10</v>
      </c>
      <c r="C234" s="1">
        <v>96313</v>
      </c>
      <c r="D234" t="s">
        <v>11</v>
      </c>
      <c r="E234" s="2">
        <v>-5.0000000000000001E-4</v>
      </c>
      <c r="F234" t="s">
        <v>12</v>
      </c>
      <c r="G234" s="4">
        <f>-0.051 / -0.05%</f>
        <v>101.99999999999999</v>
      </c>
      <c r="H234" s="1">
        <v>96313</v>
      </c>
      <c r="I234" t="s">
        <v>2712</v>
      </c>
      <c r="J234" t="s">
        <v>2713</v>
      </c>
      <c r="K234" t="s">
        <v>23</v>
      </c>
      <c r="M234" t="s">
        <v>2714</v>
      </c>
      <c r="N234" t="s">
        <v>28</v>
      </c>
      <c r="O234" t="s">
        <v>254</v>
      </c>
      <c r="P234" t="s">
        <v>2715</v>
      </c>
      <c r="Q234" t="s">
        <v>2716</v>
      </c>
      <c r="R234" t="s">
        <v>1774</v>
      </c>
      <c r="S234" s="1">
        <v>93109</v>
      </c>
      <c r="T234" s="1">
        <v>89759</v>
      </c>
      <c r="U234" s="1">
        <v>89759</v>
      </c>
      <c r="V234" s="1">
        <v>96616</v>
      </c>
      <c r="W234" s="1">
        <v>96695</v>
      </c>
      <c r="X234" s="1">
        <v>96695</v>
      </c>
      <c r="Y234" s="1">
        <v>96695</v>
      </c>
      <c r="Z234" s="1">
        <v>96695</v>
      </c>
      <c r="AA234" s="1">
        <v>102273</v>
      </c>
      <c r="AB234" s="2">
        <v>-2.5999999999999999E-3</v>
      </c>
      <c r="AC234" s="2">
        <v>1.1999999999999999E-3</v>
      </c>
      <c r="AD234" s="2">
        <v>1.9099999999999999E-2</v>
      </c>
      <c r="AE234" s="2">
        <v>2.76E-2</v>
      </c>
      <c r="AF234" s="2">
        <v>4.65E-2</v>
      </c>
      <c r="AG234" s="2">
        <v>-5.5800000000000002E-2</v>
      </c>
      <c r="AH234" t="s">
        <v>34</v>
      </c>
      <c r="AI234" t="s">
        <v>36</v>
      </c>
      <c r="AJ234" t="s">
        <v>38</v>
      </c>
      <c r="AK234" t="s">
        <v>40</v>
      </c>
      <c r="AL234">
        <v>0</v>
      </c>
      <c r="AM234" t="s">
        <v>41</v>
      </c>
      <c r="AN234" t="s">
        <v>42</v>
      </c>
      <c r="AO234" t="s">
        <v>254</v>
      </c>
      <c r="AP234" t="s">
        <v>1740</v>
      </c>
      <c r="AQ234" t="s">
        <v>1740</v>
      </c>
      <c r="AR234" t="s">
        <v>48</v>
      </c>
      <c r="AS234" t="s">
        <v>48</v>
      </c>
      <c r="AT234" t="s">
        <v>2717</v>
      </c>
    </row>
    <row r="235" spans="1:55" x14ac:dyDescent="0.4">
      <c r="A235" t="s">
        <v>138</v>
      </c>
      <c r="B235" t="s">
        <v>10</v>
      </c>
      <c r="C235" s="1">
        <v>89055</v>
      </c>
      <c r="D235" t="s">
        <v>11</v>
      </c>
      <c r="E235" s="2">
        <v>-2.0999999999999999E-3</v>
      </c>
      <c r="F235" t="s">
        <v>12</v>
      </c>
      <c r="G235" s="4">
        <f>-0.185 / -0.21%</f>
        <v>88.095238095238102</v>
      </c>
      <c r="H235" s="1">
        <v>89055</v>
      </c>
      <c r="I235" t="s">
        <v>2583</v>
      </c>
      <c r="J235" t="s">
        <v>2584</v>
      </c>
      <c r="K235" t="s">
        <v>23</v>
      </c>
      <c r="M235" t="s">
        <v>1150</v>
      </c>
      <c r="N235" t="s">
        <v>28</v>
      </c>
      <c r="O235" t="s">
        <v>762</v>
      </c>
      <c r="P235" t="s">
        <v>2585</v>
      </c>
      <c r="Q235" t="s">
        <v>2585</v>
      </c>
      <c r="R235" t="s">
        <v>2586</v>
      </c>
      <c r="S235" t="s">
        <v>2587</v>
      </c>
      <c r="T235" s="1">
        <v>82751</v>
      </c>
      <c r="U235" s="1">
        <v>82751</v>
      </c>
      <c r="V235" t="s">
        <v>2588</v>
      </c>
      <c r="W235" t="s">
        <v>2589</v>
      </c>
      <c r="X235" t="s">
        <v>2589</v>
      </c>
      <c r="Y235" t="s">
        <v>2589</v>
      </c>
      <c r="Z235" t="s">
        <v>2589</v>
      </c>
      <c r="AA235" t="s">
        <v>748</v>
      </c>
      <c r="AB235" s="2">
        <v>-1.0999999999999999E-2</v>
      </c>
      <c r="AC235" s="2">
        <v>-1.06E-2</v>
      </c>
      <c r="AD235" s="2">
        <v>1.1299999999999999E-2</v>
      </c>
      <c r="AE235" s="2">
        <v>1.6400000000000001E-2</v>
      </c>
      <c r="AF235" s="2">
        <v>3.0200000000000001E-2</v>
      </c>
      <c r="AG235" s="2">
        <v>-0.1268</v>
      </c>
      <c r="AH235" t="s">
        <v>34</v>
      </c>
      <c r="AI235" t="s">
        <v>36</v>
      </c>
      <c r="AJ235" t="s">
        <v>38</v>
      </c>
      <c r="AK235" t="s">
        <v>40</v>
      </c>
      <c r="AL235">
        <v>0</v>
      </c>
      <c r="AM235" t="s">
        <v>41</v>
      </c>
      <c r="AN235" t="s">
        <v>42</v>
      </c>
      <c r="AO235" t="s">
        <v>762</v>
      </c>
      <c r="AP235" t="s">
        <v>929</v>
      </c>
      <c r="AQ235" t="s">
        <v>929</v>
      </c>
      <c r="AR235" t="s">
        <v>48</v>
      </c>
      <c r="AS235" t="s">
        <v>48</v>
      </c>
      <c r="AT235" t="s">
        <v>2590</v>
      </c>
    </row>
    <row r="236" spans="1:55" x14ac:dyDescent="0.4">
      <c r="A236" t="s">
        <v>9</v>
      </c>
      <c r="B236" t="s">
        <v>10</v>
      </c>
      <c r="C236" s="1">
        <v>98355</v>
      </c>
      <c r="D236" t="s">
        <v>11</v>
      </c>
      <c r="E236" s="2">
        <v>1E-4</v>
      </c>
      <c r="F236" t="s">
        <v>12</v>
      </c>
      <c r="G236" s="4" t="s">
        <v>420</v>
      </c>
      <c r="H236" s="1">
        <v>98355</v>
      </c>
      <c r="I236" t="s">
        <v>421</v>
      </c>
      <c r="J236" t="s">
        <v>422</v>
      </c>
      <c r="K236" t="s">
        <v>23</v>
      </c>
      <c r="M236" t="s">
        <v>423</v>
      </c>
      <c r="N236" t="s">
        <v>28</v>
      </c>
      <c r="O236" t="s">
        <v>424</v>
      </c>
      <c r="P236" t="s">
        <v>425</v>
      </c>
      <c r="Q236" t="s">
        <v>426</v>
      </c>
      <c r="R236" t="s">
        <v>427</v>
      </c>
      <c r="S236" s="1">
        <v>95227</v>
      </c>
      <c r="T236" t="s">
        <v>428</v>
      </c>
      <c r="U236" t="s">
        <v>428</v>
      </c>
      <c r="V236" s="1">
        <v>98397</v>
      </c>
      <c r="W236" s="1">
        <v>98397</v>
      </c>
      <c r="X236" s="1">
        <v>98397</v>
      </c>
      <c r="Y236" s="1">
        <v>98397</v>
      </c>
      <c r="Z236" s="1">
        <v>98397</v>
      </c>
      <c r="AA236" t="s">
        <v>429</v>
      </c>
      <c r="AB236" s="2">
        <v>4.0000000000000002E-4</v>
      </c>
      <c r="AC236" s="2">
        <v>5.1999999999999998E-3</v>
      </c>
      <c r="AD236" s="2">
        <v>1.84E-2</v>
      </c>
      <c r="AE236" s="2">
        <v>2.9700000000000001E-2</v>
      </c>
      <c r="AF236" s="2">
        <v>4.7800000000000002E-2</v>
      </c>
      <c r="AG236" s="2">
        <v>-3.5400000000000001E-2</v>
      </c>
      <c r="AH236" t="s">
        <v>34</v>
      </c>
      <c r="AI236" t="s">
        <v>36</v>
      </c>
      <c r="AJ236" t="s">
        <v>38</v>
      </c>
      <c r="AK236" t="s">
        <v>40</v>
      </c>
      <c r="AL236">
        <v>0</v>
      </c>
      <c r="AM236" t="s">
        <v>41</v>
      </c>
      <c r="AN236" t="s">
        <v>42</v>
      </c>
      <c r="AO236" t="s">
        <v>424</v>
      </c>
      <c r="AP236" t="s">
        <v>430</v>
      </c>
      <c r="AQ236" t="s">
        <v>430</v>
      </c>
      <c r="AR236" t="s">
        <v>48</v>
      </c>
      <c r="AS236" t="s">
        <v>48</v>
      </c>
      <c r="AT236" t="s">
        <v>431</v>
      </c>
    </row>
    <row r="237" spans="1:55" x14ac:dyDescent="0.4">
      <c r="A237" t="s">
        <v>138</v>
      </c>
      <c r="B237" t="s">
        <v>10</v>
      </c>
      <c r="C237" s="1">
        <v>90203</v>
      </c>
      <c r="D237" t="s">
        <v>11</v>
      </c>
      <c r="E237" s="2">
        <v>-2E-3</v>
      </c>
      <c r="F237" t="s">
        <v>12</v>
      </c>
      <c r="G237" s="4">
        <f>-0.182 / -0.2%</f>
        <v>91</v>
      </c>
      <c r="H237" s="1">
        <v>90203</v>
      </c>
      <c r="I237" t="s">
        <v>6490</v>
      </c>
      <c r="J237" t="s">
        <v>6491</v>
      </c>
      <c r="K237" t="s">
        <v>23</v>
      </c>
      <c r="M237" t="s">
        <v>1151</v>
      </c>
      <c r="N237" t="s">
        <v>28</v>
      </c>
      <c r="O237" t="s">
        <v>6492</v>
      </c>
      <c r="P237" s="1">
        <v>89975</v>
      </c>
      <c r="Q237" t="s">
        <v>5651</v>
      </c>
      <c r="R237" s="1">
        <v>88924</v>
      </c>
      <c r="S237" t="s">
        <v>6493</v>
      </c>
      <c r="T237" s="1">
        <v>83779</v>
      </c>
      <c r="U237" s="1">
        <v>83779</v>
      </c>
      <c r="V237" t="s">
        <v>6494</v>
      </c>
      <c r="W237" s="1">
        <v>92043</v>
      </c>
      <c r="X237" s="1">
        <v>92043</v>
      </c>
      <c r="Y237" s="1">
        <v>92043</v>
      </c>
      <c r="Z237" s="1">
        <v>92043</v>
      </c>
      <c r="AA237" s="1">
        <v>102119</v>
      </c>
      <c r="AB237" s="2">
        <v>-9.7000000000000003E-3</v>
      </c>
      <c r="AC237" s="2">
        <v>-8.3999999999999995E-3</v>
      </c>
      <c r="AD237" s="2">
        <v>1.2999999999999999E-2</v>
      </c>
      <c r="AE237" s="2">
        <v>1.8200000000000001E-2</v>
      </c>
      <c r="AF237" s="2">
        <v>3.4200000000000001E-2</v>
      </c>
      <c r="AG237" s="2">
        <v>-0.1164</v>
      </c>
      <c r="AH237" t="s">
        <v>34</v>
      </c>
      <c r="AI237" t="s">
        <v>36</v>
      </c>
      <c r="AJ237" t="s">
        <v>38</v>
      </c>
      <c r="AK237" t="s">
        <v>40</v>
      </c>
      <c r="AL237">
        <v>0</v>
      </c>
      <c r="AM237" t="s">
        <v>41</v>
      </c>
      <c r="AN237" t="s">
        <v>42</v>
      </c>
      <c r="AO237" t="s">
        <v>6492</v>
      </c>
      <c r="AP237" t="s">
        <v>822</v>
      </c>
      <c r="AQ237" t="s">
        <v>822</v>
      </c>
      <c r="AR237" t="s">
        <v>48</v>
      </c>
      <c r="AS237" t="s">
        <v>48</v>
      </c>
      <c r="AT237" t="s">
        <v>6495</v>
      </c>
    </row>
    <row r="238" spans="1:55" x14ac:dyDescent="0.4">
      <c r="A238" t="s">
        <v>923</v>
      </c>
      <c r="B238" t="s">
        <v>10</v>
      </c>
      <c r="C238" s="1">
        <v>97375</v>
      </c>
      <c r="D238" t="s">
        <v>11</v>
      </c>
      <c r="E238" s="2">
        <v>-2.9999999999999997E-4</v>
      </c>
      <c r="F238" t="s">
        <v>12</v>
      </c>
      <c r="G238" s="4">
        <f>-0.034 / -0.03%</f>
        <v>113.33333333333336</v>
      </c>
      <c r="H238" s="1">
        <v>97375</v>
      </c>
      <c r="I238" t="s">
        <v>924</v>
      </c>
      <c r="J238" t="s">
        <v>925</v>
      </c>
      <c r="K238" t="s">
        <v>23</v>
      </c>
      <c r="M238" t="s">
        <v>926</v>
      </c>
      <c r="N238" t="s">
        <v>28</v>
      </c>
      <c r="O238" t="s">
        <v>229</v>
      </c>
      <c r="P238" s="1">
        <v>97275</v>
      </c>
      <c r="Q238" t="s">
        <v>387</v>
      </c>
      <c r="R238" t="s">
        <v>927</v>
      </c>
      <c r="S238" s="1">
        <v>94148</v>
      </c>
      <c r="T238" s="1">
        <v>90989</v>
      </c>
      <c r="U238" s="1">
        <v>90989</v>
      </c>
      <c r="V238" t="s">
        <v>928</v>
      </c>
      <c r="W238" t="s">
        <v>928</v>
      </c>
      <c r="X238" t="s">
        <v>928</v>
      </c>
      <c r="Y238" t="s">
        <v>928</v>
      </c>
      <c r="Z238" t="s">
        <v>928</v>
      </c>
      <c r="AA238" s="1">
        <v>102181</v>
      </c>
      <c r="AB238" s="2">
        <v>-8.9999999999999998E-4</v>
      </c>
      <c r="AC238" s="2">
        <v>3.7000000000000002E-3</v>
      </c>
      <c r="AD238" s="2">
        <v>1.9099999999999999E-2</v>
      </c>
      <c r="AE238" s="2">
        <v>2.8799999999999999E-2</v>
      </c>
      <c r="AF238" s="2">
        <v>4.6899999999999997E-2</v>
      </c>
      <c r="AG238" s="2">
        <v>-4.5400000000000003E-2</v>
      </c>
      <c r="AH238" t="s">
        <v>34</v>
      </c>
      <c r="AI238" t="s">
        <v>36</v>
      </c>
      <c r="AJ238" t="s">
        <v>38</v>
      </c>
      <c r="AK238" t="s">
        <v>40</v>
      </c>
      <c r="AL238">
        <v>0</v>
      </c>
      <c r="AM238" t="s">
        <v>41</v>
      </c>
      <c r="AN238" t="s">
        <v>42</v>
      </c>
      <c r="AO238" t="s">
        <v>229</v>
      </c>
      <c r="AP238" t="s">
        <v>929</v>
      </c>
      <c r="AQ238" t="s">
        <v>929</v>
      </c>
      <c r="AR238" t="s">
        <v>48</v>
      </c>
      <c r="AS238" t="s">
        <v>48</v>
      </c>
      <c r="AT238" t="s">
        <v>930</v>
      </c>
    </row>
    <row r="239" spans="1:55" x14ac:dyDescent="0.4">
      <c r="A239" t="s">
        <v>76</v>
      </c>
      <c r="B239" t="s">
        <v>10</v>
      </c>
      <c r="C239" s="1">
        <v>96634</v>
      </c>
      <c r="D239" t="s">
        <v>11</v>
      </c>
      <c r="E239" s="2">
        <v>-4.0000000000000002E-4</v>
      </c>
      <c r="F239" t="s">
        <v>12</v>
      </c>
      <c r="G239" s="4">
        <f>-0.04 / -0.04%</f>
        <v>100</v>
      </c>
      <c r="H239" s="1">
        <v>96634</v>
      </c>
      <c r="I239" t="s">
        <v>7051</v>
      </c>
      <c r="J239" t="s">
        <v>7052</v>
      </c>
      <c r="K239" t="s">
        <v>23</v>
      </c>
      <c r="M239" t="s">
        <v>943</v>
      </c>
      <c r="N239" t="s">
        <v>28</v>
      </c>
      <c r="O239" t="s">
        <v>7053</v>
      </c>
      <c r="P239" s="1">
        <v>96545</v>
      </c>
      <c r="Q239" t="s">
        <v>1253</v>
      </c>
      <c r="R239" t="s">
        <v>667</v>
      </c>
      <c r="S239" s="1">
        <v>93435</v>
      </c>
      <c r="T239" s="1">
        <v>90172</v>
      </c>
      <c r="U239" s="1">
        <v>90172</v>
      </c>
      <c r="V239" s="1">
        <v>96927</v>
      </c>
      <c r="W239" t="s">
        <v>1074</v>
      </c>
      <c r="X239" t="s">
        <v>1074</v>
      </c>
      <c r="Y239" t="s">
        <v>1074</v>
      </c>
      <c r="Z239" t="s">
        <v>1074</v>
      </c>
      <c r="AA239" s="1">
        <v>102255</v>
      </c>
      <c r="AB239" s="2">
        <v>-2.0999999999999999E-3</v>
      </c>
      <c r="AC239" s="2">
        <v>1.5E-3</v>
      </c>
      <c r="AD239" s="2">
        <v>1.8800000000000001E-2</v>
      </c>
      <c r="AE239" s="2">
        <v>2.75E-2</v>
      </c>
      <c r="AF239" s="2">
        <v>4.53E-2</v>
      </c>
      <c r="AG239" s="2">
        <v>-5.3400000000000003E-2</v>
      </c>
      <c r="AH239" t="s">
        <v>34</v>
      </c>
      <c r="AI239" t="s">
        <v>36</v>
      </c>
      <c r="AJ239" t="s">
        <v>38</v>
      </c>
      <c r="AK239" t="s">
        <v>40</v>
      </c>
      <c r="AL239">
        <v>0</v>
      </c>
      <c r="AM239" t="s">
        <v>41</v>
      </c>
      <c r="AN239" t="s">
        <v>42</v>
      </c>
      <c r="AO239" t="s">
        <v>7053</v>
      </c>
      <c r="AP239" t="s">
        <v>6489</v>
      </c>
      <c r="AQ239" t="s">
        <v>6489</v>
      </c>
      <c r="AR239" t="s">
        <v>48</v>
      </c>
      <c r="AS239" t="s">
        <v>48</v>
      </c>
      <c r="AT239" t="s">
        <v>2763</v>
      </c>
    </row>
    <row r="240" spans="1:55" x14ac:dyDescent="0.4">
      <c r="A240" t="s">
        <v>138</v>
      </c>
      <c r="B240" t="s">
        <v>10</v>
      </c>
      <c r="C240" t="s">
        <v>2841</v>
      </c>
      <c r="D240" t="s">
        <v>11</v>
      </c>
      <c r="E240" s="2">
        <v>-2.2000000000000001E-3</v>
      </c>
      <c r="F240" t="s">
        <v>12</v>
      </c>
      <c r="G240" s="4">
        <f>-0.19 / -0.22%</f>
        <v>86.36363636363636</v>
      </c>
      <c r="H240" t="s">
        <v>2841</v>
      </c>
      <c r="I240" t="s">
        <v>4365</v>
      </c>
      <c r="J240" t="s">
        <v>4366</v>
      </c>
      <c r="K240" t="s">
        <v>23</v>
      </c>
      <c r="M240" t="s">
        <v>3966</v>
      </c>
      <c r="N240" t="s">
        <v>28</v>
      </c>
      <c r="O240" t="s">
        <v>933</v>
      </c>
      <c r="P240" s="1">
        <v>87695</v>
      </c>
      <c r="Q240" s="1">
        <v>87695</v>
      </c>
      <c r="R240" s="1">
        <v>87025</v>
      </c>
      <c r="S240" t="s">
        <v>4367</v>
      </c>
      <c r="T240" s="1">
        <v>81734</v>
      </c>
      <c r="U240" s="1">
        <v>81734</v>
      </c>
      <c r="V240" s="1">
        <v>89315</v>
      </c>
      <c r="W240" s="1">
        <v>90363</v>
      </c>
      <c r="X240" s="1">
        <v>90363</v>
      </c>
      <c r="Y240" s="1">
        <v>90363</v>
      </c>
      <c r="Z240" s="1">
        <v>90363</v>
      </c>
      <c r="AA240" s="1">
        <v>101908</v>
      </c>
      <c r="AB240" s="2">
        <v>-1.2200000000000001E-2</v>
      </c>
      <c r="AC240" s="2">
        <v>-1.18E-2</v>
      </c>
      <c r="AD240" s="2">
        <v>1.0500000000000001E-2</v>
      </c>
      <c r="AE240" s="2">
        <v>1.5599999999999999E-2</v>
      </c>
      <c r="AF240" s="2">
        <v>2.8799999999999999E-2</v>
      </c>
      <c r="AG240" s="2">
        <v>-0.1356</v>
      </c>
      <c r="AH240" t="s">
        <v>34</v>
      </c>
      <c r="AI240" t="s">
        <v>36</v>
      </c>
      <c r="AJ240" t="s">
        <v>38</v>
      </c>
      <c r="AK240" t="s">
        <v>40</v>
      </c>
      <c r="AL240">
        <v>0</v>
      </c>
      <c r="AM240" t="s">
        <v>41</v>
      </c>
      <c r="AN240" t="s">
        <v>42</v>
      </c>
      <c r="AO240" t="s">
        <v>933</v>
      </c>
      <c r="AP240" t="s">
        <v>3969</v>
      </c>
      <c r="AQ240" t="s">
        <v>3969</v>
      </c>
      <c r="AR240" t="s">
        <v>48</v>
      </c>
      <c r="AS240" t="s">
        <v>48</v>
      </c>
      <c r="AT240" t="s">
        <v>782</v>
      </c>
    </row>
    <row r="241" spans="1:46" x14ac:dyDescent="0.4">
      <c r="A241" t="s">
        <v>138</v>
      </c>
      <c r="B241" t="s">
        <v>10</v>
      </c>
      <c r="C241" t="s">
        <v>3318</v>
      </c>
      <c r="D241" t="s">
        <v>11</v>
      </c>
      <c r="E241" s="2">
        <v>-3.8999999999999998E-3</v>
      </c>
      <c r="F241" t="s">
        <v>12</v>
      </c>
      <c r="G241" s="4">
        <f>-0.195 / -0.39%</f>
        <v>50</v>
      </c>
      <c r="H241" t="s">
        <v>3318</v>
      </c>
      <c r="I241" t="s">
        <v>3319</v>
      </c>
      <c r="J241" t="s">
        <v>3320</v>
      </c>
      <c r="K241" t="s">
        <v>23</v>
      </c>
      <c r="M241" t="s">
        <v>1151</v>
      </c>
      <c r="N241" t="s">
        <v>28</v>
      </c>
      <c r="O241" t="s">
        <v>1004</v>
      </c>
      <c r="P241" t="s">
        <v>3321</v>
      </c>
      <c r="Q241" t="s">
        <v>3321</v>
      </c>
      <c r="R241" t="s">
        <v>3321</v>
      </c>
      <c r="S241" s="1">
        <v>48369</v>
      </c>
      <c r="T241" s="1">
        <v>43169</v>
      </c>
      <c r="U241" s="1">
        <v>43169</v>
      </c>
      <c r="V241" s="1">
        <v>52987</v>
      </c>
      <c r="W241" s="1">
        <v>56849</v>
      </c>
      <c r="X241" s="1">
        <v>56849</v>
      </c>
      <c r="Y241" s="1">
        <v>56849</v>
      </c>
      <c r="Z241" s="1">
        <v>58695</v>
      </c>
      <c r="AA241" s="1">
        <v>97456</v>
      </c>
      <c r="AB241" s="2">
        <v>-5.5199999999999999E-2</v>
      </c>
      <c r="AC241" s="2">
        <v>-4.1099999999999998E-2</v>
      </c>
      <c r="AD241" s="2">
        <v>-1.6199999999999999E-2</v>
      </c>
      <c r="AE241" s="2">
        <v>-3.6499999999999998E-2</v>
      </c>
      <c r="AF241" s="2">
        <v>-0.1244</v>
      </c>
      <c r="AG241" s="2">
        <v>-0.47320000000000001</v>
      </c>
      <c r="AH241" t="s">
        <v>34</v>
      </c>
      <c r="AI241" t="s">
        <v>36</v>
      </c>
      <c r="AJ241" t="s">
        <v>38</v>
      </c>
      <c r="AK241" t="s">
        <v>40</v>
      </c>
      <c r="AL241">
        <v>0</v>
      </c>
      <c r="AM241" t="s">
        <v>41</v>
      </c>
      <c r="AN241" t="s">
        <v>42</v>
      </c>
      <c r="AO241" t="s">
        <v>1004</v>
      </c>
      <c r="AP241" t="s">
        <v>3322</v>
      </c>
      <c r="AQ241" t="s">
        <v>3322</v>
      </c>
      <c r="AR241" t="s">
        <v>48</v>
      </c>
      <c r="AS241" t="s">
        <v>48</v>
      </c>
      <c r="AT241" t="s">
        <v>3323</v>
      </c>
    </row>
    <row r="242" spans="1:46" x14ac:dyDescent="0.4">
      <c r="A242" t="s">
        <v>138</v>
      </c>
      <c r="B242" t="s">
        <v>10</v>
      </c>
      <c r="C242" s="1">
        <v>91881</v>
      </c>
      <c r="D242" t="s">
        <v>11</v>
      </c>
      <c r="E242" s="2">
        <v>-1.6999999999999999E-3</v>
      </c>
      <c r="F242" t="s">
        <v>12</v>
      </c>
      <c r="G242" s="4">
        <f>-0.159 / -0.17%</f>
        <v>93.529411764705884</v>
      </c>
      <c r="H242" s="1">
        <v>91881</v>
      </c>
      <c r="I242" t="s">
        <v>3862</v>
      </c>
      <c r="J242" t="s">
        <v>3863</v>
      </c>
      <c r="K242" t="s">
        <v>23</v>
      </c>
      <c r="M242" t="s">
        <v>1921</v>
      </c>
      <c r="N242" t="s">
        <v>28</v>
      </c>
      <c r="O242" t="s">
        <v>3154</v>
      </c>
      <c r="P242" s="1">
        <v>91683</v>
      </c>
      <c r="Q242" s="1">
        <v>91549</v>
      </c>
      <c r="R242" s="1">
        <v>90377</v>
      </c>
      <c r="S242" s="1">
        <v>88756</v>
      </c>
      <c r="T242" s="1">
        <v>85265</v>
      </c>
      <c r="U242" s="1">
        <v>85265</v>
      </c>
      <c r="V242" s="1">
        <v>92708</v>
      </c>
      <c r="W242" s="1">
        <v>93258</v>
      </c>
      <c r="X242" s="1">
        <v>93258</v>
      </c>
      <c r="Y242" s="1">
        <v>93258</v>
      </c>
      <c r="Z242" s="1">
        <v>93258</v>
      </c>
      <c r="AA242" s="1">
        <v>102157</v>
      </c>
      <c r="AB242" s="2">
        <v>-7.1000000000000004E-3</v>
      </c>
      <c r="AC242" s="2">
        <v>-6.6E-3</v>
      </c>
      <c r="AD242" s="2">
        <v>1.4999999999999999E-2</v>
      </c>
      <c r="AE242" s="2">
        <v>2.0899999999999998E-2</v>
      </c>
      <c r="AF242" s="2">
        <v>3.8199999999999998E-2</v>
      </c>
      <c r="AG242" s="2">
        <v>-0.10009999999999999</v>
      </c>
      <c r="AH242" t="s">
        <v>34</v>
      </c>
      <c r="AI242" t="s">
        <v>36</v>
      </c>
      <c r="AJ242" t="s">
        <v>38</v>
      </c>
      <c r="AK242" t="s">
        <v>40</v>
      </c>
      <c r="AL242">
        <v>0</v>
      </c>
      <c r="AM242" t="s">
        <v>41</v>
      </c>
      <c r="AN242" t="s">
        <v>42</v>
      </c>
      <c r="AO242" t="s">
        <v>3154</v>
      </c>
      <c r="AP242" t="s">
        <v>3864</v>
      </c>
      <c r="AQ242" t="s">
        <v>3864</v>
      </c>
      <c r="AR242" t="s">
        <v>48</v>
      </c>
      <c r="AS242" t="s">
        <v>48</v>
      </c>
      <c r="AT242" t="s">
        <v>3865</v>
      </c>
    </row>
    <row r="243" spans="1:46" x14ac:dyDescent="0.4">
      <c r="A243" t="s">
        <v>104</v>
      </c>
      <c r="B243" t="s">
        <v>10</v>
      </c>
      <c r="C243" t="s">
        <v>241</v>
      </c>
      <c r="D243" t="s">
        <v>11</v>
      </c>
      <c r="E243" s="2">
        <v>-1E-4</v>
      </c>
      <c r="F243" t="s">
        <v>12</v>
      </c>
      <c r="G243" s="4">
        <f>-0.005 / -0.01%</f>
        <v>50</v>
      </c>
      <c r="H243" t="s">
        <v>241</v>
      </c>
      <c r="I243" t="s">
        <v>242</v>
      </c>
      <c r="J243" t="s">
        <v>243</v>
      </c>
      <c r="K243" t="s">
        <v>23</v>
      </c>
      <c r="L243" s="2">
        <v>0.01</v>
      </c>
      <c r="M243" t="s">
        <v>244</v>
      </c>
      <c r="N243" t="s">
        <v>28</v>
      </c>
      <c r="O243" t="s">
        <v>245</v>
      </c>
      <c r="P243" t="s">
        <v>246</v>
      </c>
      <c r="Q243" s="1">
        <v>98805</v>
      </c>
      <c r="R243" s="1">
        <v>97915</v>
      </c>
      <c r="S243" s="1">
        <v>96878</v>
      </c>
      <c r="T243" s="1">
        <v>94818</v>
      </c>
      <c r="U243" s="1">
        <v>94818</v>
      </c>
      <c r="V243" t="s">
        <v>247</v>
      </c>
      <c r="W243" t="s">
        <v>247</v>
      </c>
      <c r="X243" t="s">
        <v>247</v>
      </c>
      <c r="Y243" t="s">
        <v>247</v>
      </c>
      <c r="Z243" t="s">
        <v>247</v>
      </c>
      <c r="AA243" t="s">
        <v>248</v>
      </c>
      <c r="AB243" s="2">
        <v>1E-4</v>
      </c>
      <c r="AC243" s="2">
        <v>3.2000000000000002E-3</v>
      </c>
      <c r="AD243" s="2">
        <v>1.29E-2</v>
      </c>
      <c r="AE243" s="2">
        <v>2.0199999999999999E-2</v>
      </c>
      <c r="AF243" s="2">
        <v>2.75E-2</v>
      </c>
      <c r="AG243" s="2">
        <v>-5.9799999999999999E-2</v>
      </c>
      <c r="AH243" t="s">
        <v>34</v>
      </c>
      <c r="AI243" t="s">
        <v>36</v>
      </c>
      <c r="AJ243" t="s">
        <v>38</v>
      </c>
      <c r="AK243" t="s">
        <v>40</v>
      </c>
      <c r="AL243">
        <v>0</v>
      </c>
      <c r="AM243" t="s">
        <v>41</v>
      </c>
      <c r="AN243" t="s">
        <v>42</v>
      </c>
      <c r="AO243" t="s">
        <v>245</v>
      </c>
      <c r="AP243" t="s">
        <v>45</v>
      </c>
      <c r="AQ243" t="s">
        <v>45</v>
      </c>
      <c r="AR243" t="s">
        <v>48</v>
      </c>
      <c r="AS243" t="s">
        <v>48</v>
      </c>
    </row>
    <row r="244" spans="1:46" x14ac:dyDescent="0.4">
      <c r="A244" t="s">
        <v>76</v>
      </c>
      <c r="B244" t="s">
        <v>10</v>
      </c>
      <c r="C244" s="1">
        <v>99479</v>
      </c>
      <c r="D244" t="s">
        <v>11</v>
      </c>
      <c r="E244" s="2">
        <v>-5.9999999999999995E-4</v>
      </c>
      <c r="F244" t="s">
        <v>12</v>
      </c>
      <c r="G244" s="4">
        <f>-0.061 / -0.06%</f>
        <v>101.66666666666667</v>
      </c>
      <c r="H244" s="1">
        <v>99479</v>
      </c>
      <c r="I244" t="s">
        <v>269</v>
      </c>
      <c r="J244" t="s">
        <v>270</v>
      </c>
      <c r="K244" t="s">
        <v>23</v>
      </c>
      <c r="L244" s="2">
        <v>0.02</v>
      </c>
      <c r="M244" t="s">
        <v>271</v>
      </c>
      <c r="N244" t="s">
        <v>28</v>
      </c>
      <c r="O244" t="s">
        <v>272</v>
      </c>
      <c r="P244" s="1">
        <v>99415</v>
      </c>
      <c r="Q244" s="1">
        <v>98935</v>
      </c>
      <c r="R244" s="1">
        <v>98935</v>
      </c>
      <c r="S244" s="1">
        <v>98935</v>
      </c>
      <c r="T244" s="1">
        <v>98935</v>
      </c>
      <c r="U244" s="1">
        <v>98935</v>
      </c>
      <c r="V244" s="1">
        <v>99938</v>
      </c>
      <c r="W244" t="s">
        <v>273</v>
      </c>
      <c r="X244" t="s">
        <v>273</v>
      </c>
      <c r="Y244" t="s">
        <v>273</v>
      </c>
      <c r="Z244" t="s">
        <v>273</v>
      </c>
      <c r="AA244" t="s">
        <v>273</v>
      </c>
      <c r="AB244" s="2">
        <v>-4.4999999999999997E-3</v>
      </c>
      <c r="AC244" s="2">
        <v>-4.1999999999999997E-3</v>
      </c>
      <c r="AD244" s="2">
        <v>-2E-3</v>
      </c>
      <c r="AE244" s="2">
        <v>-2E-3</v>
      </c>
      <c r="AF244" s="2">
        <v>-2E-3</v>
      </c>
      <c r="AG244" s="2">
        <v>-2E-3</v>
      </c>
      <c r="AH244" t="s">
        <v>34</v>
      </c>
      <c r="AI244" t="s">
        <v>36</v>
      </c>
      <c r="AJ244" t="s">
        <v>38</v>
      </c>
      <c r="AK244" t="s">
        <v>40</v>
      </c>
      <c r="AL244">
        <v>0</v>
      </c>
      <c r="AM244" t="s">
        <v>41</v>
      </c>
      <c r="AN244" t="s">
        <v>42</v>
      </c>
      <c r="AO244" t="s">
        <v>272</v>
      </c>
      <c r="AP244" t="s">
        <v>72</v>
      </c>
      <c r="AQ244" t="s">
        <v>72</v>
      </c>
      <c r="AR244" t="s">
        <v>48</v>
      </c>
      <c r="AS244" t="s">
        <v>48</v>
      </c>
    </row>
    <row r="245" spans="1:46" x14ac:dyDescent="0.4">
      <c r="A245" t="s">
        <v>76</v>
      </c>
      <c r="B245" t="s">
        <v>10</v>
      </c>
      <c r="C245" s="1">
        <v>100186</v>
      </c>
      <c r="D245" t="s">
        <v>11</v>
      </c>
      <c r="E245" s="2">
        <v>-2.9999999999999997E-4</v>
      </c>
      <c r="F245" t="s">
        <v>12</v>
      </c>
      <c r="G245" s="4">
        <f>-0.034 / -0.03%</f>
        <v>113.33333333333336</v>
      </c>
      <c r="H245" s="1">
        <v>100186</v>
      </c>
      <c r="I245" t="s">
        <v>275</v>
      </c>
      <c r="J245" t="s">
        <v>276</v>
      </c>
      <c r="K245" t="s">
        <v>23</v>
      </c>
      <c r="L245" s="2">
        <v>2.5000000000000001E-2</v>
      </c>
      <c r="M245" t="s">
        <v>277</v>
      </c>
      <c r="N245" t="s">
        <v>28</v>
      </c>
      <c r="O245" t="s">
        <v>278</v>
      </c>
      <c r="P245" s="1">
        <v>100165</v>
      </c>
      <c r="Q245" s="1">
        <v>100145</v>
      </c>
      <c r="R245" t="s">
        <v>279</v>
      </c>
      <c r="S245" t="s">
        <v>280</v>
      </c>
      <c r="T245" t="s">
        <v>280</v>
      </c>
      <c r="U245" t="s">
        <v>280</v>
      </c>
      <c r="V245" s="1">
        <v>100458</v>
      </c>
      <c r="W245" s="1">
        <v>100614</v>
      </c>
      <c r="X245" s="1">
        <v>100614</v>
      </c>
      <c r="Y245" s="1">
        <v>100614</v>
      </c>
      <c r="Z245" s="1">
        <v>100614</v>
      </c>
      <c r="AA245" s="1">
        <v>100614</v>
      </c>
      <c r="AB245" s="2">
        <v>-2.8E-3</v>
      </c>
      <c r="AC245" s="2">
        <v>-2.3E-3</v>
      </c>
      <c r="AD245" s="2">
        <v>6.6E-3</v>
      </c>
      <c r="AE245" s="2">
        <v>2.5999999999999999E-3</v>
      </c>
      <c r="AF245" s="2">
        <v>2.5999999999999999E-3</v>
      </c>
      <c r="AG245" s="2">
        <v>2.5999999999999999E-3</v>
      </c>
      <c r="AH245" t="s">
        <v>34</v>
      </c>
      <c r="AI245" t="s">
        <v>36</v>
      </c>
      <c r="AJ245" t="s">
        <v>38</v>
      </c>
      <c r="AK245" t="s">
        <v>40</v>
      </c>
      <c r="AL245">
        <v>0</v>
      </c>
      <c r="AM245" t="s">
        <v>41</v>
      </c>
      <c r="AN245" t="s">
        <v>42</v>
      </c>
      <c r="AO245" t="s">
        <v>278</v>
      </c>
      <c r="AP245" t="s">
        <v>72</v>
      </c>
      <c r="AQ245" t="s">
        <v>72</v>
      </c>
      <c r="AR245" t="s">
        <v>48</v>
      </c>
      <c r="AS245" t="s">
        <v>48</v>
      </c>
    </row>
    <row r="246" spans="1:46" x14ac:dyDescent="0.4">
      <c r="A246" t="s">
        <v>138</v>
      </c>
      <c r="B246" t="s">
        <v>10</v>
      </c>
      <c r="C246" s="1">
        <v>100445</v>
      </c>
      <c r="D246" t="s">
        <v>11</v>
      </c>
      <c r="E246" s="2">
        <v>-2.5999999999999999E-3</v>
      </c>
      <c r="F246" t="s">
        <v>12</v>
      </c>
      <c r="G246" s="4">
        <f>-0.26 / -0.26%</f>
        <v>100.00000000000001</v>
      </c>
      <c r="H246" s="1">
        <v>100445</v>
      </c>
      <c r="I246" t="s">
        <v>281</v>
      </c>
      <c r="J246" t="s">
        <v>282</v>
      </c>
      <c r="K246" t="s">
        <v>23</v>
      </c>
      <c r="L246" s="2">
        <v>2.5999999999999999E-2</v>
      </c>
      <c r="M246" t="s">
        <v>250</v>
      </c>
      <c r="N246" t="s">
        <v>28</v>
      </c>
      <c r="O246" t="s">
        <v>283</v>
      </c>
      <c r="P246" s="1">
        <v>99723</v>
      </c>
      <c r="Q246" s="1">
        <v>99723</v>
      </c>
      <c r="R246" s="1">
        <v>99723</v>
      </c>
      <c r="S246" t="s">
        <v>284</v>
      </c>
      <c r="T246" t="s">
        <v>284</v>
      </c>
      <c r="U246" t="s">
        <v>284</v>
      </c>
      <c r="V246" s="1">
        <v>102428</v>
      </c>
      <c r="W246" t="s">
        <v>285</v>
      </c>
      <c r="X246" s="1">
        <v>104952</v>
      </c>
      <c r="Y246" s="1">
        <v>104952</v>
      </c>
      <c r="Z246" s="1">
        <v>104952</v>
      </c>
      <c r="AA246" s="1">
        <v>104952</v>
      </c>
      <c r="AB246" s="2">
        <v>-1.84E-2</v>
      </c>
      <c r="AC246" s="2">
        <v>-2.4799999999999999E-2</v>
      </c>
      <c r="AD246" s="2">
        <v>-9.2999999999999992E-3</v>
      </c>
      <c r="AE246" s="2">
        <v>2.0999999999999999E-3</v>
      </c>
      <c r="AF246" s="2">
        <v>2.0999999999999999E-3</v>
      </c>
      <c r="AG246" s="2">
        <v>2.0999999999999999E-3</v>
      </c>
      <c r="AH246" t="s">
        <v>34</v>
      </c>
      <c r="AI246" t="s">
        <v>36</v>
      </c>
      <c r="AJ246" t="s">
        <v>38</v>
      </c>
      <c r="AK246" t="s">
        <v>40</v>
      </c>
      <c r="AL246">
        <v>0</v>
      </c>
      <c r="AM246" t="s">
        <v>41</v>
      </c>
      <c r="AN246" t="s">
        <v>42</v>
      </c>
      <c r="AO246" t="s">
        <v>283</v>
      </c>
      <c r="AP246" t="s">
        <v>286</v>
      </c>
      <c r="AQ246" t="s">
        <v>286</v>
      </c>
      <c r="AR246" t="s">
        <v>48</v>
      </c>
      <c r="AS246" t="s">
        <v>48</v>
      </c>
    </row>
    <row r="247" spans="1:46" x14ac:dyDescent="0.4">
      <c r="A247" t="s">
        <v>138</v>
      </c>
      <c r="B247" t="s">
        <v>10</v>
      </c>
      <c r="C247" s="1">
        <v>117793</v>
      </c>
      <c r="D247" t="s">
        <v>11</v>
      </c>
      <c r="E247" s="2">
        <v>-2.0999999999999999E-3</v>
      </c>
      <c r="F247" t="s">
        <v>12</v>
      </c>
      <c r="G247" s="4">
        <f>-0.242 / -0.21%</f>
        <v>115.23809523809524</v>
      </c>
      <c r="H247" s="1">
        <v>117793</v>
      </c>
      <c r="I247" t="s">
        <v>2791</v>
      </c>
      <c r="J247" t="s">
        <v>2792</v>
      </c>
      <c r="K247" t="s">
        <v>23</v>
      </c>
      <c r="L247" s="2">
        <v>6.25E-2</v>
      </c>
      <c r="M247" t="s">
        <v>2793</v>
      </c>
      <c r="N247" t="s">
        <v>28</v>
      </c>
      <c r="O247" t="s">
        <v>2794</v>
      </c>
      <c r="P247" s="1">
        <v>117548</v>
      </c>
      <c r="Q247" s="1">
        <v>117548</v>
      </c>
      <c r="R247" s="1">
        <v>117548</v>
      </c>
      <c r="S247" s="1">
        <v>117548</v>
      </c>
      <c r="T247" s="1">
        <v>117548</v>
      </c>
      <c r="U247" s="1">
        <v>117548</v>
      </c>
      <c r="V247" s="1">
        <v>119707</v>
      </c>
      <c r="W247" s="1">
        <v>120981</v>
      </c>
      <c r="X247" t="s">
        <v>2795</v>
      </c>
      <c r="Y247" s="1">
        <v>123302</v>
      </c>
      <c r="Z247" s="1">
        <v>127331</v>
      </c>
      <c r="AA247" s="1">
        <v>153202</v>
      </c>
      <c r="AB247" s="2">
        <v>-1.26E-2</v>
      </c>
      <c r="AC247" s="2">
        <v>-2.06E-2</v>
      </c>
      <c r="AD247" s="2">
        <v>-1.3299999999999999E-2</v>
      </c>
      <c r="AE247" s="2">
        <v>-3.7400000000000003E-2</v>
      </c>
      <c r="AF247" s="2">
        <v>-6.7699999999999996E-2</v>
      </c>
      <c r="AG247" s="2">
        <v>-0.2311</v>
      </c>
      <c r="AH247" t="s">
        <v>34</v>
      </c>
      <c r="AI247" t="s">
        <v>36</v>
      </c>
      <c r="AJ247" t="s">
        <v>38</v>
      </c>
      <c r="AK247" t="s">
        <v>40</v>
      </c>
      <c r="AL247">
        <v>0</v>
      </c>
      <c r="AM247" t="s">
        <v>41</v>
      </c>
      <c r="AN247" t="s">
        <v>42</v>
      </c>
      <c r="AO247" t="s">
        <v>2794</v>
      </c>
      <c r="AP247" t="s">
        <v>2796</v>
      </c>
      <c r="AQ247" t="s">
        <v>2796</v>
      </c>
      <c r="AR247" t="s">
        <v>48</v>
      </c>
      <c r="AS247" t="s">
        <v>48</v>
      </c>
    </row>
    <row r="248" spans="1:46" x14ac:dyDescent="0.4">
      <c r="A248" t="s">
        <v>3023</v>
      </c>
      <c r="B248" t="s">
        <v>10</v>
      </c>
      <c r="C248" s="1">
        <v>109412</v>
      </c>
      <c r="D248" t="s">
        <v>11</v>
      </c>
      <c r="E248" s="2">
        <v>-1.1000000000000001E-3</v>
      </c>
      <c r="F248" t="s">
        <v>12</v>
      </c>
      <c r="G248" s="4">
        <f>-0.123 / -0.11%</f>
        <v>111.81818181818181</v>
      </c>
      <c r="H248" s="1">
        <v>109412</v>
      </c>
      <c r="I248" t="s">
        <v>3024</v>
      </c>
      <c r="J248" t="s">
        <v>3025</v>
      </c>
      <c r="K248" t="s">
        <v>23</v>
      </c>
      <c r="L248" s="2">
        <v>5.6250000000000001E-2</v>
      </c>
      <c r="M248" t="s">
        <v>3026</v>
      </c>
      <c r="N248" t="s">
        <v>28</v>
      </c>
      <c r="O248" t="s">
        <v>1347</v>
      </c>
      <c r="P248" s="1">
        <v>109394</v>
      </c>
      <c r="Q248" s="1">
        <v>109394</v>
      </c>
      <c r="R248" s="1">
        <v>109394</v>
      </c>
      <c r="S248" s="1">
        <v>109345</v>
      </c>
      <c r="T248" s="1">
        <v>109345</v>
      </c>
      <c r="U248" s="1">
        <v>109345</v>
      </c>
      <c r="V248" s="1">
        <v>110495</v>
      </c>
      <c r="W248" s="1">
        <v>111358</v>
      </c>
      <c r="X248" s="1">
        <v>111872</v>
      </c>
      <c r="Y248" s="1">
        <v>113137</v>
      </c>
      <c r="Z248" s="1">
        <v>116813</v>
      </c>
      <c r="AA248" s="1">
        <v>136546</v>
      </c>
      <c r="AB248" s="2">
        <v>-1.06E-2</v>
      </c>
      <c r="AC248" s="2">
        <v>-1.5599999999999999E-2</v>
      </c>
      <c r="AD248" s="2">
        <v>-7.1000000000000004E-3</v>
      </c>
      <c r="AE248" s="2">
        <v>-2.9000000000000001E-2</v>
      </c>
      <c r="AF248" s="2">
        <v>-5.6300000000000003E-2</v>
      </c>
      <c r="AG248" s="2">
        <v>-0.1986</v>
      </c>
      <c r="AH248" t="s">
        <v>34</v>
      </c>
      <c r="AI248" t="s">
        <v>36</v>
      </c>
      <c r="AJ248" t="s">
        <v>38</v>
      </c>
      <c r="AK248" t="s">
        <v>40</v>
      </c>
      <c r="AL248">
        <v>0</v>
      </c>
      <c r="AM248" t="s">
        <v>41</v>
      </c>
      <c r="AN248" t="s">
        <v>42</v>
      </c>
      <c r="AO248" t="s">
        <v>1347</v>
      </c>
      <c r="AP248" t="s">
        <v>100</v>
      </c>
      <c r="AQ248" t="s">
        <v>100</v>
      </c>
      <c r="AR248" t="s">
        <v>48</v>
      </c>
      <c r="AS248" t="s">
        <v>48</v>
      </c>
    </row>
    <row r="249" spans="1:46" x14ac:dyDescent="0.4">
      <c r="A249" t="s">
        <v>76</v>
      </c>
      <c r="B249" t="s">
        <v>10</v>
      </c>
      <c r="C249" s="1">
        <v>100784</v>
      </c>
      <c r="D249" t="s">
        <v>11</v>
      </c>
      <c r="E249" s="2">
        <v>-4.0000000000000002E-4</v>
      </c>
      <c r="F249" t="s">
        <v>12</v>
      </c>
      <c r="G249" s="4">
        <f>-0.036 / -0.04%</f>
        <v>89.999999999999986</v>
      </c>
      <c r="H249" s="1">
        <v>100784</v>
      </c>
      <c r="I249" t="s">
        <v>586</v>
      </c>
      <c r="J249" t="s">
        <v>587</v>
      </c>
      <c r="K249" t="s">
        <v>23</v>
      </c>
      <c r="L249" s="2">
        <v>2.9000000000000001E-2</v>
      </c>
      <c r="M249" t="s">
        <v>588</v>
      </c>
      <c r="N249" t="s">
        <v>28</v>
      </c>
      <c r="O249" t="s">
        <v>589</v>
      </c>
      <c r="P249" t="s">
        <v>590</v>
      </c>
      <c r="Q249" t="s">
        <v>590</v>
      </c>
      <c r="R249" t="s">
        <v>591</v>
      </c>
      <c r="S249" t="s">
        <v>408</v>
      </c>
      <c r="T249" t="s">
        <v>408</v>
      </c>
      <c r="U249" t="s">
        <v>408</v>
      </c>
      <c r="V249" s="1">
        <v>101141</v>
      </c>
      <c r="W249" s="1">
        <v>101389</v>
      </c>
      <c r="X249" s="1">
        <v>101389</v>
      </c>
      <c r="Y249" s="1">
        <v>101389</v>
      </c>
      <c r="Z249" s="1">
        <v>101389</v>
      </c>
      <c r="AA249" s="1">
        <v>101389</v>
      </c>
      <c r="AB249" s="2">
        <v>-3.3999999999999998E-3</v>
      </c>
      <c r="AC249" s="2">
        <v>-4.3E-3</v>
      </c>
      <c r="AD249" s="2">
        <v>4.7000000000000002E-3</v>
      </c>
      <c r="AE249" s="2">
        <v>7.9000000000000008E-3</v>
      </c>
      <c r="AF249" s="2">
        <v>7.9000000000000008E-3</v>
      </c>
      <c r="AG249" s="2">
        <v>7.9000000000000008E-3</v>
      </c>
      <c r="AH249" t="s">
        <v>34</v>
      </c>
      <c r="AI249" t="s">
        <v>36</v>
      </c>
      <c r="AJ249" t="s">
        <v>38</v>
      </c>
      <c r="AK249" t="s">
        <v>40</v>
      </c>
      <c r="AL249">
        <v>0</v>
      </c>
      <c r="AM249" t="s">
        <v>41</v>
      </c>
      <c r="AN249" t="s">
        <v>42</v>
      </c>
      <c r="AO249" t="s">
        <v>589</v>
      </c>
      <c r="AP249" t="s">
        <v>72</v>
      </c>
      <c r="AQ249" t="s">
        <v>72</v>
      </c>
      <c r="AR249" t="s">
        <v>48</v>
      </c>
      <c r="AS249" t="s">
        <v>48</v>
      </c>
    </row>
    <row r="250" spans="1:46" x14ac:dyDescent="0.4">
      <c r="A250" t="s">
        <v>76</v>
      </c>
      <c r="B250" t="s">
        <v>10</v>
      </c>
      <c r="C250" s="1">
        <v>100629</v>
      </c>
      <c r="D250" t="s">
        <v>11</v>
      </c>
      <c r="E250" s="2">
        <v>-5.0000000000000001E-4</v>
      </c>
      <c r="F250" t="s">
        <v>12</v>
      </c>
      <c r="G250" s="4">
        <f>-0.051 / -0.05%</f>
        <v>101.99999999999999</v>
      </c>
      <c r="H250" s="1">
        <v>100629</v>
      </c>
      <c r="I250" t="s">
        <v>2559</v>
      </c>
      <c r="J250" t="s">
        <v>2560</v>
      </c>
      <c r="K250" t="s">
        <v>23</v>
      </c>
      <c r="L250" s="2">
        <v>2.7E-2</v>
      </c>
      <c r="M250" t="s">
        <v>2561</v>
      </c>
      <c r="N250" t="s">
        <v>28</v>
      </c>
      <c r="O250" t="s">
        <v>1393</v>
      </c>
      <c r="P250" s="1">
        <v>100585</v>
      </c>
      <c r="Q250" t="s">
        <v>273</v>
      </c>
      <c r="R250" t="s">
        <v>97</v>
      </c>
      <c r="S250" t="s">
        <v>97</v>
      </c>
      <c r="T250" t="s">
        <v>97</v>
      </c>
      <c r="U250" t="s">
        <v>97</v>
      </c>
      <c r="V250" s="1">
        <v>101073</v>
      </c>
      <c r="W250" s="1">
        <v>101335</v>
      </c>
      <c r="X250" s="1">
        <v>101335</v>
      </c>
      <c r="Y250" s="1">
        <v>101335</v>
      </c>
      <c r="Z250" s="1">
        <v>101335</v>
      </c>
      <c r="AA250" s="1">
        <v>101335</v>
      </c>
      <c r="AB250" s="2">
        <v>-4.3E-3</v>
      </c>
      <c r="AC250" s="2">
        <v>-5.0000000000000001E-3</v>
      </c>
      <c r="AD250" s="2">
        <v>5.7000000000000002E-3</v>
      </c>
      <c r="AE250" s="2">
        <v>7.1000000000000004E-3</v>
      </c>
      <c r="AF250" s="2">
        <v>7.1000000000000004E-3</v>
      </c>
      <c r="AG250" s="2">
        <v>7.1000000000000004E-3</v>
      </c>
      <c r="AH250" t="s">
        <v>34</v>
      </c>
      <c r="AI250" t="s">
        <v>36</v>
      </c>
      <c r="AJ250" t="s">
        <v>38</v>
      </c>
      <c r="AK250" t="s">
        <v>40</v>
      </c>
      <c r="AL250">
        <v>0</v>
      </c>
      <c r="AM250" t="s">
        <v>41</v>
      </c>
      <c r="AN250" t="s">
        <v>42</v>
      </c>
      <c r="AO250" t="s">
        <v>1393</v>
      </c>
      <c r="AP250" t="s">
        <v>72</v>
      </c>
      <c r="AQ250" t="s">
        <v>72</v>
      </c>
      <c r="AR250" t="s">
        <v>48</v>
      </c>
      <c r="AS250" t="s">
        <v>48</v>
      </c>
    </row>
    <row r="251" spans="1:46" x14ac:dyDescent="0.4">
      <c r="A251" t="s">
        <v>138</v>
      </c>
      <c r="B251" t="s">
        <v>10</v>
      </c>
      <c r="C251" t="s">
        <v>63</v>
      </c>
      <c r="D251" t="s">
        <v>11</v>
      </c>
      <c r="E251" s="2">
        <v>-2E-3</v>
      </c>
      <c r="F251" t="s">
        <v>12</v>
      </c>
      <c r="G251" s="4">
        <f>-0.205 / -0.2%</f>
        <v>102.49999999999999</v>
      </c>
      <c r="H251" t="s">
        <v>63</v>
      </c>
      <c r="I251" t="s">
        <v>1736</v>
      </c>
      <c r="J251" t="s">
        <v>1737</v>
      </c>
      <c r="K251" t="s">
        <v>23</v>
      </c>
      <c r="L251" s="2">
        <v>2.5000000000000001E-2</v>
      </c>
      <c r="M251" t="s">
        <v>1738</v>
      </c>
      <c r="N251" t="s">
        <v>28</v>
      </c>
      <c r="O251" t="s">
        <v>1739</v>
      </c>
      <c r="P251" s="1">
        <v>100035</v>
      </c>
      <c r="Q251" s="1">
        <v>100035</v>
      </c>
      <c r="R251" s="1">
        <v>100035</v>
      </c>
      <c r="S251" s="1">
        <v>100035</v>
      </c>
      <c r="T251" s="1">
        <v>100035</v>
      </c>
      <c r="U251" s="1">
        <v>100035</v>
      </c>
      <c r="V251" s="1">
        <v>101805</v>
      </c>
      <c r="W251" s="1">
        <v>102888</v>
      </c>
      <c r="X251" s="1">
        <v>102911</v>
      </c>
      <c r="Y251" s="1">
        <v>102911</v>
      </c>
      <c r="Z251" s="1">
        <v>102911</v>
      </c>
      <c r="AA251" s="1">
        <v>102911</v>
      </c>
      <c r="AB251" s="2">
        <v>-1.03E-2</v>
      </c>
      <c r="AC251" s="2">
        <v>-1.38E-2</v>
      </c>
      <c r="AD251" s="2">
        <v>1E-4</v>
      </c>
      <c r="AE251" s="2">
        <v>1.5E-3</v>
      </c>
      <c r="AF251" s="2">
        <v>1.5E-3</v>
      </c>
      <c r="AG251" s="2">
        <v>1.5E-3</v>
      </c>
      <c r="AH251" t="s">
        <v>34</v>
      </c>
      <c r="AI251" t="s">
        <v>36</v>
      </c>
      <c r="AJ251" t="s">
        <v>38</v>
      </c>
      <c r="AK251" t="s">
        <v>40</v>
      </c>
      <c r="AL251">
        <v>0</v>
      </c>
      <c r="AM251" t="s">
        <v>41</v>
      </c>
      <c r="AN251" t="s">
        <v>42</v>
      </c>
      <c r="AO251" t="s">
        <v>1739</v>
      </c>
      <c r="AP251" t="s">
        <v>1740</v>
      </c>
      <c r="AQ251" t="s">
        <v>1740</v>
      </c>
      <c r="AR251" t="s">
        <v>48</v>
      </c>
      <c r="AS251" t="s">
        <v>48</v>
      </c>
    </row>
    <row r="252" spans="1:46" x14ac:dyDescent="0.4">
      <c r="A252" t="s">
        <v>138</v>
      </c>
      <c r="B252" t="s">
        <v>10</v>
      </c>
      <c r="C252" t="s">
        <v>2092</v>
      </c>
      <c r="D252" t="s">
        <v>11</v>
      </c>
      <c r="E252" s="2">
        <v>-2.8E-3</v>
      </c>
      <c r="F252" t="s">
        <v>12</v>
      </c>
      <c r="G252" s="4">
        <f>-0.275 / -0.28%</f>
        <v>98.214285714285708</v>
      </c>
      <c r="H252" t="s">
        <v>2092</v>
      </c>
      <c r="I252" t="s">
        <v>3111</v>
      </c>
      <c r="J252" t="s">
        <v>3112</v>
      </c>
      <c r="K252" t="s">
        <v>23</v>
      </c>
      <c r="L252" s="2">
        <v>2.5000000000000001E-2</v>
      </c>
      <c r="M252" t="s">
        <v>3113</v>
      </c>
      <c r="N252" t="s">
        <v>28</v>
      </c>
      <c r="O252" t="s">
        <v>453</v>
      </c>
      <c r="P252" t="s">
        <v>1182</v>
      </c>
      <c r="Q252" t="s">
        <v>1182</v>
      </c>
      <c r="R252" t="s">
        <v>1182</v>
      </c>
      <c r="S252" t="s">
        <v>1182</v>
      </c>
      <c r="T252" t="s">
        <v>1182</v>
      </c>
      <c r="U252" t="s">
        <v>1182</v>
      </c>
      <c r="V252" t="s">
        <v>221</v>
      </c>
      <c r="W252" t="s">
        <v>221</v>
      </c>
      <c r="X252" t="s">
        <v>221</v>
      </c>
      <c r="Y252" t="s">
        <v>221</v>
      </c>
      <c r="Z252" t="s">
        <v>221</v>
      </c>
      <c r="AA252" t="s">
        <v>221</v>
      </c>
      <c r="AB252" s="2">
        <v>-1.6999999999999999E-3</v>
      </c>
      <c r="AC252" s="2">
        <v>-1.6999999999999999E-3</v>
      </c>
      <c r="AD252" s="2">
        <v>-1.6999999999999999E-3</v>
      </c>
      <c r="AE252" s="2">
        <v>-1.6999999999999999E-3</v>
      </c>
      <c r="AF252" s="2">
        <v>-1.6999999999999999E-3</v>
      </c>
      <c r="AG252" s="2">
        <v>-1.6999999999999999E-3</v>
      </c>
      <c r="AH252" t="s">
        <v>34</v>
      </c>
      <c r="AI252" t="s">
        <v>36</v>
      </c>
      <c r="AJ252" t="s">
        <v>38</v>
      </c>
      <c r="AK252" t="s">
        <v>40</v>
      </c>
      <c r="AL252">
        <v>0</v>
      </c>
      <c r="AM252" t="s">
        <v>41</v>
      </c>
      <c r="AN252" t="s">
        <v>42</v>
      </c>
      <c r="AO252" t="s">
        <v>453</v>
      </c>
      <c r="AP252" t="s">
        <v>1258</v>
      </c>
      <c r="AQ252" t="s">
        <v>1258</v>
      </c>
      <c r="AR252" t="s">
        <v>48</v>
      </c>
      <c r="AS252" t="s">
        <v>48</v>
      </c>
    </row>
    <row r="253" spans="1:46" x14ac:dyDescent="0.4">
      <c r="A253" t="s">
        <v>138</v>
      </c>
      <c r="B253" t="s">
        <v>10</v>
      </c>
      <c r="C253" t="s">
        <v>2849</v>
      </c>
      <c r="D253" t="s">
        <v>11</v>
      </c>
      <c r="E253" s="2">
        <v>-3.0000000000000001E-3</v>
      </c>
      <c r="F253" t="s">
        <v>12</v>
      </c>
      <c r="G253" s="4">
        <f>-0.285 / -0.3%</f>
        <v>94.999999999999986</v>
      </c>
      <c r="H253" t="s">
        <v>2849</v>
      </c>
      <c r="I253" t="s">
        <v>3749</v>
      </c>
      <c r="J253" t="s">
        <v>3750</v>
      </c>
      <c r="K253" t="s">
        <v>23</v>
      </c>
      <c r="L253" s="2">
        <v>2.5000000000000001E-2</v>
      </c>
      <c r="M253" t="s">
        <v>3427</v>
      </c>
      <c r="N253" t="s">
        <v>28</v>
      </c>
      <c r="O253" t="s">
        <v>3751</v>
      </c>
      <c r="P253" t="s">
        <v>652</v>
      </c>
      <c r="Q253" t="s">
        <v>652</v>
      </c>
      <c r="R253" t="s">
        <v>652</v>
      </c>
      <c r="S253" s="1">
        <v>94269</v>
      </c>
      <c r="T253" s="1">
        <v>89435</v>
      </c>
      <c r="U253" s="1">
        <v>89435</v>
      </c>
      <c r="V253" s="1">
        <v>99147</v>
      </c>
      <c r="W253" t="s">
        <v>3752</v>
      </c>
      <c r="X253" t="s">
        <v>3752</v>
      </c>
      <c r="Y253" t="s">
        <v>3752</v>
      </c>
      <c r="Z253" s="1">
        <v>107227</v>
      </c>
      <c r="AA253" s="1">
        <v>156621</v>
      </c>
      <c r="AB253" s="2">
        <v>-3.56E-2</v>
      </c>
      <c r="AC253" s="2">
        <v>-3.32E-2</v>
      </c>
      <c r="AD253" s="2">
        <v>-1.6400000000000001E-2</v>
      </c>
      <c r="AE253" s="2">
        <v>-3.3799999999999997E-2</v>
      </c>
      <c r="AF253" s="2">
        <v>-9.4100000000000003E-2</v>
      </c>
      <c r="AG253" s="2">
        <v>-0.38440000000000002</v>
      </c>
      <c r="AH253" t="s">
        <v>34</v>
      </c>
      <c r="AI253" t="s">
        <v>36</v>
      </c>
      <c r="AJ253" t="s">
        <v>38</v>
      </c>
      <c r="AK253" t="s">
        <v>40</v>
      </c>
      <c r="AL253">
        <v>0</v>
      </c>
      <c r="AM253" t="s">
        <v>41</v>
      </c>
      <c r="AN253" t="s">
        <v>42</v>
      </c>
      <c r="AO253" t="s">
        <v>3751</v>
      </c>
      <c r="AP253" t="s">
        <v>3753</v>
      </c>
      <c r="AQ253" t="s">
        <v>3753</v>
      </c>
      <c r="AR253" t="s">
        <v>48</v>
      </c>
      <c r="AS253" t="s">
        <v>48</v>
      </c>
    </row>
    <row r="254" spans="1:46" x14ac:dyDescent="0.4">
      <c r="A254" t="s">
        <v>138</v>
      </c>
      <c r="B254" t="s">
        <v>10</v>
      </c>
      <c r="C254" s="1">
        <v>100048</v>
      </c>
      <c r="D254" t="s">
        <v>11</v>
      </c>
      <c r="E254" s="2">
        <v>-2E-3</v>
      </c>
      <c r="F254" t="s">
        <v>12</v>
      </c>
      <c r="G254" s="4">
        <f>-0.202 / -0.2%</f>
        <v>101</v>
      </c>
      <c r="H254" s="1">
        <v>100048</v>
      </c>
      <c r="I254" t="s">
        <v>1381</v>
      </c>
      <c r="J254" t="s">
        <v>1382</v>
      </c>
      <c r="K254" t="s">
        <v>23</v>
      </c>
      <c r="L254" s="2">
        <v>2.4E-2</v>
      </c>
      <c r="M254" t="s">
        <v>1383</v>
      </c>
      <c r="N254" t="s">
        <v>28</v>
      </c>
      <c r="O254" t="s">
        <v>1384</v>
      </c>
      <c r="P254" t="s">
        <v>1385</v>
      </c>
      <c r="Q254" t="s">
        <v>1385</v>
      </c>
      <c r="R254" t="s">
        <v>1385</v>
      </c>
      <c r="S254" t="s">
        <v>1386</v>
      </c>
      <c r="T254" t="s">
        <v>1387</v>
      </c>
      <c r="U254" t="s">
        <v>1387</v>
      </c>
      <c r="V254" s="1">
        <v>101466</v>
      </c>
      <c r="W254" t="s">
        <v>1388</v>
      </c>
      <c r="X254" s="1">
        <v>102927</v>
      </c>
      <c r="Y254" s="1">
        <v>102927</v>
      </c>
      <c r="Z254" s="1">
        <v>103581</v>
      </c>
      <c r="AA254" s="1">
        <v>103581</v>
      </c>
      <c r="AB254" s="2">
        <v>-1.2500000000000001E-2</v>
      </c>
      <c r="AC254" s="2">
        <v>-1.6199999999999999E-2</v>
      </c>
      <c r="AD254" s="2">
        <v>-1.4E-3</v>
      </c>
      <c r="AE254" s="2">
        <v>-8.8000000000000005E-3</v>
      </c>
      <c r="AF254" s="2">
        <v>7.4999999999999997E-3</v>
      </c>
      <c r="AG254" s="2">
        <v>7.4999999999999997E-3</v>
      </c>
      <c r="AH254" t="s">
        <v>34</v>
      </c>
      <c r="AI254" t="s">
        <v>36</v>
      </c>
      <c r="AJ254" t="s">
        <v>38</v>
      </c>
      <c r="AK254" t="s">
        <v>40</v>
      </c>
      <c r="AL254">
        <v>0</v>
      </c>
      <c r="AM254" t="s">
        <v>41</v>
      </c>
      <c r="AN254" t="s">
        <v>42</v>
      </c>
      <c r="AO254" t="s">
        <v>1384</v>
      </c>
      <c r="AP254" t="s">
        <v>929</v>
      </c>
      <c r="AQ254" t="s">
        <v>929</v>
      </c>
      <c r="AR254" t="s">
        <v>48</v>
      </c>
      <c r="AS254" t="s">
        <v>48</v>
      </c>
    </row>
    <row r="255" spans="1:46" x14ac:dyDescent="0.4">
      <c r="A255" t="s">
        <v>138</v>
      </c>
      <c r="B255" t="s">
        <v>10</v>
      </c>
      <c r="C255" s="1">
        <v>98785</v>
      </c>
      <c r="D255" t="s">
        <v>11</v>
      </c>
      <c r="E255" s="2">
        <v>-2.3E-3</v>
      </c>
      <c r="F255" t="s">
        <v>12</v>
      </c>
      <c r="G255" s="4">
        <f>-0.225 / -0.23%</f>
        <v>97.826086956521749</v>
      </c>
      <c r="H255" s="1">
        <v>98785</v>
      </c>
      <c r="I255" t="s">
        <v>1591</v>
      </c>
      <c r="J255" t="s">
        <v>1592</v>
      </c>
      <c r="K255" t="s">
        <v>23</v>
      </c>
      <c r="L255" s="2">
        <v>2.3E-2</v>
      </c>
      <c r="M255" t="s">
        <v>120</v>
      </c>
      <c r="N255" t="s">
        <v>28</v>
      </c>
      <c r="O255" t="s">
        <v>1593</v>
      </c>
      <c r="P255" s="1">
        <v>98236</v>
      </c>
      <c r="Q255" s="1">
        <v>98236</v>
      </c>
      <c r="R255" s="1">
        <v>98236</v>
      </c>
      <c r="S255" t="s">
        <v>1594</v>
      </c>
      <c r="T255" t="s">
        <v>1595</v>
      </c>
      <c r="U255" t="s">
        <v>1595</v>
      </c>
      <c r="V255" s="1">
        <v>100554</v>
      </c>
      <c r="W255" s="1">
        <v>102599</v>
      </c>
      <c r="X255" s="1">
        <v>102745</v>
      </c>
      <c r="Y255" s="1">
        <v>102745</v>
      </c>
      <c r="Z255" s="1">
        <v>103527</v>
      </c>
      <c r="AA255" s="1">
        <v>103527</v>
      </c>
      <c r="AB255" s="2">
        <v>-1.67E-2</v>
      </c>
      <c r="AC255" s="2">
        <v>-2.23E-2</v>
      </c>
      <c r="AD255" s="2">
        <v>-7.0000000000000001E-3</v>
      </c>
      <c r="AE255" s="2">
        <v>-1.43E-2</v>
      </c>
      <c r="AF255" s="2">
        <v>-2.41E-2</v>
      </c>
      <c r="AG255" s="2">
        <v>-1.8499999999999999E-2</v>
      </c>
      <c r="AH255" t="s">
        <v>34</v>
      </c>
      <c r="AI255" t="s">
        <v>36</v>
      </c>
      <c r="AJ255" t="s">
        <v>38</v>
      </c>
      <c r="AK255" t="s">
        <v>40</v>
      </c>
      <c r="AL255">
        <v>0</v>
      </c>
      <c r="AM255" t="s">
        <v>41</v>
      </c>
      <c r="AN255" t="s">
        <v>42</v>
      </c>
      <c r="AO255" t="s">
        <v>1593</v>
      </c>
      <c r="AP255" t="s">
        <v>1596</v>
      </c>
      <c r="AQ255" t="s">
        <v>1596</v>
      </c>
      <c r="AR255" t="s">
        <v>48</v>
      </c>
      <c r="AS255" t="s">
        <v>48</v>
      </c>
    </row>
    <row r="256" spans="1:46" x14ac:dyDescent="0.4">
      <c r="A256" t="s">
        <v>138</v>
      </c>
      <c r="B256" t="s">
        <v>10</v>
      </c>
      <c r="C256" s="1">
        <v>99743</v>
      </c>
      <c r="D256" t="s">
        <v>11</v>
      </c>
      <c r="E256" s="2">
        <v>-1.5E-3</v>
      </c>
      <c r="F256" t="s">
        <v>12</v>
      </c>
      <c r="G256" s="4">
        <f>-0.152 / -0.15%</f>
        <v>101.33333333333333</v>
      </c>
      <c r="H256" s="1">
        <v>99743</v>
      </c>
      <c r="I256" t="s">
        <v>803</v>
      </c>
      <c r="J256" t="s">
        <v>804</v>
      </c>
      <c r="K256" t="s">
        <v>23</v>
      </c>
      <c r="L256" s="2">
        <v>2.1999999999999999E-2</v>
      </c>
      <c r="M256" t="s">
        <v>805</v>
      </c>
      <c r="N256" t="s">
        <v>28</v>
      </c>
      <c r="O256" t="s">
        <v>806</v>
      </c>
      <c r="P256" s="1">
        <v>99658</v>
      </c>
      <c r="Q256" s="1">
        <v>99658</v>
      </c>
      <c r="R256" s="1">
        <v>99087</v>
      </c>
      <c r="S256" s="1">
        <v>97895</v>
      </c>
      <c r="T256" s="1">
        <v>96721</v>
      </c>
      <c r="U256" s="1">
        <v>96721</v>
      </c>
      <c r="V256" s="1">
        <v>100648</v>
      </c>
      <c r="W256" s="1">
        <v>101258</v>
      </c>
      <c r="X256" s="1">
        <v>101258</v>
      </c>
      <c r="Y256" s="1">
        <v>101258</v>
      </c>
      <c r="Z256" t="s">
        <v>807</v>
      </c>
      <c r="AA256" t="s">
        <v>807</v>
      </c>
      <c r="AB256" s="2">
        <v>-8.0999999999999996E-3</v>
      </c>
      <c r="AC256" s="2">
        <v>-9.4999999999999998E-3</v>
      </c>
      <c r="AD256" s="2">
        <v>5.4999999999999997E-3</v>
      </c>
      <c r="AE256" s="2">
        <v>5.0000000000000001E-4</v>
      </c>
      <c r="AF256" s="2">
        <v>-2.3999999999999998E-3</v>
      </c>
      <c r="AG256" s="2">
        <v>-7.9000000000000008E-3</v>
      </c>
      <c r="AH256" t="s">
        <v>34</v>
      </c>
      <c r="AI256" t="s">
        <v>36</v>
      </c>
      <c r="AJ256" t="s">
        <v>38</v>
      </c>
      <c r="AK256" t="s">
        <v>40</v>
      </c>
      <c r="AL256">
        <v>0</v>
      </c>
      <c r="AM256" t="s">
        <v>41</v>
      </c>
      <c r="AN256" t="s">
        <v>42</v>
      </c>
      <c r="AO256" t="s">
        <v>806</v>
      </c>
      <c r="AP256" t="s">
        <v>808</v>
      </c>
      <c r="AQ256" t="s">
        <v>808</v>
      </c>
      <c r="AR256" t="s">
        <v>48</v>
      </c>
      <c r="AS256" t="s">
        <v>48</v>
      </c>
    </row>
    <row r="257" spans="1:55" x14ac:dyDescent="0.4">
      <c r="A257" t="s">
        <v>9</v>
      </c>
      <c r="B257" t="s">
        <v>10</v>
      </c>
      <c r="C257" s="1">
        <v>97575</v>
      </c>
      <c r="D257" t="s">
        <v>11</v>
      </c>
      <c r="E257" s="2">
        <v>-8.9999999999999998E-4</v>
      </c>
      <c r="F257" t="s">
        <v>12</v>
      </c>
      <c r="G257" s="4">
        <f>-0.092 / -0.09%</f>
        <v>102.22222222222223</v>
      </c>
      <c r="H257" s="1">
        <v>97575</v>
      </c>
      <c r="I257" t="s">
        <v>2675</v>
      </c>
      <c r="J257" t="s">
        <v>2676</v>
      </c>
      <c r="K257" t="s">
        <v>23</v>
      </c>
      <c r="L257" s="2">
        <v>1.2999999999999999E-2</v>
      </c>
      <c r="M257" t="s">
        <v>2677</v>
      </c>
      <c r="N257" t="s">
        <v>28</v>
      </c>
      <c r="O257" t="s">
        <v>2678</v>
      </c>
      <c r="P257" s="1">
        <v>97518</v>
      </c>
      <c r="Q257" s="1">
        <v>97365</v>
      </c>
      <c r="R257" s="1">
        <v>96435</v>
      </c>
      <c r="S257" t="s">
        <v>2679</v>
      </c>
      <c r="T257" s="1">
        <v>93079</v>
      </c>
      <c r="U257" s="1">
        <v>93079</v>
      </c>
      <c r="V257" s="1">
        <v>98308</v>
      </c>
      <c r="W257" t="s">
        <v>1458</v>
      </c>
      <c r="X257" t="s">
        <v>1458</v>
      </c>
      <c r="Y257" t="s">
        <v>1458</v>
      </c>
      <c r="Z257" t="s">
        <v>1458</v>
      </c>
      <c r="AA257" s="1">
        <v>104663</v>
      </c>
      <c r="AB257" s="2">
        <v>-7.1000000000000004E-3</v>
      </c>
      <c r="AC257" s="2">
        <v>-6.3E-3</v>
      </c>
      <c r="AD257" s="2">
        <v>1.0699999999999999E-2</v>
      </c>
      <c r="AE257" s="2">
        <v>1.0800000000000001E-2</v>
      </c>
      <c r="AF257" s="2">
        <v>1.6299999999999999E-2</v>
      </c>
      <c r="AG257" s="2">
        <v>-1.6899999999999998E-2</v>
      </c>
      <c r="AH257" t="s">
        <v>34</v>
      </c>
      <c r="AI257" t="s">
        <v>36</v>
      </c>
      <c r="AJ257" t="s">
        <v>38</v>
      </c>
      <c r="AK257" t="s">
        <v>40</v>
      </c>
      <c r="AL257">
        <v>0</v>
      </c>
      <c r="AM257" t="s">
        <v>41</v>
      </c>
      <c r="AN257" t="s">
        <v>42</v>
      </c>
      <c r="AO257" t="s">
        <v>2678</v>
      </c>
      <c r="AP257" t="s">
        <v>2680</v>
      </c>
      <c r="AQ257" t="s">
        <v>2680</v>
      </c>
      <c r="AR257" t="s">
        <v>48</v>
      </c>
      <c r="AS257" t="s">
        <v>48</v>
      </c>
    </row>
    <row r="258" spans="1:55" x14ac:dyDescent="0.4">
      <c r="A258" t="s">
        <v>138</v>
      </c>
      <c r="B258" t="s">
        <v>10</v>
      </c>
      <c r="C258" s="1">
        <v>73927</v>
      </c>
      <c r="D258" t="s">
        <v>11</v>
      </c>
      <c r="E258" s="2">
        <v>-3.7000000000000002E-3</v>
      </c>
      <c r="F258" t="s">
        <v>12</v>
      </c>
      <c r="G258" s="4">
        <f>-0.273 / -0.37%</f>
        <v>73.78378378378379</v>
      </c>
      <c r="H258" s="1">
        <v>73927</v>
      </c>
      <c r="I258" t="s">
        <v>940</v>
      </c>
      <c r="J258" t="s">
        <v>941</v>
      </c>
      <c r="K258" t="s">
        <v>23</v>
      </c>
      <c r="L258" s="2">
        <v>1.2500000000000001E-2</v>
      </c>
      <c r="M258" t="s">
        <v>942</v>
      </c>
      <c r="N258" t="s">
        <v>28</v>
      </c>
      <c r="O258" t="s">
        <v>943</v>
      </c>
      <c r="P258" s="1">
        <v>73065</v>
      </c>
      <c r="Q258" s="1">
        <v>73065</v>
      </c>
      <c r="R258" s="1">
        <v>73065</v>
      </c>
      <c r="S258" s="1">
        <v>72357</v>
      </c>
      <c r="T258" t="s">
        <v>944</v>
      </c>
      <c r="U258" t="s">
        <v>944</v>
      </c>
      <c r="V258" t="s">
        <v>945</v>
      </c>
      <c r="W258" t="s">
        <v>946</v>
      </c>
      <c r="X258" t="s">
        <v>946</v>
      </c>
      <c r="Y258" t="s">
        <v>946</v>
      </c>
      <c r="Z258" s="1">
        <v>85362</v>
      </c>
      <c r="AA258" s="1">
        <v>131472</v>
      </c>
      <c r="AB258" s="2">
        <v>-4.4999999999999998E-2</v>
      </c>
      <c r="AC258" s="2">
        <v>-3.78E-2</v>
      </c>
      <c r="AD258" s="2">
        <v>-1.7999999999999999E-2</v>
      </c>
      <c r="AE258" s="2">
        <v>-0.04</v>
      </c>
      <c r="AF258" s="2">
        <v>-0.1145</v>
      </c>
      <c r="AG258" s="2">
        <v>-0.42649999999999999</v>
      </c>
      <c r="AH258" t="s">
        <v>34</v>
      </c>
      <c r="AI258" t="s">
        <v>36</v>
      </c>
      <c r="AJ258" t="s">
        <v>38</v>
      </c>
      <c r="AK258" t="s">
        <v>40</v>
      </c>
      <c r="AL258">
        <v>0</v>
      </c>
      <c r="AM258" t="s">
        <v>41</v>
      </c>
      <c r="AN258" t="s">
        <v>42</v>
      </c>
      <c r="AO258" t="s">
        <v>943</v>
      </c>
      <c r="AP258" t="s">
        <v>947</v>
      </c>
      <c r="AQ258" t="s">
        <v>947</v>
      </c>
      <c r="AR258" t="s">
        <v>48</v>
      </c>
      <c r="AS258" t="s">
        <v>48</v>
      </c>
    </row>
    <row r="259" spans="1:55" x14ac:dyDescent="0.4">
      <c r="A259" t="s">
        <v>138</v>
      </c>
      <c r="B259" t="s">
        <v>10</v>
      </c>
      <c r="C259" s="1">
        <v>94943</v>
      </c>
      <c r="D259" t="s">
        <v>11</v>
      </c>
      <c r="E259" s="2">
        <v>-1.2999999999999999E-3</v>
      </c>
      <c r="F259" t="s">
        <v>12</v>
      </c>
      <c r="G259" s="4">
        <f>-0.122 / -0.13%</f>
        <v>93.846153846153854</v>
      </c>
      <c r="H259" s="1">
        <v>94943</v>
      </c>
      <c r="I259" t="s">
        <v>846</v>
      </c>
      <c r="J259" t="s">
        <v>847</v>
      </c>
      <c r="K259" t="s">
        <v>23</v>
      </c>
      <c r="L259" s="2">
        <v>5.0000000000000001E-3</v>
      </c>
      <c r="M259" t="s">
        <v>848</v>
      </c>
      <c r="N259" t="s">
        <v>28</v>
      </c>
      <c r="O259" t="s">
        <v>849</v>
      </c>
      <c r="P259" s="1">
        <v>94795</v>
      </c>
      <c r="Q259" s="1">
        <v>94009</v>
      </c>
      <c r="R259" s="1">
        <v>93513</v>
      </c>
      <c r="S259" s="1">
        <v>92151</v>
      </c>
      <c r="T259" s="1">
        <v>89172</v>
      </c>
      <c r="U259" s="1">
        <v>89172</v>
      </c>
      <c r="V259" s="1">
        <v>95703</v>
      </c>
      <c r="W259" s="1">
        <v>96113</v>
      </c>
      <c r="X259" s="1">
        <v>96113</v>
      </c>
      <c r="Y259" s="1">
        <v>96113</v>
      </c>
      <c r="Z259" s="1">
        <v>96113</v>
      </c>
      <c r="AA259" t="s">
        <v>850</v>
      </c>
      <c r="AB259" s="2">
        <v>-6.7000000000000002E-3</v>
      </c>
      <c r="AC259" s="2">
        <v>-5.7000000000000002E-3</v>
      </c>
      <c r="AD259" s="2">
        <v>1.41E-2</v>
      </c>
      <c r="AE259" s="2">
        <v>1.78E-2</v>
      </c>
      <c r="AF259" s="2">
        <v>3.0099999999999998E-2</v>
      </c>
      <c r="AG259" s="2">
        <v>-9.7799999999999998E-2</v>
      </c>
      <c r="AH259" t="s">
        <v>34</v>
      </c>
      <c r="AI259" t="s">
        <v>36</v>
      </c>
      <c r="AJ259" t="s">
        <v>38</v>
      </c>
      <c r="AK259" t="s">
        <v>40</v>
      </c>
      <c r="AL259">
        <v>0</v>
      </c>
      <c r="AM259" t="s">
        <v>41</v>
      </c>
      <c r="AN259" t="s">
        <v>42</v>
      </c>
      <c r="AO259" t="s">
        <v>849</v>
      </c>
      <c r="AP259" t="s">
        <v>851</v>
      </c>
      <c r="AQ259" t="s">
        <v>851</v>
      </c>
      <c r="AR259" t="s">
        <v>48</v>
      </c>
      <c r="AS259" t="s">
        <v>48</v>
      </c>
    </row>
    <row r="260" spans="1:55" x14ac:dyDescent="0.4">
      <c r="A260" t="s">
        <v>9</v>
      </c>
      <c r="B260" t="s">
        <v>10</v>
      </c>
      <c r="C260" s="1">
        <v>95813</v>
      </c>
      <c r="D260" t="s">
        <v>11</v>
      </c>
      <c r="E260" s="2">
        <v>-8.9999999999999998E-4</v>
      </c>
      <c r="F260" t="s">
        <v>12</v>
      </c>
      <c r="G260" s="4">
        <f>-0.085 / -0.09%</f>
        <v>94.444444444444457</v>
      </c>
      <c r="H260" s="1">
        <v>95813</v>
      </c>
      <c r="I260" t="s">
        <v>6487</v>
      </c>
      <c r="J260" t="s">
        <v>6488</v>
      </c>
      <c r="K260" t="s">
        <v>23</v>
      </c>
      <c r="L260" s="2">
        <v>5.0000000000000001E-3</v>
      </c>
      <c r="M260" t="s">
        <v>942</v>
      </c>
      <c r="N260" t="s">
        <v>28</v>
      </c>
      <c r="O260" t="s">
        <v>5718</v>
      </c>
      <c r="P260" t="s">
        <v>4104</v>
      </c>
      <c r="Q260" t="s">
        <v>876</v>
      </c>
      <c r="R260" s="1">
        <v>94264</v>
      </c>
      <c r="S260" s="1">
        <v>92988</v>
      </c>
      <c r="T260" s="1">
        <v>90097</v>
      </c>
      <c r="U260" s="1">
        <v>90097</v>
      </c>
      <c r="V260" s="1">
        <v>96458</v>
      </c>
      <c r="W260" t="s">
        <v>669</v>
      </c>
      <c r="X260" t="s">
        <v>669</v>
      </c>
      <c r="Y260" t="s">
        <v>669</v>
      </c>
      <c r="Z260" t="s">
        <v>669</v>
      </c>
      <c r="AA260" s="1">
        <v>104993</v>
      </c>
      <c r="AB260" s="2">
        <v>-6.0000000000000001E-3</v>
      </c>
      <c r="AC260" s="2">
        <v>-4.0000000000000001E-3</v>
      </c>
      <c r="AD260" s="2">
        <v>1.5299999999999999E-2</v>
      </c>
      <c r="AE260" s="2">
        <v>1.9400000000000001E-2</v>
      </c>
      <c r="AF260" s="2">
        <v>3.2300000000000002E-2</v>
      </c>
      <c r="AG260" s="2">
        <v>-8.6999999999999994E-2</v>
      </c>
      <c r="AH260" t="s">
        <v>34</v>
      </c>
      <c r="AI260" t="s">
        <v>36</v>
      </c>
      <c r="AJ260" t="s">
        <v>38</v>
      </c>
      <c r="AK260" t="s">
        <v>40</v>
      </c>
      <c r="AL260">
        <v>0</v>
      </c>
      <c r="AM260" t="s">
        <v>41</v>
      </c>
      <c r="AN260" t="s">
        <v>42</v>
      </c>
      <c r="AO260" t="s">
        <v>5718</v>
      </c>
      <c r="AP260" t="s">
        <v>6489</v>
      </c>
      <c r="AQ260" t="s">
        <v>6489</v>
      </c>
      <c r="AR260" t="s">
        <v>48</v>
      </c>
      <c r="AS260" t="s">
        <v>48</v>
      </c>
    </row>
    <row r="261" spans="1:55" x14ac:dyDescent="0.4">
      <c r="A261" t="s">
        <v>138</v>
      </c>
      <c r="B261" t="s">
        <v>10</v>
      </c>
      <c r="C261" t="s">
        <v>185</v>
      </c>
      <c r="D261" t="s">
        <v>11</v>
      </c>
      <c r="E261" s="2">
        <v>-1.8E-3</v>
      </c>
      <c r="F261" t="s">
        <v>12</v>
      </c>
      <c r="G261" s="4">
        <f>-0.17 / -0.18%</f>
        <v>94.444444444444457</v>
      </c>
      <c r="H261" t="s">
        <v>185</v>
      </c>
      <c r="I261" t="s">
        <v>816</v>
      </c>
      <c r="J261" t="s">
        <v>817</v>
      </c>
      <c r="K261" t="s">
        <v>23</v>
      </c>
      <c r="L261" s="2">
        <v>2.5000000000000001E-3</v>
      </c>
      <c r="M261" t="s">
        <v>818</v>
      </c>
      <c r="N261" t="s">
        <v>28</v>
      </c>
      <c r="O261" t="s">
        <v>819</v>
      </c>
      <c r="P261" t="s">
        <v>820</v>
      </c>
      <c r="Q261" s="1">
        <v>92075</v>
      </c>
      <c r="R261" s="1">
        <v>91003</v>
      </c>
      <c r="S261" s="1">
        <v>89335</v>
      </c>
      <c r="T261" t="s">
        <v>821</v>
      </c>
      <c r="U261" t="s">
        <v>821</v>
      </c>
      <c r="V261" s="1">
        <v>93287</v>
      </c>
      <c r="W261" s="1">
        <v>93937</v>
      </c>
      <c r="X261" s="1">
        <v>93937</v>
      </c>
      <c r="Y261" s="1">
        <v>93937</v>
      </c>
      <c r="Z261" s="1">
        <v>93937</v>
      </c>
      <c r="AA261" s="1">
        <v>104001</v>
      </c>
      <c r="AB261" s="2">
        <v>-8.9999999999999993E-3</v>
      </c>
      <c r="AC261" s="2">
        <v>-8.6E-3</v>
      </c>
      <c r="AD261" s="2">
        <v>1.2500000000000001E-2</v>
      </c>
      <c r="AE261" s="2">
        <v>1.7000000000000001E-2</v>
      </c>
      <c r="AF261" s="2">
        <v>3.0700000000000002E-2</v>
      </c>
      <c r="AG261" s="2">
        <v>-0.1125</v>
      </c>
      <c r="AH261" t="s">
        <v>34</v>
      </c>
      <c r="AI261" t="s">
        <v>36</v>
      </c>
      <c r="AJ261" t="s">
        <v>38</v>
      </c>
      <c r="AK261" t="s">
        <v>40</v>
      </c>
      <c r="AL261">
        <v>0</v>
      </c>
      <c r="AM261" t="s">
        <v>41</v>
      </c>
      <c r="AN261" t="s">
        <v>42</v>
      </c>
      <c r="AO261" t="s">
        <v>819</v>
      </c>
      <c r="AP261" t="s">
        <v>822</v>
      </c>
      <c r="AQ261" t="s">
        <v>822</v>
      </c>
      <c r="AR261" t="s">
        <v>48</v>
      </c>
      <c r="AS261" t="s">
        <v>48</v>
      </c>
    </row>
    <row r="262" spans="1:55" x14ac:dyDescent="0.4">
      <c r="A262" t="s">
        <v>138</v>
      </c>
      <c r="B262" t="s">
        <v>10</v>
      </c>
      <c r="C262" s="1">
        <v>93294</v>
      </c>
      <c r="D262" t="s">
        <v>11</v>
      </c>
      <c r="E262" s="2">
        <v>-1.6999999999999999E-3</v>
      </c>
      <c r="F262" t="s">
        <v>12</v>
      </c>
      <c r="G262" s="4">
        <f>-0.156 / -0.17%</f>
        <v>91.764705882352928</v>
      </c>
      <c r="H262" s="1">
        <v>93294</v>
      </c>
      <c r="I262" t="s">
        <v>2056</v>
      </c>
      <c r="J262" t="s">
        <v>2057</v>
      </c>
      <c r="K262" t="s">
        <v>23</v>
      </c>
      <c r="L262" s="2">
        <v>2.5000000000000001E-3</v>
      </c>
      <c r="M262" t="s">
        <v>1004</v>
      </c>
      <c r="N262" t="s">
        <v>28</v>
      </c>
      <c r="O262" t="s">
        <v>2058</v>
      </c>
      <c r="P262" s="1">
        <v>93138</v>
      </c>
      <c r="Q262" s="1">
        <v>92995</v>
      </c>
      <c r="R262" t="s">
        <v>2059</v>
      </c>
      <c r="S262" s="1">
        <v>90282</v>
      </c>
      <c r="T262" s="1">
        <v>86997</v>
      </c>
      <c r="U262" s="1">
        <v>86997</v>
      </c>
      <c r="V262" s="1">
        <v>94136</v>
      </c>
      <c r="W262" t="s">
        <v>2060</v>
      </c>
      <c r="X262" t="s">
        <v>2060</v>
      </c>
      <c r="Y262" t="s">
        <v>2060</v>
      </c>
      <c r="Z262" t="s">
        <v>2060</v>
      </c>
      <c r="AA262" t="s">
        <v>2061</v>
      </c>
      <c r="AB262" s="2">
        <v>-7.4000000000000003E-3</v>
      </c>
      <c r="AC262" s="2">
        <v>-6.6E-3</v>
      </c>
      <c r="AD262" s="2">
        <v>1.47E-2</v>
      </c>
      <c r="AE262" s="2">
        <v>1.9E-2</v>
      </c>
      <c r="AF262" s="2">
        <v>3.39E-2</v>
      </c>
      <c r="AG262" s="2">
        <v>-0.1017</v>
      </c>
      <c r="AH262" t="s">
        <v>34</v>
      </c>
      <c r="AI262" t="s">
        <v>36</v>
      </c>
      <c r="AJ262" t="s">
        <v>38</v>
      </c>
      <c r="AK262" t="s">
        <v>40</v>
      </c>
      <c r="AL262">
        <v>0</v>
      </c>
      <c r="AM262" t="s">
        <v>41</v>
      </c>
      <c r="AN262" t="s">
        <v>42</v>
      </c>
      <c r="AO262" t="s">
        <v>2058</v>
      </c>
      <c r="AP262" t="s">
        <v>851</v>
      </c>
      <c r="AQ262" t="s">
        <v>851</v>
      </c>
      <c r="AR262" t="s">
        <v>48</v>
      </c>
      <c r="AS262" t="s">
        <v>48</v>
      </c>
    </row>
    <row r="263" spans="1:55" x14ac:dyDescent="0.4">
      <c r="A263" t="s">
        <v>9</v>
      </c>
      <c r="B263" t="s">
        <v>10</v>
      </c>
      <c r="C263" s="1">
        <v>96075</v>
      </c>
      <c r="D263" t="s">
        <v>11</v>
      </c>
      <c r="E263" s="2">
        <v>-6.9999999999999999E-4</v>
      </c>
      <c r="F263" t="s">
        <v>12</v>
      </c>
      <c r="G263" s="4">
        <f>-0.063 / -0.07%</f>
        <v>89.999999999999986</v>
      </c>
      <c r="H263" s="1">
        <v>96075</v>
      </c>
      <c r="I263" t="s">
        <v>7054</v>
      </c>
      <c r="J263" t="s">
        <v>7055</v>
      </c>
      <c r="K263" t="s">
        <v>23</v>
      </c>
      <c r="L263" s="2">
        <v>2.5000000000000001E-3</v>
      </c>
      <c r="M263" t="s">
        <v>5546</v>
      </c>
      <c r="N263" t="s">
        <v>28</v>
      </c>
      <c r="O263" t="s">
        <v>7056</v>
      </c>
      <c r="P263" s="1">
        <v>95988</v>
      </c>
      <c r="Q263" t="s">
        <v>6580</v>
      </c>
      <c r="R263" t="s">
        <v>3254</v>
      </c>
      <c r="S263" s="1">
        <v>93146</v>
      </c>
      <c r="T263" s="1">
        <v>89982</v>
      </c>
      <c r="U263" s="1">
        <v>89982</v>
      </c>
      <c r="V263" s="1">
        <v>96548</v>
      </c>
      <c r="W263" s="1">
        <v>96765</v>
      </c>
      <c r="X263" s="1">
        <v>96765</v>
      </c>
      <c r="Y263" s="1">
        <v>96765</v>
      </c>
      <c r="Z263" s="1">
        <v>96765</v>
      </c>
      <c r="AA263" s="1">
        <v>103531</v>
      </c>
      <c r="AB263" s="2">
        <v>-4.3E-3</v>
      </c>
      <c r="AC263" s="2">
        <v>-1.6999999999999999E-3</v>
      </c>
      <c r="AD263" s="2">
        <v>1.7000000000000001E-2</v>
      </c>
      <c r="AE263" s="2">
        <v>2.3199999999999998E-2</v>
      </c>
      <c r="AF263" s="2">
        <v>3.8399999999999997E-2</v>
      </c>
      <c r="AG263" s="2">
        <v>-7.0499999999999993E-2</v>
      </c>
      <c r="AH263" t="s">
        <v>34</v>
      </c>
      <c r="AI263" t="s">
        <v>36</v>
      </c>
      <c r="AJ263" t="s">
        <v>38</v>
      </c>
      <c r="AK263" t="s">
        <v>40</v>
      </c>
      <c r="AL263">
        <v>0</v>
      </c>
      <c r="AM263" t="s">
        <v>41</v>
      </c>
      <c r="AN263" t="s">
        <v>42</v>
      </c>
      <c r="AO263" t="s">
        <v>7056</v>
      </c>
      <c r="AP263" t="s">
        <v>45</v>
      </c>
      <c r="AQ263" t="s">
        <v>45</v>
      </c>
      <c r="AR263" t="s">
        <v>48</v>
      </c>
      <c r="AS263" t="s">
        <v>48</v>
      </c>
    </row>
    <row r="264" spans="1:55" x14ac:dyDescent="0.4">
      <c r="A264" t="s">
        <v>9</v>
      </c>
      <c r="B264" t="s">
        <v>10</v>
      </c>
      <c r="C264" s="1">
        <v>99905</v>
      </c>
      <c r="D264" t="s">
        <v>11</v>
      </c>
      <c r="E264" s="2">
        <v>0</v>
      </c>
      <c r="F264" t="s">
        <v>12</v>
      </c>
      <c r="G264" s="4" t="s">
        <v>15</v>
      </c>
      <c r="H264" s="1">
        <v>99905</v>
      </c>
      <c r="I264" t="s">
        <v>19</v>
      </c>
      <c r="J264" t="s">
        <v>21</v>
      </c>
      <c r="K264" t="s">
        <v>23</v>
      </c>
      <c r="L264" s="2">
        <v>5.0000000000000001E-3</v>
      </c>
      <c r="M264" t="s">
        <v>26</v>
      </c>
      <c r="N264" t="s">
        <v>28</v>
      </c>
      <c r="O264" t="s">
        <v>30</v>
      </c>
      <c r="P264" s="1">
        <v>99725</v>
      </c>
      <c r="Q264" t="s">
        <v>31</v>
      </c>
      <c r="R264" t="s">
        <v>32</v>
      </c>
      <c r="S264" s="1">
        <v>97219</v>
      </c>
      <c r="T264" s="1">
        <v>94788</v>
      </c>
      <c r="U264" s="1">
        <v>94788</v>
      </c>
      <c r="V264" s="1">
        <v>99912</v>
      </c>
      <c r="W264" s="1">
        <v>99912</v>
      </c>
      <c r="X264" s="1">
        <v>99912</v>
      </c>
      <c r="Y264" s="1">
        <v>99912</v>
      </c>
      <c r="Z264" s="1">
        <v>99912</v>
      </c>
      <c r="AA264" s="1">
        <v>103475</v>
      </c>
      <c r="AB264" s="2">
        <v>1.6000000000000001E-3</v>
      </c>
      <c r="AC264" s="2">
        <v>5.5999999999999999E-3</v>
      </c>
      <c r="AD264" s="2">
        <v>1.44E-2</v>
      </c>
      <c r="AE264" s="2">
        <v>2.7300000000000001E-2</v>
      </c>
      <c r="AF264" s="2">
        <v>3.9300000000000002E-2</v>
      </c>
      <c r="AG264" s="2">
        <v>-3.3799999999999997E-2</v>
      </c>
      <c r="AH264" t="s">
        <v>34</v>
      </c>
      <c r="AI264" t="s">
        <v>36</v>
      </c>
      <c r="AJ264" t="s">
        <v>38</v>
      </c>
      <c r="AK264" t="s">
        <v>40</v>
      </c>
      <c r="AL264">
        <v>0</v>
      </c>
      <c r="AM264" t="s">
        <v>41</v>
      </c>
      <c r="AN264" t="s">
        <v>42</v>
      </c>
      <c r="AO264" t="s">
        <v>30</v>
      </c>
      <c r="AP264" t="s">
        <v>45</v>
      </c>
      <c r="AQ264" t="s">
        <v>45</v>
      </c>
      <c r="AR264" t="s">
        <v>48</v>
      </c>
      <c r="AS264" t="s">
        <v>48</v>
      </c>
      <c r="AT264" t="s">
        <v>51</v>
      </c>
      <c r="AU264" t="s">
        <v>53</v>
      </c>
      <c r="AZ264">
        <v>0</v>
      </c>
      <c r="BA264" t="s">
        <v>59</v>
      </c>
      <c r="BB264" t="s">
        <v>61</v>
      </c>
      <c r="BC264" s="5" t="s">
        <v>62</v>
      </c>
    </row>
    <row r="265" spans="1:55" x14ac:dyDescent="0.4">
      <c r="A265" t="s">
        <v>251</v>
      </c>
      <c r="B265" t="s">
        <v>10</v>
      </c>
      <c r="C265" t="s">
        <v>362</v>
      </c>
      <c r="D265" t="s">
        <v>11</v>
      </c>
      <c r="E265" s="2">
        <v>5.1000000000000004E-3</v>
      </c>
      <c r="F265" t="s">
        <v>12</v>
      </c>
      <c r="G265" s="4" t="s">
        <v>1331</v>
      </c>
      <c r="H265" t="s">
        <v>362</v>
      </c>
      <c r="I265" t="s">
        <v>6525</v>
      </c>
      <c r="J265" t="s">
        <v>6526</v>
      </c>
      <c r="K265" t="s">
        <v>23</v>
      </c>
      <c r="L265" s="2">
        <v>6.5000000000000002E-2</v>
      </c>
      <c r="M265" t="s">
        <v>358</v>
      </c>
      <c r="N265" t="s">
        <v>121</v>
      </c>
      <c r="O265" t="s">
        <v>6527</v>
      </c>
      <c r="P265" t="s">
        <v>1552</v>
      </c>
      <c r="Q265" t="s">
        <v>1552</v>
      </c>
      <c r="R265" t="s">
        <v>1552</v>
      </c>
      <c r="S265" t="s">
        <v>1552</v>
      </c>
      <c r="T265" t="s">
        <v>1121</v>
      </c>
      <c r="U265" t="s">
        <v>1912</v>
      </c>
      <c r="V265" t="s">
        <v>3420</v>
      </c>
      <c r="W265" t="s">
        <v>3420</v>
      </c>
      <c r="X265" t="s">
        <v>2689</v>
      </c>
      <c r="Y265" t="s">
        <v>2874</v>
      </c>
      <c r="Z265" t="s">
        <v>2874</v>
      </c>
      <c r="AA265" t="s">
        <v>2874</v>
      </c>
      <c r="AB265" s="2">
        <v>1.5299999999999999E-2</v>
      </c>
      <c r="AC265" s="2">
        <v>-5.0000000000000001E-3</v>
      </c>
      <c r="AD265" s="2">
        <v>-1.9699999999999999E-2</v>
      </c>
      <c r="AE265" s="2">
        <v>-5.0000000000000001E-3</v>
      </c>
      <c r="AF265" s="2">
        <v>-5.0000000000000001E-3</v>
      </c>
      <c r="AG265" s="2">
        <v>-1.49E-2</v>
      </c>
      <c r="AH265" t="s">
        <v>6528</v>
      </c>
      <c r="AI265" t="s">
        <v>232</v>
      </c>
      <c r="AJ265" t="s">
        <v>131</v>
      </c>
      <c r="AK265" t="s">
        <v>40</v>
      </c>
      <c r="AL265">
        <v>1</v>
      </c>
      <c r="AM265" t="s">
        <v>41</v>
      </c>
      <c r="AN265" t="s">
        <v>42</v>
      </c>
      <c r="AO265" t="s">
        <v>6527</v>
      </c>
      <c r="AP265" t="s">
        <v>1486</v>
      </c>
      <c r="AQ265" t="s">
        <v>1486</v>
      </c>
      <c r="AR265" t="s">
        <v>48</v>
      </c>
      <c r="AS265" t="s">
        <v>48</v>
      </c>
    </row>
    <row r="266" spans="1:55" x14ac:dyDescent="0.4">
      <c r="A266" t="s">
        <v>4453</v>
      </c>
      <c r="B266" t="s">
        <v>10</v>
      </c>
      <c r="C266" t="s">
        <v>7483</v>
      </c>
      <c r="D266" t="s">
        <v>11</v>
      </c>
      <c r="E266" s="2">
        <v>-8.9999999999999998E-4</v>
      </c>
      <c r="F266" t="s">
        <v>1057</v>
      </c>
      <c r="G266" s="4">
        <f>-0.08 / -0.09%</f>
        <v>88.8888888888889</v>
      </c>
      <c r="H266" t="s">
        <v>7483</v>
      </c>
      <c r="I266" t="s">
        <v>7484</v>
      </c>
      <c r="J266" t="s">
        <v>7485</v>
      </c>
      <c r="K266" t="s">
        <v>23</v>
      </c>
      <c r="L266" s="2">
        <v>7.4999999999999997E-3</v>
      </c>
      <c r="M266" t="s">
        <v>6075</v>
      </c>
      <c r="N266" t="s">
        <v>28</v>
      </c>
      <c r="O266" t="s">
        <v>7486</v>
      </c>
      <c r="P266" t="s">
        <v>7487</v>
      </c>
      <c r="Q266" t="s">
        <v>7487</v>
      </c>
      <c r="R266" t="s">
        <v>5764</v>
      </c>
      <c r="S266" t="s">
        <v>7488</v>
      </c>
      <c r="T266" t="s">
        <v>7489</v>
      </c>
      <c r="U266" t="s">
        <v>2048</v>
      </c>
      <c r="V266" t="s">
        <v>3288</v>
      </c>
      <c r="W266" t="s">
        <v>3609</v>
      </c>
      <c r="X266" t="s">
        <v>3609</v>
      </c>
      <c r="Y266" t="s">
        <v>3609</v>
      </c>
      <c r="Z266" t="s">
        <v>3609</v>
      </c>
      <c r="AA266" t="s">
        <v>735</v>
      </c>
      <c r="AB266" s="2">
        <v>-6.1999999999999998E-3</v>
      </c>
      <c r="AC266" s="2">
        <v>-9.7999999999999997E-3</v>
      </c>
      <c r="AD266" s="2">
        <v>1.7000000000000001E-2</v>
      </c>
      <c r="AE266" s="2">
        <v>3.27E-2</v>
      </c>
      <c r="AF266" s="2">
        <v>5.0799999999999998E-2</v>
      </c>
      <c r="AG266" s="2">
        <v>-0.1326</v>
      </c>
      <c r="AH266" t="s">
        <v>7490</v>
      </c>
      <c r="AI266" t="s">
        <v>130</v>
      </c>
      <c r="AJ266" t="s">
        <v>131</v>
      </c>
      <c r="AK266" t="s">
        <v>40</v>
      </c>
      <c r="AL266">
        <v>100</v>
      </c>
      <c r="AM266" t="s">
        <v>41</v>
      </c>
      <c r="AN266" t="s">
        <v>42</v>
      </c>
      <c r="AO266" t="s">
        <v>7486</v>
      </c>
      <c r="AP266" t="s">
        <v>3347</v>
      </c>
      <c r="AQ266" t="s">
        <v>3347</v>
      </c>
      <c r="AR266" t="s">
        <v>48</v>
      </c>
      <c r="AS266" t="s">
        <v>48</v>
      </c>
    </row>
    <row r="267" spans="1:55" x14ac:dyDescent="0.4">
      <c r="A267" t="s">
        <v>76</v>
      </c>
      <c r="B267" t="s">
        <v>10</v>
      </c>
      <c r="C267" t="s">
        <v>205</v>
      </c>
      <c r="D267" t="s">
        <v>11</v>
      </c>
      <c r="E267" s="2">
        <v>-1.2999999999999999E-3</v>
      </c>
      <c r="F267" t="s">
        <v>12</v>
      </c>
      <c r="G267" s="4">
        <f>-0.12 / -0.13%</f>
        <v>92.307692307692307</v>
      </c>
      <c r="H267" t="s">
        <v>205</v>
      </c>
      <c r="I267" t="s">
        <v>6393</v>
      </c>
      <c r="J267" t="s">
        <v>6394</v>
      </c>
      <c r="K267" t="s">
        <v>23</v>
      </c>
      <c r="L267" s="2">
        <v>1.4999999999999999E-2</v>
      </c>
      <c r="M267" t="s">
        <v>460</v>
      </c>
      <c r="N267" t="s">
        <v>28</v>
      </c>
      <c r="O267" t="s">
        <v>6395</v>
      </c>
      <c r="P267" t="s">
        <v>2230</v>
      </c>
      <c r="Q267" t="s">
        <v>6086</v>
      </c>
      <c r="R267" t="s">
        <v>4981</v>
      </c>
      <c r="S267" s="1">
        <v>90705</v>
      </c>
      <c r="T267" t="s">
        <v>6396</v>
      </c>
      <c r="U267" s="1">
        <v>86605</v>
      </c>
      <c r="V267" t="s">
        <v>116</v>
      </c>
      <c r="W267" t="s">
        <v>2892</v>
      </c>
      <c r="X267" t="s">
        <v>2892</v>
      </c>
      <c r="Y267" t="s">
        <v>2892</v>
      </c>
      <c r="Z267" t="s">
        <v>2892</v>
      </c>
      <c r="AA267" t="s">
        <v>2427</v>
      </c>
      <c r="AB267" s="2">
        <v>-9.4999999999999998E-3</v>
      </c>
      <c r="AC267" s="2">
        <v>-7.7999999999999996E-3</v>
      </c>
      <c r="AD267" s="2">
        <v>1.32E-2</v>
      </c>
      <c r="AE267" s="2">
        <v>2.6200000000000001E-2</v>
      </c>
      <c r="AF267" s="2">
        <v>3.2800000000000003E-2</v>
      </c>
      <c r="AG267" s="2">
        <v>-5.5E-2</v>
      </c>
      <c r="AH267" t="s">
        <v>6397</v>
      </c>
      <c r="AI267" t="s">
        <v>130</v>
      </c>
      <c r="AJ267" t="s">
        <v>131</v>
      </c>
      <c r="AK267" t="s">
        <v>40</v>
      </c>
      <c r="AL267">
        <v>100</v>
      </c>
      <c r="AM267" t="s">
        <v>41</v>
      </c>
      <c r="AN267" t="s">
        <v>42</v>
      </c>
      <c r="AO267" t="s">
        <v>6395</v>
      </c>
      <c r="AP267" t="s">
        <v>357</v>
      </c>
      <c r="AQ267" t="s">
        <v>357</v>
      </c>
      <c r="AR267" t="s">
        <v>48</v>
      </c>
      <c r="AS267" t="s">
        <v>48</v>
      </c>
    </row>
    <row r="268" spans="1:55" x14ac:dyDescent="0.4">
      <c r="A268" t="s">
        <v>740</v>
      </c>
      <c r="B268" t="s">
        <v>10</v>
      </c>
      <c r="C268" t="s">
        <v>7286</v>
      </c>
      <c r="D268" t="s">
        <v>11</v>
      </c>
      <c r="E268" s="2">
        <v>1.6999999999999999E-3</v>
      </c>
      <c r="F268" t="s">
        <v>12</v>
      </c>
      <c r="G268" s="4" t="s">
        <v>7287</v>
      </c>
      <c r="H268" t="s">
        <v>7286</v>
      </c>
      <c r="I268" t="s">
        <v>7288</v>
      </c>
      <c r="J268" t="s">
        <v>7289</v>
      </c>
      <c r="K268" t="s">
        <v>23</v>
      </c>
      <c r="L268" s="2">
        <v>4.2500000000000003E-2</v>
      </c>
      <c r="M268" t="s">
        <v>2777</v>
      </c>
      <c r="N268" t="s">
        <v>121</v>
      </c>
      <c r="O268" t="s">
        <v>5907</v>
      </c>
      <c r="P268" t="s">
        <v>7290</v>
      </c>
      <c r="Q268" t="s">
        <v>7290</v>
      </c>
      <c r="R268" t="s">
        <v>7290</v>
      </c>
      <c r="S268" t="s">
        <v>7290</v>
      </c>
      <c r="T268" t="s">
        <v>7291</v>
      </c>
      <c r="U268" t="s">
        <v>7291</v>
      </c>
      <c r="V268" t="s">
        <v>7292</v>
      </c>
      <c r="W268" t="s">
        <v>7293</v>
      </c>
      <c r="X268" t="s">
        <v>4351</v>
      </c>
      <c r="Y268" t="s">
        <v>4351</v>
      </c>
      <c r="Z268" t="s">
        <v>4351</v>
      </c>
      <c r="AA268" t="s">
        <v>1197</v>
      </c>
      <c r="AB268" s="2">
        <v>6.9999999999999999E-4</v>
      </c>
      <c r="AC268" s="2">
        <v>-3.7900000000000003E-2</v>
      </c>
      <c r="AD268" s="2">
        <v>-4.2599999999999999E-2</v>
      </c>
      <c r="AE268" s="2">
        <v>-3.1300000000000001E-2</v>
      </c>
      <c r="AF268" s="2">
        <v>-5.4100000000000002E-2</v>
      </c>
      <c r="AG268" s="2">
        <v>-0.24460000000000001</v>
      </c>
      <c r="AH268" t="s">
        <v>7294</v>
      </c>
      <c r="AI268" t="s">
        <v>130</v>
      </c>
      <c r="AJ268" t="s">
        <v>131</v>
      </c>
      <c r="AK268" t="s">
        <v>40</v>
      </c>
      <c r="AL268">
        <v>2</v>
      </c>
      <c r="AM268" t="s">
        <v>41</v>
      </c>
      <c r="AN268" t="s">
        <v>42</v>
      </c>
      <c r="AO268" t="s">
        <v>5907</v>
      </c>
      <c r="AP268" t="s">
        <v>357</v>
      </c>
      <c r="AQ268" t="s">
        <v>357</v>
      </c>
      <c r="AR268" t="s">
        <v>133</v>
      </c>
      <c r="AS268" t="s">
        <v>133</v>
      </c>
    </row>
    <row r="269" spans="1:55" x14ac:dyDescent="0.4">
      <c r="A269" t="s">
        <v>4453</v>
      </c>
      <c r="B269" t="s">
        <v>10</v>
      </c>
      <c r="C269" t="s">
        <v>1655</v>
      </c>
      <c r="D269" t="s">
        <v>11</v>
      </c>
      <c r="E269" s="2">
        <v>-1E-3</v>
      </c>
      <c r="F269" t="s">
        <v>310</v>
      </c>
      <c r="G269" s="4">
        <f>-0.1 / -0.1%</f>
        <v>100</v>
      </c>
      <c r="H269" t="s">
        <v>1655</v>
      </c>
      <c r="I269" t="s">
        <v>6990</v>
      </c>
      <c r="J269" t="s">
        <v>6991</v>
      </c>
      <c r="K269" t="s">
        <v>23</v>
      </c>
      <c r="L269" s="2">
        <v>3.125E-2</v>
      </c>
      <c r="M269" t="s">
        <v>5985</v>
      </c>
      <c r="N269" t="s">
        <v>28</v>
      </c>
      <c r="O269" t="s">
        <v>2191</v>
      </c>
      <c r="P269" t="s">
        <v>1482</v>
      </c>
      <c r="Q269" t="s">
        <v>1482</v>
      </c>
      <c r="R269" t="s">
        <v>1482</v>
      </c>
      <c r="S269" t="s">
        <v>2941</v>
      </c>
      <c r="T269" t="s">
        <v>2941</v>
      </c>
      <c r="U269" t="s">
        <v>2941</v>
      </c>
      <c r="V269" t="s">
        <v>3397</v>
      </c>
      <c r="W269" t="s">
        <v>3120</v>
      </c>
      <c r="X269" t="s">
        <v>6992</v>
      </c>
      <c r="Y269" t="s">
        <v>6992</v>
      </c>
      <c r="Z269" t="s">
        <v>6992</v>
      </c>
      <c r="AA269" t="s">
        <v>6992</v>
      </c>
      <c r="AB269" s="2">
        <v>-5.0000000000000001E-3</v>
      </c>
      <c r="AC269" s="2">
        <v>-1.21E-2</v>
      </c>
      <c r="AD269" s="2">
        <v>5.1000000000000004E-3</v>
      </c>
      <c r="AE269" s="2">
        <v>1.66E-2</v>
      </c>
      <c r="AF269" s="2">
        <v>1.66E-2</v>
      </c>
      <c r="AG269" s="2">
        <v>1.66E-2</v>
      </c>
      <c r="AH269" t="s">
        <v>6993</v>
      </c>
      <c r="AI269" t="s">
        <v>130</v>
      </c>
      <c r="AJ269" t="s">
        <v>131</v>
      </c>
      <c r="AK269" t="s">
        <v>40</v>
      </c>
      <c r="AL269">
        <v>100</v>
      </c>
      <c r="AM269" t="s">
        <v>41</v>
      </c>
      <c r="AN269" t="s">
        <v>42</v>
      </c>
      <c r="AO269" t="s">
        <v>2191</v>
      </c>
      <c r="AP269" t="s">
        <v>407</v>
      </c>
      <c r="AQ269" t="s">
        <v>407</v>
      </c>
      <c r="AR269" t="s">
        <v>48</v>
      </c>
      <c r="AS269" t="s">
        <v>48</v>
      </c>
    </row>
    <row r="270" spans="1:55" x14ac:dyDescent="0.4">
      <c r="A270" t="s">
        <v>76</v>
      </c>
      <c r="B270" t="s">
        <v>10</v>
      </c>
      <c r="C270" t="s">
        <v>5542</v>
      </c>
      <c r="D270" t="s">
        <v>11</v>
      </c>
      <c r="E270" s="2">
        <v>3.3E-3</v>
      </c>
      <c r="F270" t="s">
        <v>12</v>
      </c>
      <c r="G270" s="4" t="s">
        <v>5543</v>
      </c>
      <c r="H270" t="s">
        <v>5542</v>
      </c>
      <c r="I270" t="s">
        <v>5544</v>
      </c>
      <c r="J270" t="s">
        <v>5545</v>
      </c>
      <c r="K270" t="s">
        <v>23</v>
      </c>
      <c r="L270" s="2">
        <v>3.15E-2</v>
      </c>
      <c r="M270" t="s">
        <v>5546</v>
      </c>
      <c r="N270" t="s">
        <v>121</v>
      </c>
      <c r="O270" t="s">
        <v>5547</v>
      </c>
      <c r="P270" t="s">
        <v>876</v>
      </c>
      <c r="Q270" t="s">
        <v>876</v>
      </c>
      <c r="R270" t="s">
        <v>2701</v>
      </c>
      <c r="S270" t="s">
        <v>5548</v>
      </c>
      <c r="T270" s="1">
        <v>89805</v>
      </c>
      <c r="U270" t="s">
        <v>5549</v>
      </c>
      <c r="V270" t="s">
        <v>5542</v>
      </c>
      <c r="W270" t="s">
        <v>5137</v>
      </c>
      <c r="X270" t="s">
        <v>5550</v>
      </c>
      <c r="Y270" t="s">
        <v>5550</v>
      </c>
      <c r="Z270" t="s">
        <v>5550</v>
      </c>
      <c r="AA270" t="s">
        <v>1713</v>
      </c>
      <c r="AB270" s="2">
        <v>4.7999999999999996E-3</v>
      </c>
      <c r="AC270" s="2">
        <v>-2.0000000000000001E-4</v>
      </c>
      <c r="AD270" s="2">
        <v>1.09E-2</v>
      </c>
      <c r="AE270" s="2">
        <v>2.1299999999999999E-2</v>
      </c>
      <c r="AF270" s="2">
        <v>2.0400000000000001E-2</v>
      </c>
      <c r="AG270" s="2">
        <v>-7.6100000000000001E-2</v>
      </c>
      <c r="AH270" t="s">
        <v>5551</v>
      </c>
      <c r="AI270" t="s">
        <v>130</v>
      </c>
      <c r="AJ270" t="s">
        <v>131</v>
      </c>
      <c r="AK270" t="s">
        <v>40</v>
      </c>
      <c r="AL270">
        <v>2</v>
      </c>
      <c r="AM270" t="s">
        <v>41</v>
      </c>
      <c r="AN270" t="s">
        <v>42</v>
      </c>
      <c r="AO270" t="s">
        <v>5547</v>
      </c>
      <c r="AP270" t="s">
        <v>357</v>
      </c>
      <c r="AQ270" t="s">
        <v>357</v>
      </c>
      <c r="AR270" t="s">
        <v>133</v>
      </c>
      <c r="AS270" t="s">
        <v>133</v>
      </c>
    </row>
    <row r="271" spans="1:55" x14ac:dyDescent="0.4">
      <c r="A271" t="s">
        <v>4453</v>
      </c>
      <c r="B271" t="s">
        <v>10</v>
      </c>
      <c r="C271" t="s">
        <v>247</v>
      </c>
      <c r="D271" t="s">
        <v>11</v>
      </c>
      <c r="E271" s="2">
        <v>-5.0000000000000001E-4</v>
      </c>
      <c r="F271" t="s">
        <v>178</v>
      </c>
      <c r="G271" s="4">
        <f>-0.05 / -0.05%</f>
        <v>100</v>
      </c>
      <c r="H271" t="s">
        <v>247</v>
      </c>
      <c r="I271" t="s">
        <v>7295</v>
      </c>
      <c r="J271" t="s">
        <v>7296</v>
      </c>
      <c r="K271" t="s">
        <v>23</v>
      </c>
      <c r="L271" s="2">
        <v>5.2499999999999998E-2</v>
      </c>
      <c r="M271" t="s">
        <v>4641</v>
      </c>
      <c r="N271" t="s">
        <v>121</v>
      </c>
      <c r="O271" t="s">
        <v>1640</v>
      </c>
      <c r="P271" t="s">
        <v>5393</v>
      </c>
      <c r="Q271" t="s">
        <v>5393</v>
      </c>
      <c r="R271" t="s">
        <v>5393</v>
      </c>
      <c r="S271" t="s">
        <v>559</v>
      </c>
      <c r="T271" t="s">
        <v>559</v>
      </c>
      <c r="U271" t="s">
        <v>559</v>
      </c>
      <c r="V271" t="s">
        <v>1385</v>
      </c>
      <c r="W271" t="s">
        <v>7282</v>
      </c>
      <c r="X271" t="s">
        <v>560</v>
      </c>
      <c r="Y271" t="s">
        <v>560</v>
      </c>
      <c r="Z271" t="s">
        <v>560</v>
      </c>
      <c r="AA271" t="s">
        <v>560</v>
      </c>
      <c r="AB271" s="2">
        <v>-5.8999999999999999E-3</v>
      </c>
      <c r="AC271" s="2">
        <v>-2.5999999999999999E-2</v>
      </c>
      <c r="AD271" s="2">
        <v>-1.29E-2</v>
      </c>
      <c r="AE271" s="2">
        <v>-1.4E-3</v>
      </c>
      <c r="AF271" s="2">
        <v>-1.4E-3</v>
      </c>
      <c r="AG271" s="2">
        <v>-1.4E-3</v>
      </c>
      <c r="AH271" t="s">
        <v>7297</v>
      </c>
      <c r="AI271" t="s">
        <v>130</v>
      </c>
      <c r="AJ271" t="s">
        <v>131</v>
      </c>
      <c r="AK271" t="s">
        <v>40</v>
      </c>
      <c r="AL271">
        <v>2</v>
      </c>
      <c r="AM271" t="s">
        <v>41</v>
      </c>
      <c r="AN271" t="s">
        <v>42</v>
      </c>
      <c r="AO271" t="s">
        <v>1640</v>
      </c>
      <c r="AP271" t="s">
        <v>643</v>
      </c>
      <c r="AQ271" t="s">
        <v>643</v>
      </c>
      <c r="AR271" t="s">
        <v>133</v>
      </c>
      <c r="AS271" t="s">
        <v>133</v>
      </c>
    </row>
    <row r="272" spans="1:55" x14ac:dyDescent="0.4">
      <c r="A272" t="s">
        <v>4596</v>
      </c>
      <c r="B272" t="s">
        <v>10</v>
      </c>
      <c r="C272" t="s">
        <v>2260</v>
      </c>
      <c r="D272" t="s">
        <v>11</v>
      </c>
      <c r="E272" s="2">
        <v>-4.5999999999999999E-3</v>
      </c>
      <c r="F272" t="s">
        <v>4596</v>
      </c>
      <c r="G272" s="4">
        <f>-0.43 / -0.46%</f>
        <v>93.478260869565219</v>
      </c>
      <c r="H272" t="s">
        <v>2260</v>
      </c>
      <c r="I272" t="s">
        <v>6410</v>
      </c>
      <c r="J272" t="s">
        <v>6411</v>
      </c>
      <c r="K272" t="s">
        <v>214</v>
      </c>
      <c r="N272" t="s">
        <v>1142</v>
      </c>
      <c r="O272" t="s">
        <v>6412</v>
      </c>
      <c r="P272" t="s">
        <v>6375</v>
      </c>
      <c r="Q272" t="s">
        <v>6375</v>
      </c>
      <c r="R272" t="s">
        <v>6375</v>
      </c>
      <c r="S272" t="s">
        <v>6413</v>
      </c>
      <c r="T272" t="s">
        <v>6413</v>
      </c>
      <c r="U272" t="s">
        <v>6413</v>
      </c>
      <c r="V272" t="s">
        <v>3713</v>
      </c>
      <c r="W272" t="s">
        <v>2269</v>
      </c>
      <c r="X272" t="s">
        <v>5000</v>
      </c>
      <c r="Y272" t="s">
        <v>5000</v>
      </c>
      <c r="Z272" t="s">
        <v>5000</v>
      </c>
      <c r="AA272" t="s">
        <v>5000</v>
      </c>
      <c r="AB272" s="2">
        <v>-1.2800000000000001E-2</v>
      </c>
      <c r="AC272" s="2">
        <v>-3.1199999999999999E-2</v>
      </c>
      <c r="AD272" s="2">
        <v>-1.61E-2</v>
      </c>
      <c r="AE272" s="2">
        <v>-5.67E-2</v>
      </c>
      <c r="AF272" s="2">
        <v>-5.67E-2</v>
      </c>
      <c r="AG272" s="2">
        <v>-5.67E-2</v>
      </c>
      <c r="AH272" t="s">
        <v>223</v>
      </c>
      <c r="AI272" t="s">
        <v>130</v>
      </c>
      <c r="AJ272" t="s">
        <v>38</v>
      </c>
      <c r="AK272" t="s">
        <v>40</v>
      </c>
      <c r="AM272" t="s">
        <v>41</v>
      </c>
      <c r="AN272" t="s">
        <v>42</v>
      </c>
      <c r="AO272" t="s">
        <v>569</v>
      </c>
      <c r="AP272" t="s">
        <v>835</v>
      </c>
      <c r="AQ272" t="s">
        <v>835</v>
      </c>
      <c r="AR272" t="s">
        <v>133</v>
      </c>
      <c r="AS272" t="s">
        <v>133</v>
      </c>
    </row>
    <row r="273" spans="1:54" x14ac:dyDescent="0.4">
      <c r="A273" t="s">
        <v>4648</v>
      </c>
      <c r="B273" t="s">
        <v>10</v>
      </c>
      <c r="C273" t="s">
        <v>1911</v>
      </c>
      <c r="D273" t="s">
        <v>11</v>
      </c>
      <c r="E273" s="2">
        <v>0</v>
      </c>
      <c r="F273" t="s">
        <v>5876</v>
      </c>
      <c r="G273" s="4" t="s">
        <v>15</v>
      </c>
      <c r="H273" t="s">
        <v>1911</v>
      </c>
      <c r="I273" t="s">
        <v>5883</v>
      </c>
      <c r="J273" t="s">
        <v>5883</v>
      </c>
      <c r="K273" t="s">
        <v>214</v>
      </c>
      <c r="N273" t="s">
        <v>28</v>
      </c>
      <c r="O273" t="s">
        <v>5884</v>
      </c>
      <c r="P273" t="s">
        <v>1911</v>
      </c>
      <c r="Q273" t="s">
        <v>1911</v>
      </c>
      <c r="R273" t="s">
        <v>1911</v>
      </c>
      <c r="S273" t="s">
        <v>1911</v>
      </c>
      <c r="T273" t="s">
        <v>3179</v>
      </c>
      <c r="U273" t="s">
        <v>3179</v>
      </c>
      <c r="V273" t="s">
        <v>1911</v>
      </c>
      <c r="W273" t="s">
        <v>1911</v>
      </c>
      <c r="X273" t="s">
        <v>1911</v>
      </c>
      <c r="Y273" t="s">
        <v>1911</v>
      </c>
      <c r="Z273" t="s">
        <v>110</v>
      </c>
      <c r="AA273" t="s">
        <v>5885</v>
      </c>
      <c r="AB273" s="2">
        <v>0</v>
      </c>
      <c r="AC273" s="2">
        <v>0</v>
      </c>
      <c r="AD273" s="2">
        <v>0</v>
      </c>
      <c r="AE273" s="2">
        <v>0</v>
      </c>
      <c r="AF273" s="2">
        <v>-0.14000000000000001</v>
      </c>
      <c r="AG273" s="2">
        <v>-0.2515</v>
      </c>
      <c r="AH273" t="s">
        <v>223</v>
      </c>
      <c r="AI273" t="s">
        <v>224</v>
      </c>
      <c r="AJ273" t="s">
        <v>38</v>
      </c>
      <c r="AK273" t="s">
        <v>40</v>
      </c>
      <c r="AM273" t="s">
        <v>41</v>
      </c>
      <c r="AN273" t="s">
        <v>42</v>
      </c>
      <c r="AO273" t="s">
        <v>5884</v>
      </c>
      <c r="AP273" t="s">
        <v>5886</v>
      </c>
      <c r="AQ273" t="s">
        <v>5887</v>
      </c>
      <c r="AR273" t="s">
        <v>5888</v>
      </c>
      <c r="AS273" t="s">
        <v>5888</v>
      </c>
    </row>
    <row r="274" spans="1:54" x14ac:dyDescent="0.4">
      <c r="A274" t="s">
        <v>4448</v>
      </c>
      <c r="B274" t="s">
        <v>10</v>
      </c>
      <c r="C274" t="s">
        <v>5714</v>
      </c>
      <c r="D274" t="s">
        <v>11</v>
      </c>
      <c r="E274" s="2">
        <v>-1E-3</v>
      </c>
      <c r="F274" t="s">
        <v>4448</v>
      </c>
      <c r="G274" s="4">
        <f>-0.09 / -0.1%</f>
        <v>90</v>
      </c>
      <c r="H274" t="s">
        <v>5714</v>
      </c>
      <c r="I274" t="s">
        <v>7101</v>
      </c>
      <c r="J274" t="s">
        <v>7102</v>
      </c>
      <c r="K274" t="s">
        <v>214</v>
      </c>
      <c r="L274" s="2">
        <v>6.4999999999999997E-3</v>
      </c>
      <c r="M274" t="s">
        <v>4184</v>
      </c>
      <c r="N274" t="s">
        <v>28</v>
      </c>
      <c r="O274" t="s">
        <v>5917</v>
      </c>
      <c r="P274" t="s">
        <v>7103</v>
      </c>
      <c r="Q274" t="s">
        <v>7103</v>
      </c>
      <c r="R274" t="s">
        <v>3220</v>
      </c>
      <c r="S274" t="s">
        <v>7104</v>
      </c>
      <c r="T274" t="s">
        <v>7105</v>
      </c>
      <c r="U274" t="s">
        <v>7105</v>
      </c>
      <c r="V274" t="s">
        <v>1090</v>
      </c>
      <c r="W274" t="s">
        <v>5920</v>
      </c>
      <c r="X274" t="s">
        <v>5920</v>
      </c>
      <c r="Y274" t="s">
        <v>5920</v>
      </c>
      <c r="Z274" t="s">
        <v>5920</v>
      </c>
      <c r="AA274" t="s">
        <v>1833</v>
      </c>
      <c r="AB274" s="2">
        <v>-7.6E-3</v>
      </c>
      <c r="AC274" s="2">
        <v>2.0999999999999999E-3</v>
      </c>
      <c r="AD274" s="2">
        <v>0.02</v>
      </c>
      <c r="AE274" s="2">
        <v>5.6300000000000003E-2</v>
      </c>
      <c r="AF274" s="2">
        <v>6.6400000000000001E-2</v>
      </c>
      <c r="AG274" s="2">
        <v>-0.1018</v>
      </c>
      <c r="AH274" t="s">
        <v>223</v>
      </c>
      <c r="AI274" t="s">
        <v>224</v>
      </c>
      <c r="AJ274" t="s">
        <v>38</v>
      </c>
      <c r="AK274" t="s">
        <v>40</v>
      </c>
      <c r="AM274" t="s">
        <v>41</v>
      </c>
      <c r="AN274" t="s">
        <v>42</v>
      </c>
      <c r="AO274" t="s">
        <v>5917</v>
      </c>
      <c r="AP274" t="s">
        <v>835</v>
      </c>
      <c r="AQ274" t="s">
        <v>835</v>
      </c>
      <c r="BA274" t="s">
        <v>59</v>
      </c>
      <c r="BB274" t="s">
        <v>61</v>
      </c>
    </row>
    <row r="275" spans="1:54" x14ac:dyDescent="0.4">
      <c r="A275" t="s">
        <v>7129</v>
      </c>
      <c r="B275" t="s">
        <v>10</v>
      </c>
      <c r="C275" t="s">
        <v>775</v>
      </c>
      <c r="D275" t="s">
        <v>11</v>
      </c>
      <c r="E275" s="2">
        <v>-1E-4</v>
      </c>
      <c r="F275" t="s">
        <v>7129</v>
      </c>
      <c r="G275" s="4">
        <f>-0.01 / -0.01%</f>
        <v>100</v>
      </c>
      <c r="H275" t="s">
        <v>775</v>
      </c>
      <c r="I275" t="s">
        <v>7130</v>
      </c>
      <c r="J275" t="s">
        <v>7131</v>
      </c>
      <c r="K275" t="s">
        <v>214</v>
      </c>
      <c r="L275" s="2">
        <v>3.2000000000000001E-2</v>
      </c>
      <c r="M275" t="s">
        <v>7132</v>
      </c>
      <c r="N275" t="s">
        <v>28</v>
      </c>
      <c r="O275" t="s">
        <v>3007</v>
      </c>
      <c r="P275" t="s">
        <v>6188</v>
      </c>
      <c r="Q275" t="s">
        <v>1195</v>
      </c>
      <c r="R275" t="s">
        <v>4781</v>
      </c>
      <c r="S275" t="s">
        <v>1798</v>
      </c>
      <c r="T275" t="s">
        <v>719</v>
      </c>
      <c r="U275" t="s">
        <v>719</v>
      </c>
      <c r="V275" t="s">
        <v>4223</v>
      </c>
      <c r="W275" t="s">
        <v>1472</v>
      </c>
      <c r="X275" t="s">
        <v>464</v>
      </c>
      <c r="Y275" t="s">
        <v>464</v>
      </c>
      <c r="Z275" t="s">
        <v>464</v>
      </c>
      <c r="AA275" t="s">
        <v>464</v>
      </c>
      <c r="AB275" s="2">
        <v>-4.0000000000000002E-4</v>
      </c>
      <c r="AC275" s="2">
        <v>2E-3</v>
      </c>
      <c r="AD275" s="2">
        <v>1.14E-2</v>
      </c>
      <c r="AE275" s="2">
        <v>2.5499999999999998E-2</v>
      </c>
      <c r="AF275" s="2">
        <v>1.1900000000000001E-2</v>
      </c>
      <c r="AG275" s="2">
        <v>1.1900000000000001E-2</v>
      </c>
      <c r="AH275" t="s">
        <v>223</v>
      </c>
      <c r="AI275" t="s">
        <v>224</v>
      </c>
      <c r="AJ275" t="s">
        <v>38</v>
      </c>
      <c r="AK275" t="s">
        <v>40</v>
      </c>
      <c r="AM275" t="s">
        <v>41</v>
      </c>
      <c r="AN275" t="s">
        <v>42</v>
      </c>
      <c r="AO275" t="s">
        <v>3007</v>
      </c>
      <c r="AP275" t="s">
        <v>3153</v>
      </c>
      <c r="AQ275" t="s">
        <v>3153</v>
      </c>
      <c r="BA275" t="s">
        <v>59</v>
      </c>
      <c r="BB275" t="s">
        <v>61</v>
      </c>
    </row>
    <row r="276" spans="1:54" x14ac:dyDescent="0.4">
      <c r="A276" t="s">
        <v>4448</v>
      </c>
      <c r="B276" t="s">
        <v>10</v>
      </c>
      <c r="C276" t="s">
        <v>1804</v>
      </c>
      <c r="D276" t="s">
        <v>11</v>
      </c>
      <c r="E276" s="2">
        <v>-8.9999999999999998E-4</v>
      </c>
      <c r="F276" t="s">
        <v>4448</v>
      </c>
      <c r="G276" s="4">
        <f>-0.08 / -0.09%</f>
        <v>88.8888888888889</v>
      </c>
      <c r="H276" t="s">
        <v>1804</v>
      </c>
      <c r="I276" t="s">
        <v>6568</v>
      </c>
      <c r="J276" t="s">
        <v>6569</v>
      </c>
      <c r="K276" t="s">
        <v>214</v>
      </c>
      <c r="L276" s="2">
        <v>8.5000000000000006E-3</v>
      </c>
      <c r="M276" t="s">
        <v>6567</v>
      </c>
      <c r="N276" t="s">
        <v>28</v>
      </c>
      <c r="O276" t="s">
        <v>1320</v>
      </c>
      <c r="P276" t="s">
        <v>4072</v>
      </c>
      <c r="Q276" t="s">
        <v>6570</v>
      </c>
      <c r="R276" t="s">
        <v>6175</v>
      </c>
      <c r="S276" t="s">
        <v>3354</v>
      </c>
      <c r="T276" t="s">
        <v>1156</v>
      </c>
      <c r="U276" t="s">
        <v>1156</v>
      </c>
      <c r="V276" t="s">
        <v>695</v>
      </c>
      <c r="W276" t="s">
        <v>1421</v>
      </c>
      <c r="X276" t="s">
        <v>1421</v>
      </c>
      <c r="Y276" t="s">
        <v>1421</v>
      </c>
      <c r="Z276" t="s">
        <v>1421</v>
      </c>
      <c r="AA276" t="s">
        <v>1979</v>
      </c>
      <c r="AB276" s="2">
        <v>-4.7000000000000002E-3</v>
      </c>
      <c r="AC276" s="2">
        <v>1.6999999999999999E-3</v>
      </c>
      <c r="AD276" s="2">
        <v>2.0899999999999998E-2</v>
      </c>
      <c r="AE276" s="2">
        <v>4.4200000000000003E-2</v>
      </c>
      <c r="AF276" s="2">
        <v>6.2199999999999998E-2</v>
      </c>
      <c r="AG276" s="2">
        <v>-6.7500000000000004E-2</v>
      </c>
      <c r="AH276" t="s">
        <v>223</v>
      </c>
      <c r="AI276" t="s">
        <v>224</v>
      </c>
      <c r="AJ276" t="s">
        <v>38</v>
      </c>
      <c r="AK276" t="s">
        <v>40</v>
      </c>
      <c r="AM276" t="s">
        <v>41</v>
      </c>
      <c r="AN276" t="s">
        <v>42</v>
      </c>
      <c r="AO276" t="s">
        <v>1320</v>
      </c>
      <c r="AP276" t="s">
        <v>835</v>
      </c>
      <c r="AQ276" t="s">
        <v>835</v>
      </c>
      <c r="BA276" t="s">
        <v>59</v>
      </c>
      <c r="BB276" t="s">
        <v>61</v>
      </c>
    </row>
    <row r="277" spans="1:54" x14ac:dyDescent="0.4">
      <c r="A277" t="s">
        <v>4448</v>
      </c>
      <c r="B277" t="s">
        <v>10</v>
      </c>
      <c r="C277" t="s">
        <v>4606</v>
      </c>
      <c r="D277" t="s">
        <v>11</v>
      </c>
      <c r="E277" s="2">
        <v>-1.9E-3</v>
      </c>
      <c r="F277" t="s">
        <v>4448</v>
      </c>
      <c r="G277" s="4">
        <f>-0.16 / -0.19%</f>
        <v>84.21052631578948</v>
      </c>
      <c r="H277" t="s">
        <v>4606</v>
      </c>
      <c r="I277" t="s">
        <v>4607</v>
      </c>
      <c r="J277" t="s">
        <v>4608</v>
      </c>
      <c r="K277" t="s">
        <v>214</v>
      </c>
      <c r="L277" s="2">
        <v>8.0000000000000002E-3</v>
      </c>
      <c r="M277" t="s">
        <v>1083</v>
      </c>
      <c r="N277" t="s">
        <v>28</v>
      </c>
      <c r="O277" t="s">
        <v>4609</v>
      </c>
      <c r="P277" t="s">
        <v>4610</v>
      </c>
      <c r="Q277" t="s">
        <v>4610</v>
      </c>
      <c r="R277" t="s">
        <v>4611</v>
      </c>
      <c r="S277" t="s">
        <v>4612</v>
      </c>
      <c r="T277" t="s">
        <v>4613</v>
      </c>
      <c r="U277" t="s">
        <v>4613</v>
      </c>
      <c r="V277" t="s">
        <v>4614</v>
      </c>
      <c r="W277" t="s">
        <v>4615</v>
      </c>
      <c r="X277" t="s">
        <v>4615</v>
      </c>
      <c r="Y277" t="s">
        <v>4615</v>
      </c>
      <c r="Z277" t="s">
        <v>4615</v>
      </c>
      <c r="AA277" t="s">
        <v>4616</v>
      </c>
      <c r="AB277" s="2">
        <v>-1.3599999999999999E-2</v>
      </c>
      <c r="AC277" s="2">
        <v>5.7999999999999996E-3</v>
      </c>
      <c r="AD277" s="2">
        <v>1.8599999999999998E-2</v>
      </c>
      <c r="AE277" s="2">
        <v>8.8599999999999998E-2</v>
      </c>
      <c r="AF277" s="2">
        <v>6.9099999999999995E-2</v>
      </c>
      <c r="AG277" s="2">
        <v>-0.1578</v>
      </c>
      <c r="AH277" t="s">
        <v>223</v>
      </c>
      <c r="AI277" t="s">
        <v>224</v>
      </c>
      <c r="AJ277" t="s">
        <v>38</v>
      </c>
      <c r="AK277" t="s">
        <v>40</v>
      </c>
      <c r="AM277" t="s">
        <v>41</v>
      </c>
      <c r="AN277" t="s">
        <v>42</v>
      </c>
      <c r="AO277" t="s">
        <v>4609</v>
      </c>
      <c r="AP277" t="s">
        <v>835</v>
      </c>
      <c r="AQ277" t="s">
        <v>835</v>
      </c>
      <c r="BA277" t="s">
        <v>59</v>
      </c>
      <c r="BB277" t="s">
        <v>61</v>
      </c>
    </row>
    <row r="278" spans="1:54" x14ac:dyDescent="0.4">
      <c r="A278" t="s">
        <v>4448</v>
      </c>
      <c r="B278" t="s">
        <v>10</v>
      </c>
      <c r="C278" t="s">
        <v>1857</v>
      </c>
      <c r="D278" t="s">
        <v>11</v>
      </c>
      <c r="E278" s="2">
        <v>-2.0000000000000001E-4</v>
      </c>
      <c r="F278" t="s">
        <v>4448</v>
      </c>
      <c r="G278" s="4">
        <f>-0.02 / -0.02%</f>
        <v>100</v>
      </c>
      <c r="H278" t="s">
        <v>1857</v>
      </c>
      <c r="I278" t="s">
        <v>4586</v>
      </c>
      <c r="J278" t="s">
        <v>4587</v>
      </c>
      <c r="K278" t="s">
        <v>214</v>
      </c>
      <c r="L278" s="2">
        <v>7.7000000000000002E-3</v>
      </c>
      <c r="M278" t="s">
        <v>300</v>
      </c>
      <c r="N278" t="s">
        <v>28</v>
      </c>
      <c r="O278" t="s">
        <v>4588</v>
      </c>
      <c r="P278" t="s">
        <v>4589</v>
      </c>
      <c r="Q278" t="s">
        <v>626</v>
      </c>
      <c r="R278" t="s">
        <v>4590</v>
      </c>
      <c r="S278" t="s">
        <v>1122</v>
      </c>
      <c r="T278" t="s">
        <v>186</v>
      </c>
      <c r="U278" t="s">
        <v>186</v>
      </c>
      <c r="V278" t="s">
        <v>4591</v>
      </c>
      <c r="W278" t="s">
        <v>4591</v>
      </c>
      <c r="X278" t="s">
        <v>4591</v>
      </c>
      <c r="Y278" t="s">
        <v>4591</v>
      </c>
      <c r="Z278" t="s">
        <v>4591</v>
      </c>
      <c r="AA278" t="s">
        <v>4592</v>
      </c>
      <c r="AB278" s="2">
        <v>1E-4</v>
      </c>
      <c r="AC278" s="2">
        <v>5.5999999999999999E-3</v>
      </c>
      <c r="AD278" s="2">
        <v>2.2200000000000001E-2</v>
      </c>
      <c r="AE278" s="2">
        <v>3.5799999999999998E-2</v>
      </c>
      <c r="AF278" s="2">
        <v>6.2899999999999998E-2</v>
      </c>
      <c r="AG278" s="2">
        <v>-2.5399999999999999E-2</v>
      </c>
      <c r="AH278" t="s">
        <v>223</v>
      </c>
      <c r="AI278" t="s">
        <v>224</v>
      </c>
      <c r="AJ278" t="s">
        <v>38</v>
      </c>
      <c r="AK278" t="s">
        <v>40</v>
      </c>
      <c r="AM278" t="s">
        <v>41</v>
      </c>
      <c r="AN278" t="s">
        <v>42</v>
      </c>
      <c r="AO278" t="s">
        <v>4588</v>
      </c>
      <c r="AP278" t="s">
        <v>2055</v>
      </c>
      <c r="AQ278" t="s">
        <v>2055</v>
      </c>
      <c r="BA278" t="s">
        <v>59</v>
      </c>
      <c r="BB278" t="s">
        <v>61</v>
      </c>
    </row>
    <row r="279" spans="1:54" x14ac:dyDescent="0.4">
      <c r="A279" t="s">
        <v>4448</v>
      </c>
      <c r="B279" t="s">
        <v>10</v>
      </c>
      <c r="C279" t="s">
        <v>3118</v>
      </c>
      <c r="D279" t="s">
        <v>11</v>
      </c>
      <c r="E279" s="2">
        <v>-2.0000000000000001E-4</v>
      </c>
      <c r="F279" t="s">
        <v>4448</v>
      </c>
      <c r="G279" s="4">
        <f>-0.02 / -0.02%</f>
        <v>100</v>
      </c>
      <c r="H279" t="s">
        <v>3118</v>
      </c>
      <c r="I279" t="s">
        <v>6565</v>
      </c>
      <c r="J279" t="s">
        <v>6566</v>
      </c>
      <c r="K279" t="s">
        <v>214</v>
      </c>
      <c r="L279" s="2">
        <v>7.4999999999999997E-3</v>
      </c>
      <c r="M279" t="s">
        <v>6567</v>
      </c>
      <c r="N279" t="s">
        <v>28</v>
      </c>
      <c r="O279" t="s">
        <v>1320</v>
      </c>
      <c r="P279" t="s">
        <v>1425</v>
      </c>
      <c r="Q279" t="s">
        <v>4724</v>
      </c>
      <c r="R279" t="s">
        <v>297</v>
      </c>
      <c r="S279" t="s">
        <v>3713</v>
      </c>
      <c r="T279" t="s">
        <v>206</v>
      </c>
      <c r="U279" t="s">
        <v>206</v>
      </c>
      <c r="V279" t="s">
        <v>1245</v>
      </c>
      <c r="W279" t="s">
        <v>1245</v>
      </c>
      <c r="X279" t="s">
        <v>1245</v>
      </c>
      <c r="Y279" t="s">
        <v>1245</v>
      </c>
      <c r="Z279" t="s">
        <v>1245</v>
      </c>
      <c r="AA279" t="s">
        <v>1710</v>
      </c>
      <c r="AB279" s="2">
        <v>-2.0000000000000001E-4</v>
      </c>
      <c r="AC279" s="2">
        <v>5.3E-3</v>
      </c>
      <c r="AD279" s="2">
        <v>2.2200000000000001E-2</v>
      </c>
      <c r="AE279" s="2">
        <v>3.6700000000000003E-2</v>
      </c>
      <c r="AF279" s="2">
        <v>6.4000000000000001E-2</v>
      </c>
      <c r="AG279" s="2">
        <v>-2.8500000000000001E-2</v>
      </c>
      <c r="AH279" t="s">
        <v>223</v>
      </c>
      <c r="AI279" t="s">
        <v>224</v>
      </c>
      <c r="AJ279" t="s">
        <v>38</v>
      </c>
      <c r="AK279" t="s">
        <v>40</v>
      </c>
      <c r="AM279" t="s">
        <v>41</v>
      </c>
      <c r="AN279" t="s">
        <v>42</v>
      </c>
      <c r="AO279" t="s">
        <v>1320</v>
      </c>
      <c r="AP279" t="s">
        <v>835</v>
      </c>
      <c r="AQ279" t="s">
        <v>835</v>
      </c>
      <c r="BA279" t="s">
        <v>59</v>
      </c>
      <c r="BB279" t="s">
        <v>61</v>
      </c>
    </row>
    <row r="280" spans="1:54" x14ac:dyDescent="0.4">
      <c r="A280" t="s">
        <v>4448</v>
      </c>
      <c r="B280" t="s">
        <v>10</v>
      </c>
      <c r="C280" t="s">
        <v>820</v>
      </c>
      <c r="D280" t="s">
        <v>11</v>
      </c>
      <c r="E280" s="2">
        <v>-1E-3</v>
      </c>
      <c r="F280" t="s">
        <v>4448</v>
      </c>
      <c r="G280" s="4">
        <f>-0.09 / -0.1%</f>
        <v>90</v>
      </c>
      <c r="H280" t="s">
        <v>820</v>
      </c>
      <c r="I280" t="s">
        <v>6571</v>
      </c>
      <c r="J280" t="s">
        <v>6572</v>
      </c>
      <c r="K280" t="s">
        <v>214</v>
      </c>
      <c r="L280" s="2">
        <v>7.0000000000000001E-3</v>
      </c>
      <c r="M280" t="s">
        <v>6573</v>
      </c>
      <c r="N280" t="s">
        <v>28</v>
      </c>
      <c r="O280" t="s">
        <v>6574</v>
      </c>
      <c r="P280" t="s">
        <v>1157</v>
      </c>
      <c r="Q280" t="s">
        <v>714</v>
      </c>
      <c r="R280" t="s">
        <v>6575</v>
      </c>
      <c r="S280" t="s">
        <v>5766</v>
      </c>
      <c r="T280" t="s">
        <v>6576</v>
      </c>
      <c r="U280" t="s">
        <v>2083</v>
      </c>
      <c r="V280" t="s">
        <v>4150</v>
      </c>
      <c r="W280" t="s">
        <v>3553</v>
      </c>
      <c r="X280" t="s">
        <v>3553</v>
      </c>
      <c r="Y280" t="s">
        <v>3553</v>
      </c>
      <c r="Z280" t="s">
        <v>3553</v>
      </c>
      <c r="AA280" t="s">
        <v>153</v>
      </c>
      <c r="AB280" s="2">
        <v>-5.1000000000000004E-3</v>
      </c>
      <c r="AC280" s="2">
        <v>2E-3</v>
      </c>
      <c r="AD280" s="2">
        <v>2.1499999999999998E-2</v>
      </c>
      <c r="AE280" s="2">
        <v>4.7100000000000003E-2</v>
      </c>
      <c r="AF280" s="2">
        <v>6.7199999999999996E-2</v>
      </c>
      <c r="AG280" s="2">
        <v>-7.2300000000000003E-2</v>
      </c>
      <c r="AH280" t="s">
        <v>223</v>
      </c>
      <c r="AI280" t="s">
        <v>224</v>
      </c>
      <c r="AJ280" t="s">
        <v>38</v>
      </c>
      <c r="AK280" t="s">
        <v>40</v>
      </c>
      <c r="AM280" t="s">
        <v>41</v>
      </c>
      <c r="AN280" t="s">
        <v>42</v>
      </c>
      <c r="AO280" t="s">
        <v>6574</v>
      </c>
      <c r="AP280" t="s">
        <v>835</v>
      </c>
      <c r="AQ280" t="s">
        <v>835</v>
      </c>
      <c r="BA280" t="s">
        <v>59</v>
      </c>
      <c r="BB280" t="s">
        <v>61</v>
      </c>
    </row>
    <row r="281" spans="1:54" x14ac:dyDescent="0.4">
      <c r="A281" t="s">
        <v>4448</v>
      </c>
      <c r="B281" t="s">
        <v>10</v>
      </c>
      <c r="C281" t="s">
        <v>6581</v>
      </c>
      <c r="D281" t="s">
        <v>11</v>
      </c>
      <c r="E281" s="2">
        <v>-8.9999999999999998E-4</v>
      </c>
      <c r="F281" t="s">
        <v>4448</v>
      </c>
      <c r="G281" s="4">
        <f>-0.08 / -0.09%</f>
        <v>88.8888888888889</v>
      </c>
      <c r="H281" t="s">
        <v>6581</v>
      </c>
      <c r="I281" t="s">
        <v>6582</v>
      </c>
      <c r="J281" t="s">
        <v>6583</v>
      </c>
      <c r="K281" t="s">
        <v>214</v>
      </c>
      <c r="L281" s="2">
        <v>3.8999999999999998E-3</v>
      </c>
      <c r="M281" t="s">
        <v>6584</v>
      </c>
      <c r="N281" t="s">
        <v>28</v>
      </c>
      <c r="O281" t="s">
        <v>6585</v>
      </c>
      <c r="P281" t="s">
        <v>2076</v>
      </c>
      <c r="Q281" t="s">
        <v>6586</v>
      </c>
      <c r="R281" t="s">
        <v>2817</v>
      </c>
      <c r="S281" t="s">
        <v>5376</v>
      </c>
      <c r="T281" t="s">
        <v>6587</v>
      </c>
      <c r="U281" t="s">
        <v>6588</v>
      </c>
      <c r="V281" t="s">
        <v>4887</v>
      </c>
      <c r="W281" t="s">
        <v>6589</v>
      </c>
      <c r="X281" t="s">
        <v>6589</v>
      </c>
      <c r="Y281" t="s">
        <v>6589</v>
      </c>
      <c r="Z281" t="s">
        <v>6589</v>
      </c>
      <c r="AA281" t="s">
        <v>1451</v>
      </c>
      <c r="AB281" s="2">
        <v>-4.4000000000000003E-3</v>
      </c>
      <c r="AC281" s="2">
        <v>3.0000000000000001E-3</v>
      </c>
      <c r="AD281" s="2">
        <v>2.3400000000000001E-2</v>
      </c>
      <c r="AE281" s="2">
        <v>5.0599999999999999E-2</v>
      </c>
      <c r="AF281" s="2">
        <v>7.3999999999999996E-2</v>
      </c>
      <c r="AG281" s="2">
        <v>-7.0999999999999994E-2</v>
      </c>
      <c r="AH281" t="s">
        <v>223</v>
      </c>
      <c r="AI281" t="s">
        <v>224</v>
      </c>
      <c r="AJ281" t="s">
        <v>38</v>
      </c>
      <c r="AK281" t="s">
        <v>40</v>
      </c>
      <c r="AM281" t="s">
        <v>41</v>
      </c>
      <c r="AN281" t="s">
        <v>42</v>
      </c>
      <c r="AO281" t="s">
        <v>6585</v>
      </c>
      <c r="AP281" t="s">
        <v>1486</v>
      </c>
      <c r="AQ281" t="s">
        <v>1486</v>
      </c>
      <c r="BA281" t="s">
        <v>59</v>
      </c>
      <c r="BB281" t="s">
        <v>61</v>
      </c>
    </row>
    <row r="282" spans="1:54" x14ac:dyDescent="0.4">
      <c r="A282" t="s">
        <v>4596</v>
      </c>
      <c r="B282" t="s">
        <v>10</v>
      </c>
      <c r="C282" t="s">
        <v>156</v>
      </c>
      <c r="D282" t="s">
        <v>11</v>
      </c>
      <c r="E282" s="2">
        <v>-2.0000000000000001E-4</v>
      </c>
      <c r="F282" t="s">
        <v>4596</v>
      </c>
      <c r="G282" s="4">
        <f>-0.02 / -0.02%</f>
        <v>100</v>
      </c>
      <c r="H282" t="s">
        <v>156</v>
      </c>
      <c r="I282" t="s">
        <v>6578</v>
      </c>
      <c r="J282" t="s">
        <v>6579</v>
      </c>
      <c r="K282" t="s">
        <v>214</v>
      </c>
      <c r="L282" s="2">
        <v>2.2000000000000001E-3</v>
      </c>
      <c r="M282" t="s">
        <v>2133</v>
      </c>
      <c r="N282" t="s">
        <v>28</v>
      </c>
      <c r="O282" t="s">
        <v>6574</v>
      </c>
      <c r="P282" t="s">
        <v>3119</v>
      </c>
      <c r="Q282" t="s">
        <v>6580</v>
      </c>
      <c r="R282" t="s">
        <v>3290</v>
      </c>
      <c r="S282" t="s">
        <v>3955</v>
      </c>
      <c r="T282" t="s">
        <v>2232</v>
      </c>
      <c r="U282" t="s">
        <v>2232</v>
      </c>
      <c r="V282" t="s">
        <v>2334</v>
      </c>
      <c r="W282" t="s">
        <v>2334</v>
      </c>
      <c r="X282" t="s">
        <v>2334</v>
      </c>
      <c r="Y282" t="s">
        <v>2334</v>
      </c>
      <c r="Z282" t="s">
        <v>2334</v>
      </c>
      <c r="AA282" t="s">
        <v>611</v>
      </c>
      <c r="AB282" s="2">
        <v>1E-4</v>
      </c>
      <c r="AC282" s="2">
        <v>6.6E-3</v>
      </c>
      <c r="AD282" s="2">
        <v>2.5000000000000001E-2</v>
      </c>
      <c r="AE282" s="2">
        <v>4.2599999999999999E-2</v>
      </c>
      <c r="AF282" s="2">
        <v>7.4700000000000003E-2</v>
      </c>
      <c r="AG282" s="2">
        <v>-2.81E-2</v>
      </c>
      <c r="AH282" t="s">
        <v>223</v>
      </c>
      <c r="AI282" t="s">
        <v>224</v>
      </c>
      <c r="AJ282" t="s">
        <v>38</v>
      </c>
      <c r="AK282" t="s">
        <v>40</v>
      </c>
      <c r="AM282" t="s">
        <v>41</v>
      </c>
      <c r="AN282" t="s">
        <v>42</v>
      </c>
      <c r="AO282" t="s">
        <v>6574</v>
      </c>
      <c r="AP282" t="s">
        <v>1486</v>
      </c>
      <c r="AQ282" t="s">
        <v>1486</v>
      </c>
      <c r="BA282" t="s">
        <v>59</v>
      </c>
      <c r="BB282" t="s">
        <v>61</v>
      </c>
    </row>
    <row r="283" spans="1:54" x14ac:dyDescent="0.4">
      <c r="A283" t="s">
        <v>2644</v>
      </c>
      <c r="B283" t="s">
        <v>10</v>
      </c>
      <c r="C283" t="s">
        <v>2645</v>
      </c>
      <c r="D283" t="s">
        <v>11</v>
      </c>
      <c r="E283" s="2">
        <v>-5.9999999999999995E-4</v>
      </c>
      <c r="F283" t="s">
        <v>2644</v>
      </c>
      <c r="G283" s="4">
        <f>-0.06 / -0.06%</f>
        <v>100</v>
      </c>
      <c r="H283" t="s">
        <v>2645</v>
      </c>
      <c r="I283" t="s">
        <v>2646</v>
      </c>
      <c r="J283" t="s">
        <v>2647</v>
      </c>
      <c r="K283" t="s">
        <v>214</v>
      </c>
      <c r="L283" s="2">
        <v>0.03</v>
      </c>
      <c r="M283" t="s">
        <v>2648</v>
      </c>
      <c r="N283" t="s">
        <v>28</v>
      </c>
      <c r="O283" t="s">
        <v>2649</v>
      </c>
      <c r="P283" t="s">
        <v>1186</v>
      </c>
      <c r="Q283" t="s">
        <v>1186</v>
      </c>
      <c r="R283" t="s">
        <v>2650</v>
      </c>
      <c r="S283" t="s">
        <v>1965</v>
      </c>
      <c r="T283" t="s">
        <v>1965</v>
      </c>
      <c r="U283" t="s">
        <v>1965</v>
      </c>
      <c r="V283" t="s">
        <v>408</v>
      </c>
      <c r="W283" t="s">
        <v>1979</v>
      </c>
      <c r="X283" t="s">
        <v>1979</v>
      </c>
      <c r="Y283" t="s">
        <v>1979</v>
      </c>
      <c r="Z283" t="s">
        <v>1979</v>
      </c>
      <c r="AA283" t="s">
        <v>1979</v>
      </c>
      <c r="AB283" s="2">
        <v>-4.4999999999999997E-3</v>
      </c>
      <c r="AC283" s="2">
        <v>-3.5999999999999999E-3</v>
      </c>
      <c r="AD283" s="2">
        <v>1.6000000000000001E-3</v>
      </c>
      <c r="AE283" s="2">
        <v>1.37E-2</v>
      </c>
      <c r="AF283" s="2">
        <v>1.37E-2</v>
      </c>
      <c r="AG283" s="2">
        <v>1.37E-2</v>
      </c>
      <c r="AH283" t="s">
        <v>223</v>
      </c>
      <c r="AI283" t="s">
        <v>224</v>
      </c>
      <c r="AJ283" t="s">
        <v>131</v>
      </c>
      <c r="AK283" t="s">
        <v>40</v>
      </c>
      <c r="AL283">
        <v>1</v>
      </c>
      <c r="AM283" t="s">
        <v>41</v>
      </c>
      <c r="AN283" t="s">
        <v>42</v>
      </c>
      <c r="AO283" t="s">
        <v>2649</v>
      </c>
      <c r="AP283" t="s">
        <v>2382</v>
      </c>
      <c r="AQ283">
        <v>1</v>
      </c>
      <c r="BA283" t="s">
        <v>59</v>
      </c>
      <c r="BB283" t="s">
        <v>61</v>
      </c>
    </row>
    <row r="284" spans="1:54" x14ac:dyDescent="0.4">
      <c r="A284" t="s">
        <v>251</v>
      </c>
      <c r="B284" t="s">
        <v>10</v>
      </c>
      <c r="C284" t="s">
        <v>1176</v>
      </c>
      <c r="D284" t="s">
        <v>11</v>
      </c>
      <c r="E284" s="2">
        <v>2.0000000000000001E-4</v>
      </c>
      <c r="F284" t="s">
        <v>12</v>
      </c>
      <c r="G284" s="4" t="s">
        <v>3463</v>
      </c>
      <c r="H284" t="s">
        <v>1176</v>
      </c>
      <c r="I284" t="s">
        <v>7081</v>
      </c>
      <c r="J284" t="s">
        <v>7082</v>
      </c>
      <c r="K284" t="s">
        <v>23</v>
      </c>
      <c r="L284" s="2">
        <v>3.619E-2</v>
      </c>
      <c r="M284" t="s">
        <v>4552</v>
      </c>
      <c r="N284" t="s">
        <v>636</v>
      </c>
      <c r="O284" t="s">
        <v>6557</v>
      </c>
      <c r="P284" t="s">
        <v>2413</v>
      </c>
      <c r="Q284" t="s">
        <v>7083</v>
      </c>
      <c r="R284" t="s">
        <v>7083</v>
      </c>
      <c r="S284" t="s">
        <v>6713</v>
      </c>
      <c r="T284" t="s">
        <v>1870</v>
      </c>
      <c r="U284" t="s">
        <v>1870</v>
      </c>
      <c r="V284" t="s">
        <v>1176</v>
      </c>
      <c r="W284" t="s">
        <v>2556</v>
      </c>
      <c r="X284" t="s">
        <v>2556</v>
      </c>
      <c r="Y284" t="s">
        <v>2556</v>
      </c>
      <c r="Z284" t="s">
        <v>2556</v>
      </c>
      <c r="AA284" t="s">
        <v>261</v>
      </c>
      <c r="AB284" s="2">
        <v>4.1000000000000003E-3</v>
      </c>
      <c r="AC284" s="2">
        <v>6.9999999999999999E-4</v>
      </c>
      <c r="AD284" s="2">
        <v>1.1999999999999999E-3</v>
      </c>
      <c r="AE284" s="2">
        <v>1.4E-2</v>
      </c>
      <c r="AF284" s="2">
        <v>1.24E-2</v>
      </c>
      <c r="AG284" s="2">
        <v>-8.5000000000000006E-3</v>
      </c>
      <c r="AH284" t="s">
        <v>223</v>
      </c>
      <c r="AI284" t="s">
        <v>224</v>
      </c>
      <c r="AJ284" t="s">
        <v>38</v>
      </c>
      <c r="AK284" t="s">
        <v>40</v>
      </c>
      <c r="AL284">
        <v>100</v>
      </c>
      <c r="AM284" t="s">
        <v>41</v>
      </c>
      <c r="AN284" t="s">
        <v>42</v>
      </c>
      <c r="AO284" t="s">
        <v>6557</v>
      </c>
      <c r="AP284" t="s">
        <v>2055</v>
      </c>
      <c r="BA284" t="s">
        <v>136</v>
      </c>
      <c r="BB284" t="s">
        <v>61</v>
      </c>
    </row>
    <row r="285" spans="1:54" x14ac:dyDescent="0.4">
      <c r="A285" t="s">
        <v>251</v>
      </c>
      <c r="B285" t="s">
        <v>10</v>
      </c>
      <c r="C285" t="s">
        <v>97</v>
      </c>
      <c r="D285" t="s">
        <v>11</v>
      </c>
      <c r="E285" s="2">
        <v>-2.9999999999999997E-4</v>
      </c>
      <c r="F285" t="s">
        <v>12</v>
      </c>
      <c r="G285" s="4">
        <f>-0.03 / -0.03%</f>
        <v>100</v>
      </c>
      <c r="H285" t="s">
        <v>97</v>
      </c>
      <c r="I285" t="s">
        <v>7084</v>
      </c>
      <c r="J285" t="s">
        <v>7085</v>
      </c>
      <c r="K285" t="s">
        <v>23</v>
      </c>
      <c r="L285" s="2">
        <v>2.5000000000000001E-2</v>
      </c>
      <c r="M285" t="s">
        <v>7086</v>
      </c>
      <c r="N285" t="s">
        <v>28</v>
      </c>
      <c r="O285" t="s">
        <v>7087</v>
      </c>
      <c r="P285" t="s">
        <v>2663</v>
      </c>
      <c r="Q285" t="s">
        <v>2663</v>
      </c>
      <c r="R285" t="s">
        <v>127</v>
      </c>
      <c r="S285" t="s">
        <v>7088</v>
      </c>
      <c r="T285" t="s">
        <v>4947</v>
      </c>
      <c r="U285" t="s">
        <v>4947</v>
      </c>
      <c r="V285" t="s">
        <v>4223</v>
      </c>
      <c r="W285" t="s">
        <v>2664</v>
      </c>
      <c r="X285" t="s">
        <v>2664</v>
      </c>
      <c r="Y285" t="s">
        <v>2664</v>
      </c>
      <c r="Z285" t="s">
        <v>2664</v>
      </c>
      <c r="AA285" t="s">
        <v>7089</v>
      </c>
      <c r="AB285" s="2">
        <v>1.8E-3</v>
      </c>
      <c r="AC285" s="2">
        <v>5.9999999999999995E-4</v>
      </c>
      <c r="AD285" s="2">
        <v>1.3299999999999999E-2</v>
      </c>
      <c r="AE285" s="2">
        <v>2.06E-2</v>
      </c>
      <c r="AF285" s="2">
        <v>3.44E-2</v>
      </c>
      <c r="AG285" s="2">
        <v>-7.5700000000000003E-2</v>
      </c>
      <c r="AH285" t="s">
        <v>223</v>
      </c>
      <c r="AI285" t="s">
        <v>224</v>
      </c>
      <c r="AJ285" t="s">
        <v>38</v>
      </c>
      <c r="AK285" t="s">
        <v>40</v>
      </c>
      <c r="AL285">
        <v>100</v>
      </c>
      <c r="AM285" t="s">
        <v>41</v>
      </c>
      <c r="AN285" t="s">
        <v>42</v>
      </c>
      <c r="AO285" t="s">
        <v>7087</v>
      </c>
      <c r="AP285" t="s">
        <v>2055</v>
      </c>
      <c r="BA285" t="s">
        <v>136</v>
      </c>
      <c r="BB285" t="s">
        <v>61</v>
      </c>
    </row>
    <row r="286" spans="1:54" x14ac:dyDescent="0.4">
      <c r="A286" t="s">
        <v>251</v>
      </c>
      <c r="B286" t="s">
        <v>10</v>
      </c>
      <c r="C286" t="s">
        <v>2664</v>
      </c>
      <c r="D286" t="s">
        <v>11</v>
      </c>
      <c r="E286" s="2">
        <v>-2.0000000000000001E-4</v>
      </c>
      <c r="F286" t="s">
        <v>12</v>
      </c>
      <c r="G286" s="4">
        <f>-0.02 / -0.02%</f>
        <v>100</v>
      </c>
      <c r="H286" t="s">
        <v>2664</v>
      </c>
      <c r="I286" t="s">
        <v>7090</v>
      </c>
      <c r="J286" t="s">
        <v>7091</v>
      </c>
      <c r="K286" t="s">
        <v>23</v>
      </c>
      <c r="L286" s="2">
        <v>0.03</v>
      </c>
      <c r="M286" t="s">
        <v>7086</v>
      </c>
      <c r="N286" t="s">
        <v>28</v>
      </c>
      <c r="O286" t="s">
        <v>7087</v>
      </c>
      <c r="P286" t="s">
        <v>256</v>
      </c>
      <c r="Q286" t="s">
        <v>256</v>
      </c>
      <c r="R286" t="s">
        <v>3701</v>
      </c>
      <c r="S286" t="s">
        <v>5478</v>
      </c>
      <c r="T286" t="s">
        <v>5590</v>
      </c>
      <c r="U286" t="s">
        <v>7092</v>
      </c>
      <c r="V286" t="s">
        <v>1719</v>
      </c>
      <c r="W286" t="s">
        <v>1069</v>
      </c>
      <c r="X286" t="s">
        <v>1069</v>
      </c>
      <c r="Y286" t="s">
        <v>1069</v>
      </c>
      <c r="Z286" t="s">
        <v>1069</v>
      </c>
      <c r="AA286" t="s">
        <v>7093</v>
      </c>
      <c r="AB286" s="2">
        <v>1.5E-3</v>
      </c>
      <c r="AC286" s="2">
        <v>4.0000000000000002E-4</v>
      </c>
      <c r="AD286" s="2">
        <v>1.44E-2</v>
      </c>
      <c r="AE286" s="2">
        <v>2.1899999999999999E-2</v>
      </c>
      <c r="AF286" s="2">
        <v>6.9800000000000001E-2</v>
      </c>
      <c r="AG286" s="2">
        <v>-2.18E-2</v>
      </c>
      <c r="AH286" t="s">
        <v>223</v>
      </c>
      <c r="AI286" t="s">
        <v>224</v>
      </c>
      <c r="AJ286" t="s">
        <v>38</v>
      </c>
      <c r="AK286" t="s">
        <v>40</v>
      </c>
      <c r="AL286">
        <v>100</v>
      </c>
      <c r="AM286" t="s">
        <v>41</v>
      </c>
      <c r="AN286" t="s">
        <v>42</v>
      </c>
      <c r="AO286" t="s">
        <v>7087</v>
      </c>
      <c r="AP286" t="s">
        <v>2055</v>
      </c>
      <c r="BA286" t="s">
        <v>136</v>
      </c>
      <c r="BB286" t="s">
        <v>61</v>
      </c>
    </row>
    <row r="287" spans="1:54" x14ac:dyDescent="0.4">
      <c r="A287" t="s">
        <v>251</v>
      </c>
      <c r="B287" t="s">
        <v>10</v>
      </c>
      <c r="C287" t="s">
        <v>256</v>
      </c>
      <c r="D287" t="s">
        <v>11</v>
      </c>
      <c r="E287" s="2">
        <v>1E-4</v>
      </c>
      <c r="F287" t="s">
        <v>12</v>
      </c>
      <c r="G287" s="4" t="s">
        <v>148</v>
      </c>
      <c r="H287" t="s">
        <v>256</v>
      </c>
      <c r="I287" t="s">
        <v>7094</v>
      </c>
      <c r="J287" t="s">
        <v>7095</v>
      </c>
      <c r="K287" t="s">
        <v>23</v>
      </c>
      <c r="L287" s="2">
        <v>9.4999999999999998E-3</v>
      </c>
      <c r="M287" t="s">
        <v>4558</v>
      </c>
      <c r="N287" t="s">
        <v>28</v>
      </c>
      <c r="O287" t="s">
        <v>7096</v>
      </c>
      <c r="P287" t="s">
        <v>3706</v>
      </c>
      <c r="Q287" t="s">
        <v>1246</v>
      </c>
      <c r="R287" t="s">
        <v>975</v>
      </c>
      <c r="S287" t="s">
        <v>5290</v>
      </c>
      <c r="T287" t="s">
        <v>2618</v>
      </c>
      <c r="U287" t="s">
        <v>2857</v>
      </c>
      <c r="V287" t="s">
        <v>256</v>
      </c>
      <c r="W287" t="s">
        <v>256</v>
      </c>
      <c r="X287" t="s">
        <v>256</v>
      </c>
      <c r="Y287" t="s">
        <v>256</v>
      </c>
      <c r="Z287" t="s">
        <v>256</v>
      </c>
      <c r="AA287" t="s">
        <v>2641</v>
      </c>
      <c r="AB287" s="2">
        <v>5.0000000000000001E-3</v>
      </c>
      <c r="AC287" s="2">
        <v>6.4999999999999997E-3</v>
      </c>
      <c r="AD287" s="2">
        <v>2.0299999999999999E-2</v>
      </c>
      <c r="AE287" s="2">
        <v>3.49E-2</v>
      </c>
      <c r="AF287" s="2">
        <v>6.7199999999999996E-2</v>
      </c>
      <c r="AG287" s="2">
        <v>-2.2700000000000001E-2</v>
      </c>
      <c r="AH287" t="s">
        <v>223</v>
      </c>
      <c r="AI287" t="s">
        <v>224</v>
      </c>
      <c r="AJ287" t="s">
        <v>38</v>
      </c>
      <c r="AK287" t="s">
        <v>40</v>
      </c>
      <c r="AL287">
        <v>100</v>
      </c>
      <c r="AM287" t="s">
        <v>41</v>
      </c>
      <c r="AN287" t="s">
        <v>42</v>
      </c>
      <c r="AO287" t="s">
        <v>7096</v>
      </c>
      <c r="AP287" t="s">
        <v>2055</v>
      </c>
      <c r="BA287" t="s">
        <v>136</v>
      </c>
      <c r="BB287" t="s">
        <v>61</v>
      </c>
    </row>
    <row r="288" spans="1:54" x14ac:dyDescent="0.4">
      <c r="A288" t="s">
        <v>251</v>
      </c>
      <c r="B288" t="s">
        <v>10</v>
      </c>
      <c r="C288" t="s">
        <v>4223</v>
      </c>
      <c r="D288" t="s">
        <v>11</v>
      </c>
      <c r="E288" s="2">
        <v>-1E-4</v>
      </c>
      <c r="F288" t="s">
        <v>12</v>
      </c>
      <c r="G288" s="4">
        <f>-0.01 / -0.01%</f>
        <v>100</v>
      </c>
      <c r="H288" t="s">
        <v>4223</v>
      </c>
      <c r="I288" t="s">
        <v>6555</v>
      </c>
      <c r="J288" t="s">
        <v>6556</v>
      </c>
      <c r="K288" t="s">
        <v>23</v>
      </c>
      <c r="L288" s="2">
        <v>3.789E-2</v>
      </c>
      <c r="M288" t="s">
        <v>4552</v>
      </c>
      <c r="N288" t="s">
        <v>636</v>
      </c>
      <c r="O288" t="s">
        <v>6557</v>
      </c>
      <c r="P288" t="s">
        <v>2723</v>
      </c>
      <c r="Q288" t="s">
        <v>5123</v>
      </c>
      <c r="R288" t="s">
        <v>5123</v>
      </c>
      <c r="S288" t="s">
        <v>4663</v>
      </c>
      <c r="T288" t="s">
        <v>2411</v>
      </c>
      <c r="U288" t="s">
        <v>1844</v>
      </c>
      <c r="V288" t="s">
        <v>976</v>
      </c>
      <c r="W288" t="s">
        <v>1719</v>
      </c>
      <c r="X288" t="s">
        <v>455</v>
      </c>
      <c r="Y288" t="s">
        <v>455</v>
      </c>
      <c r="Z288" t="s">
        <v>455</v>
      </c>
      <c r="AA288" t="s">
        <v>455</v>
      </c>
      <c r="AB288" s="2">
        <v>4.4999999999999997E-3</v>
      </c>
      <c r="AC288" s="2">
        <v>-5.9999999999999995E-4</v>
      </c>
      <c r="AD288" s="2">
        <v>-1.4E-3</v>
      </c>
      <c r="AE288" s="2">
        <v>1.32E-2</v>
      </c>
      <c r="AF288" s="2">
        <v>2.1499999999999998E-2</v>
      </c>
      <c r="AG288" s="2">
        <v>3.0499999999999999E-2</v>
      </c>
      <c r="AH288" t="s">
        <v>223</v>
      </c>
      <c r="AI288" t="s">
        <v>224</v>
      </c>
      <c r="AJ288" t="s">
        <v>38</v>
      </c>
      <c r="AK288" t="s">
        <v>40</v>
      </c>
      <c r="AL288">
        <v>100</v>
      </c>
      <c r="AM288" t="s">
        <v>41</v>
      </c>
      <c r="AN288" t="s">
        <v>42</v>
      </c>
      <c r="AO288" t="s">
        <v>6557</v>
      </c>
      <c r="AP288" t="s">
        <v>2055</v>
      </c>
      <c r="BA288" t="s">
        <v>136</v>
      </c>
      <c r="BB288" t="s">
        <v>61</v>
      </c>
    </row>
    <row r="289" spans="1:54" x14ac:dyDescent="0.4">
      <c r="A289" t="s">
        <v>251</v>
      </c>
      <c r="B289" t="s">
        <v>10</v>
      </c>
      <c r="C289" t="s">
        <v>97</v>
      </c>
      <c r="D289" t="s">
        <v>11</v>
      </c>
      <c r="E289" s="2">
        <v>-1E-4</v>
      </c>
      <c r="F289" t="s">
        <v>12</v>
      </c>
      <c r="G289" s="4">
        <f>-0.01 / -0.01%</f>
        <v>100</v>
      </c>
      <c r="H289" t="s">
        <v>97</v>
      </c>
      <c r="I289" t="s">
        <v>4550</v>
      </c>
      <c r="J289" t="s">
        <v>4551</v>
      </c>
      <c r="K289" t="s">
        <v>23</v>
      </c>
      <c r="L289" s="2">
        <v>3.6589999999999998E-2</v>
      </c>
      <c r="M289" t="s">
        <v>4552</v>
      </c>
      <c r="N289" t="s">
        <v>636</v>
      </c>
      <c r="O289" t="s">
        <v>4553</v>
      </c>
      <c r="P289" t="s">
        <v>4554</v>
      </c>
      <c r="Q289" t="s">
        <v>4554</v>
      </c>
      <c r="R289" t="s">
        <v>4554</v>
      </c>
      <c r="S289" t="s">
        <v>4555</v>
      </c>
      <c r="T289" t="s">
        <v>949</v>
      </c>
      <c r="U289" t="s">
        <v>1122</v>
      </c>
      <c r="V289" t="s">
        <v>1521</v>
      </c>
      <c r="W289" t="s">
        <v>439</v>
      </c>
      <c r="X289" t="s">
        <v>1833</v>
      </c>
      <c r="Y289" t="s">
        <v>1833</v>
      </c>
      <c r="Z289" t="s">
        <v>1833</v>
      </c>
      <c r="AA289" t="s">
        <v>1991</v>
      </c>
      <c r="AB289" s="2">
        <v>3.3999999999999998E-3</v>
      </c>
      <c r="AC289" s="2">
        <v>-1E-4</v>
      </c>
      <c r="AD289" s="2">
        <v>1.9E-3</v>
      </c>
      <c r="AE289" s="2">
        <v>1.7000000000000001E-2</v>
      </c>
      <c r="AF289" s="2">
        <v>2.07E-2</v>
      </c>
      <c r="AG289" s="2">
        <v>-4.1999999999999997E-3</v>
      </c>
      <c r="AH289" t="s">
        <v>223</v>
      </c>
      <c r="AI289" t="s">
        <v>224</v>
      </c>
      <c r="AJ289" t="s">
        <v>38</v>
      </c>
      <c r="AK289" t="s">
        <v>40</v>
      </c>
      <c r="AL289">
        <v>100</v>
      </c>
      <c r="AM289" t="s">
        <v>41</v>
      </c>
      <c r="AN289" t="s">
        <v>42</v>
      </c>
      <c r="AO289" t="s">
        <v>4553</v>
      </c>
      <c r="AP289" t="s">
        <v>2055</v>
      </c>
      <c r="BA289" t="s">
        <v>136</v>
      </c>
      <c r="BB289" t="s">
        <v>61</v>
      </c>
    </row>
    <row r="290" spans="1:54" x14ac:dyDescent="0.4">
      <c r="A290" t="s">
        <v>251</v>
      </c>
      <c r="B290" t="s">
        <v>10</v>
      </c>
      <c r="C290" t="s">
        <v>82</v>
      </c>
      <c r="D290" t="s">
        <v>11</v>
      </c>
      <c r="E290" s="2">
        <v>0</v>
      </c>
      <c r="F290" t="s">
        <v>12</v>
      </c>
      <c r="G290" s="4" t="s">
        <v>15</v>
      </c>
      <c r="H290" t="s">
        <v>82</v>
      </c>
      <c r="I290" t="s">
        <v>6625</v>
      </c>
      <c r="J290" t="s">
        <v>6626</v>
      </c>
      <c r="K290" t="s">
        <v>23</v>
      </c>
      <c r="L290" s="2">
        <v>3.431E-2</v>
      </c>
      <c r="M290" t="s">
        <v>6627</v>
      </c>
      <c r="N290" t="s">
        <v>636</v>
      </c>
      <c r="O290" t="s">
        <v>6628</v>
      </c>
      <c r="P290" t="s">
        <v>680</v>
      </c>
      <c r="Q290" t="s">
        <v>680</v>
      </c>
      <c r="R290" t="s">
        <v>680</v>
      </c>
      <c r="S290" t="s">
        <v>680</v>
      </c>
      <c r="T290" t="s">
        <v>2723</v>
      </c>
      <c r="U290" t="s">
        <v>426</v>
      </c>
      <c r="V290" t="s">
        <v>1991</v>
      </c>
      <c r="W290" t="s">
        <v>1984</v>
      </c>
      <c r="X290" t="s">
        <v>1984</v>
      </c>
      <c r="Y290" t="s">
        <v>1984</v>
      </c>
      <c r="Z290" t="s">
        <v>1984</v>
      </c>
      <c r="AA290" t="s">
        <v>609</v>
      </c>
      <c r="AB290" s="2">
        <v>2.7000000000000001E-3</v>
      </c>
      <c r="AC290" s="2">
        <v>-8.9999999999999998E-4</v>
      </c>
      <c r="AD290" s="2">
        <v>-4.0000000000000002E-4</v>
      </c>
      <c r="AE290" s="2">
        <v>1.5E-3</v>
      </c>
      <c r="AF290" s="2">
        <v>8.6E-3</v>
      </c>
      <c r="AG290" s="2">
        <v>-8.0000000000000004E-4</v>
      </c>
      <c r="AH290" t="s">
        <v>223</v>
      </c>
      <c r="AI290" t="s">
        <v>224</v>
      </c>
      <c r="AJ290" t="s">
        <v>38</v>
      </c>
      <c r="AK290" t="s">
        <v>40</v>
      </c>
      <c r="AL290">
        <v>100</v>
      </c>
      <c r="AM290" t="s">
        <v>41</v>
      </c>
      <c r="AN290" t="s">
        <v>42</v>
      </c>
      <c r="AO290" t="s">
        <v>6628</v>
      </c>
      <c r="AP290" t="s">
        <v>2055</v>
      </c>
      <c r="BA290" t="s">
        <v>136</v>
      </c>
      <c r="BB290" t="s">
        <v>61</v>
      </c>
    </row>
    <row r="291" spans="1:54" x14ac:dyDescent="0.4">
      <c r="A291" t="s">
        <v>251</v>
      </c>
      <c r="B291" t="s">
        <v>10</v>
      </c>
      <c r="C291" t="s">
        <v>2189</v>
      </c>
      <c r="D291" t="s">
        <v>11</v>
      </c>
      <c r="E291" s="2">
        <v>0</v>
      </c>
      <c r="F291" t="s">
        <v>12</v>
      </c>
      <c r="G291" s="4" t="s">
        <v>15</v>
      </c>
      <c r="H291" t="s">
        <v>2189</v>
      </c>
      <c r="I291" t="s">
        <v>4556</v>
      </c>
      <c r="J291" t="s">
        <v>4557</v>
      </c>
      <c r="K291" t="s">
        <v>23</v>
      </c>
      <c r="L291" s="2">
        <v>2.6239999999999999E-2</v>
      </c>
      <c r="M291" t="s">
        <v>4558</v>
      </c>
      <c r="N291" t="s">
        <v>121</v>
      </c>
      <c r="O291" t="s">
        <v>4559</v>
      </c>
      <c r="P291" t="s">
        <v>581</v>
      </c>
      <c r="Q291" t="s">
        <v>2750</v>
      </c>
      <c r="R291" t="s">
        <v>1336</v>
      </c>
      <c r="S291" t="s">
        <v>2411</v>
      </c>
      <c r="T291" t="s">
        <v>1122</v>
      </c>
      <c r="U291" t="s">
        <v>3087</v>
      </c>
      <c r="V291" t="s">
        <v>616</v>
      </c>
      <c r="W291" t="s">
        <v>616</v>
      </c>
      <c r="X291" t="s">
        <v>616</v>
      </c>
      <c r="Y291" t="s">
        <v>616</v>
      </c>
      <c r="Z291" t="s">
        <v>616</v>
      </c>
      <c r="AA291" t="s">
        <v>4468</v>
      </c>
      <c r="AB291" s="2">
        <v>3.5000000000000001E-3</v>
      </c>
      <c r="AC291" s="2">
        <v>3.5000000000000001E-3</v>
      </c>
      <c r="AD291" s="2">
        <v>1.3100000000000001E-2</v>
      </c>
      <c r="AE291" s="2">
        <v>2.47E-2</v>
      </c>
      <c r="AF291" s="2">
        <v>3.8800000000000001E-2</v>
      </c>
      <c r="AG291" s="2">
        <v>-1.9699999999999999E-2</v>
      </c>
      <c r="AH291" t="s">
        <v>223</v>
      </c>
      <c r="AI291" t="s">
        <v>224</v>
      </c>
      <c r="AJ291" t="s">
        <v>38</v>
      </c>
      <c r="AK291" t="s">
        <v>40</v>
      </c>
      <c r="AL291">
        <v>100</v>
      </c>
      <c r="AM291" t="s">
        <v>41</v>
      </c>
      <c r="AN291" t="s">
        <v>42</v>
      </c>
      <c r="AO291" t="s">
        <v>4559</v>
      </c>
      <c r="AP291" t="s">
        <v>2055</v>
      </c>
      <c r="BA291" t="s">
        <v>136</v>
      </c>
      <c r="BB291" t="s">
        <v>61</v>
      </c>
    </row>
    <row r="292" spans="1:54" x14ac:dyDescent="0.4">
      <c r="A292" t="s">
        <v>251</v>
      </c>
      <c r="B292" t="s">
        <v>10</v>
      </c>
      <c r="C292" t="s">
        <v>907</v>
      </c>
      <c r="D292" t="s">
        <v>11</v>
      </c>
      <c r="E292" s="2">
        <v>-6.9999999999999999E-4</v>
      </c>
      <c r="F292" t="s">
        <v>12</v>
      </c>
      <c r="G292" s="4">
        <f>-0.07 / -0.07%</f>
        <v>100</v>
      </c>
      <c r="H292" t="s">
        <v>907</v>
      </c>
      <c r="I292" t="s">
        <v>5267</v>
      </c>
      <c r="J292" t="s">
        <v>5268</v>
      </c>
      <c r="K292" t="s">
        <v>23</v>
      </c>
      <c r="L292" s="2">
        <v>0.02</v>
      </c>
      <c r="M292" t="s">
        <v>4563</v>
      </c>
      <c r="N292" t="s">
        <v>28</v>
      </c>
      <c r="O292" t="s">
        <v>5269</v>
      </c>
      <c r="P292" t="s">
        <v>1575</v>
      </c>
      <c r="Q292" t="s">
        <v>1575</v>
      </c>
      <c r="R292" t="s">
        <v>303</v>
      </c>
      <c r="S292" s="1">
        <v>94035</v>
      </c>
      <c r="T292" t="s">
        <v>5270</v>
      </c>
      <c r="U292" t="s">
        <v>5271</v>
      </c>
      <c r="V292" t="s">
        <v>368</v>
      </c>
      <c r="W292" t="s">
        <v>2324</v>
      </c>
      <c r="X292" t="s">
        <v>2324</v>
      </c>
      <c r="Y292" t="s">
        <v>2324</v>
      </c>
      <c r="Z292" t="s">
        <v>2324</v>
      </c>
      <c r="AA292" t="s">
        <v>5272</v>
      </c>
      <c r="AB292" s="2">
        <v>5.0000000000000001E-4</v>
      </c>
      <c r="AC292" s="2">
        <v>2.9999999999999997E-4</v>
      </c>
      <c r="AD292" s="2">
        <v>2.0199999999999999E-2</v>
      </c>
      <c r="AE292" s="2">
        <v>3.78E-2</v>
      </c>
      <c r="AF292" s="2">
        <v>7.4899999999999994E-2</v>
      </c>
      <c r="AG292" s="2">
        <v>-6.0100000000000001E-2</v>
      </c>
      <c r="AH292" t="s">
        <v>223</v>
      </c>
      <c r="AI292" t="s">
        <v>224</v>
      </c>
      <c r="AJ292" t="s">
        <v>131</v>
      </c>
      <c r="AK292" t="s">
        <v>40</v>
      </c>
      <c r="AL292">
        <v>100</v>
      </c>
      <c r="AM292" t="s">
        <v>41</v>
      </c>
      <c r="AN292" t="s">
        <v>42</v>
      </c>
      <c r="AO292" t="s">
        <v>5269</v>
      </c>
      <c r="AP292" t="s">
        <v>2055</v>
      </c>
      <c r="BA292" t="s">
        <v>136</v>
      </c>
      <c r="BB292" t="s">
        <v>61</v>
      </c>
    </row>
    <row r="293" spans="1:54" x14ac:dyDescent="0.4">
      <c r="A293" t="s">
        <v>251</v>
      </c>
      <c r="B293" t="s">
        <v>10</v>
      </c>
      <c r="C293" t="s">
        <v>474</v>
      </c>
      <c r="D293" t="s">
        <v>11</v>
      </c>
      <c r="E293" s="2">
        <v>-1.1999999999999999E-3</v>
      </c>
      <c r="F293" t="s">
        <v>12</v>
      </c>
      <c r="G293" s="4">
        <f>-0.12 / -0.12%</f>
        <v>100</v>
      </c>
      <c r="H293" t="s">
        <v>474</v>
      </c>
      <c r="I293" t="s">
        <v>5273</v>
      </c>
      <c r="J293" t="s">
        <v>5274</v>
      </c>
      <c r="K293" t="s">
        <v>23</v>
      </c>
      <c r="L293" s="2">
        <v>0.02</v>
      </c>
      <c r="M293" t="s">
        <v>4563</v>
      </c>
      <c r="N293" t="s">
        <v>28</v>
      </c>
      <c r="O293" t="s">
        <v>5275</v>
      </c>
      <c r="P293" t="s">
        <v>4722</v>
      </c>
      <c r="Q293" t="s">
        <v>4722</v>
      </c>
      <c r="R293" t="s">
        <v>389</v>
      </c>
      <c r="S293" t="s">
        <v>5276</v>
      </c>
      <c r="T293" t="s">
        <v>5277</v>
      </c>
      <c r="U293" t="s">
        <v>5278</v>
      </c>
      <c r="V293" t="s">
        <v>5279</v>
      </c>
      <c r="W293" t="s">
        <v>3125</v>
      </c>
      <c r="X293" t="s">
        <v>3125</v>
      </c>
      <c r="Y293" t="s">
        <v>3125</v>
      </c>
      <c r="Z293" t="s">
        <v>3125</v>
      </c>
      <c r="AA293" t="s">
        <v>5280</v>
      </c>
      <c r="AB293" s="2">
        <v>-2.3E-3</v>
      </c>
      <c r="AC293" s="2">
        <v>-2.8999999999999998E-3</v>
      </c>
      <c r="AD293" s="2">
        <v>1.8700000000000001E-2</v>
      </c>
      <c r="AE293" s="2">
        <v>4.02E-2</v>
      </c>
      <c r="AF293" s="2">
        <v>5.5E-2</v>
      </c>
      <c r="AG293" s="2">
        <v>-9.8500000000000004E-2</v>
      </c>
      <c r="AH293" t="s">
        <v>223</v>
      </c>
      <c r="AI293" t="s">
        <v>224</v>
      </c>
      <c r="AJ293" t="s">
        <v>131</v>
      </c>
      <c r="AK293" t="s">
        <v>40</v>
      </c>
      <c r="AL293">
        <v>100</v>
      </c>
      <c r="AM293" t="s">
        <v>41</v>
      </c>
      <c r="AN293" t="s">
        <v>42</v>
      </c>
      <c r="AO293" t="s">
        <v>5275</v>
      </c>
      <c r="AP293" t="s">
        <v>2055</v>
      </c>
      <c r="BA293" t="s">
        <v>136</v>
      </c>
      <c r="BB293" t="s">
        <v>61</v>
      </c>
    </row>
    <row r="294" spans="1:54" x14ac:dyDescent="0.4">
      <c r="A294" t="s">
        <v>251</v>
      </c>
      <c r="B294" t="s">
        <v>10</v>
      </c>
      <c r="C294" t="s">
        <v>190</v>
      </c>
      <c r="D294" t="s">
        <v>11</v>
      </c>
      <c r="E294" s="2">
        <v>-6.9999999999999999E-4</v>
      </c>
      <c r="F294" t="s">
        <v>12</v>
      </c>
      <c r="G294" s="4">
        <f>-0.07 / -0.07%</f>
        <v>100</v>
      </c>
      <c r="H294" t="s">
        <v>190</v>
      </c>
      <c r="I294" t="s">
        <v>5284</v>
      </c>
      <c r="J294" t="s">
        <v>5285</v>
      </c>
      <c r="K294" t="s">
        <v>23</v>
      </c>
      <c r="L294" s="2">
        <v>0.02</v>
      </c>
      <c r="M294" t="s">
        <v>4563</v>
      </c>
      <c r="N294" t="s">
        <v>28</v>
      </c>
      <c r="O294" t="s">
        <v>5283</v>
      </c>
      <c r="P294" t="s">
        <v>5286</v>
      </c>
      <c r="Q294" t="s">
        <v>5286</v>
      </c>
      <c r="R294" t="s">
        <v>2856</v>
      </c>
      <c r="S294" t="s">
        <v>5287</v>
      </c>
      <c r="T294" t="s">
        <v>5288</v>
      </c>
      <c r="U294" t="s">
        <v>5289</v>
      </c>
      <c r="V294" t="s">
        <v>5290</v>
      </c>
      <c r="W294" t="s">
        <v>1253</v>
      </c>
      <c r="X294" t="s">
        <v>1253</v>
      </c>
      <c r="Y294" t="s">
        <v>1253</v>
      </c>
      <c r="Z294" t="s">
        <v>1253</v>
      </c>
      <c r="AA294" t="s">
        <v>1253</v>
      </c>
      <c r="AB294" s="2">
        <v>-1.6999999999999999E-3</v>
      </c>
      <c r="AC294" s="2">
        <v>-6.9999999999999999E-4</v>
      </c>
      <c r="AD294" s="2">
        <v>2.75E-2</v>
      </c>
      <c r="AE294" s="2">
        <v>5.2600000000000001E-2</v>
      </c>
      <c r="AF294" s="2">
        <v>0.14099999999999999</v>
      </c>
      <c r="AG294" s="2">
        <v>1.4200000000000001E-2</v>
      </c>
      <c r="AH294" t="s">
        <v>223</v>
      </c>
      <c r="AI294" t="s">
        <v>224</v>
      </c>
      <c r="AJ294" t="s">
        <v>131</v>
      </c>
      <c r="AK294" t="s">
        <v>40</v>
      </c>
      <c r="AL294">
        <v>100</v>
      </c>
      <c r="AM294" t="s">
        <v>41</v>
      </c>
      <c r="AN294" t="s">
        <v>42</v>
      </c>
      <c r="AO294" t="s">
        <v>5283</v>
      </c>
      <c r="AP294" t="s">
        <v>2055</v>
      </c>
      <c r="BA294" t="s">
        <v>136</v>
      </c>
      <c r="BB294" t="s">
        <v>61</v>
      </c>
    </row>
    <row r="295" spans="1:54" x14ac:dyDescent="0.4">
      <c r="A295" t="s">
        <v>251</v>
      </c>
      <c r="B295" t="s">
        <v>10</v>
      </c>
      <c r="C295" t="s">
        <v>660</v>
      </c>
      <c r="D295" t="s">
        <v>11</v>
      </c>
      <c r="E295" s="2">
        <v>-1.1999999999999999E-3</v>
      </c>
      <c r="F295" t="s">
        <v>12</v>
      </c>
      <c r="G295" s="4">
        <f>-0.12 / -0.12%</f>
        <v>100</v>
      </c>
      <c r="H295" t="s">
        <v>660</v>
      </c>
      <c r="I295" t="s">
        <v>4568</v>
      </c>
      <c r="J295" t="s">
        <v>4569</v>
      </c>
      <c r="K295" t="s">
        <v>23</v>
      </c>
      <c r="L295" s="2">
        <v>1.83E-2</v>
      </c>
      <c r="M295" t="s">
        <v>4563</v>
      </c>
      <c r="N295" t="s">
        <v>28</v>
      </c>
      <c r="O295" t="s">
        <v>4570</v>
      </c>
      <c r="P295" t="s">
        <v>4571</v>
      </c>
      <c r="Q295" t="s">
        <v>4571</v>
      </c>
      <c r="R295" t="s">
        <v>4572</v>
      </c>
      <c r="S295" t="s">
        <v>4573</v>
      </c>
      <c r="T295" t="s">
        <v>759</v>
      </c>
      <c r="U295" t="s">
        <v>4574</v>
      </c>
      <c r="V295" t="s">
        <v>1419</v>
      </c>
      <c r="W295" t="s">
        <v>1425</v>
      </c>
      <c r="X295" t="s">
        <v>1425</v>
      </c>
      <c r="Y295" t="s">
        <v>1425</v>
      </c>
      <c r="Z295" t="s">
        <v>1425</v>
      </c>
      <c r="AA295" t="s">
        <v>3523</v>
      </c>
      <c r="AB295" s="2">
        <v>-8.0000000000000004E-4</v>
      </c>
      <c r="AC295" s="2">
        <v>-2E-3</v>
      </c>
      <c r="AD295" s="2">
        <v>0.02</v>
      </c>
      <c r="AE295" s="2">
        <v>3.95E-2</v>
      </c>
      <c r="AF295" s="2">
        <v>5.9799999999999999E-2</v>
      </c>
      <c r="AG295" s="2">
        <v>-9.2799999999999994E-2</v>
      </c>
      <c r="AH295" t="s">
        <v>223</v>
      </c>
      <c r="AI295" t="s">
        <v>224</v>
      </c>
      <c r="AJ295" t="s">
        <v>131</v>
      </c>
      <c r="AK295" t="s">
        <v>40</v>
      </c>
      <c r="AL295">
        <v>100</v>
      </c>
      <c r="AM295" t="s">
        <v>41</v>
      </c>
      <c r="AN295" t="s">
        <v>42</v>
      </c>
      <c r="AO295" t="s">
        <v>4570</v>
      </c>
      <c r="AP295" t="s">
        <v>2055</v>
      </c>
      <c r="BA295" t="s">
        <v>136</v>
      </c>
      <c r="BB295" t="s">
        <v>61</v>
      </c>
    </row>
    <row r="296" spans="1:54" x14ac:dyDescent="0.4">
      <c r="A296" t="s">
        <v>251</v>
      </c>
      <c r="B296" t="s">
        <v>10</v>
      </c>
      <c r="C296" t="s">
        <v>6547</v>
      </c>
      <c r="D296" t="s">
        <v>11</v>
      </c>
      <c r="E296" s="2">
        <v>-1.5E-3</v>
      </c>
      <c r="F296" t="s">
        <v>12</v>
      </c>
      <c r="G296" s="4">
        <f>-0.14 / -0.15%</f>
        <v>93.333333333333343</v>
      </c>
      <c r="H296" t="s">
        <v>6547</v>
      </c>
      <c r="I296" t="s">
        <v>6548</v>
      </c>
      <c r="J296" t="s">
        <v>6549</v>
      </c>
      <c r="K296" t="s">
        <v>23</v>
      </c>
      <c r="L296" s="2">
        <v>1.6799999999999999E-2</v>
      </c>
      <c r="M296" t="s">
        <v>4563</v>
      </c>
      <c r="N296" t="s">
        <v>28</v>
      </c>
      <c r="O296" t="s">
        <v>6546</v>
      </c>
      <c r="P296" t="s">
        <v>6550</v>
      </c>
      <c r="Q296" t="s">
        <v>6550</v>
      </c>
      <c r="R296" t="s">
        <v>2637</v>
      </c>
      <c r="S296" t="s">
        <v>4132</v>
      </c>
      <c r="T296" t="s">
        <v>6551</v>
      </c>
      <c r="U296" t="s">
        <v>2459</v>
      </c>
      <c r="V296" t="s">
        <v>2877</v>
      </c>
      <c r="W296" t="s">
        <v>905</v>
      </c>
      <c r="X296" t="s">
        <v>905</v>
      </c>
      <c r="Y296" t="s">
        <v>905</v>
      </c>
      <c r="Z296" t="s">
        <v>905</v>
      </c>
      <c r="AA296" t="s">
        <v>77</v>
      </c>
      <c r="AB296" s="2">
        <v>-1E-4</v>
      </c>
      <c r="AC296" s="2">
        <v>-2E-3</v>
      </c>
      <c r="AD296" s="2">
        <v>1.89E-2</v>
      </c>
      <c r="AE296" s="2">
        <v>4.0800000000000003E-2</v>
      </c>
      <c r="AF296" s="2">
        <v>7.6499999999999999E-2</v>
      </c>
      <c r="AG296" s="2">
        <v>-4.7399999999999998E-2</v>
      </c>
      <c r="AH296" t="s">
        <v>223</v>
      </c>
      <c r="AI296" t="s">
        <v>224</v>
      </c>
      <c r="AJ296" t="s">
        <v>38</v>
      </c>
      <c r="AK296" t="s">
        <v>40</v>
      </c>
      <c r="AL296">
        <v>100</v>
      </c>
      <c r="AM296" t="s">
        <v>41</v>
      </c>
      <c r="AN296" t="s">
        <v>42</v>
      </c>
      <c r="AO296" t="s">
        <v>6546</v>
      </c>
      <c r="AP296" t="s">
        <v>2055</v>
      </c>
      <c r="BA296" t="s">
        <v>136</v>
      </c>
      <c r="BB296" t="s">
        <v>61</v>
      </c>
    </row>
    <row r="297" spans="1:54" x14ac:dyDescent="0.4">
      <c r="A297" t="s">
        <v>251</v>
      </c>
      <c r="B297" t="s">
        <v>10</v>
      </c>
      <c r="C297" t="s">
        <v>4560</v>
      </c>
      <c r="D297" t="s">
        <v>11</v>
      </c>
      <c r="E297" s="2">
        <v>-1.5E-3</v>
      </c>
      <c r="F297" t="s">
        <v>12</v>
      </c>
      <c r="G297" s="4">
        <f>-0.14 / -0.15%</f>
        <v>93.333333333333343</v>
      </c>
      <c r="H297" t="s">
        <v>4560</v>
      </c>
      <c r="I297" t="s">
        <v>4561</v>
      </c>
      <c r="J297" t="s">
        <v>4562</v>
      </c>
      <c r="K297" t="s">
        <v>23</v>
      </c>
      <c r="L297" s="2">
        <v>1.6400000000000001E-2</v>
      </c>
      <c r="M297" t="s">
        <v>4563</v>
      </c>
      <c r="N297" t="s">
        <v>28</v>
      </c>
      <c r="O297" t="s">
        <v>4564</v>
      </c>
      <c r="P297" t="s">
        <v>4565</v>
      </c>
      <c r="Q297" t="s">
        <v>4565</v>
      </c>
      <c r="R297" t="s">
        <v>2072</v>
      </c>
      <c r="S297" t="s">
        <v>1953</v>
      </c>
      <c r="T297" t="s">
        <v>4566</v>
      </c>
      <c r="U297" t="s">
        <v>4213</v>
      </c>
      <c r="V297" t="s">
        <v>3309</v>
      </c>
      <c r="W297" t="s">
        <v>403</v>
      </c>
      <c r="X297" t="s">
        <v>403</v>
      </c>
      <c r="Y297" t="s">
        <v>403</v>
      </c>
      <c r="Z297" t="s">
        <v>403</v>
      </c>
      <c r="AA297" t="s">
        <v>4567</v>
      </c>
      <c r="AB297" s="2">
        <v>-1.2999999999999999E-3</v>
      </c>
      <c r="AC297" s="2">
        <v>-2E-3</v>
      </c>
      <c r="AD297" s="2">
        <v>2.1999999999999999E-2</v>
      </c>
      <c r="AE297" s="2">
        <v>4.2599999999999999E-2</v>
      </c>
      <c r="AF297" s="2">
        <v>7.5300000000000006E-2</v>
      </c>
      <c r="AG297" s="2">
        <v>-8.5599999999999996E-2</v>
      </c>
      <c r="AH297" t="s">
        <v>223</v>
      </c>
      <c r="AI297" t="s">
        <v>224</v>
      </c>
      <c r="AJ297" t="s">
        <v>131</v>
      </c>
      <c r="AK297" t="s">
        <v>40</v>
      </c>
      <c r="AL297">
        <v>100</v>
      </c>
      <c r="AM297" t="s">
        <v>41</v>
      </c>
      <c r="AN297" t="s">
        <v>42</v>
      </c>
      <c r="AO297" t="s">
        <v>4564</v>
      </c>
      <c r="AP297" t="s">
        <v>2055</v>
      </c>
      <c r="BA297" t="s">
        <v>136</v>
      </c>
      <c r="BB297" t="s">
        <v>61</v>
      </c>
    </row>
    <row r="298" spans="1:54" x14ac:dyDescent="0.4">
      <c r="A298" t="s">
        <v>251</v>
      </c>
      <c r="B298" t="s">
        <v>10</v>
      </c>
      <c r="C298" t="s">
        <v>2640</v>
      </c>
      <c r="D298" t="s">
        <v>11</v>
      </c>
      <c r="E298" s="2">
        <v>-1.4E-3</v>
      </c>
      <c r="F298" t="s">
        <v>12</v>
      </c>
      <c r="G298" s="4">
        <f>-0.13 / -0.14%</f>
        <v>92.857142857142847</v>
      </c>
      <c r="H298" t="s">
        <v>2640</v>
      </c>
      <c r="I298" t="s">
        <v>5291</v>
      </c>
      <c r="J298" t="s">
        <v>5292</v>
      </c>
      <c r="K298" t="s">
        <v>23</v>
      </c>
      <c r="L298" s="2">
        <v>1.5100000000000001E-2</v>
      </c>
      <c r="M298" t="s">
        <v>4563</v>
      </c>
      <c r="N298" t="s">
        <v>28</v>
      </c>
      <c r="O298" t="s">
        <v>5293</v>
      </c>
      <c r="P298" t="s">
        <v>5085</v>
      </c>
      <c r="Q298" t="s">
        <v>5085</v>
      </c>
      <c r="R298" t="s">
        <v>3718</v>
      </c>
      <c r="S298" t="s">
        <v>5294</v>
      </c>
      <c r="T298" t="s">
        <v>5295</v>
      </c>
      <c r="U298" t="s">
        <v>5296</v>
      </c>
      <c r="V298" t="s">
        <v>388</v>
      </c>
      <c r="W298" t="s">
        <v>4235</v>
      </c>
      <c r="X298" t="s">
        <v>4235</v>
      </c>
      <c r="Y298" t="s">
        <v>4235</v>
      </c>
      <c r="Z298" t="s">
        <v>4235</v>
      </c>
      <c r="AA298" t="s">
        <v>5297</v>
      </c>
      <c r="AB298" s="2">
        <v>-1.2999999999999999E-3</v>
      </c>
      <c r="AC298" s="2">
        <v>-1.6000000000000001E-3</v>
      </c>
      <c r="AD298" s="2">
        <v>2.0799999999999999E-2</v>
      </c>
      <c r="AE298" s="2">
        <v>4.4299999999999999E-2</v>
      </c>
      <c r="AF298" s="2">
        <v>6.2399999999999997E-2</v>
      </c>
      <c r="AG298" s="2">
        <v>-9.0399999999999994E-2</v>
      </c>
      <c r="AH298" t="s">
        <v>223</v>
      </c>
      <c r="AI298" t="s">
        <v>224</v>
      </c>
      <c r="AJ298" t="s">
        <v>131</v>
      </c>
      <c r="AK298" t="s">
        <v>40</v>
      </c>
      <c r="AL298">
        <v>100</v>
      </c>
      <c r="AM298" t="s">
        <v>41</v>
      </c>
      <c r="AN298" t="s">
        <v>42</v>
      </c>
      <c r="AO298" t="s">
        <v>5293</v>
      </c>
      <c r="AP298" t="s">
        <v>2055</v>
      </c>
      <c r="BA298" t="s">
        <v>136</v>
      </c>
      <c r="BB298" t="s">
        <v>61</v>
      </c>
    </row>
    <row r="299" spans="1:54" x14ac:dyDescent="0.4">
      <c r="A299" t="s">
        <v>251</v>
      </c>
      <c r="B299" t="s">
        <v>10</v>
      </c>
      <c r="C299" t="s">
        <v>4458</v>
      </c>
      <c r="D299" t="s">
        <v>11</v>
      </c>
      <c r="E299" s="2">
        <v>-8.0000000000000004E-4</v>
      </c>
      <c r="F299" t="s">
        <v>12</v>
      </c>
      <c r="G299" s="4">
        <f>-0.08 / -0.08%</f>
        <v>100</v>
      </c>
      <c r="H299" t="s">
        <v>4458</v>
      </c>
      <c r="I299" t="s">
        <v>5908</v>
      </c>
      <c r="J299" t="s">
        <v>5909</v>
      </c>
      <c r="K299" t="s">
        <v>23</v>
      </c>
      <c r="L299" s="2">
        <v>1.5100000000000001E-2</v>
      </c>
      <c r="M299" t="s">
        <v>4563</v>
      </c>
      <c r="N299" t="s">
        <v>28</v>
      </c>
      <c r="O299" t="s">
        <v>5709</v>
      </c>
      <c r="P299" t="s">
        <v>5910</v>
      </c>
      <c r="Q299" t="s">
        <v>5910</v>
      </c>
      <c r="R299" t="s">
        <v>5911</v>
      </c>
      <c r="S299" t="s">
        <v>5912</v>
      </c>
      <c r="T299" t="s">
        <v>5913</v>
      </c>
      <c r="U299" t="s">
        <v>5361</v>
      </c>
      <c r="V299" t="s">
        <v>297</v>
      </c>
      <c r="W299" t="s">
        <v>5605</v>
      </c>
      <c r="X299" t="s">
        <v>5605</v>
      </c>
      <c r="Y299" t="s">
        <v>5605</v>
      </c>
      <c r="Z299" t="s">
        <v>5605</v>
      </c>
      <c r="AA299" t="s">
        <v>3306</v>
      </c>
      <c r="AB299" s="2">
        <v>-1.8E-3</v>
      </c>
      <c r="AC299" s="2">
        <v>-1.1000000000000001E-3</v>
      </c>
      <c r="AD299" s="2">
        <v>2.2499999999999999E-2</v>
      </c>
      <c r="AE299" s="2">
        <v>5.2400000000000002E-2</v>
      </c>
      <c r="AF299" s="2">
        <v>7.9899999999999999E-2</v>
      </c>
      <c r="AG299" s="2">
        <v>-8.1000000000000003E-2</v>
      </c>
      <c r="AH299" t="s">
        <v>223</v>
      </c>
      <c r="AI299" t="s">
        <v>224</v>
      </c>
      <c r="AJ299" t="s">
        <v>131</v>
      </c>
      <c r="AK299" t="s">
        <v>40</v>
      </c>
      <c r="AL299">
        <v>100</v>
      </c>
      <c r="AM299" t="s">
        <v>41</v>
      </c>
      <c r="AN299" t="s">
        <v>42</v>
      </c>
      <c r="AO299" t="s">
        <v>5709</v>
      </c>
      <c r="AP299" t="s">
        <v>2055</v>
      </c>
      <c r="BA299" t="s">
        <v>136</v>
      </c>
      <c r="BB299" t="s">
        <v>61</v>
      </c>
    </row>
    <row r="300" spans="1:54" x14ac:dyDescent="0.4">
      <c r="A300" t="s">
        <v>251</v>
      </c>
      <c r="B300" t="s">
        <v>10</v>
      </c>
      <c r="C300" t="s">
        <v>4299</v>
      </c>
      <c r="D300" t="s">
        <v>11</v>
      </c>
      <c r="E300" s="2">
        <v>-4.0000000000000002E-4</v>
      </c>
      <c r="F300" t="s">
        <v>12</v>
      </c>
      <c r="G300" s="4">
        <f>-0.04 / -0.04%</f>
        <v>100</v>
      </c>
      <c r="H300" t="s">
        <v>4299</v>
      </c>
      <c r="I300" t="s">
        <v>4541</v>
      </c>
      <c r="J300" t="s">
        <v>4542</v>
      </c>
      <c r="K300" t="s">
        <v>23</v>
      </c>
      <c r="L300" s="2">
        <v>1.4999999999999999E-2</v>
      </c>
      <c r="M300" t="s">
        <v>4543</v>
      </c>
      <c r="N300" t="s">
        <v>28</v>
      </c>
      <c r="O300" t="s">
        <v>4544</v>
      </c>
      <c r="P300" t="s">
        <v>4545</v>
      </c>
      <c r="Q300" t="s">
        <v>4545</v>
      </c>
      <c r="R300" t="s">
        <v>1651</v>
      </c>
      <c r="S300" t="s">
        <v>2629</v>
      </c>
      <c r="T300" t="s">
        <v>4546</v>
      </c>
      <c r="U300" t="s">
        <v>4547</v>
      </c>
      <c r="V300" t="s">
        <v>4548</v>
      </c>
      <c r="W300" t="s">
        <v>2269</v>
      </c>
      <c r="X300" t="s">
        <v>2269</v>
      </c>
      <c r="Y300" t="s">
        <v>2269</v>
      </c>
      <c r="Z300" t="s">
        <v>2269</v>
      </c>
      <c r="AA300" t="s">
        <v>2269</v>
      </c>
      <c r="AB300" s="2">
        <v>2E-3</v>
      </c>
      <c r="AC300" s="2">
        <v>3.5000000000000001E-3</v>
      </c>
      <c r="AD300" s="2">
        <v>2.52E-2</v>
      </c>
      <c r="AE300" s="2">
        <v>4.0800000000000003E-2</v>
      </c>
      <c r="AF300" s="2">
        <v>0.1157</v>
      </c>
      <c r="AG300" s="2">
        <v>2.1399999999999999E-2</v>
      </c>
      <c r="AH300" t="s">
        <v>223</v>
      </c>
      <c r="AI300" t="s">
        <v>224</v>
      </c>
      <c r="AJ300" t="s">
        <v>38</v>
      </c>
      <c r="AK300" t="s">
        <v>40</v>
      </c>
      <c r="AL300">
        <v>100</v>
      </c>
      <c r="AM300" t="s">
        <v>41</v>
      </c>
      <c r="AN300" t="s">
        <v>42</v>
      </c>
      <c r="AO300" t="s">
        <v>4544</v>
      </c>
      <c r="AP300" t="s">
        <v>2055</v>
      </c>
      <c r="BA300" t="s">
        <v>136</v>
      </c>
      <c r="BB300" t="s">
        <v>61</v>
      </c>
    </row>
    <row r="301" spans="1:54" x14ac:dyDescent="0.4">
      <c r="A301" t="s">
        <v>251</v>
      </c>
      <c r="B301" t="s">
        <v>10</v>
      </c>
      <c r="C301" t="s">
        <v>1816</v>
      </c>
      <c r="D301" t="s">
        <v>11</v>
      </c>
      <c r="E301" s="2">
        <v>-4.0000000000000002E-4</v>
      </c>
      <c r="F301" t="s">
        <v>12</v>
      </c>
      <c r="G301" s="4">
        <f>-0.04 / -0.04%</f>
        <v>100</v>
      </c>
      <c r="H301" t="s">
        <v>1816</v>
      </c>
      <c r="I301" t="s">
        <v>5281</v>
      </c>
      <c r="J301" t="s">
        <v>5282</v>
      </c>
      <c r="K301" t="s">
        <v>23</v>
      </c>
      <c r="L301" s="2">
        <v>1.3599999999999999E-2</v>
      </c>
      <c r="M301" t="s">
        <v>4543</v>
      </c>
      <c r="N301" t="s">
        <v>28</v>
      </c>
      <c r="O301" t="s">
        <v>5283</v>
      </c>
      <c r="P301" t="s">
        <v>935</v>
      </c>
      <c r="Q301" t="s">
        <v>935</v>
      </c>
      <c r="R301" t="s">
        <v>1778</v>
      </c>
      <c r="S301" t="s">
        <v>183</v>
      </c>
      <c r="T301" t="s">
        <v>4760</v>
      </c>
      <c r="U301" t="s">
        <v>2708</v>
      </c>
      <c r="V301" t="s">
        <v>625</v>
      </c>
      <c r="W301" t="s">
        <v>3044</v>
      </c>
      <c r="X301" t="s">
        <v>3044</v>
      </c>
      <c r="Y301" t="s">
        <v>3044</v>
      </c>
      <c r="Z301" t="s">
        <v>3044</v>
      </c>
      <c r="AA301" t="s">
        <v>5172</v>
      </c>
      <c r="AB301" s="2">
        <v>2E-3</v>
      </c>
      <c r="AC301" s="2">
        <v>2.7000000000000001E-3</v>
      </c>
      <c r="AD301" s="2">
        <v>2.12E-2</v>
      </c>
      <c r="AE301" s="2">
        <v>3.4200000000000001E-2</v>
      </c>
      <c r="AF301" s="2">
        <v>5.74E-2</v>
      </c>
      <c r="AG301" s="2">
        <v>-5.91E-2</v>
      </c>
      <c r="AH301" t="s">
        <v>223</v>
      </c>
      <c r="AI301" t="s">
        <v>224</v>
      </c>
      <c r="AJ301" t="s">
        <v>131</v>
      </c>
      <c r="AK301" t="s">
        <v>40</v>
      </c>
      <c r="AL301">
        <v>100</v>
      </c>
      <c r="AM301" t="s">
        <v>41</v>
      </c>
      <c r="AN301" t="s">
        <v>42</v>
      </c>
      <c r="AO301" t="s">
        <v>5283</v>
      </c>
      <c r="AP301" t="s">
        <v>2055</v>
      </c>
      <c r="BA301" t="s">
        <v>136</v>
      </c>
      <c r="BB301" t="s">
        <v>61</v>
      </c>
    </row>
    <row r="302" spans="1:54" x14ac:dyDescent="0.4">
      <c r="A302" t="s">
        <v>251</v>
      </c>
      <c r="B302" t="s">
        <v>10</v>
      </c>
      <c r="C302" t="s">
        <v>6552</v>
      </c>
      <c r="D302" t="s">
        <v>11</v>
      </c>
      <c r="E302" s="2">
        <v>1E-4</v>
      </c>
      <c r="F302" t="s">
        <v>12</v>
      </c>
      <c r="G302" s="4" t="s">
        <v>148</v>
      </c>
      <c r="H302" t="s">
        <v>6552</v>
      </c>
      <c r="I302" t="s">
        <v>6553</v>
      </c>
      <c r="J302" t="s">
        <v>6554</v>
      </c>
      <c r="K302" t="s">
        <v>23</v>
      </c>
      <c r="L302" s="2">
        <v>1.3599999999999999E-2</v>
      </c>
      <c r="M302" t="s">
        <v>4558</v>
      </c>
      <c r="N302" t="s">
        <v>28</v>
      </c>
      <c r="O302" t="s">
        <v>1316</v>
      </c>
      <c r="P302" t="s">
        <v>3108</v>
      </c>
      <c r="Q302" t="s">
        <v>2597</v>
      </c>
      <c r="R302" t="s">
        <v>2913</v>
      </c>
      <c r="S302" t="s">
        <v>3031</v>
      </c>
      <c r="T302" t="s">
        <v>390</v>
      </c>
      <c r="U302" t="s">
        <v>769</v>
      </c>
      <c r="V302" t="s">
        <v>6552</v>
      </c>
      <c r="W302" t="s">
        <v>6552</v>
      </c>
      <c r="X302" t="s">
        <v>6552</v>
      </c>
      <c r="Y302" t="s">
        <v>6552</v>
      </c>
      <c r="Z302" t="s">
        <v>6552</v>
      </c>
      <c r="AA302" t="s">
        <v>6552</v>
      </c>
      <c r="AB302" s="2">
        <v>4.7000000000000002E-3</v>
      </c>
      <c r="AC302" s="2">
        <v>5.7000000000000002E-3</v>
      </c>
      <c r="AD302" s="2">
        <v>1.8200000000000001E-2</v>
      </c>
      <c r="AE302" s="2">
        <v>3.3599999999999998E-2</v>
      </c>
      <c r="AF302" s="2">
        <v>8.8900000000000007E-2</v>
      </c>
      <c r="AG302" s="2">
        <v>2.1499999999999998E-2</v>
      </c>
      <c r="AH302" t="s">
        <v>223</v>
      </c>
      <c r="AI302" t="s">
        <v>224</v>
      </c>
      <c r="AJ302" t="s">
        <v>38</v>
      </c>
      <c r="AK302" t="s">
        <v>40</v>
      </c>
      <c r="AL302">
        <v>100</v>
      </c>
      <c r="AM302" t="s">
        <v>41</v>
      </c>
      <c r="AN302" t="s">
        <v>42</v>
      </c>
      <c r="AO302" t="s">
        <v>1316</v>
      </c>
      <c r="AP302" t="s">
        <v>2055</v>
      </c>
      <c r="BA302" t="s">
        <v>136</v>
      </c>
      <c r="BB302" t="s">
        <v>61</v>
      </c>
    </row>
    <row r="303" spans="1:54" x14ac:dyDescent="0.4">
      <c r="A303" t="s">
        <v>251</v>
      </c>
      <c r="B303" t="s">
        <v>10</v>
      </c>
      <c r="C303" t="s">
        <v>247</v>
      </c>
      <c r="D303" t="s">
        <v>11</v>
      </c>
      <c r="E303" s="2">
        <v>1E-4</v>
      </c>
      <c r="F303" t="s">
        <v>12</v>
      </c>
      <c r="G303" s="4" t="s">
        <v>148</v>
      </c>
      <c r="H303" t="s">
        <v>247</v>
      </c>
      <c r="I303" t="s">
        <v>4575</v>
      </c>
      <c r="J303" t="s">
        <v>4576</v>
      </c>
      <c r="K303" t="s">
        <v>23</v>
      </c>
      <c r="L303" s="2">
        <v>1.26E-2</v>
      </c>
      <c r="M303" t="s">
        <v>4577</v>
      </c>
      <c r="N303" t="s">
        <v>28</v>
      </c>
      <c r="O303" t="s">
        <v>4570</v>
      </c>
      <c r="P303" t="s">
        <v>1073</v>
      </c>
      <c r="Q303" t="s">
        <v>1822</v>
      </c>
      <c r="R303" t="s">
        <v>381</v>
      </c>
      <c r="S303" t="s">
        <v>2670</v>
      </c>
      <c r="T303" t="s">
        <v>4578</v>
      </c>
      <c r="U303" t="s">
        <v>4579</v>
      </c>
      <c r="V303" t="s">
        <v>247</v>
      </c>
      <c r="W303" t="s">
        <v>247</v>
      </c>
      <c r="X303" t="s">
        <v>247</v>
      </c>
      <c r="Y303" t="s">
        <v>247</v>
      </c>
      <c r="Z303" t="s">
        <v>247</v>
      </c>
      <c r="AA303" t="s">
        <v>4580</v>
      </c>
      <c r="AB303" s="2">
        <v>4.5999999999999999E-3</v>
      </c>
      <c r="AC303" s="2">
        <v>5.1999999999999998E-3</v>
      </c>
      <c r="AD303" s="2">
        <v>1.66E-2</v>
      </c>
      <c r="AE303" s="2">
        <v>2.9600000000000001E-2</v>
      </c>
      <c r="AF303" s="2">
        <v>5.4199999999999998E-2</v>
      </c>
      <c r="AG303" s="2">
        <v>-3.5000000000000003E-2</v>
      </c>
      <c r="AH303" t="s">
        <v>223</v>
      </c>
      <c r="AI303" t="s">
        <v>224</v>
      </c>
      <c r="AJ303" t="s">
        <v>131</v>
      </c>
      <c r="AK303" t="s">
        <v>40</v>
      </c>
      <c r="AL303">
        <v>100</v>
      </c>
      <c r="AM303" t="s">
        <v>41</v>
      </c>
      <c r="AN303" t="s">
        <v>42</v>
      </c>
      <c r="AO303" t="s">
        <v>4570</v>
      </c>
      <c r="AP303" t="s">
        <v>2055</v>
      </c>
      <c r="BA303" t="s">
        <v>136</v>
      </c>
      <c r="BB303" t="s">
        <v>61</v>
      </c>
    </row>
    <row r="304" spans="1:54" x14ac:dyDescent="0.4">
      <c r="A304" t="s">
        <v>251</v>
      </c>
      <c r="B304" t="s">
        <v>10</v>
      </c>
      <c r="C304" t="s">
        <v>928</v>
      </c>
      <c r="D304" t="s">
        <v>11</v>
      </c>
      <c r="E304" s="2">
        <v>-5.0000000000000001E-4</v>
      </c>
      <c r="F304" t="s">
        <v>12</v>
      </c>
      <c r="G304" s="4">
        <f>-0.05 / -0.05%</f>
        <v>100</v>
      </c>
      <c r="H304" t="s">
        <v>928</v>
      </c>
      <c r="I304" t="s">
        <v>6540</v>
      </c>
      <c r="J304" t="s">
        <v>6541</v>
      </c>
      <c r="K304" t="s">
        <v>23</v>
      </c>
      <c r="L304" s="2">
        <v>1.2E-2</v>
      </c>
      <c r="M304" t="s">
        <v>4543</v>
      </c>
      <c r="N304" t="s">
        <v>28</v>
      </c>
      <c r="O304" t="s">
        <v>6542</v>
      </c>
      <c r="P304" t="s">
        <v>5225</v>
      </c>
      <c r="Q304" t="s">
        <v>5225</v>
      </c>
      <c r="R304" t="s">
        <v>842</v>
      </c>
      <c r="S304" t="s">
        <v>6543</v>
      </c>
      <c r="T304" t="s">
        <v>1730</v>
      </c>
      <c r="U304" t="s">
        <v>6544</v>
      </c>
      <c r="V304" t="s">
        <v>155</v>
      </c>
      <c r="W304" t="s">
        <v>155</v>
      </c>
      <c r="X304" t="s">
        <v>155</v>
      </c>
      <c r="Y304" t="s">
        <v>155</v>
      </c>
      <c r="Z304" t="s">
        <v>155</v>
      </c>
      <c r="AA304" t="s">
        <v>6545</v>
      </c>
      <c r="AB304" s="2">
        <v>2.2000000000000001E-3</v>
      </c>
      <c r="AC304" s="2">
        <v>3.0000000000000001E-3</v>
      </c>
      <c r="AD304" s="2">
        <v>2.18E-2</v>
      </c>
      <c r="AE304" s="2">
        <v>3.6499999999999998E-2</v>
      </c>
      <c r="AF304" s="2">
        <v>6.6900000000000001E-2</v>
      </c>
      <c r="AG304" s="2">
        <v>-5.1900000000000002E-2</v>
      </c>
      <c r="AH304" t="s">
        <v>223</v>
      </c>
      <c r="AI304" t="s">
        <v>224</v>
      </c>
      <c r="AJ304" t="s">
        <v>38</v>
      </c>
      <c r="AK304" t="s">
        <v>40</v>
      </c>
      <c r="AL304">
        <v>100</v>
      </c>
      <c r="AM304" t="s">
        <v>41</v>
      </c>
      <c r="AN304" t="s">
        <v>42</v>
      </c>
      <c r="AO304" t="s">
        <v>6542</v>
      </c>
      <c r="AP304" t="s">
        <v>2055</v>
      </c>
      <c r="BA304" t="s">
        <v>136</v>
      </c>
      <c r="BB304" t="s">
        <v>61</v>
      </c>
    </row>
    <row r="305" spans="1:54" x14ac:dyDescent="0.4">
      <c r="A305" t="s">
        <v>251</v>
      </c>
      <c r="B305" t="s">
        <v>10</v>
      </c>
      <c r="C305" t="s">
        <v>2758</v>
      </c>
      <c r="D305" t="s">
        <v>11</v>
      </c>
      <c r="E305" s="2">
        <v>-1.2999999999999999E-3</v>
      </c>
      <c r="F305" t="s">
        <v>12</v>
      </c>
      <c r="G305" s="4">
        <f>-0.12 / -0.13%</f>
        <v>92.307692307692307</v>
      </c>
      <c r="H305" t="s">
        <v>2758</v>
      </c>
      <c r="I305" t="s">
        <v>5261</v>
      </c>
      <c r="J305" t="s">
        <v>5262</v>
      </c>
      <c r="K305" t="s">
        <v>23</v>
      </c>
      <c r="L305" s="2">
        <v>1.1900000000000001E-2</v>
      </c>
      <c r="M305" t="s">
        <v>4563</v>
      </c>
      <c r="N305" t="s">
        <v>28</v>
      </c>
      <c r="O305" t="s">
        <v>5263</v>
      </c>
      <c r="P305" t="s">
        <v>697</v>
      </c>
      <c r="Q305" t="s">
        <v>697</v>
      </c>
      <c r="R305" t="s">
        <v>3593</v>
      </c>
      <c r="S305" t="s">
        <v>5264</v>
      </c>
      <c r="T305" t="s">
        <v>5215</v>
      </c>
      <c r="U305" t="s">
        <v>5215</v>
      </c>
      <c r="V305" t="s">
        <v>5265</v>
      </c>
      <c r="W305" t="s">
        <v>4454</v>
      </c>
      <c r="X305" t="s">
        <v>4454</v>
      </c>
      <c r="Y305" t="s">
        <v>4454</v>
      </c>
      <c r="Z305" t="s">
        <v>4454</v>
      </c>
      <c r="AA305" t="s">
        <v>5266</v>
      </c>
      <c r="AB305" s="2">
        <v>-5.0000000000000001E-4</v>
      </c>
      <c r="AC305" s="2">
        <v>-5.0000000000000001E-4</v>
      </c>
      <c r="AD305" s="2">
        <v>2.41E-2</v>
      </c>
      <c r="AE305" s="2">
        <v>4.3700000000000003E-2</v>
      </c>
      <c r="AF305" s="2">
        <v>6.8699999999999997E-2</v>
      </c>
      <c r="AG305" s="2">
        <v>-8.6400000000000005E-2</v>
      </c>
      <c r="AH305" t="s">
        <v>223</v>
      </c>
      <c r="AI305" t="s">
        <v>224</v>
      </c>
      <c r="AJ305" t="s">
        <v>131</v>
      </c>
      <c r="AK305" t="s">
        <v>40</v>
      </c>
      <c r="AL305">
        <v>100</v>
      </c>
      <c r="AM305" t="s">
        <v>41</v>
      </c>
      <c r="AN305" t="s">
        <v>42</v>
      </c>
      <c r="AO305" t="s">
        <v>5263</v>
      </c>
      <c r="AP305" t="s">
        <v>2055</v>
      </c>
      <c r="BA305" t="s">
        <v>136</v>
      </c>
      <c r="BB305" t="s">
        <v>61</v>
      </c>
    </row>
    <row r="306" spans="1:54" x14ac:dyDescent="0.4">
      <c r="A306" t="s">
        <v>2900</v>
      </c>
      <c r="B306" t="s">
        <v>10</v>
      </c>
      <c r="C306" t="s">
        <v>445</v>
      </c>
      <c r="D306" t="s">
        <v>11</v>
      </c>
      <c r="E306" s="2">
        <v>0</v>
      </c>
      <c r="F306" t="s">
        <v>2900</v>
      </c>
      <c r="G306" s="4" t="s">
        <v>15</v>
      </c>
      <c r="H306" t="s">
        <v>445</v>
      </c>
      <c r="I306" t="s">
        <v>446</v>
      </c>
      <c r="J306" t="s">
        <v>2901</v>
      </c>
      <c r="K306" t="s">
        <v>214</v>
      </c>
      <c r="L306" s="2">
        <v>0.03</v>
      </c>
      <c r="M306" t="s">
        <v>2902</v>
      </c>
      <c r="N306" t="s">
        <v>28</v>
      </c>
      <c r="O306" t="s">
        <v>2903</v>
      </c>
      <c r="P306" t="s">
        <v>2760</v>
      </c>
      <c r="Q306" t="s">
        <v>2760</v>
      </c>
      <c r="R306" t="s">
        <v>2904</v>
      </c>
      <c r="S306" t="s">
        <v>2905</v>
      </c>
      <c r="T306" t="s">
        <v>2906</v>
      </c>
      <c r="U306" t="s">
        <v>2906</v>
      </c>
      <c r="V306" t="s">
        <v>63</v>
      </c>
      <c r="W306" t="s">
        <v>2641</v>
      </c>
      <c r="X306" t="s">
        <v>2641</v>
      </c>
      <c r="Y306" t="s">
        <v>2641</v>
      </c>
      <c r="Z306" t="s">
        <v>2641</v>
      </c>
      <c r="AA306" t="s">
        <v>2641</v>
      </c>
      <c r="AB306" s="2">
        <v>-5.0000000000000001E-4</v>
      </c>
      <c r="AC306" s="2">
        <v>1E-3</v>
      </c>
      <c r="AD306" s="2">
        <v>1.54E-2</v>
      </c>
      <c r="AE306" s="2">
        <v>3.2399999999999998E-2</v>
      </c>
      <c r="AF306" s="2">
        <v>1.9300000000000001E-2</v>
      </c>
      <c r="AG306" s="2">
        <v>1.9300000000000001E-2</v>
      </c>
      <c r="AH306" t="s">
        <v>223</v>
      </c>
      <c r="AI306" t="s">
        <v>224</v>
      </c>
      <c r="AJ306" t="s">
        <v>38</v>
      </c>
      <c r="AK306" t="s">
        <v>40</v>
      </c>
      <c r="AM306" t="s">
        <v>41</v>
      </c>
      <c r="AN306" t="s">
        <v>42</v>
      </c>
      <c r="AO306" t="s">
        <v>2903</v>
      </c>
      <c r="AP306" t="s">
        <v>1338</v>
      </c>
      <c r="AQ306" t="s">
        <v>1338</v>
      </c>
      <c r="AR306" t="s">
        <v>48</v>
      </c>
      <c r="AS306" t="s">
        <v>48</v>
      </c>
      <c r="AT306" t="s">
        <v>2907</v>
      </c>
    </row>
    <row r="307" spans="1:54" x14ac:dyDescent="0.4">
      <c r="A307" t="s">
        <v>1283</v>
      </c>
      <c r="B307" t="s">
        <v>10</v>
      </c>
      <c r="C307" t="s">
        <v>1284</v>
      </c>
      <c r="D307" t="s">
        <v>11</v>
      </c>
      <c r="E307" s="2">
        <v>-8.0000000000000004E-4</v>
      </c>
      <c r="F307" t="s">
        <v>1283</v>
      </c>
      <c r="G307" s="4">
        <f>-0.079 / -0.08%</f>
        <v>98.75</v>
      </c>
      <c r="H307" t="s">
        <v>1284</v>
      </c>
      <c r="I307" t="s">
        <v>1285</v>
      </c>
      <c r="J307" t="s">
        <v>1286</v>
      </c>
      <c r="K307" t="s">
        <v>214</v>
      </c>
      <c r="L307" s="2">
        <v>3.4000000000000002E-2</v>
      </c>
      <c r="M307" t="s">
        <v>1287</v>
      </c>
      <c r="N307" t="s">
        <v>28</v>
      </c>
      <c r="O307" t="s">
        <v>1288</v>
      </c>
      <c r="P307" t="s">
        <v>1289</v>
      </c>
      <c r="Q307" t="s">
        <v>1289</v>
      </c>
      <c r="R307" t="s">
        <v>1290</v>
      </c>
      <c r="S307" t="s">
        <v>680</v>
      </c>
      <c r="T307" t="s">
        <v>617</v>
      </c>
      <c r="U307" t="s">
        <v>617</v>
      </c>
      <c r="V307" t="s">
        <v>1291</v>
      </c>
      <c r="W307" t="s">
        <v>1291</v>
      </c>
      <c r="X307" t="s">
        <v>1291</v>
      </c>
      <c r="Y307" t="s">
        <v>1291</v>
      </c>
      <c r="Z307" t="s">
        <v>1291</v>
      </c>
      <c r="AA307" t="s">
        <v>1291</v>
      </c>
      <c r="AB307" s="2">
        <v>-3.0000000000000001E-3</v>
      </c>
      <c r="AC307" s="2">
        <v>-2.5000000000000001E-3</v>
      </c>
      <c r="AD307" s="2">
        <v>8.0000000000000002E-3</v>
      </c>
      <c r="AE307" s="2">
        <v>9.7000000000000003E-3</v>
      </c>
      <c r="AF307" s="2">
        <v>2.1100000000000001E-2</v>
      </c>
      <c r="AG307" s="2">
        <v>2.1100000000000001E-2</v>
      </c>
      <c r="AH307" t="s">
        <v>223</v>
      </c>
      <c r="AI307" t="s">
        <v>224</v>
      </c>
      <c r="AJ307" t="s">
        <v>38</v>
      </c>
      <c r="AK307" t="s">
        <v>40</v>
      </c>
      <c r="AM307" t="s">
        <v>41</v>
      </c>
      <c r="AN307" t="s">
        <v>42</v>
      </c>
      <c r="AO307" t="s">
        <v>1288</v>
      </c>
      <c r="AP307" t="s">
        <v>225</v>
      </c>
      <c r="AQ307" t="s">
        <v>225</v>
      </c>
      <c r="AR307" t="s">
        <v>48</v>
      </c>
      <c r="AS307" t="s">
        <v>48</v>
      </c>
      <c r="AT307" t="s">
        <v>649</v>
      </c>
    </row>
    <row r="308" spans="1:54" x14ac:dyDescent="0.4">
      <c r="A308" t="s">
        <v>4648</v>
      </c>
      <c r="B308" t="s">
        <v>10</v>
      </c>
      <c r="C308" t="s">
        <v>1402</v>
      </c>
      <c r="D308" t="s">
        <v>11</v>
      </c>
      <c r="E308" s="2">
        <v>-4.0000000000000002E-4</v>
      </c>
      <c r="F308" t="s">
        <v>4649</v>
      </c>
      <c r="G308" s="4">
        <f>-0.04 / -0.04%</f>
        <v>100</v>
      </c>
      <c r="H308" t="s">
        <v>1402</v>
      </c>
      <c r="I308" t="s">
        <v>4653</v>
      </c>
      <c r="J308" t="s">
        <v>4654</v>
      </c>
      <c r="K308" t="s">
        <v>214</v>
      </c>
      <c r="L308" s="2">
        <v>3.2000000000000001E-2</v>
      </c>
      <c r="M308" t="s">
        <v>419</v>
      </c>
      <c r="N308" t="s">
        <v>28</v>
      </c>
      <c r="O308" t="s">
        <v>4206</v>
      </c>
      <c r="P308" t="s">
        <v>1622</v>
      </c>
      <c r="Q308" t="s">
        <v>1112</v>
      </c>
      <c r="R308" t="s">
        <v>760</v>
      </c>
      <c r="S308" t="s">
        <v>2160</v>
      </c>
      <c r="T308" t="s">
        <v>1543</v>
      </c>
      <c r="U308" t="s">
        <v>1543</v>
      </c>
      <c r="V308" t="s">
        <v>590</v>
      </c>
      <c r="W308" t="s">
        <v>1163</v>
      </c>
      <c r="X308" t="s">
        <v>1163</v>
      </c>
      <c r="Y308" t="s">
        <v>1163</v>
      </c>
      <c r="Z308" t="s">
        <v>1538</v>
      </c>
      <c r="AA308" t="s">
        <v>1538</v>
      </c>
      <c r="AB308" s="2">
        <v>-2.3999999999999998E-3</v>
      </c>
      <c r="AC308" s="2">
        <v>-1.1999999999999999E-3</v>
      </c>
      <c r="AD308" s="2">
        <v>9.2999999999999992E-3</v>
      </c>
      <c r="AE308" s="2">
        <v>0.01</v>
      </c>
      <c r="AF308" s="2">
        <v>1.6400000000000001E-2</v>
      </c>
      <c r="AG308" s="2">
        <v>1.6400000000000001E-2</v>
      </c>
      <c r="AH308" t="s">
        <v>223</v>
      </c>
      <c r="AI308" t="s">
        <v>224</v>
      </c>
      <c r="AJ308" t="s">
        <v>38</v>
      </c>
      <c r="AK308" t="s">
        <v>40</v>
      </c>
      <c r="AM308" t="s">
        <v>41</v>
      </c>
      <c r="AN308" t="s">
        <v>42</v>
      </c>
      <c r="AO308" t="s">
        <v>4206</v>
      </c>
      <c r="AP308" t="s">
        <v>1338</v>
      </c>
      <c r="AQ308" t="s">
        <v>1338</v>
      </c>
      <c r="AR308" t="s">
        <v>48</v>
      </c>
      <c r="AS308" t="s">
        <v>48</v>
      </c>
      <c r="AT308" t="s">
        <v>4652</v>
      </c>
    </row>
    <row r="309" spans="1:54" x14ac:dyDescent="0.4">
      <c r="A309" t="s">
        <v>4648</v>
      </c>
      <c r="B309" t="s">
        <v>10</v>
      </c>
      <c r="C309" t="s">
        <v>221</v>
      </c>
      <c r="D309" t="s">
        <v>11</v>
      </c>
      <c r="E309" s="2">
        <v>0</v>
      </c>
      <c r="F309" t="s">
        <v>4649</v>
      </c>
      <c r="G309" s="4" t="s">
        <v>15</v>
      </c>
      <c r="H309" t="s">
        <v>221</v>
      </c>
      <c r="I309" t="s">
        <v>4650</v>
      </c>
      <c r="J309" t="s">
        <v>4651</v>
      </c>
      <c r="K309" t="s">
        <v>214</v>
      </c>
      <c r="L309" s="2">
        <v>0.03</v>
      </c>
      <c r="M309" t="s">
        <v>413</v>
      </c>
      <c r="N309" t="s">
        <v>28</v>
      </c>
      <c r="O309" t="s">
        <v>4206</v>
      </c>
      <c r="P309" t="s">
        <v>110</v>
      </c>
      <c r="Q309" t="s">
        <v>656</v>
      </c>
      <c r="R309" t="s">
        <v>2893</v>
      </c>
      <c r="S309" t="s">
        <v>1585</v>
      </c>
      <c r="T309" t="s">
        <v>294</v>
      </c>
      <c r="U309" t="s">
        <v>294</v>
      </c>
      <c r="V309" t="s">
        <v>82</v>
      </c>
      <c r="W309" t="s">
        <v>82</v>
      </c>
      <c r="X309" t="s">
        <v>82</v>
      </c>
      <c r="Y309" t="s">
        <v>82</v>
      </c>
      <c r="Z309" t="s">
        <v>1834</v>
      </c>
      <c r="AA309" t="s">
        <v>1834</v>
      </c>
      <c r="AB309" s="2">
        <v>1E-4</v>
      </c>
      <c r="AC309" s="2">
        <v>2.9999999999999997E-4</v>
      </c>
      <c r="AD309" s="2">
        <v>4.8999999999999998E-3</v>
      </c>
      <c r="AE309" s="2">
        <v>8.2000000000000007E-3</v>
      </c>
      <c r="AF309" s="2">
        <v>9.4999999999999998E-3</v>
      </c>
      <c r="AG309" s="2">
        <v>9.4999999999999998E-3</v>
      </c>
      <c r="AH309" t="s">
        <v>223</v>
      </c>
      <c r="AI309" t="s">
        <v>224</v>
      </c>
      <c r="AJ309" t="s">
        <v>38</v>
      </c>
      <c r="AK309" t="s">
        <v>40</v>
      </c>
      <c r="AM309" t="s">
        <v>41</v>
      </c>
      <c r="AN309" t="s">
        <v>42</v>
      </c>
      <c r="AO309" t="s">
        <v>4206</v>
      </c>
      <c r="AP309" t="s">
        <v>193</v>
      </c>
      <c r="AQ309" t="s">
        <v>193</v>
      </c>
      <c r="AR309" t="s">
        <v>48</v>
      </c>
      <c r="AS309" t="s">
        <v>48</v>
      </c>
      <c r="AT309" t="s">
        <v>4652</v>
      </c>
    </row>
    <row r="310" spans="1:54" x14ac:dyDescent="0.4">
      <c r="A310" t="s">
        <v>3634</v>
      </c>
      <c r="B310" t="s">
        <v>10</v>
      </c>
      <c r="C310" t="s">
        <v>95</v>
      </c>
      <c r="D310" t="s">
        <v>11</v>
      </c>
      <c r="E310" s="2">
        <v>-2.9999999999999997E-4</v>
      </c>
      <c r="F310" t="s">
        <v>3634</v>
      </c>
      <c r="G310" s="4">
        <f>-0.03 / -0.03%</f>
        <v>100</v>
      </c>
      <c r="H310" t="s">
        <v>95</v>
      </c>
      <c r="I310" t="s">
        <v>3635</v>
      </c>
      <c r="J310" t="s">
        <v>3636</v>
      </c>
      <c r="K310" t="s">
        <v>214</v>
      </c>
      <c r="L310" s="2">
        <v>0.03</v>
      </c>
      <c r="M310" t="s">
        <v>287</v>
      </c>
      <c r="N310" t="s">
        <v>28</v>
      </c>
      <c r="O310" t="s">
        <v>2526</v>
      </c>
      <c r="P310" t="s">
        <v>857</v>
      </c>
      <c r="Q310" t="s">
        <v>641</v>
      </c>
      <c r="R310" t="s">
        <v>3637</v>
      </c>
      <c r="S310" t="s">
        <v>440</v>
      </c>
      <c r="T310" t="s">
        <v>3638</v>
      </c>
      <c r="U310" t="s">
        <v>3638</v>
      </c>
      <c r="V310" t="s">
        <v>1834</v>
      </c>
      <c r="W310" t="s">
        <v>2176</v>
      </c>
      <c r="X310" t="s">
        <v>2176</v>
      </c>
      <c r="Y310" t="s">
        <v>2176</v>
      </c>
      <c r="Z310" t="s">
        <v>2176</v>
      </c>
      <c r="AA310" t="s">
        <v>2176</v>
      </c>
      <c r="AB310" s="2">
        <v>-2.3E-3</v>
      </c>
      <c r="AC310" s="2">
        <v>-1.1000000000000001E-3</v>
      </c>
      <c r="AD310" s="2">
        <v>1.03E-2</v>
      </c>
      <c r="AE310" s="2">
        <v>1.3299999999999999E-2</v>
      </c>
      <c r="AF310" s="2">
        <v>1.49E-2</v>
      </c>
      <c r="AG310" s="2">
        <v>1.49E-2</v>
      </c>
      <c r="AH310" t="s">
        <v>223</v>
      </c>
      <c r="AI310" t="s">
        <v>224</v>
      </c>
      <c r="AJ310" t="s">
        <v>38</v>
      </c>
      <c r="AK310" t="s">
        <v>40</v>
      </c>
      <c r="AM310" t="s">
        <v>41</v>
      </c>
      <c r="AN310" t="s">
        <v>42</v>
      </c>
      <c r="AO310" t="s">
        <v>2526</v>
      </c>
      <c r="AP310" t="s">
        <v>225</v>
      </c>
      <c r="AQ310" t="s">
        <v>225</v>
      </c>
      <c r="AR310" t="s">
        <v>48</v>
      </c>
      <c r="AS310" t="s">
        <v>48</v>
      </c>
      <c r="AT310" t="s">
        <v>884</v>
      </c>
    </row>
    <row r="311" spans="1:54" x14ac:dyDescent="0.4">
      <c r="A311" t="s">
        <v>2469</v>
      </c>
      <c r="B311" t="s">
        <v>10</v>
      </c>
      <c r="C311" t="s">
        <v>2470</v>
      </c>
      <c r="D311" t="s">
        <v>11</v>
      </c>
      <c r="E311" s="2">
        <v>-3.7000000000000002E-3</v>
      </c>
      <c r="F311" t="s">
        <v>2469</v>
      </c>
      <c r="G311" s="4">
        <f>-0.39 / -0.37%</f>
        <v>105.4054054054054</v>
      </c>
      <c r="H311" t="s">
        <v>2470</v>
      </c>
      <c r="I311" t="s">
        <v>2471</v>
      </c>
      <c r="J311" t="s">
        <v>2472</v>
      </c>
      <c r="K311" t="s">
        <v>214</v>
      </c>
      <c r="L311" s="2">
        <v>3.95E-2</v>
      </c>
      <c r="M311" t="s">
        <v>2473</v>
      </c>
      <c r="N311" t="s">
        <v>28</v>
      </c>
      <c r="O311" t="s">
        <v>1868</v>
      </c>
      <c r="P311" t="s">
        <v>2474</v>
      </c>
      <c r="Q311" t="s">
        <v>2474</v>
      </c>
      <c r="R311" t="s">
        <v>2474</v>
      </c>
      <c r="S311" t="s">
        <v>465</v>
      </c>
      <c r="T311" t="s">
        <v>110</v>
      </c>
      <c r="U311" t="s">
        <v>110</v>
      </c>
      <c r="V311" t="s">
        <v>2475</v>
      </c>
      <c r="W311" t="s">
        <v>2476</v>
      </c>
      <c r="X311" t="s">
        <v>2476</v>
      </c>
      <c r="Y311" t="s">
        <v>2476</v>
      </c>
      <c r="Z311" t="s">
        <v>2476</v>
      </c>
      <c r="AA311" t="s">
        <v>2476</v>
      </c>
      <c r="AB311" s="2">
        <v>-1.52E-2</v>
      </c>
      <c r="AC311" s="2">
        <v>-9.1000000000000004E-3</v>
      </c>
      <c r="AD311" s="2">
        <v>-1E-4</v>
      </c>
      <c r="AE311" s="2">
        <v>1.3299999999999999E-2</v>
      </c>
      <c r="AF311" s="2">
        <v>2.3099999999999999E-2</v>
      </c>
      <c r="AG311" s="2">
        <v>2.3099999999999999E-2</v>
      </c>
      <c r="AH311" t="s">
        <v>223</v>
      </c>
      <c r="AI311" t="s">
        <v>224</v>
      </c>
      <c r="AJ311" t="s">
        <v>38</v>
      </c>
      <c r="AK311" t="s">
        <v>40</v>
      </c>
      <c r="AM311" t="s">
        <v>41</v>
      </c>
      <c r="AN311" t="s">
        <v>42</v>
      </c>
      <c r="AO311" t="s">
        <v>1868</v>
      </c>
      <c r="AP311" t="s">
        <v>2477</v>
      </c>
      <c r="AQ311" t="s">
        <v>2477</v>
      </c>
      <c r="AR311" t="s">
        <v>48</v>
      </c>
      <c r="AS311" t="s">
        <v>48</v>
      </c>
      <c r="AT311" t="s">
        <v>2478</v>
      </c>
    </row>
    <row r="312" spans="1:54" x14ac:dyDescent="0.4">
      <c r="A312" t="s">
        <v>879</v>
      </c>
      <c r="B312" t="s">
        <v>10</v>
      </c>
      <c r="C312" t="s">
        <v>273</v>
      </c>
      <c r="D312" t="s">
        <v>11</v>
      </c>
      <c r="E312" s="2">
        <v>1.04E-2</v>
      </c>
      <c r="F312" t="s">
        <v>879</v>
      </c>
      <c r="G312" s="4" t="s">
        <v>880</v>
      </c>
      <c r="H312" t="s">
        <v>273</v>
      </c>
      <c r="I312" t="s">
        <v>881</v>
      </c>
      <c r="J312" t="s">
        <v>882</v>
      </c>
      <c r="K312" t="s">
        <v>214</v>
      </c>
      <c r="L312" s="2">
        <v>2.7359999999999999E-2</v>
      </c>
      <c r="M312" t="s">
        <v>883</v>
      </c>
      <c r="N312" t="s">
        <v>636</v>
      </c>
      <c r="O312" t="s">
        <v>884</v>
      </c>
      <c r="P312" t="s">
        <v>885</v>
      </c>
      <c r="Q312" t="s">
        <v>885</v>
      </c>
      <c r="R312" t="s">
        <v>571</v>
      </c>
      <c r="S312" t="s">
        <v>886</v>
      </c>
      <c r="T312" t="s">
        <v>462</v>
      </c>
      <c r="U312" t="s">
        <v>462</v>
      </c>
      <c r="V312" t="s">
        <v>273</v>
      </c>
      <c r="W312" t="s">
        <v>273</v>
      </c>
      <c r="X312" t="s">
        <v>273</v>
      </c>
      <c r="Y312" t="s">
        <v>273</v>
      </c>
      <c r="Z312" t="s">
        <v>273</v>
      </c>
      <c r="AA312" t="s">
        <v>273</v>
      </c>
      <c r="AB312" s="2">
        <v>8.6E-3</v>
      </c>
      <c r="AC312" s="2">
        <v>9.1000000000000004E-3</v>
      </c>
      <c r="AD312" s="2">
        <v>1.1299999999999999E-2</v>
      </c>
      <c r="AE312" s="2">
        <v>1.8599999999999998E-2</v>
      </c>
      <c r="AF312" s="2">
        <v>2.92E-2</v>
      </c>
      <c r="AG312" s="2">
        <v>2.92E-2</v>
      </c>
      <c r="AH312" t="s">
        <v>223</v>
      </c>
      <c r="AI312" t="s">
        <v>224</v>
      </c>
      <c r="AJ312" t="s">
        <v>38</v>
      </c>
      <c r="AK312" t="s">
        <v>40</v>
      </c>
      <c r="AM312" t="s">
        <v>41</v>
      </c>
      <c r="AN312" t="s">
        <v>42</v>
      </c>
      <c r="AO312" t="s">
        <v>884</v>
      </c>
      <c r="AP312" t="s">
        <v>835</v>
      </c>
      <c r="AQ312" t="s">
        <v>835</v>
      </c>
      <c r="AR312" t="s">
        <v>48</v>
      </c>
      <c r="AS312" t="s">
        <v>48</v>
      </c>
      <c r="AT312" t="s">
        <v>887</v>
      </c>
    </row>
    <row r="313" spans="1:54" x14ac:dyDescent="0.4">
      <c r="A313" t="s">
        <v>4448</v>
      </c>
      <c r="B313" t="s">
        <v>10</v>
      </c>
      <c r="C313" t="s">
        <v>858</v>
      </c>
      <c r="D313" t="s">
        <v>11</v>
      </c>
      <c r="E313" s="2">
        <v>-6.9999999999999999E-4</v>
      </c>
      <c r="F313" t="s">
        <v>4448</v>
      </c>
      <c r="G313" s="4">
        <f>-0.07 / -0.07%</f>
        <v>100</v>
      </c>
      <c r="H313" t="s">
        <v>858</v>
      </c>
      <c r="I313" t="s">
        <v>5956</v>
      </c>
      <c r="J313" t="s">
        <v>5957</v>
      </c>
      <c r="K313" t="s">
        <v>214</v>
      </c>
      <c r="L313" s="2">
        <v>3.6999999999999998E-2</v>
      </c>
      <c r="M313" t="s">
        <v>5958</v>
      </c>
      <c r="N313" t="s">
        <v>28</v>
      </c>
      <c r="O313" t="s">
        <v>5959</v>
      </c>
      <c r="P313" t="s">
        <v>329</v>
      </c>
      <c r="Q313" t="s">
        <v>329</v>
      </c>
      <c r="R313" s="1">
        <v>100795</v>
      </c>
      <c r="S313" t="s">
        <v>591</v>
      </c>
      <c r="T313" s="1">
        <v>98275</v>
      </c>
      <c r="U313" s="1">
        <v>98275</v>
      </c>
      <c r="V313" t="s">
        <v>2545</v>
      </c>
      <c r="W313" t="s">
        <v>1120</v>
      </c>
      <c r="X313" t="s">
        <v>1120</v>
      </c>
      <c r="Y313" t="s">
        <v>1120</v>
      </c>
      <c r="Z313" t="s">
        <v>1120</v>
      </c>
      <c r="AA313" t="s">
        <v>1120</v>
      </c>
      <c r="AB313" s="2">
        <v>-5.0000000000000001E-3</v>
      </c>
      <c r="AC313" s="2">
        <v>-6.0000000000000001E-3</v>
      </c>
      <c r="AD313" s="2">
        <v>8.5000000000000006E-3</v>
      </c>
      <c r="AE313" s="2">
        <v>7.9000000000000008E-3</v>
      </c>
      <c r="AF313" s="2">
        <v>6.4999999999999997E-3</v>
      </c>
      <c r="AG313" s="2">
        <v>6.4999999999999997E-3</v>
      </c>
      <c r="AH313" t="s">
        <v>223</v>
      </c>
      <c r="AI313" t="s">
        <v>224</v>
      </c>
      <c r="AJ313" t="s">
        <v>38</v>
      </c>
      <c r="AK313" t="s">
        <v>40</v>
      </c>
      <c r="AM313" t="s">
        <v>41</v>
      </c>
      <c r="AN313" t="s">
        <v>42</v>
      </c>
      <c r="AO313" t="s">
        <v>5959</v>
      </c>
      <c r="AP313" t="s">
        <v>978</v>
      </c>
      <c r="AQ313" t="s">
        <v>978</v>
      </c>
      <c r="AR313" t="s">
        <v>48</v>
      </c>
      <c r="AS313" t="s">
        <v>48</v>
      </c>
      <c r="AT313" t="s">
        <v>5148</v>
      </c>
    </row>
    <row r="314" spans="1:54" x14ac:dyDescent="0.4">
      <c r="A314" t="s">
        <v>4448</v>
      </c>
      <c r="B314" t="s">
        <v>10</v>
      </c>
      <c r="C314" s="1">
        <v>101165</v>
      </c>
      <c r="D314" t="s">
        <v>11</v>
      </c>
      <c r="E314" s="2">
        <v>0</v>
      </c>
      <c r="F314" t="s">
        <v>4448</v>
      </c>
      <c r="G314" s="4" t="s">
        <v>4581</v>
      </c>
      <c r="H314" s="1">
        <v>101165</v>
      </c>
      <c r="I314" t="s">
        <v>4582</v>
      </c>
      <c r="J314" t="s">
        <v>4583</v>
      </c>
      <c r="K314" t="s">
        <v>214</v>
      </c>
      <c r="L314" s="2">
        <v>3.8309999999999997E-2</v>
      </c>
      <c r="M314" t="s">
        <v>4584</v>
      </c>
      <c r="N314" t="s">
        <v>121</v>
      </c>
      <c r="O314" t="s">
        <v>4585</v>
      </c>
      <c r="P314" t="s">
        <v>3172</v>
      </c>
      <c r="Q314" t="s">
        <v>3172</v>
      </c>
      <c r="R314" t="s">
        <v>3172</v>
      </c>
      <c r="S314" t="s">
        <v>590</v>
      </c>
      <c r="T314" t="s">
        <v>1622</v>
      </c>
      <c r="U314" t="s">
        <v>1622</v>
      </c>
      <c r="V314" t="s">
        <v>2641</v>
      </c>
      <c r="W314" s="1">
        <v>101485</v>
      </c>
      <c r="X314" s="1">
        <v>101585</v>
      </c>
      <c r="Y314" s="1">
        <v>101625</v>
      </c>
      <c r="Z314" s="1">
        <v>102085</v>
      </c>
      <c r="AA314" t="s">
        <v>392</v>
      </c>
      <c r="AB314" s="2">
        <v>-2E-3</v>
      </c>
      <c r="AC314" s="2">
        <v>-2.3999999999999998E-3</v>
      </c>
      <c r="AD314" s="2">
        <v>-3.5000000000000001E-3</v>
      </c>
      <c r="AE314" s="2">
        <v>3.7000000000000002E-3</v>
      </c>
      <c r="AF314" s="2">
        <v>-8.8999999999999999E-3</v>
      </c>
      <c r="AG314" s="2">
        <v>-3.2199999999999999E-2</v>
      </c>
      <c r="AH314" t="s">
        <v>223</v>
      </c>
      <c r="AI314" t="s">
        <v>224</v>
      </c>
      <c r="AJ314" t="s">
        <v>38</v>
      </c>
      <c r="AK314" t="s">
        <v>40</v>
      </c>
      <c r="AM314" t="s">
        <v>41</v>
      </c>
      <c r="AN314" t="s">
        <v>42</v>
      </c>
      <c r="AO314" t="s">
        <v>4585</v>
      </c>
      <c r="AP314" t="s">
        <v>1338</v>
      </c>
      <c r="AQ314" t="s">
        <v>1338</v>
      </c>
      <c r="AR314" t="s">
        <v>48</v>
      </c>
      <c r="AS314" t="s">
        <v>48</v>
      </c>
      <c r="AT314" t="s">
        <v>4585</v>
      </c>
    </row>
    <row r="315" spans="1:54" x14ac:dyDescent="0.4">
      <c r="A315" t="s">
        <v>4448</v>
      </c>
      <c r="B315" t="s">
        <v>10</v>
      </c>
      <c r="C315" t="s">
        <v>5301</v>
      </c>
      <c r="D315" t="s">
        <v>11</v>
      </c>
      <c r="E315" s="2">
        <v>-1E-3</v>
      </c>
      <c r="F315" t="s">
        <v>4448</v>
      </c>
      <c r="G315" s="4">
        <f>-0.09 / -0.1%</f>
        <v>90</v>
      </c>
      <c r="H315" t="s">
        <v>5301</v>
      </c>
      <c r="I315" t="s">
        <v>5302</v>
      </c>
      <c r="J315" t="s">
        <v>5303</v>
      </c>
      <c r="K315" t="s">
        <v>214</v>
      </c>
      <c r="L315" s="2">
        <v>8.2000000000000007E-3</v>
      </c>
      <c r="M315" t="s">
        <v>2519</v>
      </c>
      <c r="N315" t="s">
        <v>28</v>
      </c>
      <c r="O315" t="s">
        <v>4585</v>
      </c>
      <c r="P315" t="s">
        <v>5304</v>
      </c>
      <c r="Q315" t="s">
        <v>5304</v>
      </c>
      <c r="R315" t="s">
        <v>1322</v>
      </c>
      <c r="S315" t="s">
        <v>3209</v>
      </c>
      <c r="T315" t="s">
        <v>5305</v>
      </c>
      <c r="U315" t="s">
        <v>5305</v>
      </c>
      <c r="V315" t="s">
        <v>5306</v>
      </c>
      <c r="W315" t="s">
        <v>2688</v>
      </c>
      <c r="X315" t="s">
        <v>2688</v>
      </c>
      <c r="Y315" t="s">
        <v>2688</v>
      </c>
      <c r="Z315" t="s">
        <v>2688</v>
      </c>
      <c r="AA315" t="s">
        <v>4095</v>
      </c>
      <c r="AB315" s="2">
        <v>-7.7999999999999996E-3</v>
      </c>
      <c r="AC315" s="2">
        <v>1.5E-3</v>
      </c>
      <c r="AD315" s="2">
        <v>1.89E-2</v>
      </c>
      <c r="AE315" s="2">
        <v>5.2999999999999999E-2</v>
      </c>
      <c r="AF315" s="2">
        <v>5.96E-2</v>
      </c>
      <c r="AG315" s="2">
        <v>-0.1104</v>
      </c>
      <c r="AH315" t="s">
        <v>223</v>
      </c>
      <c r="AI315" t="s">
        <v>224</v>
      </c>
      <c r="AJ315" t="s">
        <v>38</v>
      </c>
      <c r="AK315" t="s">
        <v>40</v>
      </c>
      <c r="AM315" t="s">
        <v>41</v>
      </c>
      <c r="AN315" t="s">
        <v>42</v>
      </c>
      <c r="AO315" t="s">
        <v>4585</v>
      </c>
      <c r="AP315" t="s">
        <v>835</v>
      </c>
      <c r="AQ315" t="s">
        <v>835</v>
      </c>
      <c r="AR315" t="s">
        <v>48</v>
      </c>
      <c r="AS315" t="s">
        <v>48</v>
      </c>
      <c r="AT315" t="s">
        <v>4585</v>
      </c>
    </row>
    <row r="316" spans="1:54" x14ac:dyDescent="0.4">
      <c r="A316" t="s">
        <v>4448</v>
      </c>
      <c r="B316" t="s">
        <v>10</v>
      </c>
      <c r="C316" s="1">
        <v>99246</v>
      </c>
      <c r="D316" t="s">
        <v>11</v>
      </c>
      <c r="E316" s="2">
        <v>1E-4</v>
      </c>
      <c r="F316" t="s">
        <v>4448</v>
      </c>
      <c r="G316" s="4" t="s">
        <v>5315</v>
      </c>
      <c r="H316" s="1">
        <v>99246</v>
      </c>
      <c r="I316" t="s">
        <v>5316</v>
      </c>
      <c r="J316" t="s">
        <v>5317</v>
      </c>
      <c r="K316" t="s">
        <v>214</v>
      </c>
      <c r="L316" s="2">
        <v>3.5000000000000001E-3</v>
      </c>
      <c r="M316" t="s">
        <v>2519</v>
      </c>
      <c r="N316" t="s">
        <v>28</v>
      </c>
      <c r="O316" t="s">
        <v>4585</v>
      </c>
      <c r="P316" s="1">
        <v>99088</v>
      </c>
      <c r="Q316" s="1">
        <v>98557</v>
      </c>
      <c r="R316" t="s">
        <v>5318</v>
      </c>
      <c r="S316" s="1">
        <v>95691</v>
      </c>
      <c r="T316" s="1">
        <v>92135</v>
      </c>
      <c r="U316" s="1">
        <v>92135</v>
      </c>
      <c r="V316" s="1">
        <v>99246</v>
      </c>
      <c r="W316" s="1">
        <v>99246</v>
      </c>
      <c r="X316" s="1">
        <v>99246</v>
      </c>
      <c r="Y316" s="1">
        <v>99246</v>
      </c>
      <c r="Z316" s="1">
        <v>99246</v>
      </c>
      <c r="AA316" t="s">
        <v>4106</v>
      </c>
      <c r="AB316" s="2">
        <v>2.8E-3</v>
      </c>
      <c r="AC316" s="2">
        <v>7.0000000000000001E-3</v>
      </c>
      <c r="AD316" s="2">
        <v>1.9400000000000001E-2</v>
      </c>
      <c r="AE316" s="2">
        <v>3.7100000000000001E-2</v>
      </c>
      <c r="AF316" s="2">
        <v>6.5199999999999994E-2</v>
      </c>
      <c r="AG316" s="2">
        <v>-1.4200000000000001E-2</v>
      </c>
      <c r="AH316" t="s">
        <v>223</v>
      </c>
      <c r="AI316" t="s">
        <v>224</v>
      </c>
      <c r="AJ316" t="s">
        <v>38</v>
      </c>
      <c r="AK316" t="s">
        <v>40</v>
      </c>
      <c r="AM316" t="s">
        <v>41</v>
      </c>
      <c r="AN316" t="s">
        <v>42</v>
      </c>
      <c r="AO316" t="s">
        <v>4585</v>
      </c>
      <c r="AP316" t="s">
        <v>2382</v>
      </c>
      <c r="AQ316" t="s">
        <v>2382</v>
      </c>
      <c r="AR316" t="s">
        <v>48</v>
      </c>
      <c r="AS316" t="s">
        <v>48</v>
      </c>
      <c r="AT316" t="s">
        <v>4585</v>
      </c>
    </row>
    <row r="317" spans="1:54" x14ac:dyDescent="0.4">
      <c r="A317" t="s">
        <v>4448</v>
      </c>
      <c r="B317" t="s">
        <v>10</v>
      </c>
      <c r="C317" s="1">
        <v>101855</v>
      </c>
      <c r="D317" t="s">
        <v>11</v>
      </c>
      <c r="E317" s="2">
        <v>0</v>
      </c>
      <c r="F317" t="s">
        <v>4448</v>
      </c>
      <c r="G317" s="4" t="s">
        <v>4581</v>
      </c>
      <c r="H317" s="1">
        <v>101855</v>
      </c>
      <c r="I317" t="s">
        <v>5298</v>
      </c>
      <c r="J317" t="s">
        <v>5299</v>
      </c>
      <c r="K317" t="s">
        <v>214</v>
      </c>
      <c r="L317" s="2">
        <v>3.7969999999999997E-2</v>
      </c>
      <c r="M317" t="s">
        <v>194</v>
      </c>
      <c r="N317" t="s">
        <v>121</v>
      </c>
      <c r="O317" t="s">
        <v>5300</v>
      </c>
      <c r="P317" s="1">
        <v>101835</v>
      </c>
      <c r="Q317" s="1">
        <v>101835</v>
      </c>
      <c r="R317" s="1">
        <v>101835</v>
      </c>
      <c r="S317" t="s">
        <v>455</v>
      </c>
      <c r="T317" s="1">
        <v>99845</v>
      </c>
      <c r="U317" s="1">
        <v>99845</v>
      </c>
      <c r="V317" s="1">
        <v>101905</v>
      </c>
      <c r="W317" t="s">
        <v>2545</v>
      </c>
      <c r="X317" t="s">
        <v>441</v>
      </c>
      <c r="Y317" t="s">
        <v>441</v>
      </c>
      <c r="Z317" t="s">
        <v>1631</v>
      </c>
      <c r="AA317" t="s">
        <v>4622</v>
      </c>
      <c r="AB317" s="2">
        <v>-4.0000000000000002E-4</v>
      </c>
      <c r="AC317" s="2">
        <v>-1.4E-3</v>
      </c>
      <c r="AD317" s="2">
        <v>-2E-3</v>
      </c>
      <c r="AE317" s="2">
        <v>1.8200000000000001E-2</v>
      </c>
      <c r="AF317" s="2">
        <v>-8.3000000000000001E-3</v>
      </c>
      <c r="AG317" s="2">
        <v>-4.2200000000000001E-2</v>
      </c>
      <c r="AH317" t="s">
        <v>223</v>
      </c>
      <c r="AI317" t="s">
        <v>224</v>
      </c>
      <c r="AJ317" t="s">
        <v>38</v>
      </c>
      <c r="AK317" t="s">
        <v>40</v>
      </c>
      <c r="AM317" t="s">
        <v>41</v>
      </c>
      <c r="AN317" t="s">
        <v>42</v>
      </c>
      <c r="AO317" t="s">
        <v>5300</v>
      </c>
      <c r="AP317" t="s">
        <v>1338</v>
      </c>
      <c r="AQ317" t="s">
        <v>1338</v>
      </c>
      <c r="AR317" t="s">
        <v>48</v>
      </c>
      <c r="AS317" t="s">
        <v>48</v>
      </c>
      <c r="AT317" t="s">
        <v>5300</v>
      </c>
    </row>
    <row r="318" spans="1:54" x14ac:dyDescent="0.4">
      <c r="A318" t="s">
        <v>4448</v>
      </c>
      <c r="B318" t="s">
        <v>10</v>
      </c>
      <c r="C318" t="s">
        <v>5307</v>
      </c>
      <c r="D318" t="s">
        <v>11</v>
      </c>
      <c r="E318" s="2">
        <v>-1.9E-3</v>
      </c>
      <c r="F318" t="s">
        <v>4448</v>
      </c>
      <c r="G318" s="4">
        <f>-0.16 / -0.19%</f>
        <v>84.21052631578948</v>
      </c>
      <c r="H318" t="s">
        <v>5307</v>
      </c>
      <c r="I318" t="s">
        <v>5308</v>
      </c>
      <c r="J318" t="s">
        <v>5309</v>
      </c>
      <c r="K318" t="s">
        <v>214</v>
      </c>
      <c r="L318" s="2">
        <v>1.04E-2</v>
      </c>
      <c r="M318" t="s">
        <v>300</v>
      </c>
      <c r="N318" t="s">
        <v>28</v>
      </c>
      <c r="O318" t="s">
        <v>4588</v>
      </c>
      <c r="P318" t="s">
        <v>5310</v>
      </c>
      <c r="Q318" t="s">
        <v>5310</v>
      </c>
      <c r="R318" t="s">
        <v>5311</v>
      </c>
      <c r="S318" t="s">
        <v>5312</v>
      </c>
      <c r="T318" t="s">
        <v>5313</v>
      </c>
      <c r="U318" t="s">
        <v>5313</v>
      </c>
      <c r="V318" t="s">
        <v>2843</v>
      </c>
      <c r="W318" t="s">
        <v>5314</v>
      </c>
      <c r="X318" t="s">
        <v>5314</v>
      </c>
      <c r="Y318" t="s">
        <v>5314</v>
      </c>
      <c r="Z318" t="s">
        <v>5314</v>
      </c>
      <c r="AA318" t="s">
        <v>1195</v>
      </c>
      <c r="AB318" s="2">
        <v>-1.4E-2</v>
      </c>
      <c r="AC318" s="2">
        <v>3.3E-3</v>
      </c>
      <c r="AD318" s="2">
        <v>1.37E-2</v>
      </c>
      <c r="AE318" s="2">
        <v>7.7299999999999994E-2</v>
      </c>
      <c r="AF318" s="2">
        <v>5.67E-2</v>
      </c>
      <c r="AG318" s="2">
        <v>-0.1711</v>
      </c>
      <c r="AH318" t="s">
        <v>223</v>
      </c>
      <c r="AI318" t="s">
        <v>224</v>
      </c>
      <c r="AJ318" t="s">
        <v>38</v>
      </c>
      <c r="AK318" t="s">
        <v>40</v>
      </c>
      <c r="AM318" t="s">
        <v>41</v>
      </c>
      <c r="AN318" t="s">
        <v>42</v>
      </c>
      <c r="AO318" t="s">
        <v>4588</v>
      </c>
      <c r="AP318" t="s">
        <v>3080</v>
      </c>
      <c r="AQ318" t="s">
        <v>3080</v>
      </c>
      <c r="AR318" t="s">
        <v>48</v>
      </c>
      <c r="AS318" t="s">
        <v>48</v>
      </c>
      <c r="AT318" t="s">
        <v>4588</v>
      </c>
    </row>
    <row r="319" spans="1:54" x14ac:dyDescent="0.4">
      <c r="A319" t="s">
        <v>4448</v>
      </c>
      <c r="B319" t="s">
        <v>10</v>
      </c>
      <c r="C319" t="s">
        <v>1934</v>
      </c>
      <c r="D319" t="s">
        <v>11</v>
      </c>
      <c r="E319" s="2">
        <v>-1.1000000000000001E-3</v>
      </c>
      <c r="F319" t="s">
        <v>4448</v>
      </c>
      <c r="G319" s="4">
        <f>-0.1 / -0.11%</f>
        <v>90.909090909090907</v>
      </c>
      <c r="H319" t="s">
        <v>1934</v>
      </c>
      <c r="I319" t="s">
        <v>4593</v>
      </c>
      <c r="J319" t="s">
        <v>4594</v>
      </c>
      <c r="K319" t="s">
        <v>214</v>
      </c>
      <c r="L319" s="2">
        <v>5.4999999999999997E-3</v>
      </c>
      <c r="M319" t="s">
        <v>300</v>
      </c>
      <c r="N319" t="s">
        <v>28</v>
      </c>
      <c r="O319" t="s">
        <v>4588</v>
      </c>
      <c r="P319" s="1">
        <v>92355</v>
      </c>
      <c r="Q319" s="1">
        <v>92255</v>
      </c>
      <c r="R319" s="1">
        <v>90295</v>
      </c>
      <c r="S319" s="1">
        <v>88015</v>
      </c>
      <c r="T319" s="1">
        <v>83735</v>
      </c>
      <c r="U319" s="1">
        <v>83735</v>
      </c>
      <c r="V319" t="s">
        <v>4595</v>
      </c>
      <c r="W319" s="1">
        <v>93475</v>
      </c>
      <c r="X319" s="1">
        <v>93475</v>
      </c>
      <c r="Y319" s="1">
        <v>93475</v>
      </c>
      <c r="Z319" s="1">
        <v>93475</v>
      </c>
      <c r="AA319" t="s">
        <v>1257</v>
      </c>
      <c r="AB319" s="2">
        <v>-5.1000000000000004E-3</v>
      </c>
      <c r="AC319" s="2">
        <v>-5.0000000000000001E-4</v>
      </c>
      <c r="AD319" s="2">
        <v>2.5499999999999998E-2</v>
      </c>
      <c r="AE319" s="2">
        <v>4.99E-2</v>
      </c>
      <c r="AF319" s="2">
        <v>6.7699999999999996E-2</v>
      </c>
      <c r="AG319" s="2">
        <v>-8.43E-2</v>
      </c>
      <c r="AH319" t="s">
        <v>223</v>
      </c>
      <c r="AI319" t="s">
        <v>224</v>
      </c>
      <c r="AJ319" t="s">
        <v>38</v>
      </c>
      <c r="AK319" t="s">
        <v>40</v>
      </c>
      <c r="AM319" t="s">
        <v>41</v>
      </c>
      <c r="AN319" t="s">
        <v>42</v>
      </c>
      <c r="AO319" t="s">
        <v>4588</v>
      </c>
      <c r="AP319" t="s">
        <v>1338</v>
      </c>
      <c r="AQ319" t="s">
        <v>1338</v>
      </c>
      <c r="AR319" t="s">
        <v>48</v>
      </c>
      <c r="AS319" t="s">
        <v>48</v>
      </c>
      <c r="AT319" t="s">
        <v>4588</v>
      </c>
    </row>
    <row r="320" spans="1:54" x14ac:dyDescent="0.4">
      <c r="A320" t="s">
        <v>4596</v>
      </c>
      <c r="B320" t="s">
        <v>10</v>
      </c>
      <c r="C320" s="1">
        <v>101404</v>
      </c>
      <c r="D320" t="s">
        <v>11</v>
      </c>
      <c r="E320" s="2">
        <v>-4.0000000000000002E-4</v>
      </c>
      <c r="F320" t="s">
        <v>4596</v>
      </c>
      <c r="G320" s="4">
        <f>-0.039 / -0.04%</f>
        <v>97.5</v>
      </c>
      <c r="H320" s="1">
        <v>101404</v>
      </c>
      <c r="I320" t="s">
        <v>4655</v>
      </c>
      <c r="J320" t="s">
        <v>4656</v>
      </c>
      <c r="K320" t="s">
        <v>214</v>
      </c>
      <c r="L320" s="2">
        <v>4.1599999999999998E-2</v>
      </c>
      <c r="M320" t="s">
        <v>4657</v>
      </c>
      <c r="N320" t="s">
        <v>28</v>
      </c>
      <c r="O320" t="s">
        <v>4658</v>
      </c>
      <c r="P320" s="1">
        <v>101396</v>
      </c>
      <c r="Q320" s="1">
        <v>101396</v>
      </c>
      <c r="R320" s="1">
        <v>100744</v>
      </c>
      <c r="S320" s="1">
        <v>100318</v>
      </c>
      <c r="T320" t="s">
        <v>153</v>
      </c>
      <c r="U320" t="s">
        <v>153</v>
      </c>
      <c r="V320" s="1">
        <v>101717</v>
      </c>
      <c r="W320" s="1">
        <v>101869</v>
      </c>
      <c r="X320" s="1">
        <v>101869</v>
      </c>
      <c r="Y320" s="1">
        <v>101869</v>
      </c>
      <c r="Z320" s="1">
        <v>101869</v>
      </c>
      <c r="AA320" s="1">
        <v>101869</v>
      </c>
      <c r="AB320" s="2">
        <v>-3.3E-3</v>
      </c>
      <c r="AC320" s="2">
        <v>-3.3999999999999998E-3</v>
      </c>
      <c r="AD320" s="2">
        <v>6.6E-3</v>
      </c>
      <c r="AE320" s="2">
        <v>3.5999999999999999E-3</v>
      </c>
      <c r="AF320" s="2">
        <v>2.8E-3</v>
      </c>
      <c r="AG320" s="2">
        <v>2.8E-3</v>
      </c>
      <c r="AH320" t="s">
        <v>223</v>
      </c>
      <c r="AI320" t="s">
        <v>224</v>
      </c>
      <c r="AJ320" t="s">
        <v>38</v>
      </c>
      <c r="AK320" t="s">
        <v>40</v>
      </c>
      <c r="AM320" t="s">
        <v>41</v>
      </c>
      <c r="AN320" t="s">
        <v>42</v>
      </c>
      <c r="AO320" t="s">
        <v>4658</v>
      </c>
      <c r="AP320" t="s">
        <v>3127</v>
      </c>
      <c r="AQ320" t="s">
        <v>3127</v>
      </c>
      <c r="AR320" t="s">
        <v>48</v>
      </c>
      <c r="AS320" t="s">
        <v>48</v>
      </c>
      <c r="AT320" t="s">
        <v>4659</v>
      </c>
    </row>
    <row r="321" spans="1:46" x14ac:dyDescent="0.4">
      <c r="A321" t="s">
        <v>2572</v>
      </c>
      <c r="B321" t="s">
        <v>10</v>
      </c>
      <c r="C321" t="s">
        <v>727</v>
      </c>
      <c r="D321" t="s">
        <v>11</v>
      </c>
      <c r="E321" s="2">
        <v>-6.4999999999999997E-3</v>
      </c>
      <c r="F321" t="s">
        <v>2572</v>
      </c>
      <c r="G321" s="4">
        <f>-0.66 / -0.65%</f>
        <v>101.53846153846153</v>
      </c>
      <c r="H321" t="s">
        <v>727</v>
      </c>
      <c r="I321" t="s">
        <v>2573</v>
      </c>
      <c r="J321" t="s">
        <v>2574</v>
      </c>
      <c r="K321" t="s">
        <v>214</v>
      </c>
      <c r="L321" s="2">
        <v>2.75E-2</v>
      </c>
      <c r="M321" t="s">
        <v>449</v>
      </c>
      <c r="N321" t="s">
        <v>28</v>
      </c>
      <c r="O321" t="s">
        <v>2575</v>
      </c>
      <c r="P321" t="s">
        <v>109</v>
      </c>
      <c r="Q321" t="s">
        <v>109</v>
      </c>
      <c r="R321" t="s">
        <v>2576</v>
      </c>
      <c r="S321" t="s">
        <v>1336</v>
      </c>
      <c r="T321" t="s">
        <v>2577</v>
      </c>
      <c r="U321" t="s">
        <v>2577</v>
      </c>
      <c r="V321" t="s">
        <v>1709</v>
      </c>
      <c r="W321" t="s">
        <v>1709</v>
      </c>
      <c r="X321" t="s">
        <v>1709</v>
      </c>
      <c r="Y321" t="s">
        <v>1709</v>
      </c>
      <c r="Z321" t="s">
        <v>1709</v>
      </c>
      <c r="AA321" t="s">
        <v>1709</v>
      </c>
      <c r="AB321" s="2">
        <v>8.9999999999999998E-4</v>
      </c>
      <c r="AC321" s="2">
        <v>2.3E-3</v>
      </c>
      <c r="AD321" s="2">
        <v>1.6400000000000001E-2</v>
      </c>
      <c r="AE321" s="2">
        <v>1.9400000000000001E-2</v>
      </c>
      <c r="AF321" s="2">
        <v>2.53E-2</v>
      </c>
      <c r="AG321" s="2">
        <v>2.53E-2</v>
      </c>
      <c r="AH321" t="s">
        <v>223</v>
      </c>
      <c r="AI321" t="s">
        <v>224</v>
      </c>
      <c r="AJ321" t="s">
        <v>38</v>
      </c>
      <c r="AK321" t="s">
        <v>40</v>
      </c>
      <c r="AM321" t="s">
        <v>41</v>
      </c>
      <c r="AN321" t="s">
        <v>42</v>
      </c>
      <c r="AO321" t="s">
        <v>2575</v>
      </c>
      <c r="AP321" t="s">
        <v>1338</v>
      </c>
      <c r="AQ321" t="s">
        <v>1338</v>
      </c>
      <c r="AR321" t="s">
        <v>48</v>
      </c>
      <c r="AS321" t="s">
        <v>48</v>
      </c>
      <c r="AT321" t="s">
        <v>974</v>
      </c>
    </row>
    <row r="322" spans="1:46" x14ac:dyDescent="0.4">
      <c r="A322" t="s">
        <v>2591</v>
      </c>
      <c r="B322" t="s">
        <v>10</v>
      </c>
      <c r="C322" t="s">
        <v>550</v>
      </c>
      <c r="D322" t="s">
        <v>11</v>
      </c>
      <c r="E322" s="2">
        <v>-5.0000000000000001E-4</v>
      </c>
      <c r="F322" t="s">
        <v>2591</v>
      </c>
      <c r="G322" s="4">
        <f>-0.049 / -0.05%</f>
        <v>98</v>
      </c>
      <c r="H322" t="s">
        <v>550</v>
      </c>
      <c r="I322" t="s">
        <v>2592</v>
      </c>
      <c r="J322" t="s">
        <v>2593</v>
      </c>
      <c r="K322" t="s">
        <v>214</v>
      </c>
      <c r="L322" s="2">
        <v>2.75E-2</v>
      </c>
      <c r="M322" t="s">
        <v>2594</v>
      </c>
      <c r="N322" t="s">
        <v>28</v>
      </c>
      <c r="O322" t="s">
        <v>2595</v>
      </c>
      <c r="P322" t="s">
        <v>1030</v>
      </c>
      <c r="Q322" t="s">
        <v>1176</v>
      </c>
      <c r="R322" t="s">
        <v>2596</v>
      </c>
      <c r="S322" t="s">
        <v>2597</v>
      </c>
      <c r="T322" t="s">
        <v>2597</v>
      </c>
      <c r="U322" t="s">
        <v>2597</v>
      </c>
      <c r="V322" t="s">
        <v>591</v>
      </c>
      <c r="W322" t="s">
        <v>1196</v>
      </c>
      <c r="X322" t="s">
        <v>1196</v>
      </c>
      <c r="Y322" t="s">
        <v>1196</v>
      </c>
      <c r="Z322" t="s">
        <v>1196</v>
      </c>
      <c r="AA322" t="s">
        <v>1196</v>
      </c>
      <c r="AB322" s="2">
        <v>-1.8E-3</v>
      </c>
      <c r="AC322" s="2">
        <v>-2.0000000000000001E-4</v>
      </c>
      <c r="AD322" s="2">
        <v>1.15E-2</v>
      </c>
      <c r="AE322" s="2">
        <v>5.0000000000000001E-4</v>
      </c>
      <c r="AF322" s="2">
        <v>5.0000000000000001E-4</v>
      </c>
      <c r="AG322" s="2">
        <v>5.0000000000000001E-4</v>
      </c>
      <c r="AH322" t="s">
        <v>223</v>
      </c>
      <c r="AI322" t="s">
        <v>224</v>
      </c>
      <c r="AJ322" t="s">
        <v>38</v>
      </c>
      <c r="AK322" t="s">
        <v>40</v>
      </c>
      <c r="AM322" t="s">
        <v>41</v>
      </c>
      <c r="AN322" t="s">
        <v>42</v>
      </c>
      <c r="AO322" t="s">
        <v>2595</v>
      </c>
      <c r="AP322" t="s">
        <v>1338</v>
      </c>
      <c r="AQ322" t="s">
        <v>1338</v>
      </c>
      <c r="AR322" t="s">
        <v>48</v>
      </c>
      <c r="AS322" t="s">
        <v>48</v>
      </c>
      <c r="AT322" t="s">
        <v>2598</v>
      </c>
    </row>
    <row r="323" spans="1:46" x14ac:dyDescent="0.4">
      <c r="A323" t="s">
        <v>1968</v>
      </c>
      <c r="B323" t="s">
        <v>10</v>
      </c>
      <c r="C323" t="s">
        <v>1290</v>
      </c>
      <c r="D323" t="s">
        <v>11</v>
      </c>
      <c r="E323" s="2">
        <v>0</v>
      </c>
      <c r="F323" t="s">
        <v>1968</v>
      </c>
      <c r="G323" s="4" t="s">
        <v>1190</v>
      </c>
      <c r="H323" t="s">
        <v>1290</v>
      </c>
      <c r="I323" t="s">
        <v>1969</v>
      </c>
      <c r="J323" t="s">
        <v>1970</v>
      </c>
      <c r="K323" t="s">
        <v>214</v>
      </c>
      <c r="L323" s="2">
        <v>3.0499999999999999E-2</v>
      </c>
      <c r="M323" t="s">
        <v>1971</v>
      </c>
      <c r="N323" t="s">
        <v>28</v>
      </c>
      <c r="O323" t="s">
        <v>1972</v>
      </c>
      <c r="P323" t="s">
        <v>1973</v>
      </c>
      <c r="Q323" t="s">
        <v>1973</v>
      </c>
      <c r="R323" t="s">
        <v>1974</v>
      </c>
      <c r="S323" t="s">
        <v>1186</v>
      </c>
      <c r="T323" t="s">
        <v>1975</v>
      </c>
      <c r="U323" t="s">
        <v>1975</v>
      </c>
      <c r="V323" t="s">
        <v>1976</v>
      </c>
      <c r="W323" t="s">
        <v>609</v>
      </c>
      <c r="X323" t="s">
        <v>641</v>
      </c>
      <c r="Y323" t="s">
        <v>641</v>
      </c>
      <c r="Z323" t="s">
        <v>641</v>
      </c>
      <c r="AA323" t="s">
        <v>641</v>
      </c>
      <c r="AB323" s="2">
        <v>-4.0000000000000002E-4</v>
      </c>
      <c r="AC323" s="2">
        <v>-5.0000000000000001E-4</v>
      </c>
      <c r="AD323" s="2">
        <v>7.1000000000000004E-3</v>
      </c>
      <c r="AE323" s="2">
        <v>6.4000000000000003E-3</v>
      </c>
      <c r="AF323" s="2">
        <v>8.2000000000000007E-3</v>
      </c>
      <c r="AG323" s="2">
        <v>8.2000000000000007E-3</v>
      </c>
      <c r="AH323" t="s">
        <v>223</v>
      </c>
      <c r="AI323" t="s">
        <v>224</v>
      </c>
      <c r="AJ323" t="s">
        <v>38</v>
      </c>
      <c r="AK323" t="s">
        <v>40</v>
      </c>
      <c r="AM323" t="s">
        <v>41</v>
      </c>
      <c r="AN323" t="s">
        <v>42</v>
      </c>
      <c r="AO323" t="s">
        <v>1972</v>
      </c>
      <c r="AP323" t="s">
        <v>225</v>
      </c>
      <c r="AQ323" t="s">
        <v>225</v>
      </c>
      <c r="AR323" t="s">
        <v>48</v>
      </c>
      <c r="AS323" t="s">
        <v>48</v>
      </c>
      <c r="AT323" t="s">
        <v>1977</v>
      </c>
    </row>
    <row r="324" spans="1:46" x14ac:dyDescent="0.4">
      <c r="A324" t="s">
        <v>4648</v>
      </c>
      <c r="B324" t="s">
        <v>10</v>
      </c>
      <c r="C324" t="s">
        <v>511</v>
      </c>
      <c r="D324" t="s">
        <v>11</v>
      </c>
      <c r="E324" s="2">
        <v>2.0000000000000001E-4</v>
      </c>
      <c r="F324" t="s">
        <v>4649</v>
      </c>
      <c r="G324" s="4" t="s">
        <v>3463</v>
      </c>
      <c r="H324" t="s">
        <v>511</v>
      </c>
      <c r="I324" t="s">
        <v>4660</v>
      </c>
      <c r="J324" t="s">
        <v>4661</v>
      </c>
      <c r="K324" t="s">
        <v>214</v>
      </c>
      <c r="L324" s="2">
        <v>2.4E-2</v>
      </c>
      <c r="M324" t="s">
        <v>2595</v>
      </c>
      <c r="N324" t="s">
        <v>28</v>
      </c>
      <c r="O324" t="s">
        <v>1373</v>
      </c>
      <c r="P324" t="s">
        <v>2833</v>
      </c>
      <c r="Q324" t="s">
        <v>1065</v>
      </c>
      <c r="R324" t="s">
        <v>4662</v>
      </c>
      <c r="S324" t="s">
        <v>4663</v>
      </c>
      <c r="T324" t="s">
        <v>688</v>
      </c>
      <c r="U324" t="s">
        <v>688</v>
      </c>
      <c r="V324" t="s">
        <v>3723</v>
      </c>
      <c r="W324" t="s">
        <v>3723</v>
      </c>
      <c r="X324" t="s">
        <v>3723</v>
      </c>
      <c r="Y324" t="s">
        <v>3723</v>
      </c>
      <c r="Z324" t="s">
        <v>3723</v>
      </c>
      <c r="AA324" t="s">
        <v>3723</v>
      </c>
      <c r="AB324" s="2">
        <v>5.9999999999999995E-4</v>
      </c>
      <c r="AC324" s="2">
        <v>1.6999999999999999E-3</v>
      </c>
      <c r="AD324" s="2">
        <v>5.7000000000000002E-3</v>
      </c>
      <c r="AE324" s="2">
        <v>1.4800000000000001E-2</v>
      </c>
      <c r="AF324" s="2">
        <v>1.5900000000000001E-2</v>
      </c>
      <c r="AG324" s="2">
        <v>1.5900000000000001E-2</v>
      </c>
      <c r="AH324" t="s">
        <v>223</v>
      </c>
      <c r="AI324" t="s">
        <v>224</v>
      </c>
      <c r="AJ324" t="s">
        <v>38</v>
      </c>
      <c r="AK324" t="s">
        <v>40</v>
      </c>
      <c r="AM324" t="s">
        <v>41</v>
      </c>
      <c r="AN324" t="s">
        <v>42</v>
      </c>
      <c r="AO324" t="s">
        <v>1373</v>
      </c>
      <c r="AP324" t="s">
        <v>407</v>
      </c>
      <c r="AQ324" t="s">
        <v>407</v>
      </c>
      <c r="AR324" t="s">
        <v>48</v>
      </c>
      <c r="AS324" t="s">
        <v>48</v>
      </c>
      <c r="AT324" t="s">
        <v>4664</v>
      </c>
    </row>
    <row r="325" spans="1:46" x14ac:dyDescent="0.4">
      <c r="A325" t="s">
        <v>210</v>
      </c>
      <c r="B325" t="s">
        <v>10</v>
      </c>
      <c r="C325" t="s">
        <v>211</v>
      </c>
      <c r="D325" t="s">
        <v>11</v>
      </c>
      <c r="E325" s="2">
        <v>-4.0000000000000002E-4</v>
      </c>
      <c r="F325" t="s">
        <v>210</v>
      </c>
      <c r="G325" s="4">
        <f>-0.039 / -0.04%</f>
        <v>97.5</v>
      </c>
      <c r="H325" t="s">
        <v>211</v>
      </c>
      <c r="I325" t="s">
        <v>212</v>
      </c>
      <c r="J325" t="s">
        <v>213</v>
      </c>
      <c r="K325" t="s">
        <v>214</v>
      </c>
      <c r="L325" s="2">
        <v>2.5499999999999998E-2</v>
      </c>
      <c r="M325" t="s">
        <v>215</v>
      </c>
      <c r="N325" t="s">
        <v>28</v>
      </c>
      <c r="O325" t="s">
        <v>216</v>
      </c>
      <c r="P325" t="s">
        <v>217</v>
      </c>
      <c r="Q325" t="s">
        <v>83</v>
      </c>
      <c r="R325" t="s">
        <v>218</v>
      </c>
      <c r="S325" t="s">
        <v>219</v>
      </c>
      <c r="T325" t="s">
        <v>220</v>
      </c>
      <c r="U325" t="s">
        <v>220</v>
      </c>
      <c r="V325" t="s">
        <v>221</v>
      </c>
      <c r="W325" t="s">
        <v>222</v>
      </c>
      <c r="X325" t="s">
        <v>222</v>
      </c>
      <c r="Y325" t="s">
        <v>222</v>
      </c>
      <c r="Z325" t="s">
        <v>222</v>
      </c>
      <c r="AA325" t="s">
        <v>222</v>
      </c>
      <c r="AB325" s="2">
        <v>-1.2999999999999999E-3</v>
      </c>
      <c r="AC325" s="2">
        <v>5.9999999999999995E-4</v>
      </c>
      <c r="AD325" s="2">
        <v>1.24E-2</v>
      </c>
      <c r="AE325" s="2">
        <v>1.5699999999999999E-2</v>
      </c>
      <c r="AF325" s="2">
        <v>1.17E-2</v>
      </c>
      <c r="AG325" s="2">
        <v>1.17E-2</v>
      </c>
      <c r="AH325" t="s">
        <v>223</v>
      </c>
      <c r="AI325" t="s">
        <v>224</v>
      </c>
      <c r="AJ325" t="s">
        <v>38</v>
      </c>
      <c r="AK325" t="s">
        <v>40</v>
      </c>
      <c r="AM325" t="s">
        <v>41</v>
      </c>
      <c r="AN325" t="s">
        <v>42</v>
      </c>
      <c r="AO325" t="s">
        <v>216</v>
      </c>
      <c r="AP325" t="s">
        <v>225</v>
      </c>
      <c r="AQ325" t="s">
        <v>225</v>
      </c>
      <c r="AR325" t="s">
        <v>48</v>
      </c>
      <c r="AS325" t="s">
        <v>48</v>
      </c>
      <c r="AT325" t="s">
        <v>226</v>
      </c>
    </row>
    <row r="326" spans="1:46" x14ac:dyDescent="0.4">
      <c r="A326" t="s">
        <v>1578</v>
      </c>
      <c r="B326" t="s">
        <v>10</v>
      </c>
      <c r="C326" t="s">
        <v>1579</v>
      </c>
      <c r="D326" t="s">
        <v>11</v>
      </c>
      <c r="E326" s="2">
        <v>1E-4</v>
      </c>
      <c r="F326" t="s">
        <v>1578</v>
      </c>
      <c r="G326" s="4" t="s">
        <v>1580</v>
      </c>
      <c r="H326" t="s">
        <v>1579</v>
      </c>
      <c r="I326" t="s">
        <v>1581</v>
      </c>
      <c r="J326" t="s">
        <v>1582</v>
      </c>
      <c r="K326" t="s">
        <v>214</v>
      </c>
      <c r="L326" s="2">
        <v>1.4500000000000001E-2</v>
      </c>
      <c r="M326" t="s">
        <v>1583</v>
      </c>
      <c r="N326" t="s">
        <v>28</v>
      </c>
      <c r="O326" t="s">
        <v>1584</v>
      </c>
      <c r="P326" t="s">
        <v>153</v>
      </c>
      <c r="Q326" t="s">
        <v>1585</v>
      </c>
      <c r="R326" t="s">
        <v>1586</v>
      </c>
      <c r="S326" t="s">
        <v>1587</v>
      </c>
      <c r="T326" t="s">
        <v>1588</v>
      </c>
      <c r="U326" t="s">
        <v>1588</v>
      </c>
      <c r="V326" t="s">
        <v>1579</v>
      </c>
      <c r="W326" t="s">
        <v>1579</v>
      </c>
      <c r="X326" t="s">
        <v>1579</v>
      </c>
      <c r="Y326" t="s">
        <v>1579</v>
      </c>
      <c r="Z326" t="s">
        <v>1579</v>
      </c>
      <c r="AA326" t="s">
        <v>1589</v>
      </c>
      <c r="AB326" s="2">
        <v>1.1000000000000001E-3</v>
      </c>
      <c r="AC326" s="2">
        <v>3.5999999999999999E-3</v>
      </c>
      <c r="AD326" s="2">
        <v>1.47E-2</v>
      </c>
      <c r="AE326" s="2">
        <v>2.53E-2</v>
      </c>
      <c r="AF326" s="2">
        <v>4.2299999999999997E-2</v>
      </c>
      <c r="AG326" s="2">
        <v>6.1999999999999998E-3</v>
      </c>
      <c r="AH326" t="s">
        <v>223</v>
      </c>
      <c r="AI326" t="s">
        <v>224</v>
      </c>
      <c r="AJ326" t="s">
        <v>38</v>
      </c>
      <c r="AK326" t="s">
        <v>40</v>
      </c>
      <c r="AM326" t="s">
        <v>41</v>
      </c>
      <c r="AN326" t="s">
        <v>42</v>
      </c>
      <c r="AO326" t="s">
        <v>1584</v>
      </c>
      <c r="AP326" t="s">
        <v>835</v>
      </c>
      <c r="AQ326" t="s">
        <v>835</v>
      </c>
      <c r="AR326" t="s">
        <v>48</v>
      </c>
      <c r="AS326" t="s">
        <v>48</v>
      </c>
      <c r="AT326" t="s">
        <v>1590</v>
      </c>
    </row>
    <row r="327" spans="1:46" x14ac:dyDescent="0.4">
      <c r="A327" t="s">
        <v>4648</v>
      </c>
      <c r="B327" t="s">
        <v>10</v>
      </c>
      <c r="C327" t="s">
        <v>191</v>
      </c>
      <c r="D327" t="s">
        <v>11</v>
      </c>
      <c r="E327" s="2">
        <v>2.0000000000000001E-4</v>
      </c>
      <c r="F327" t="s">
        <v>4649</v>
      </c>
      <c r="G327" s="4" t="s">
        <v>7110</v>
      </c>
      <c r="H327" t="s">
        <v>191</v>
      </c>
      <c r="I327" t="s">
        <v>7111</v>
      </c>
      <c r="J327" t="s">
        <v>7112</v>
      </c>
      <c r="K327" t="s">
        <v>214</v>
      </c>
      <c r="L327" s="2">
        <v>5.0000000000000001E-4</v>
      </c>
      <c r="M327" t="s">
        <v>2133</v>
      </c>
      <c r="N327" t="s">
        <v>28</v>
      </c>
      <c r="O327" t="s">
        <v>6574</v>
      </c>
      <c r="P327" t="s">
        <v>1407</v>
      </c>
      <c r="Q327" t="s">
        <v>2264</v>
      </c>
      <c r="R327" t="s">
        <v>4826</v>
      </c>
      <c r="S327" t="s">
        <v>1803</v>
      </c>
      <c r="T327" t="s">
        <v>5375</v>
      </c>
      <c r="U327" t="s">
        <v>5375</v>
      </c>
      <c r="V327" t="s">
        <v>191</v>
      </c>
      <c r="W327" t="s">
        <v>191</v>
      </c>
      <c r="X327" t="s">
        <v>191</v>
      </c>
      <c r="Y327" t="s">
        <v>191</v>
      </c>
      <c r="Z327" t="s">
        <v>191</v>
      </c>
      <c r="AA327" t="s">
        <v>729</v>
      </c>
      <c r="AB327" s="2">
        <v>2.0999999999999999E-3</v>
      </c>
      <c r="AC327" s="2">
        <v>7.0000000000000001E-3</v>
      </c>
      <c r="AD327" s="2">
        <v>2.2499999999999999E-2</v>
      </c>
      <c r="AE327" s="2">
        <v>4.0099999999999997E-2</v>
      </c>
      <c r="AF327" s="2">
        <v>7.2599999999999998E-2</v>
      </c>
      <c r="AG327" s="2">
        <v>-5.8999999999999999E-3</v>
      </c>
      <c r="AH327" t="s">
        <v>223</v>
      </c>
      <c r="AI327" t="s">
        <v>224</v>
      </c>
      <c r="AJ327" t="s">
        <v>38</v>
      </c>
      <c r="AK327" t="s">
        <v>40</v>
      </c>
      <c r="AM327" t="s">
        <v>41</v>
      </c>
      <c r="AN327" t="s">
        <v>42</v>
      </c>
      <c r="AO327" t="s">
        <v>6574</v>
      </c>
      <c r="AP327" t="s">
        <v>3127</v>
      </c>
      <c r="AQ327" t="s">
        <v>3127</v>
      </c>
      <c r="AR327" t="s">
        <v>48</v>
      </c>
      <c r="AS327" t="s">
        <v>48</v>
      </c>
      <c r="AT327" t="s">
        <v>6577</v>
      </c>
    </row>
    <row r="328" spans="1:46" x14ac:dyDescent="0.4">
      <c r="A328" t="s">
        <v>4648</v>
      </c>
      <c r="B328" t="s">
        <v>10</v>
      </c>
      <c r="C328" t="s">
        <v>1102</v>
      </c>
      <c r="D328" t="s">
        <v>11</v>
      </c>
      <c r="E328" s="2">
        <v>-3.5000000000000001E-3</v>
      </c>
      <c r="F328" t="s">
        <v>4649</v>
      </c>
      <c r="G328" s="4">
        <f>-0.36 / -0.35%</f>
        <v>102.85714285714286</v>
      </c>
      <c r="H328" t="s">
        <v>1102</v>
      </c>
      <c r="I328" t="s">
        <v>5954</v>
      </c>
      <c r="J328" t="s">
        <v>5955</v>
      </c>
      <c r="K328" t="s">
        <v>214</v>
      </c>
      <c r="L328" s="2">
        <v>3.4000000000000002E-2</v>
      </c>
      <c r="M328" t="s">
        <v>1952</v>
      </c>
      <c r="N328" t="s">
        <v>28</v>
      </c>
      <c r="O328" t="s">
        <v>3423</v>
      </c>
      <c r="P328" t="s">
        <v>590</v>
      </c>
      <c r="Q328" t="s">
        <v>590</v>
      </c>
      <c r="R328" t="s">
        <v>590</v>
      </c>
      <c r="S328" t="s">
        <v>3931</v>
      </c>
      <c r="T328" t="s">
        <v>4148</v>
      </c>
      <c r="U328" t="s">
        <v>4148</v>
      </c>
      <c r="V328" t="s">
        <v>1631</v>
      </c>
      <c r="W328" t="s">
        <v>1701</v>
      </c>
      <c r="X328" t="s">
        <v>1701</v>
      </c>
      <c r="Y328" t="s">
        <v>1701</v>
      </c>
      <c r="Z328" t="s">
        <v>1701</v>
      </c>
      <c r="AA328" t="s">
        <v>1701</v>
      </c>
      <c r="AB328" s="2">
        <v>-1.4200000000000001E-2</v>
      </c>
      <c r="AC328" s="2">
        <v>-8.3000000000000001E-3</v>
      </c>
      <c r="AD328" s="2">
        <v>2.5999999999999999E-3</v>
      </c>
      <c r="AE328" s="2">
        <v>3.5700000000000003E-2</v>
      </c>
      <c r="AF328" s="2">
        <v>2.46E-2</v>
      </c>
      <c r="AG328" s="2">
        <v>2.46E-2</v>
      </c>
      <c r="AH328" t="s">
        <v>223</v>
      </c>
      <c r="AI328" t="s">
        <v>224</v>
      </c>
      <c r="AJ328" t="s">
        <v>38</v>
      </c>
      <c r="AK328" t="s">
        <v>40</v>
      </c>
      <c r="AM328" t="s">
        <v>41</v>
      </c>
      <c r="AN328" t="s">
        <v>42</v>
      </c>
      <c r="AO328" t="s">
        <v>3423</v>
      </c>
      <c r="AP328" t="s">
        <v>1486</v>
      </c>
      <c r="AQ328" t="s">
        <v>1486</v>
      </c>
      <c r="AR328" t="s">
        <v>48</v>
      </c>
      <c r="AS328" t="s">
        <v>48</v>
      </c>
      <c r="AT328" t="s">
        <v>4698</v>
      </c>
    </row>
    <row r="329" spans="1:46" x14ac:dyDescent="0.4">
      <c r="A329" t="s">
        <v>4448</v>
      </c>
      <c r="B329" t="s">
        <v>10</v>
      </c>
      <c r="C329" t="s">
        <v>3389</v>
      </c>
      <c r="D329" t="s">
        <v>11</v>
      </c>
      <c r="E329" s="2">
        <v>0</v>
      </c>
      <c r="F329" t="s">
        <v>4448</v>
      </c>
      <c r="G329" s="4" t="s">
        <v>4581</v>
      </c>
      <c r="H329" t="s">
        <v>3389</v>
      </c>
      <c r="I329" t="s">
        <v>3391</v>
      </c>
      <c r="J329" t="s">
        <v>7138</v>
      </c>
      <c r="K329" t="s">
        <v>214</v>
      </c>
      <c r="L329" s="2">
        <v>3.7479999999999999E-2</v>
      </c>
      <c r="M329" t="s">
        <v>5945</v>
      </c>
      <c r="N329" t="s">
        <v>121</v>
      </c>
      <c r="O329" t="s">
        <v>6668</v>
      </c>
      <c r="P329" t="s">
        <v>1660</v>
      </c>
      <c r="Q329" t="s">
        <v>1660</v>
      </c>
      <c r="R329" t="s">
        <v>1660</v>
      </c>
      <c r="S329" t="s">
        <v>1065</v>
      </c>
      <c r="T329" t="s">
        <v>2041</v>
      </c>
      <c r="U329" t="s">
        <v>2041</v>
      </c>
      <c r="V329" t="s">
        <v>6753</v>
      </c>
      <c r="W329" t="s">
        <v>6545</v>
      </c>
      <c r="X329" t="s">
        <v>3360</v>
      </c>
      <c r="Y329" t="s">
        <v>3360</v>
      </c>
      <c r="Z329" t="s">
        <v>3360</v>
      </c>
      <c r="AA329" t="s">
        <v>3360</v>
      </c>
      <c r="AB329" s="2">
        <v>-2.0000000000000001E-4</v>
      </c>
      <c r="AC329" s="2">
        <v>-3.0999999999999999E-3</v>
      </c>
      <c r="AD329" s="2">
        <v>-2.3999999999999998E-3</v>
      </c>
      <c r="AE329" s="2">
        <v>2.7400000000000001E-2</v>
      </c>
      <c r="AF329" s="2">
        <v>1.4E-2</v>
      </c>
      <c r="AG329" s="2">
        <v>1.4E-2</v>
      </c>
      <c r="AH329" t="s">
        <v>223</v>
      </c>
      <c r="AI329" t="s">
        <v>224</v>
      </c>
      <c r="AJ329" t="s">
        <v>38</v>
      </c>
      <c r="AK329" t="s">
        <v>40</v>
      </c>
      <c r="AM329" t="s">
        <v>41</v>
      </c>
      <c r="AN329" t="s">
        <v>42</v>
      </c>
      <c r="AO329" t="s">
        <v>6668</v>
      </c>
      <c r="AP329" t="s">
        <v>1486</v>
      </c>
      <c r="AQ329" t="s">
        <v>1486</v>
      </c>
      <c r="AR329" t="s">
        <v>48</v>
      </c>
      <c r="AS329" t="s">
        <v>48</v>
      </c>
      <c r="AT329" t="s">
        <v>864</v>
      </c>
    </row>
    <row r="330" spans="1:46" x14ac:dyDescent="0.4">
      <c r="A330" t="s">
        <v>4448</v>
      </c>
      <c r="B330" t="s">
        <v>10</v>
      </c>
      <c r="C330" t="s">
        <v>3400</v>
      </c>
      <c r="D330" t="s">
        <v>11</v>
      </c>
      <c r="E330" s="2">
        <v>-1.1000000000000001E-3</v>
      </c>
      <c r="F330" t="s">
        <v>4448</v>
      </c>
      <c r="G330" s="4">
        <f>-0.115 / -0.11%</f>
        <v>104.54545454545455</v>
      </c>
      <c r="H330" t="s">
        <v>3400</v>
      </c>
      <c r="I330" t="s">
        <v>7136</v>
      </c>
      <c r="J330" t="s">
        <v>7137</v>
      </c>
      <c r="K330" t="s">
        <v>214</v>
      </c>
      <c r="L330" s="2">
        <v>3.5999999999999997E-2</v>
      </c>
      <c r="M330" t="s">
        <v>7037</v>
      </c>
      <c r="N330" t="s">
        <v>28</v>
      </c>
      <c r="O330" t="s">
        <v>6668</v>
      </c>
      <c r="P330" t="s">
        <v>305</v>
      </c>
      <c r="Q330" t="s">
        <v>305</v>
      </c>
      <c r="R330" t="s">
        <v>342</v>
      </c>
      <c r="S330" t="s">
        <v>609</v>
      </c>
      <c r="T330" s="1">
        <v>97365</v>
      </c>
      <c r="U330" s="1">
        <v>97365</v>
      </c>
      <c r="V330" t="s">
        <v>4580</v>
      </c>
      <c r="W330" s="1">
        <v>103455</v>
      </c>
      <c r="X330" s="1">
        <v>103455</v>
      </c>
      <c r="Y330" s="1">
        <v>103455</v>
      </c>
      <c r="Z330" s="1">
        <v>103455</v>
      </c>
      <c r="AA330" s="1">
        <v>103455</v>
      </c>
      <c r="AB330" s="2">
        <v>-7.4000000000000003E-3</v>
      </c>
      <c r="AC330" s="2">
        <v>-6.7000000000000002E-3</v>
      </c>
      <c r="AD330" s="2">
        <v>1.06E-2</v>
      </c>
      <c r="AE330" s="2">
        <v>1.44E-2</v>
      </c>
      <c r="AF330" s="2">
        <v>3.09E-2</v>
      </c>
      <c r="AG330" s="2">
        <v>3.09E-2</v>
      </c>
      <c r="AH330" t="s">
        <v>223</v>
      </c>
      <c r="AI330" t="s">
        <v>224</v>
      </c>
      <c r="AJ330" t="s">
        <v>38</v>
      </c>
      <c r="AK330" t="s">
        <v>40</v>
      </c>
      <c r="AM330" t="s">
        <v>41</v>
      </c>
      <c r="AN330" t="s">
        <v>42</v>
      </c>
      <c r="AO330" t="s">
        <v>6668</v>
      </c>
      <c r="AP330" t="s">
        <v>2055</v>
      </c>
      <c r="AQ330" t="s">
        <v>2055</v>
      </c>
      <c r="AR330" t="s">
        <v>48</v>
      </c>
      <c r="AS330" t="s">
        <v>48</v>
      </c>
      <c r="AT330" t="s">
        <v>864</v>
      </c>
    </row>
    <row r="331" spans="1:46" x14ac:dyDescent="0.4">
      <c r="A331" t="s">
        <v>4448</v>
      </c>
      <c r="B331" t="s">
        <v>10</v>
      </c>
      <c r="C331" s="1">
        <v>100796</v>
      </c>
      <c r="D331" t="s">
        <v>11</v>
      </c>
      <c r="E331" s="2">
        <v>-5.0000000000000001E-4</v>
      </c>
      <c r="F331" t="s">
        <v>4448</v>
      </c>
      <c r="G331" s="4">
        <f>-0.046 / -0.05%</f>
        <v>92</v>
      </c>
      <c r="H331" s="1">
        <v>100796</v>
      </c>
      <c r="I331" t="s">
        <v>7133</v>
      </c>
      <c r="J331" t="s">
        <v>7134</v>
      </c>
      <c r="K331" t="s">
        <v>214</v>
      </c>
      <c r="L331" s="2">
        <v>3.5000000000000003E-2</v>
      </c>
      <c r="M331" t="s">
        <v>7135</v>
      </c>
      <c r="N331" t="s">
        <v>28</v>
      </c>
      <c r="O331" t="s">
        <v>6668</v>
      </c>
      <c r="P331" s="1">
        <v>100761</v>
      </c>
      <c r="Q331" s="1">
        <v>100761</v>
      </c>
      <c r="R331" s="1">
        <v>99956</v>
      </c>
      <c r="S331" s="1">
        <v>99385</v>
      </c>
      <c r="T331" t="s">
        <v>625</v>
      </c>
      <c r="U331" t="s">
        <v>625</v>
      </c>
      <c r="V331" s="1">
        <v>101105</v>
      </c>
      <c r="W331" s="1">
        <v>101303</v>
      </c>
      <c r="X331" s="1">
        <v>101303</v>
      </c>
      <c r="Y331" s="1">
        <v>101303</v>
      </c>
      <c r="Z331" s="1">
        <v>101303</v>
      </c>
      <c r="AA331" s="1">
        <v>101303</v>
      </c>
      <c r="AB331" s="2">
        <v>-3.0999999999999999E-3</v>
      </c>
      <c r="AC331" s="2">
        <v>-4.1999999999999997E-3</v>
      </c>
      <c r="AD331" s="2">
        <v>8.3999999999999995E-3</v>
      </c>
      <c r="AE331" s="2">
        <v>8.8999999999999999E-3</v>
      </c>
      <c r="AF331" s="2">
        <v>1.7299999999999999E-2</v>
      </c>
      <c r="AG331" s="2">
        <v>1.7299999999999999E-2</v>
      </c>
      <c r="AH331" t="s">
        <v>223</v>
      </c>
      <c r="AI331" t="s">
        <v>224</v>
      </c>
      <c r="AJ331" t="s">
        <v>38</v>
      </c>
      <c r="AK331" t="s">
        <v>40</v>
      </c>
      <c r="AM331" t="s">
        <v>41</v>
      </c>
      <c r="AN331" t="s">
        <v>42</v>
      </c>
      <c r="AO331" t="s">
        <v>6668</v>
      </c>
      <c r="AP331" t="s">
        <v>978</v>
      </c>
      <c r="AQ331" t="s">
        <v>978</v>
      </c>
      <c r="AR331" t="s">
        <v>48</v>
      </c>
      <c r="AS331" t="s">
        <v>48</v>
      </c>
      <c r="AT331" t="s">
        <v>864</v>
      </c>
    </row>
    <row r="332" spans="1:46" x14ac:dyDescent="0.4">
      <c r="A332" t="s">
        <v>4448</v>
      </c>
      <c r="B332" t="s">
        <v>10</v>
      </c>
      <c r="C332" t="s">
        <v>866</v>
      </c>
      <c r="D332" t="s">
        <v>11</v>
      </c>
      <c r="E332" s="2">
        <v>1E-4</v>
      </c>
      <c r="F332" t="s">
        <v>4448</v>
      </c>
      <c r="G332" s="4" t="s">
        <v>420</v>
      </c>
      <c r="H332" t="s">
        <v>866</v>
      </c>
      <c r="I332" t="s">
        <v>7106</v>
      </c>
      <c r="J332" t="s">
        <v>7107</v>
      </c>
      <c r="K332" t="s">
        <v>214</v>
      </c>
      <c r="L332" s="2">
        <v>4.4769999999999997E-2</v>
      </c>
      <c r="M332" t="s">
        <v>1534</v>
      </c>
      <c r="N332" t="s">
        <v>636</v>
      </c>
      <c r="O332" t="s">
        <v>7108</v>
      </c>
      <c r="P332" t="s">
        <v>735</v>
      </c>
      <c r="Q332" t="s">
        <v>735</v>
      </c>
      <c r="R332" t="s">
        <v>1227</v>
      </c>
      <c r="S332" t="s">
        <v>3151</v>
      </c>
      <c r="T332" t="s">
        <v>5862</v>
      </c>
      <c r="U332" t="s">
        <v>867</v>
      </c>
      <c r="V332" t="s">
        <v>866</v>
      </c>
      <c r="W332" s="1">
        <v>98555</v>
      </c>
      <c r="X332" s="1">
        <v>99025</v>
      </c>
      <c r="Y332" s="1">
        <v>99025</v>
      </c>
      <c r="Z332" s="1">
        <v>99025</v>
      </c>
      <c r="AA332" t="s">
        <v>560</v>
      </c>
      <c r="AB332" s="2">
        <v>0</v>
      </c>
      <c r="AC332" s="2">
        <v>1E-4</v>
      </c>
      <c r="AD332" s="2">
        <v>1.6199999999999999E-2</v>
      </c>
      <c r="AE332" s="2">
        <v>4.1399999999999999E-2</v>
      </c>
      <c r="AF332" s="2">
        <v>5.1999999999999998E-2</v>
      </c>
      <c r="AG332" s="2">
        <v>-6.1800000000000001E-2</v>
      </c>
      <c r="AH332" t="s">
        <v>223</v>
      </c>
      <c r="AI332" t="s">
        <v>224</v>
      </c>
      <c r="AJ332" t="s">
        <v>38</v>
      </c>
      <c r="AK332" t="s">
        <v>40</v>
      </c>
      <c r="AM332" t="s">
        <v>41</v>
      </c>
      <c r="AN332" t="s">
        <v>42</v>
      </c>
      <c r="AO332" t="s">
        <v>7108</v>
      </c>
      <c r="AP332" t="s">
        <v>7109</v>
      </c>
      <c r="AQ332" t="s">
        <v>7109</v>
      </c>
      <c r="AR332" t="s">
        <v>48</v>
      </c>
      <c r="AS332" t="s">
        <v>48</v>
      </c>
      <c r="AT332" t="s">
        <v>4759</v>
      </c>
    </row>
    <row r="333" spans="1:46" x14ac:dyDescent="0.4">
      <c r="A333" t="s">
        <v>4448</v>
      </c>
      <c r="B333" t="s">
        <v>10</v>
      </c>
      <c r="C333" t="s">
        <v>2152</v>
      </c>
      <c r="D333" t="s">
        <v>11</v>
      </c>
      <c r="E333" s="2">
        <v>0</v>
      </c>
      <c r="F333" t="s">
        <v>4448</v>
      </c>
      <c r="G333" s="4" t="s">
        <v>15</v>
      </c>
      <c r="H333" t="s">
        <v>2152</v>
      </c>
      <c r="I333" t="s">
        <v>6875</v>
      </c>
      <c r="J333" t="s">
        <v>7099</v>
      </c>
      <c r="K333" t="s">
        <v>214</v>
      </c>
      <c r="L333" s="2">
        <v>3.9849999999999997E-2</v>
      </c>
      <c r="M333" t="s">
        <v>7100</v>
      </c>
      <c r="N333" t="s">
        <v>636</v>
      </c>
      <c r="O333" t="s">
        <v>4600</v>
      </c>
      <c r="P333" t="s">
        <v>2152</v>
      </c>
      <c r="Q333" t="s">
        <v>2152</v>
      </c>
      <c r="R333" t="s">
        <v>576</v>
      </c>
      <c r="S333" s="1">
        <v>99705</v>
      </c>
      <c r="T333" t="s">
        <v>2893</v>
      </c>
      <c r="U333" t="s">
        <v>2893</v>
      </c>
      <c r="V333" t="s">
        <v>4469</v>
      </c>
      <c r="W333" t="s">
        <v>6028</v>
      </c>
      <c r="X333" s="1">
        <v>102295</v>
      </c>
      <c r="Y333" s="1">
        <v>102295</v>
      </c>
      <c r="Z333" t="s">
        <v>1379</v>
      </c>
      <c r="AA333" t="s">
        <v>318</v>
      </c>
      <c r="AB333" s="2">
        <v>-4.0000000000000002E-4</v>
      </c>
      <c r="AC333" s="2">
        <v>-1.2999999999999999E-3</v>
      </c>
      <c r="AD333" s="2">
        <v>-1E-3</v>
      </c>
      <c r="AE333" s="2">
        <v>2.18E-2</v>
      </c>
      <c r="AF333" s="2">
        <v>-1.3599999999999999E-2</v>
      </c>
      <c r="AG333" s="2">
        <v>-4.6100000000000002E-2</v>
      </c>
      <c r="AH333" t="s">
        <v>223</v>
      </c>
      <c r="AI333" t="s">
        <v>224</v>
      </c>
      <c r="AJ333" t="s">
        <v>38</v>
      </c>
      <c r="AK333" t="s">
        <v>40</v>
      </c>
      <c r="AM333" t="s">
        <v>41</v>
      </c>
      <c r="AN333" t="s">
        <v>42</v>
      </c>
      <c r="AO333" t="s">
        <v>4600</v>
      </c>
      <c r="AP333" t="s">
        <v>1338</v>
      </c>
      <c r="AQ333" t="s">
        <v>1338</v>
      </c>
      <c r="AR333" t="s">
        <v>48</v>
      </c>
      <c r="AS333" t="s">
        <v>48</v>
      </c>
      <c r="AT333" t="s">
        <v>4600</v>
      </c>
    </row>
    <row r="334" spans="1:46" x14ac:dyDescent="0.4">
      <c r="A334" t="s">
        <v>4596</v>
      </c>
      <c r="B334" t="s">
        <v>10</v>
      </c>
      <c r="C334" t="s">
        <v>6558</v>
      </c>
      <c r="D334" t="s">
        <v>11</v>
      </c>
      <c r="E334" s="2">
        <v>-1.5E-3</v>
      </c>
      <c r="F334" t="s">
        <v>4596</v>
      </c>
      <c r="G334" s="4">
        <f>-0.13 / -0.15%</f>
        <v>86.666666666666671</v>
      </c>
      <c r="H334" t="s">
        <v>6558</v>
      </c>
      <c r="I334" t="s">
        <v>6559</v>
      </c>
      <c r="J334" t="s">
        <v>6560</v>
      </c>
      <c r="K334" t="s">
        <v>214</v>
      </c>
      <c r="L334" s="2">
        <v>1.0500000000000001E-2</v>
      </c>
      <c r="M334" t="s">
        <v>4599</v>
      </c>
      <c r="N334" t="s">
        <v>28</v>
      </c>
      <c r="O334" t="s">
        <v>4600</v>
      </c>
      <c r="P334" t="s">
        <v>1008</v>
      </c>
      <c r="Q334" t="s">
        <v>1008</v>
      </c>
      <c r="R334" t="s">
        <v>5307</v>
      </c>
      <c r="S334" t="s">
        <v>6561</v>
      </c>
      <c r="T334" t="s">
        <v>6562</v>
      </c>
      <c r="U334" t="s">
        <v>6562</v>
      </c>
      <c r="V334" t="s">
        <v>6563</v>
      </c>
      <c r="W334" t="s">
        <v>6564</v>
      </c>
      <c r="X334" t="s">
        <v>6564</v>
      </c>
      <c r="Y334" t="s">
        <v>6564</v>
      </c>
      <c r="Z334" t="s">
        <v>6564</v>
      </c>
      <c r="AA334" t="s">
        <v>735</v>
      </c>
      <c r="AB334" s="2">
        <v>-1.14E-2</v>
      </c>
      <c r="AC334" s="2">
        <v>3.2000000000000002E-3</v>
      </c>
      <c r="AD334" s="2">
        <v>1.78E-2</v>
      </c>
      <c r="AE334" s="2">
        <v>7.2099999999999997E-2</v>
      </c>
      <c r="AF334" s="2">
        <v>6.0199999999999997E-2</v>
      </c>
      <c r="AG334" s="2">
        <v>-0.1487</v>
      </c>
      <c r="AH334" t="s">
        <v>223</v>
      </c>
      <c r="AI334" t="s">
        <v>224</v>
      </c>
      <c r="AJ334" t="s">
        <v>38</v>
      </c>
      <c r="AK334" t="s">
        <v>40</v>
      </c>
      <c r="AM334" t="s">
        <v>41</v>
      </c>
      <c r="AN334" t="s">
        <v>42</v>
      </c>
      <c r="AO334" t="s">
        <v>4600</v>
      </c>
      <c r="AP334" t="s">
        <v>835</v>
      </c>
      <c r="AQ334" t="s">
        <v>835</v>
      </c>
      <c r="AR334" t="s">
        <v>48</v>
      </c>
      <c r="AS334" t="s">
        <v>48</v>
      </c>
      <c r="AT334" t="s">
        <v>4600</v>
      </c>
    </row>
    <row r="335" spans="1:46" x14ac:dyDescent="0.4">
      <c r="A335" t="s">
        <v>4596</v>
      </c>
      <c r="B335" t="s">
        <v>10</v>
      </c>
      <c r="C335" t="s">
        <v>2949</v>
      </c>
      <c r="D335" t="s">
        <v>11</v>
      </c>
      <c r="E335" s="2">
        <v>-1.2999999999999999E-3</v>
      </c>
      <c r="F335" t="s">
        <v>4596</v>
      </c>
      <c r="G335" s="4">
        <f>-0.11 / -0.13%</f>
        <v>84.615384615384613</v>
      </c>
      <c r="H335" t="s">
        <v>2949</v>
      </c>
      <c r="I335" t="s">
        <v>4597</v>
      </c>
      <c r="J335" t="s">
        <v>4598</v>
      </c>
      <c r="K335" t="s">
        <v>214</v>
      </c>
      <c r="L335" s="2">
        <v>8.9999999999999993E-3</v>
      </c>
      <c r="M335" t="s">
        <v>4599</v>
      </c>
      <c r="N335" t="s">
        <v>28</v>
      </c>
      <c r="O335" t="s">
        <v>4600</v>
      </c>
      <c r="P335" t="s">
        <v>4601</v>
      </c>
      <c r="Q335" t="s">
        <v>4601</v>
      </c>
      <c r="R335" t="s">
        <v>4602</v>
      </c>
      <c r="S335" t="s">
        <v>4603</v>
      </c>
      <c r="T335" t="s">
        <v>4604</v>
      </c>
      <c r="U335" t="s">
        <v>4604</v>
      </c>
      <c r="V335" t="s">
        <v>4605</v>
      </c>
      <c r="W335" t="s">
        <v>774</v>
      </c>
      <c r="X335" t="s">
        <v>774</v>
      </c>
      <c r="Y335" t="s">
        <v>774</v>
      </c>
      <c r="Z335" t="s">
        <v>774</v>
      </c>
      <c r="AA335" t="s">
        <v>3538</v>
      </c>
      <c r="AB335" s="2">
        <v>-8.8999999999999999E-3</v>
      </c>
      <c r="AC335" s="2">
        <v>2.0999999999999999E-3</v>
      </c>
      <c r="AD335" s="2">
        <v>1.9E-2</v>
      </c>
      <c r="AE335" s="2">
        <v>5.9799999999999999E-2</v>
      </c>
      <c r="AF335" s="2">
        <v>6.1100000000000002E-2</v>
      </c>
      <c r="AG335" s="2">
        <v>-0.11890000000000001</v>
      </c>
      <c r="AH335" t="s">
        <v>223</v>
      </c>
      <c r="AI335" t="s">
        <v>224</v>
      </c>
      <c r="AJ335" t="s">
        <v>38</v>
      </c>
      <c r="AK335" t="s">
        <v>40</v>
      </c>
      <c r="AM335" t="s">
        <v>41</v>
      </c>
      <c r="AN335" t="s">
        <v>42</v>
      </c>
      <c r="AO335" t="s">
        <v>4600</v>
      </c>
      <c r="AP335" t="s">
        <v>835</v>
      </c>
      <c r="AQ335" t="s">
        <v>835</v>
      </c>
      <c r="AR335" t="s">
        <v>48</v>
      </c>
      <c r="AS335" t="s">
        <v>48</v>
      </c>
      <c r="AT335" t="s">
        <v>4600</v>
      </c>
    </row>
    <row r="336" spans="1:46" x14ac:dyDescent="0.4">
      <c r="A336" t="s">
        <v>4448</v>
      </c>
      <c r="B336" t="s">
        <v>10</v>
      </c>
      <c r="C336" t="s">
        <v>6497</v>
      </c>
      <c r="D336" t="s">
        <v>11</v>
      </c>
      <c r="E336" s="2">
        <v>-1.5E-3</v>
      </c>
      <c r="F336" t="s">
        <v>4448</v>
      </c>
      <c r="G336" s="4">
        <f>-0.13 / -0.15%</f>
        <v>86.666666666666671</v>
      </c>
      <c r="H336" t="s">
        <v>6497</v>
      </c>
      <c r="I336" t="s">
        <v>6498</v>
      </c>
      <c r="J336" t="s">
        <v>7097</v>
      </c>
      <c r="K336" t="s">
        <v>214</v>
      </c>
      <c r="L336" s="2">
        <v>6.0000000000000001E-3</v>
      </c>
      <c r="M336" t="s">
        <v>4599</v>
      </c>
      <c r="N336" t="s">
        <v>28</v>
      </c>
      <c r="O336" t="s">
        <v>4600</v>
      </c>
      <c r="P336" s="1">
        <v>87675</v>
      </c>
      <c r="Q336" s="1">
        <v>87675</v>
      </c>
      <c r="R336" t="s">
        <v>5062</v>
      </c>
      <c r="S336" t="s">
        <v>7098</v>
      </c>
      <c r="T336" s="1">
        <v>78195</v>
      </c>
      <c r="U336" s="1">
        <v>78195</v>
      </c>
      <c r="V336" s="1">
        <v>88955</v>
      </c>
      <c r="W336" s="1">
        <v>89655</v>
      </c>
      <c r="X336" s="1">
        <v>89655</v>
      </c>
      <c r="Y336" s="1">
        <v>89655</v>
      </c>
      <c r="Z336" s="1">
        <v>89655</v>
      </c>
      <c r="AA336" t="s">
        <v>415</v>
      </c>
      <c r="AB336" s="2">
        <v>-8.6E-3</v>
      </c>
      <c r="AC336" s="2">
        <v>-5.5999999999999999E-3</v>
      </c>
      <c r="AD336" s="2">
        <v>2.6100000000000002E-2</v>
      </c>
      <c r="AE336" s="2">
        <v>5.7099999999999998E-2</v>
      </c>
      <c r="AF336" s="2">
        <v>6.7100000000000007E-2</v>
      </c>
      <c r="AG336" s="2">
        <v>-0.1265</v>
      </c>
      <c r="AH336" t="s">
        <v>223</v>
      </c>
      <c r="AI336" t="s">
        <v>224</v>
      </c>
      <c r="AJ336" t="s">
        <v>38</v>
      </c>
      <c r="AK336" t="s">
        <v>40</v>
      </c>
      <c r="AM336" t="s">
        <v>41</v>
      </c>
      <c r="AN336" t="s">
        <v>42</v>
      </c>
      <c r="AO336" t="s">
        <v>4600</v>
      </c>
      <c r="AP336" t="s">
        <v>3153</v>
      </c>
      <c r="AQ336" t="s">
        <v>3153</v>
      </c>
      <c r="AR336" t="s">
        <v>48</v>
      </c>
      <c r="AS336" t="s">
        <v>48</v>
      </c>
      <c r="AT336" t="s">
        <v>4600</v>
      </c>
    </row>
    <row r="337" spans="1:54" x14ac:dyDescent="0.4">
      <c r="A337" t="s">
        <v>4596</v>
      </c>
      <c r="B337" t="s">
        <v>10</v>
      </c>
      <c r="C337" s="1">
        <v>98192</v>
      </c>
      <c r="D337" t="s">
        <v>11</v>
      </c>
      <c r="E337" s="2">
        <v>-1E-4</v>
      </c>
      <c r="F337" t="s">
        <v>4596</v>
      </c>
      <c r="G337" s="4">
        <f>-0.013 / -0.01%</f>
        <v>130</v>
      </c>
      <c r="H337" s="1">
        <v>98192</v>
      </c>
      <c r="I337" t="s">
        <v>5914</v>
      </c>
      <c r="J337" t="s">
        <v>5915</v>
      </c>
      <c r="K337" t="s">
        <v>214</v>
      </c>
      <c r="L337" s="2">
        <v>4.3499999999999997E-3</v>
      </c>
      <c r="M337" t="s">
        <v>5916</v>
      </c>
      <c r="N337" t="s">
        <v>28</v>
      </c>
      <c r="O337" t="s">
        <v>5917</v>
      </c>
      <c r="P337" s="1">
        <v>97949</v>
      </c>
      <c r="Q337" s="1">
        <v>97596</v>
      </c>
      <c r="R337" s="1">
        <v>96015</v>
      </c>
      <c r="S337" s="1">
        <v>94365</v>
      </c>
      <c r="T337" s="1">
        <v>90745</v>
      </c>
      <c r="U337" s="1">
        <v>90745</v>
      </c>
      <c r="V337" s="1">
        <v>98205</v>
      </c>
      <c r="W337" s="1">
        <v>98205</v>
      </c>
      <c r="X337" s="1">
        <v>98205</v>
      </c>
      <c r="Y337" s="1">
        <v>98205</v>
      </c>
      <c r="Z337" s="1">
        <v>98205</v>
      </c>
      <c r="AA337" t="s">
        <v>1284</v>
      </c>
      <c r="AB337" s="2">
        <v>1.9E-3</v>
      </c>
      <c r="AC337" s="2">
        <v>5.3E-3</v>
      </c>
      <c r="AD337" s="2">
        <v>2.2700000000000001E-2</v>
      </c>
      <c r="AE337" s="2">
        <v>3.9100000000000003E-2</v>
      </c>
      <c r="AF337" s="2">
        <v>6.7199999999999996E-2</v>
      </c>
      <c r="AG337" s="2">
        <v>-2.7099999999999999E-2</v>
      </c>
      <c r="AH337" t="s">
        <v>223</v>
      </c>
      <c r="AI337" t="s">
        <v>224</v>
      </c>
      <c r="AJ337" t="s">
        <v>38</v>
      </c>
      <c r="AK337" t="s">
        <v>40</v>
      </c>
      <c r="AM337" t="s">
        <v>41</v>
      </c>
      <c r="AN337" t="s">
        <v>42</v>
      </c>
      <c r="AO337" t="s">
        <v>5917</v>
      </c>
      <c r="AP337" t="s">
        <v>978</v>
      </c>
      <c r="AQ337" t="s">
        <v>978</v>
      </c>
      <c r="AR337" t="s">
        <v>48</v>
      </c>
      <c r="AS337" t="s">
        <v>48</v>
      </c>
      <c r="AT337" t="s">
        <v>5917</v>
      </c>
    </row>
    <row r="338" spans="1:54" x14ac:dyDescent="0.4">
      <c r="A338" t="s">
        <v>4648</v>
      </c>
      <c r="B338" t="s">
        <v>10</v>
      </c>
      <c r="C338" t="s">
        <v>829</v>
      </c>
      <c r="D338" t="s">
        <v>11</v>
      </c>
      <c r="E338" s="2">
        <v>1E-4</v>
      </c>
      <c r="F338" t="s">
        <v>4649</v>
      </c>
      <c r="G338" s="4" t="s">
        <v>1580</v>
      </c>
      <c r="H338" t="s">
        <v>829</v>
      </c>
      <c r="I338" t="s">
        <v>5319</v>
      </c>
      <c r="J338" t="s">
        <v>5320</v>
      </c>
      <c r="K338" t="s">
        <v>214</v>
      </c>
      <c r="L338" s="2">
        <v>3.0000000000000001E-3</v>
      </c>
      <c r="M338" t="s">
        <v>5321</v>
      </c>
      <c r="N338" t="s">
        <v>28</v>
      </c>
      <c r="O338" t="s">
        <v>1320</v>
      </c>
      <c r="P338" t="s">
        <v>2850</v>
      </c>
      <c r="Q338" t="s">
        <v>1255</v>
      </c>
      <c r="R338" t="s">
        <v>5322</v>
      </c>
      <c r="S338" t="s">
        <v>5008</v>
      </c>
      <c r="T338" t="s">
        <v>5323</v>
      </c>
      <c r="U338" t="s">
        <v>5323</v>
      </c>
      <c r="V338" t="s">
        <v>829</v>
      </c>
      <c r="W338" t="s">
        <v>829</v>
      </c>
      <c r="X338" t="s">
        <v>829</v>
      </c>
      <c r="Y338" t="s">
        <v>829</v>
      </c>
      <c r="Z338" t="s">
        <v>829</v>
      </c>
      <c r="AA338" t="s">
        <v>1196</v>
      </c>
      <c r="AB338" s="2">
        <v>1.1000000000000001E-3</v>
      </c>
      <c r="AC338" s="2">
        <v>6.1000000000000004E-3</v>
      </c>
      <c r="AD338" s="2">
        <v>2.3E-2</v>
      </c>
      <c r="AE338" s="2">
        <v>3.8100000000000002E-2</v>
      </c>
      <c r="AF338" s="2">
        <v>6.88E-2</v>
      </c>
      <c r="AG338" s="2">
        <v>-2.24E-2</v>
      </c>
      <c r="AH338" t="s">
        <v>223</v>
      </c>
      <c r="AI338" t="s">
        <v>224</v>
      </c>
      <c r="AJ338" t="s">
        <v>38</v>
      </c>
      <c r="AK338" t="s">
        <v>40</v>
      </c>
      <c r="AM338" t="s">
        <v>41</v>
      </c>
      <c r="AN338" t="s">
        <v>42</v>
      </c>
      <c r="AO338" t="s">
        <v>1320</v>
      </c>
      <c r="AP338" t="s">
        <v>2055</v>
      </c>
      <c r="AQ338" t="s">
        <v>2055</v>
      </c>
      <c r="AR338" t="s">
        <v>48</v>
      </c>
      <c r="AS338" t="s">
        <v>48</v>
      </c>
      <c r="AT338" t="s">
        <v>1320</v>
      </c>
    </row>
    <row r="339" spans="1:54" x14ac:dyDescent="0.4">
      <c r="A339" t="s">
        <v>251</v>
      </c>
      <c r="B339" t="s">
        <v>10</v>
      </c>
      <c r="C339" t="s">
        <v>2207</v>
      </c>
      <c r="D339" t="s">
        <v>11</v>
      </c>
      <c r="E339" s="2">
        <v>2.0999999999999999E-3</v>
      </c>
      <c r="F339" t="s">
        <v>12</v>
      </c>
      <c r="G339" s="4" t="s">
        <v>1799</v>
      </c>
      <c r="H339" t="s">
        <v>2207</v>
      </c>
      <c r="I339" t="s">
        <v>2208</v>
      </c>
      <c r="J339" t="s">
        <v>2209</v>
      </c>
      <c r="K339" t="s">
        <v>23</v>
      </c>
      <c r="L339" s="2">
        <v>3.4000000000000002E-2</v>
      </c>
      <c r="M339" t="s">
        <v>101</v>
      </c>
      <c r="N339" t="s">
        <v>28</v>
      </c>
      <c r="O339" t="s">
        <v>2210</v>
      </c>
      <c r="P339" t="s">
        <v>726</v>
      </c>
      <c r="Q339" t="s">
        <v>726</v>
      </c>
      <c r="R339" t="s">
        <v>2211</v>
      </c>
      <c r="S339" t="s">
        <v>2212</v>
      </c>
      <c r="T339" t="s">
        <v>1436</v>
      </c>
      <c r="U339" t="s">
        <v>2213</v>
      </c>
      <c r="V339" t="s">
        <v>625</v>
      </c>
      <c r="W339" t="s">
        <v>2214</v>
      </c>
      <c r="X339" t="s">
        <v>1501</v>
      </c>
      <c r="Y339" t="s">
        <v>1501</v>
      </c>
      <c r="Z339" t="s">
        <v>1501</v>
      </c>
      <c r="AA339" t="s">
        <v>464</v>
      </c>
      <c r="AB339" s="2">
        <v>4.1999999999999997E-3</v>
      </c>
      <c r="AC339" s="2">
        <v>2.8E-3</v>
      </c>
      <c r="AD339" s="2">
        <v>1.3299999999999999E-2</v>
      </c>
      <c r="AE339" s="2">
        <v>2.0400000000000001E-2</v>
      </c>
      <c r="AF339" s="2">
        <v>1.83E-2</v>
      </c>
      <c r="AG339" s="2">
        <v>-1.6E-2</v>
      </c>
      <c r="AH339" t="s">
        <v>223</v>
      </c>
      <c r="AI339" t="s">
        <v>130</v>
      </c>
      <c r="AJ339" t="s">
        <v>38</v>
      </c>
      <c r="AK339" t="s">
        <v>40</v>
      </c>
      <c r="AL339">
        <v>2</v>
      </c>
      <c r="AM339" t="s">
        <v>41</v>
      </c>
      <c r="AN339" t="s">
        <v>42</v>
      </c>
      <c r="AO339" t="s">
        <v>2210</v>
      </c>
      <c r="AP339" t="s">
        <v>2055</v>
      </c>
      <c r="AQ339" t="s">
        <v>2055</v>
      </c>
      <c r="AR339" t="s">
        <v>133</v>
      </c>
      <c r="AS339" t="s">
        <v>133</v>
      </c>
    </row>
    <row r="340" spans="1:54" x14ac:dyDescent="0.4">
      <c r="A340" t="s">
        <v>251</v>
      </c>
      <c r="B340" t="s">
        <v>10</v>
      </c>
      <c r="C340" t="s">
        <v>727</v>
      </c>
      <c r="D340" t="s">
        <v>11</v>
      </c>
      <c r="E340" s="2">
        <v>-2.7000000000000001E-3</v>
      </c>
      <c r="F340" t="s">
        <v>12</v>
      </c>
      <c r="G340" s="4">
        <f>-0.27 / -0.27%</f>
        <v>100</v>
      </c>
      <c r="H340" t="s">
        <v>727</v>
      </c>
      <c r="I340" t="s">
        <v>2038</v>
      </c>
      <c r="J340" t="s">
        <v>2039</v>
      </c>
      <c r="K340" t="s">
        <v>23</v>
      </c>
      <c r="L340" s="2">
        <v>0.04</v>
      </c>
      <c r="M340" t="s">
        <v>2040</v>
      </c>
      <c r="N340" t="s">
        <v>28</v>
      </c>
      <c r="O340" t="s">
        <v>1449</v>
      </c>
      <c r="P340" t="s">
        <v>2041</v>
      </c>
      <c r="Q340" t="s">
        <v>2041</v>
      </c>
      <c r="R340" t="s">
        <v>2041</v>
      </c>
      <c r="S340" t="s">
        <v>2041</v>
      </c>
      <c r="T340" t="s">
        <v>2041</v>
      </c>
      <c r="U340" t="s">
        <v>2041</v>
      </c>
      <c r="V340" t="s">
        <v>2042</v>
      </c>
      <c r="W340" t="s">
        <v>2042</v>
      </c>
      <c r="X340" t="s">
        <v>2042</v>
      </c>
      <c r="Y340" t="s">
        <v>2042</v>
      </c>
      <c r="Z340" t="s">
        <v>2042</v>
      </c>
      <c r="AA340" t="s">
        <v>2042</v>
      </c>
      <c r="AB340" s="2">
        <v>1.1599999999999999E-2</v>
      </c>
      <c r="AC340" s="2">
        <v>1.1599999999999999E-2</v>
      </c>
      <c r="AD340" s="2">
        <v>1.1599999999999999E-2</v>
      </c>
      <c r="AE340" s="2">
        <v>1.1599999999999999E-2</v>
      </c>
      <c r="AF340" s="2">
        <v>1.1599999999999999E-2</v>
      </c>
      <c r="AG340" s="2">
        <v>1.1599999999999999E-2</v>
      </c>
      <c r="AH340" t="s">
        <v>1644</v>
      </c>
      <c r="AI340" t="s">
        <v>232</v>
      </c>
      <c r="AJ340" t="s">
        <v>131</v>
      </c>
      <c r="AK340" t="s">
        <v>40</v>
      </c>
      <c r="AL340">
        <v>1</v>
      </c>
      <c r="AM340" t="s">
        <v>41</v>
      </c>
      <c r="AN340" t="s">
        <v>42</v>
      </c>
      <c r="AO340" t="s">
        <v>1449</v>
      </c>
      <c r="AP340" t="s">
        <v>739</v>
      </c>
      <c r="AQ340" t="s">
        <v>739</v>
      </c>
      <c r="AR340" t="s">
        <v>48</v>
      </c>
      <c r="AS340" t="s">
        <v>48</v>
      </c>
    </row>
    <row r="341" spans="1:54" x14ac:dyDescent="0.4">
      <c r="A341" t="s">
        <v>9</v>
      </c>
      <c r="B341" t="s">
        <v>10</v>
      </c>
      <c r="C341" t="s">
        <v>3404</v>
      </c>
      <c r="D341" t="s">
        <v>11</v>
      </c>
      <c r="E341" s="2">
        <v>-1.1000000000000001E-3</v>
      </c>
      <c r="F341" t="s">
        <v>12</v>
      </c>
      <c r="G341" s="4">
        <f>-0.11 / -0.11%</f>
        <v>100</v>
      </c>
      <c r="H341" t="s">
        <v>3404</v>
      </c>
      <c r="I341" t="s">
        <v>3405</v>
      </c>
      <c r="J341" t="s">
        <v>3406</v>
      </c>
      <c r="K341" t="s">
        <v>23</v>
      </c>
      <c r="L341" s="2">
        <v>3.875E-2</v>
      </c>
      <c r="M341" t="s">
        <v>3407</v>
      </c>
      <c r="N341" t="s">
        <v>28</v>
      </c>
      <c r="O341" t="s">
        <v>3300</v>
      </c>
      <c r="P341" t="s">
        <v>2073</v>
      </c>
      <c r="Q341" t="s">
        <v>2073</v>
      </c>
      <c r="R341" t="s">
        <v>2073</v>
      </c>
      <c r="S341" t="s">
        <v>2073</v>
      </c>
      <c r="T341" t="s">
        <v>2073</v>
      </c>
      <c r="U341" t="s">
        <v>2073</v>
      </c>
      <c r="V341" t="s">
        <v>3408</v>
      </c>
      <c r="W341" t="s">
        <v>3409</v>
      </c>
      <c r="X341" t="s">
        <v>3409</v>
      </c>
      <c r="Y341" t="s">
        <v>3409</v>
      </c>
      <c r="Z341" t="s">
        <v>3409</v>
      </c>
      <c r="AA341" t="s">
        <v>3409</v>
      </c>
      <c r="AB341" s="2">
        <v>-1.32E-2</v>
      </c>
      <c r="AC341" s="2">
        <v>-8.0999999999999996E-3</v>
      </c>
      <c r="AD341" s="2">
        <v>1.29E-2</v>
      </c>
      <c r="AE341" s="2">
        <v>1.29E-2</v>
      </c>
      <c r="AF341" s="2">
        <v>1.29E-2</v>
      </c>
      <c r="AG341" s="2">
        <v>1.29E-2</v>
      </c>
      <c r="AH341" t="s">
        <v>1644</v>
      </c>
      <c r="AI341" t="s">
        <v>232</v>
      </c>
      <c r="AJ341" t="s">
        <v>131</v>
      </c>
      <c r="AK341" t="s">
        <v>40</v>
      </c>
      <c r="AL341">
        <v>1</v>
      </c>
      <c r="AM341" t="s">
        <v>41</v>
      </c>
      <c r="AN341" t="s">
        <v>42</v>
      </c>
      <c r="AO341" t="s">
        <v>3300</v>
      </c>
      <c r="AP341" t="s">
        <v>225</v>
      </c>
      <c r="AQ341" t="s">
        <v>225</v>
      </c>
      <c r="AR341" t="s">
        <v>48</v>
      </c>
      <c r="AS341" t="s">
        <v>48</v>
      </c>
    </row>
    <row r="342" spans="1:54" x14ac:dyDescent="0.4">
      <c r="A342" t="s">
        <v>1637</v>
      </c>
      <c r="B342" t="s">
        <v>10</v>
      </c>
      <c r="C342" t="s">
        <v>1631</v>
      </c>
      <c r="D342" t="s">
        <v>11</v>
      </c>
      <c r="E342" s="2">
        <v>-2.7000000000000001E-3</v>
      </c>
      <c r="F342" t="s">
        <v>363</v>
      </c>
      <c r="G342" s="4">
        <f>-0.28 / -0.27%</f>
        <v>103.70370370370371</v>
      </c>
      <c r="H342" t="s">
        <v>1631</v>
      </c>
      <c r="I342" t="s">
        <v>1638</v>
      </c>
      <c r="J342" t="s">
        <v>1639</v>
      </c>
      <c r="K342" t="s">
        <v>23</v>
      </c>
      <c r="L342" s="2">
        <v>3.7499999999999999E-2</v>
      </c>
      <c r="M342" t="s">
        <v>1640</v>
      </c>
      <c r="N342" t="s">
        <v>28</v>
      </c>
      <c r="O342" t="s">
        <v>706</v>
      </c>
      <c r="P342" t="s">
        <v>441</v>
      </c>
      <c r="Q342" t="s">
        <v>441</v>
      </c>
      <c r="R342" t="s">
        <v>576</v>
      </c>
      <c r="S342" t="s">
        <v>1641</v>
      </c>
      <c r="T342" t="s">
        <v>1586</v>
      </c>
      <c r="U342" t="s">
        <v>1586</v>
      </c>
      <c r="V342" t="s">
        <v>1642</v>
      </c>
      <c r="W342" t="s">
        <v>1643</v>
      </c>
      <c r="X342" t="s">
        <v>1643</v>
      </c>
      <c r="Y342" t="s">
        <v>1643</v>
      </c>
      <c r="Z342" t="s">
        <v>1643</v>
      </c>
      <c r="AA342" t="s">
        <v>1643</v>
      </c>
      <c r="AB342" s="2">
        <v>-8.5000000000000006E-3</v>
      </c>
      <c r="AC342" s="2">
        <v>-1.0500000000000001E-2</v>
      </c>
      <c r="AD342" s="2">
        <v>7.0000000000000001E-3</v>
      </c>
      <c r="AE342" s="2">
        <v>6.4000000000000003E-3</v>
      </c>
      <c r="AF342" s="2">
        <v>2.2599999999999999E-2</v>
      </c>
      <c r="AG342" s="2">
        <v>2.2599999999999999E-2</v>
      </c>
      <c r="AH342" t="s">
        <v>1644</v>
      </c>
      <c r="AI342" t="s">
        <v>232</v>
      </c>
      <c r="AJ342" t="s">
        <v>131</v>
      </c>
      <c r="AK342" t="s">
        <v>40</v>
      </c>
      <c r="AL342">
        <v>1</v>
      </c>
      <c r="AM342" t="s">
        <v>41</v>
      </c>
      <c r="AN342" t="s">
        <v>42</v>
      </c>
      <c r="AO342" t="s">
        <v>706</v>
      </c>
      <c r="AP342" t="s">
        <v>357</v>
      </c>
      <c r="AQ342" t="s">
        <v>357</v>
      </c>
      <c r="AR342" t="s">
        <v>48</v>
      </c>
      <c r="AS342" t="s">
        <v>48</v>
      </c>
    </row>
    <row r="343" spans="1:54" x14ac:dyDescent="0.4">
      <c r="A343" t="s">
        <v>3396</v>
      </c>
      <c r="B343" t="s">
        <v>10</v>
      </c>
      <c r="C343" t="s">
        <v>3397</v>
      </c>
      <c r="D343" t="s">
        <v>11</v>
      </c>
      <c r="E343" s="2">
        <v>1.8E-3</v>
      </c>
      <c r="F343" t="s">
        <v>310</v>
      </c>
      <c r="G343" s="4" t="s">
        <v>2908</v>
      </c>
      <c r="H343" t="s">
        <v>3397</v>
      </c>
      <c r="I343" t="s">
        <v>3398</v>
      </c>
      <c r="J343" t="s">
        <v>3399</v>
      </c>
      <c r="K343" t="s">
        <v>23</v>
      </c>
      <c r="L343" s="2">
        <v>3.7499999999999999E-2</v>
      </c>
      <c r="M343" t="s">
        <v>449</v>
      </c>
      <c r="N343" t="s">
        <v>28</v>
      </c>
      <c r="O343" t="s">
        <v>1222</v>
      </c>
      <c r="P343" t="s">
        <v>154</v>
      </c>
      <c r="Q343" t="s">
        <v>154</v>
      </c>
      <c r="R343" t="s">
        <v>154</v>
      </c>
      <c r="S343" t="s">
        <v>155</v>
      </c>
      <c r="T343" t="s">
        <v>155</v>
      </c>
      <c r="U343" t="s">
        <v>155</v>
      </c>
      <c r="V343" t="s">
        <v>3400</v>
      </c>
      <c r="W343" t="s">
        <v>3401</v>
      </c>
      <c r="X343" t="s">
        <v>3401</v>
      </c>
      <c r="Y343" t="s">
        <v>3401</v>
      </c>
      <c r="Z343" t="s">
        <v>3401</v>
      </c>
      <c r="AA343" t="s">
        <v>3401</v>
      </c>
      <c r="AB343" s="2">
        <v>-5.1000000000000004E-3</v>
      </c>
      <c r="AC343" s="2">
        <v>-7.1999999999999998E-3</v>
      </c>
      <c r="AD343" s="2">
        <v>1.4800000000000001E-2</v>
      </c>
      <c r="AE343" s="2">
        <v>2.6700000000000002E-2</v>
      </c>
      <c r="AF343" s="2">
        <v>2.07E-2</v>
      </c>
      <c r="AG343" s="2">
        <v>2.07E-2</v>
      </c>
      <c r="AH343" t="s">
        <v>1644</v>
      </c>
      <c r="AI343" t="s">
        <v>232</v>
      </c>
      <c r="AJ343" t="s">
        <v>131</v>
      </c>
      <c r="AK343" t="s">
        <v>40</v>
      </c>
      <c r="AL343">
        <v>1</v>
      </c>
      <c r="AM343" t="s">
        <v>41</v>
      </c>
      <c r="AN343" t="s">
        <v>42</v>
      </c>
      <c r="AO343" t="s">
        <v>1222</v>
      </c>
      <c r="AP343" t="s">
        <v>357</v>
      </c>
      <c r="AQ343" t="s">
        <v>357</v>
      </c>
      <c r="AR343" t="s">
        <v>48</v>
      </c>
      <c r="AS343" t="s">
        <v>48</v>
      </c>
    </row>
    <row r="344" spans="1:54" x14ac:dyDescent="0.4">
      <c r="A344" t="s">
        <v>76</v>
      </c>
      <c r="B344" t="s">
        <v>10</v>
      </c>
      <c r="C344" t="s">
        <v>618</v>
      </c>
      <c r="D344" t="s">
        <v>11</v>
      </c>
      <c r="E344" s="2">
        <v>-1.1999999999999999E-3</v>
      </c>
      <c r="F344" t="s">
        <v>12</v>
      </c>
      <c r="G344" s="4">
        <f>-0.12 / -0.12%</f>
        <v>100</v>
      </c>
      <c r="H344" t="s">
        <v>618</v>
      </c>
      <c r="I344" t="s">
        <v>2568</v>
      </c>
      <c r="J344" t="s">
        <v>2569</v>
      </c>
      <c r="K344" t="s">
        <v>23</v>
      </c>
      <c r="L344" s="2">
        <v>3.5000000000000003E-2</v>
      </c>
      <c r="M344" t="s">
        <v>2570</v>
      </c>
      <c r="N344" t="s">
        <v>28</v>
      </c>
      <c r="O344" t="s">
        <v>1449</v>
      </c>
      <c r="P344" t="s">
        <v>2571</v>
      </c>
      <c r="Q344" t="s">
        <v>2571</v>
      </c>
      <c r="R344" t="s">
        <v>2571</v>
      </c>
      <c r="S344" t="s">
        <v>2571</v>
      </c>
      <c r="T344" t="s">
        <v>2571</v>
      </c>
      <c r="U344" t="s">
        <v>2571</v>
      </c>
      <c r="V344" t="s">
        <v>260</v>
      </c>
      <c r="W344" t="s">
        <v>260</v>
      </c>
      <c r="X344" t="s">
        <v>260</v>
      </c>
      <c r="Y344" t="s">
        <v>260</v>
      </c>
      <c r="Z344" t="s">
        <v>260</v>
      </c>
      <c r="AA344" t="s">
        <v>260</v>
      </c>
      <c r="AB344" s="2">
        <v>5.8999999999999999E-3</v>
      </c>
      <c r="AC344" s="2">
        <v>5.8999999999999999E-3</v>
      </c>
      <c r="AD344" s="2">
        <v>5.8999999999999999E-3</v>
      </c>
      <c r="AE344" s="2">
        <v>5.8999999999999999E-3</v>
      </c>
      <c r="AF344" s="2">
        <v>5.8999999999999999E-3</v>
      </c>
      <c r="AG344" s="2">
        <v>5.8999999999999999E-3</v>
      </c>
      <c r="AH344" t="s">
        <v>1644</v>
      </c>
      <c r="AI344" t="s">
        <v>232</v>
      </c>
      <c r="AJ344" t="s">
        <v>131</v>
      </c>
      <c r="AK344" t="s">
        <v>40</v>
      </c>
      <c r="AL344">
        <v>1</v>
      </c>
      <c r="AM344" t="s">
        <v>41</v>
      </c>
      <c r="AN344" t="s">
        <v>42</v>
      </c>
      <c r="AO344" t="s">
        <v>1449</v>
      </c>
      <c r="AP344" t="s">
        <v>443</v>
      </c>
      <c r="AQ344" t="s">
        <v>443</v>
      </c>
      <c r="AR344" t="s">
        <v>48</v>
      </c>
      <c r="AS344" t="s">
        <v>48</v>
      </c>
    </row>
    <row r="345" spans="1:54" x14ac:dyDescent="0.4">
      <c r="A345" t="s">
        <v>76</v>
      </c>
      <c r="B345" t="s">
        <v>10</v>
      </c>
      <c r="C345" t="s">
        <v>2950</v>
      </c>
      <c r="D345" t="s">
        <v>11</v>
      </c>
      <c r="E345" s="2">
        <v>-1.5E-3</v>
      </c>
      <c r="F345" t="s">
        <v>12</v>
      </c>
      <c r="G345" s="4">
        <f>-0.13 / -0.15%</f>
        <v>86.666666666666671</v>
      </c>
      <c r="H345" t="s">
        <v>2950</v>
      </c>
      <c r="I345" t="s">
        <v>3175</v>
      </c>
      <c r="J345" t="s">
        <v>3176</v>
      </c>
      <c r="K345" t="s">
        <v>23</v>
      </c>
      <c r="L345" s="2">
        <v>7.4999999999999997E-3</v>
      </c>
      <c r="M345" t="s">
        <v>3177</v>
      </c>
      <c r="N345" t="s">
        <v>28</v>
      </c>
      <c r="O345" t="s">
        <v>3178</v>
      </c>
      <c r="P345" s="1">
        <v>85785</v>
      </c>
      <c r="Q345" s="1">
        <v>85785</v>
      </c>
      <c r="R345" t="s">
        <v>3179</v>
      </c>
      <c r="S345" t="s">
        <v>3180</v>
      </c>
      <c r="T345" t="s">
        <v>3181</v>
      </c>
      <c r="U345" t="s">
        <v>3182</v>
      </c>
      <c r="V345" s="1">
        <v>87545</v>
      </c>
      <c r="W345" t="s">
        <v>3183</v>
      </c>
      <c r="X345" t="s">
        <v>3183</v>
      </c>
      <c r="Y345" t="s">
        <v>3183</v>
      </c>
      <c r="Z345" t="s">
        <v>3183</v>
      </c>
      <c r="AA345" t="s">
        <v>376</v>
      </c>
      <c r="AB345" s="2">
        <v>-6.6E-3</v>
      </c>
      <c r="AC345" s="2">
        <v>-1.06E-2</v>
      </c>
      <c r="AD345" s="2">
        <v>1.1900000000000001E-2</v>
      </c>
      <c r="AE345" s="2">
        <v>1.5900000000000001E-2</v>
      </c>
      <c r="AF345" s="2">
        <v>6.4600000000000005E-2</v>
      </c>
      <c r="AG345" s="2">
        <v>-0.1421</v>
      </c>
      <c r="AH345" t="s">
        <v>1644</v>
      </c>
      <c r="AI345" t="s">
        <v>232</v>
      </c>
      <c r="AJ345" t="s">
        <v>131</v>
      </c>
      <c r="AK345" t="s">
        <v>40</v>
      </c>
      <c r="AL345">
        <v>1</v>
      </c>
      <c r="AM345" t="s">
        <v>41</v>
      </c>
      <c r="AN345" t="s">
        <v>42</v>
      </c>
      <c r="AO345" t="s">
        <v>3178</v>
      </c>
      <c r="AP345" t="s">
        <v>225</v>
      </c>
      <c r="AQ345" t="s">
        <v>225</v>
      </c>
      <c r="AR345" t="s">
        <v>48</v>
      </c>
      <c r="AS345" t="s">
        <v>48</v>
      </c>
    </row>
    <row r="346" spans="1:54" x14ac:dyDescent="0.4">
      <c r="A346" t="s">
        <v>161</v>
      </c>
      <c r="B346" t="s">
        <v>10</v>
      </c>
      <c r="C346" t="s">
        <v>3821</v>
      </c>
      <c r="D346" t="s">
        <v>11</v>
      </c>
      <c r="E346" s="2">
        <v>1E-4</v>
      </c>
      <c r="F346" t="s">
        <v>12</v>
      </c>
      <c r="G346" s="4" t="s">
        <v>148</v>
      </c>
      <c r="H346" t="s">
        <v>3821</v>
      </c>
      <c r="I346" t="s">
        <v>5781</v>
      </c>
      <c r="J346" t="s">
        <v>5782</v>
      </c>
      <c r="K346" t="s">
        <v>23</v>
      </c>
      <c r="L346" s="2">
        <v>1.162E-2</v>
      </c>
      <c r="M346" t="s">
        <v>2777</v>
      </c>
      <c r="N346" t="s">
        <v>28</v>
      </c>
      <c r="O346" t="s">
        <v>5783</v>
      </c>
      <c r="P346" t="s">
        <v>5363</v>
      </c>
      <c r="Q346" t="s">
        <v>5784</v>
      </c>
      <c r="R346" t="s">
        <v>5295</v>
      </c>
      <c r="S346" t="s">
        <v>5785</v>
      </c>
      <c r="T346" t="s">
        <v>2934</v>
      </c>
      <c r="U346" t="s">
        <v>5786</v>
      </c>
      <c r="V346" t="s">
        <v>1619</v>
      </c>
      <c r="W346" t="s">
        <v>3561</v>
      </c>
      <c r="X346" t="s">
        <v>5600</v>
      </c>
      <c r="Y346" t="s">
        <v>5600</v>
      </c>
      <c r="Z346" t="s">
        <v>5600</v>
      </c>
      <c r="AA346" t="s">
        <v>3552</v>
      </c>
      <c r="AB346" s="2">
        <v>3.3999999999999998E-3</v>
      </c>
      <c r="AC346" s="2">
        <v>6.9999999999999999E-4</v>
      </c>
      <c r="AD346" s="2">
        <v>1.6500000000000001E-2</v>
      </c>
      <c r="AE346" s="2">
        <v>3.5000000000000003E-2</v>
      </c>
      <c r="AF346" s="2">
        <v>6.1400000000000003E-2</v>
      </c>
      <c r="AG346" s="2">
        <v>-8.3799999999999999E-2</v>
      </c>
      <c r="AH346" t="s">
        <v>5787</v>
      </c>
      <c r="AI346" t="s">
        <v>130</v>
      </c>
      <c r="AJ346" t="s">
        <v>131</v>
      </c>
      <c r="AK346" t="s">
        <v>40</v>
      </c>
      <c r="AL346">
        <v>100</v>
      </c>
      <c r="AM346" t="s">
        <v>41</v>
      </c>
      <c r="AN346" t="s">
        <v>42</v>
      </c>
      <c r="AO346" t="s">
        <v>5783</v>
      </c>
      <c r="AP346" t="s">
        <v>643</v>
      </c>
      <c r="AQ346" t="s">
        <v>643</v>
      </c>
      <c r="AR346" t="s">
        <v>2350</v>
      </c>
      <c r="AS346" t="s">
        <v>2350</v>
      </c>
    </row>
    <row r="347" spans="1:54" x14ac:dyDescent="0.4">
      <c r="A347" t="s">
        <v>4453</v>
      </c>
      <c r="B347" t="s">
        <v>10</v>
      </c>
      <c r="C347" t="s">
        <v>1543</v>
      </c>
      <c r="D347" t="s">
        <v>11</v>
      </c>
      <c r="E347" s="2">
        <v>-4.3E-3</v>
      </c>
      <c r="F347" t="s">
        <v>178</v>
      </c>
      <c r="G347" s="4">
        <f>-0.42 / -0.43%</f>
        <v>97.674418604651166</v>
      </c>
      <c r="H347" t="s">
        <v>1543</v>
      </c>
      <c r="I347" t="s">
        <v>6185</v>
      </c>
      <c r="J347" t="s">
        <v>6186</v>
      </c>
      <c r="K347" t="s">
        <v>23</v>
      </c>
      <c r="L347" s="2">
        <v>7.7499999999999999E-2</v>
      </c>
      <c r="M347" t="s">
        <v>4668</v>
      </c>
      <c r="N347" t="s">
        <v>121</v>
      </c>
      <c r="O347" t="s">
        <v>6187</v>
      </c>
      <c r="P347" t="s">
        <v>2411</v>
      </c>
      <c r="Q347" t="s">
        <v>2411</v>
      </c>
      <c r="R347" t="s">
        <v>2411</v>
      </c>
      <c r="S347" t="s">
        <v>2411</v>
      </c>
      <c r="T347" t="s">
        <v>2411</v>
      </c>
      <c r="U347" t="s">
        <v>2411</v>
      </c>
      <c r="V347" t="s">
        <v>3044</v>
      </c>
      <c r="W347" t="s">
        <v>885</v>
      </c>
      <c r="X347" t="s">
        <v>6188</v>
      </c>
      <c r="Y347" t="s">
        <v>6188</v>
      </c>
      <c r="Z347" t="s">
        <v>6188</v>
      </c>
      <c r="AA347" t="s">
        <v>6188</v>
      </c>
      <c r="AB347" s="2">
        <v>4.0000000000000002E-4</v>
      </c>
      <c r="AC347" s="2">
        <v>-1.04E-2</v>
      </c>
      <c r="AD347" s="2">
        <v>-1.9900000000000001E-2</v>
      </c>
      <c r="AE347" s="2">
        <v>-1.9900000000000001E-2</v>
      </c>
      <c r="AF347" s="2">
        <v>-1.9900000000000001E-2</v>
      </c>
      <c r="AG347" s="2">
        <v>-1.9900000000000001E-2</v>
      </c>
      <c r="AH347" t="s">
        <v>6189</v>
      </c>
      <c r="AI347" t="s">
        <v>130</v>
      </c>
      <c r="AJ347" t="s">
        <v>131</v>
      </c>
      <c r="AK347" t="s">
        <v>40</v>
      </c>
      <c r="AL347">
        <v>1</v>
      </c>
      <c r="AM347" t="s">
        <v>41</v>
      </c>
      <c r="AN347" t="s">
        <v>42</v>
      </c>
      <c r="AO347" t="s">
        <v>6187</v>
      </c>
      <c r="AP347" t="s">
        <v>3347</v>
      </c>
      <c r="AQ347" t="s">
        <v>3347</v>
      </c>
      <c r="AR347" t="s">
        <v>133</v>
      </c>
      <c r="AS347" t="s">
        <v>133</v>
      </c>
    </row>
    <row r="348" spans="1:54" x14ac:dyDescent="0.4">
      <c r="A348" t="s">
        <v>4453</v>
      </c>
      <c r="B348" t="s">
        <v>10</v>
      </c>
      <c r="C348" t="s">
        <v>5072</v>
      </c>
      <c r="D348" t="s">
        <v>11</v>
      </c>
      <c r="E348" s="2">
        <v>-2.3E-3</v>
      </c>
      <c r="F348" t="s">
        <v>310</v>
      </c>
      <c r="G348" s="4">
        <f>-0.14 / -0.23%</f>
        <v>60.869565217391312</v>
      </c>
      <c r="H348" t="s">
        <v>5072</v>
      </c>
      <c r="I348" t="s">
        <v>5073</v>
      </c>
      <c r="J348" t="s">
        <v>5074</v>
      </c>
      <c r="K348" t="s">
        <v>23</v>
      </c>
      <c r="L348" s="2">
        <v>5.5E-2</v>
      </c>
      <c r="M348" t="s">
        <v>911</v>
      </c>
      <c r="N348" t="s">
        <v>121</v>
      </c>
      <c r="O348" t="s">
        <v>5075</v>
      </c>
      <c r="P348" t="s">
        <v>5076</v>
      </c>
      <c r="Q348" t="s">
        <v>5077</v>
      </c>
      <c r="R348" t="s">
        <v>5078</v>
      </c>
      <c r="S348" t="s">
        <v>5079</v>
      </c>
      <c r="T348" t="s">
        <v>5080</v>
      </c>
      <c r="U348" t="s">
        <v>5080</v>
      </c>
      <c r="V348" t="s">
        <v>5081</v>
      </c>
      <c r="W348" t="s">
        <v>5081</v>
      </c>
      <c r="X348" t="s">
        <v>5081</v>
      </c>
      <c r="Y348" t="s">
        <v>5081</v>
      </c>
      <c r="Z348" t="s">
        <v>5081</v>
      </c>
      <c r="AA348" t="s">
        <v>5082</v>
      </c>
      <c r="AB348" s="2">
        <v>9.0300000000000005E-2</v>
      </c>
      <c r="AC348" s="2">
        <v>0.1333</v>
      </c>
      <c r="AD348" s="2">
        <v>0.17510000000000001</v>
      </c>
      <c r="AE348" s="2">
        <v>0.53439999999999999</v>
      </c>
      <c r="AF348" s="2">
        <v>0.16109999999999999</v>
      </c>
      <c r="AG348" s="2">
        <v>-8.4500000000000006E-2</v>
      </c>
      <c r="AH348" t="s">
        <v>5083</v>
      </c>
      <c r="AI348" t="s">
        <v>130</v>
      </c>
      <c r="AJ348" t="s">
        <v>131</v>
      </c>
      <c r="AK348" t="s">
        <v>40</v>
      </c>
      <c r="AL348">
        <v>1</v>
      </c>
      <c r="AM348" t="s">
        <v>41</v>
      </c>
      <c r="AN348" t="s">
        <v>42</v>
      </c>
      <c r="AO348" t="s">
        <v>2026</v>
      </c>
      <c r="AP348" t="s">
        <v>5084</v>
      </c>
      <c r="BA348" t="s">
        <v>197</v>
      </c>
      <c r="BB348" t="s">
        <v>61</v>
      </c>
    </row>
    <row r="349" spans="1:54" x14ac:dyDescent="0.4">
      <c r="A349" t="s">
        <v>3759</v>
      </c>
      <c r="B349" t="s">
        <v>10</v>
      </c>
      <c r="C349" t="s">
        <v>1122</v>
      </c>
      <c r="D349" t="s">
        <v>11</v>
      </c>
      <c r="E349" s="2">
        <v>-2.58E-2</v>
      </c>
      <c r="F349" t="s">
        <v>310</v>
      </c>
      <c r="G349" s="4">
        <f>-2.49 / -2.58%</f>
        <v>96.511627906976756</v>
      </c>
      <c r="H349" t="s">
        <v>1122</v>
      </c>
      <c r="I349" t="s">
        <v>3760</v>
      </c>
      <c r="J349" t="s">
        <v>3761</v>
      </c>
      <c r="K349" t="s">
        <v>23</v>
      </c>
      <c r="L349" s="2">
        <v>0.06</v>
      </c>
      <c r="M349" t="s">
        <v>3762</v>
      </c>
      <c r="N349" t="s">
        <v>121</v>
      </c>
      <c r="O349" t="s">
        <v>3763</v>
      </c>
      <c r="P349" t="s">
        <v>3578</v>
      </c>
      <c r="Q349" t="s">
        <v>3578</v>
      </c>
      <c r="R349" t="s">
        <v>3578</v>
      </c>
      <c r="S349" t="s">
        <v>1312</v>
      </c>
      <c r="T349" t="s">
        <v>3764</v>
      </c>
      <c r="U349" t="s">
        <v>3764</v>
      </c>
      <c r="V349" t="s">
        <v>559</v>
      </c>
      <c r="W349" t="s">
        <v>1265</v>
      </c>
      <c r="X349" t="s">
        <v>3385</v>
      </c>
      <c r="Y349" t="s">
        <v>3385</v>
      </c>
      <c r="Z349" t="s">
        <v>3385</v>
      </c>
      <c r="AA349" t="s">
        <v>3765</v>
      </c>
      <c r="AB349" s="2">
        <v>0</v>
      </c>
      <c r="AC349" s="2">
        <v>-4.07E-2</v>
      </c>
      <c r="AD349" s="2">
        <v>-3.0700000000000002E-2</v>
      </c>
      <c r="AE349" s="2">
        <v>-3.5299999999999998E-2</v>
      </c>
      <c r="AF349" s="2">
        <v>8.9999999999999993E-3</v>
      </c>
      <c r="AG349" s="2">
        <v>-0.2462</v>
      </c>
      <c r="AH349" t="s">
        <v>3766</v>
      </c>
      <c r="AI349" t="s">
        <v>130</v>
      </c>
      <c r="AJ349" t="s">
        <v>131</v>
      </c>
      <c r="AK349" t="s">
        <v>40</v>
      </c>
      <c r="AL349">
        <v>2</v>
      </c>
      <c r="AM349" t="s">
        <v>41</v>
      </c>
      <c r="AN349" t="s">
        <v>42</v>
      </c>
      <c r="AO349" t="s">
        <v>3763</v>
      </c>
      <c r="AP349" t="s">
        <v>527</v>
      </c>
      <c r="AQ349" t="s">
        <v>527</v>
      </c>
      <c r="AR349" t="s">
        <v>133</v>
      </c>
      <c r="AS349" t="s">
        <v>133</v>
      </c>
    </row>
    <row r="350" spans="1:54" x14ac:dyDescent="0.4">
      <c r="A350" t="s">
        <v>3905</v>
      </c>
      <c r="B350" t="s">
        <v>10</v>
      </c>
      <c r="C350" t="s">
        <v>1440</v>
      </c>
      <c r="D350" t="s">
        <v>11</v>
      </c>
      <c r="E350" s="2">
        <v>0</v>
      </c>
      <c r="F350" t="s">
        <v>178</v>
      </c>
      <c r="G350" s="4" t="s">
        <v>15</v>
      </c>
      <c r="H350" t="s">
        <v>1440</v>
      </c>
      <c r="I350" t="s">
        <v>3906</v>
      </c>
      <c r="J350" t="s">
        <v>3907</v>
      </c>
      <c r="K350" t="s">
        <v>23</v>
      </c>
      <c r="L350" s="2">
        <v>9.5000000000000001E-2</v>
      </c>
      <c r="M350" t="s">
        <v>3908</v>
      </c>
      <c r="N350" t="s">
        <v>121</v>
      </c>
      <c r="O350" t="s">
        <v>1567</v>
      </c>
      <c r="P350" t="s">
        <v>1440</v>
      </c>
      <c r="Q350" t="s">
        <v>1121</v>
      </c>
      <c r="R350" t="s">
        <v>639</v>
      </c>
      <c r="S350" t="s">
        <v>2233</v>
      </c>
      <c r="T350" t="s">
        <v>2121</v>
      </c>
      <c r="U350" t="s">
        <v>3232</v>
      </c>
      <c r="V350" t="s">
        <v>343</v>
      </c>
      <c r="W350" t="s">
        <v>343</v>
      </c>
      <c r="X350" t="s">
        <v>343</v>
      </c>
      <c r="Y350" t="s">
        <v>343</v>
      </c>
      <c r="Z350" t="s">
        <v>343</v>
      </c>
      <c r="AA350" t="s">
        <v>343</v>
      </c>
      <c r="AB350" s="2">
        <v>-1.0200000000000001E-2</v>
      </c>
      <c r="AC350" s="2">
        <v>1.04E-2</v>
      </c>
      <c r="AD350" s="2">
        <v>-2.0199999999999999E-2</v>
      </c>
      <c r="AE350" s="2">
        <v>0.1086</v>
      </c>
      <c r="AF350" s="2">
        <v>3.4799999999999998E-2</v>
      </c>
      <c r="AG350" s="2">
        <v>-1.72E-2</v>
      </c>
      <c r="AH350" t="s">
        <v>3909</v>
      </c>
      <c r="AI350" t="s">
        <v>130</v>
      </c>
      <c r="AJ350" t="s">
        <v>38</v>
      </c>
      <c r="AK350" t="s">
        <v>40</v>
      </c>
      <c r="AL350">
        <v>1</v>
      </c>
      <c r="AM350" t="s">
        <v>41</v>
      </c>
      <c r="AN350" t="s">
        <v>42</v>
      </c>
      <c r="AO350" t="s">
        <v>1567</v>
      </c>
      <c r="AP350" t="s">
        <v>3153</v>
      </c>
      <c r="AQ350" t="s">
        <v>3153</v>
      </c>
      <c r="AR350" t="s">
        <v>48</v>
      </c>
      <c r="AS350" t="s">
        <v>48</v>
      </c>
    </row>
    <row r="351" spans="1:54" x14ac:dyDescent="0.4">
      <c r="A351" t="s">
        <v>4453</v>
      </c>
      <c r="B351" t="s">
        <v>10</v>
      </c>
      <c r="C351" t="s">
        <v>82</v>
      </c>
      <c r="D351" t="s">
        <v>11</v>
      </c>
      <c r="E351" s="2">
        <v>2.0999999999999999E-3</v>
      </c>
      <c r="F351" t="s">
        <v>310</v>
      </c>
      <c r="G351" s="4" t="s">
        <v>1489</v>
      </c>
      <c r="H351" t="s">
        <v>82</v>
      </c>
      <c r="I351" t="s">
        <v>6141</v>
      </c>
      <c r="J351" t="s">
        <v>6220</v>
      </c>
      <c r="K351" t="s">
        <v>23</v>
      </c>
      <c r="L351" s="2">
        <v>4.4999999999999998E-2</v>
      </c>
      <c r="M351" t="s">
        <v>4743</v>
      </c>
      <c r="N351" t="s">
        <v>121</v>
      </c>
      <c r="O351" t="s">
        <v>6221</v>
      </c>
      <c r="P351" t="s">
        <v>535</v>
      </c>
      <c r="Q351" t="s">
        <v>535</v>
      </c>
      <c r="R351" t="s">
        <v>535</v>
      </c>
      <c r="S351" t="s">
        <v>2262</v>
      </c>
      <c r="T351" t="s">
        <v>2262</v>
      </c>
      <c r="U351" t="s">
        <v>2262</v>
      </c>
      <c r="V351" t="s">
        <v>1482</v>
      </c>
      <c r="W351" t="s">
        <v>259</v>
      </c>
      <c r="X351" t="s">
        <v>4062</v>
      </c>
      <c r="Y351" t="s">
        <v>4062</v>
      </c>
      <c r="Z351" t="s">
        <v>4062</v>
      </c>
      <c r="AA351" t="s">
        <v>4062</v>
      </c>
      <c r="AB351" s="2">
        <v>3.0000000000000001E-3</v>
      </c>
      <c r="AC351" s="2">
        <v>-4.1999999999999997E-3</v>
      </c>
      <c r="AD351" s="2">
        <v>2.7000000000000001E-3</v>
      </c>
      <c r="AE351" s="2">
        <v>5.5999999999999999E-3</v>
      </c>
      <c r="AF351" s="2">
        <v>5.5999999999999999E-3</v>
      </c>
      <c r="AG351" s="2">
        <v>5.5999999999999999E-3</v>
      </c>
      <c r="AH351" t="s">
        <v>6222</v>
      </c>
      <c r="AI351" t="s">
        <v>130</v>
      </c>
      <c r="AJ351" t="s">
        <v>131</v>
      </c>
      <c r="AK351" t="s">
        <v>40</v>
      </c>
      <c r="AL351">
        <v>2</v>
      </c>
      <c r="AM351" t="s">
        <v>41</v>
      </c>
      <c r="AN351" t="s">
        <v>42</v>
      </c>
      <c r="AO351" t="s">
        <v>6221</v>
      </c>
      <c r="AP351" t="s">
        <v>407</v>
      </c>
      <c r="AQ351" t="s">
        <v>407</v>
      </c>
      <c r="AR351" t="s">
        <v>133</v>
      </c>
      <c r="AS351" t="s">
        <v>133</v>
      </c>
    </row>
    <row r="352" spans="1:54" x14ac:dyDescent="0.4">
      <c r="A352" t="s">
        <v>9</v>
      </c>
      <c r="B352" t="s">
        <v>10</v>
      </c>
      <c r="C352" t="s">
        <v>535</v>
      </c>
      <c r="D352" t="s">
        <v>11</v>
      </c>
      <c r="E352" s="2">
        <v>-2.2000000000000001E-3</v>
      </c>
      <c r="F352" t="s">
        <v>12</v>
      </c>
      <c r="G352" s="4">
        <f>-0.215 / -0.22%</f>
        <v>97.72727272727272</v>
      </c>
      <c r="H352" t="s">
        <v>535</v>
      </c>
      <c r="I352" t="s">
        <v>5206</v>
      </c>
      <c r="J352" t="s">
        <v>5207</v>
      </c>
      <c r="K352" t="s">
        <v>23</v>
      </c>
      <c r="L352" s="2">
        <v>0.03</v>
      </c>
      <c r="M352" t="s">
        <v>5208</v>
      </c>
      <c r="N352" t="s">
        <v>28</v>
      </c>
      <c r="O352" t="s">
        <v>5209</v>
      </c>
      <c r="P352" s="1">
        <v>99195</v>
      </c>
      <c r="Q352" s="1">
        <v>99195</v>
      </c>
      <c r="R352" t="s">
        <v>3044</v>
      </c>
      <c r="S352" t="s">
        <v>4679</v>
      </c>
      <c r="T352" s="1">
        <v>93975</v>
      </c>
      <c r="U352" s="1">
        <v>92085</v>
      </c>
      <c r="V352" s="1">
        <v>100485</v>
      </c>
      <c r="W352" t="s">
        <v>1714</v>
      </c>
      <c r="X352" t="s">
        <v>1714</v>
      </c>
      <c r="Y352" t="s">
        <v>1714</v>
      </c>
      <c r="Z352" t="s">
        <v>1714</v>
      </c>
      <c r="AA352" t="s">
        <v>5210</v>
      </c>
      <c r="AB352" s="2">
        <v>-7.9000000000000008E-3</v>
      </c>
      <c r="AC352" s="2">
        <v>-7.1999999999999998E-3</v>
      </c>
      <c r="AD352" s="2">
        <v>1.5800000000000002E-2</v>
      </c>
      <c r="AE352" s="2">
        <v>0.02</v>
      </c>
      <c r="AF352" s="2">
        <v>2.5700000000000001E-2</v>
      </c>
      <c r="AG352" s="2">
        <v>-0.1459</v>
      </c>
      <c r="AH352" t="s">
        <v>5211</v>
      </c>
      <c r="AI352" t="s">
        <v>130</v>
      </c>
      <c r="AJ352" t="s">
        <v>131</v>
      </c>
      <c r="AK352" t="s">
        <v>40</v>
      </c>
      <c r="AL352">
        <v>100</v>
      </c>
      <c r="AM352" t="s">
        <v>41</v>
      </c>
      <c r="AN352" t="s">
        <v>42</v>
      </c>
      <c r="AO352" t="s">
        <v>5209</v>
      </c>
      <c r="AP352" t="s">
        <v>3387</v>
      </c>
      <c r="AQ352" t="s">
        <v>3387</v>
      </c>
      <c r="AR352" t="s">
        <v>48</v>
      </c>
      <c r="AS352" t="s">
        <v>48</v>
      </c>
    </row>
    <row r="353" spans="1:54" x14ac:dyDescent="0.4">
      <c r="A353" t="s">
        <v>740</v>
      </c>
      <c r="B353" t="s">
        <v>10</v>
      </c>
      <c r="C353" t="s">
        <v>4755</v>
      </c>
      <c r="D353" t="s">
        <v>11</v>
      </c>
      <c r="E353" s="2">
        <v>1.6000000000000001E-3</v>
      </c>
      <c r="F353" t="s">
        <v>12</v>
      </c>
      <c r="G353" s="4" t="s">
        <v>3596</v>
      </c>
      <c r="H353" t="s">
        <v>4755</v>
      </c>
      <c r="I353" t="s">
        <v>4756</v>
      </c>
      <c r="J353" t="s">
        <v>4757</v>
      </c>
      <c r="K353" t="s">
        <v>23</v>
      </c>
      <c r="L353" s="2">
        <v>3.2500000000000001E-2</v>
      </c>
      <c r="M353" t="s">
        <v>4758</v>
      </c>
      <c r="N353" t="s">
        <v>28</v>
      </c>
      <c r="O353" t="s">
        <v>4759</v>
      </c>
      <c r="P353" t="s">
        <v>1997</v>
      </c>
      <c r="Q353" t="s">
        <v>1997</v>
      </c>
      <c r="R353" t="s">
        <v>1997</v>
      </c>
      <c r="S353" t="s">
        <v>1997</v>
      </c>
      <c r="T353" t="s">
        <v>1997</v>
      </c>
      <c r="U353" t="s">
        <v>1997</v>
      </c>
      <c r="V353" t="s">
        <v>4712</v>
      </c>
      <c r="W353" t="s">
        <v>4760</v>
      </c>
      <c r="X353" t="s">
        <v>4761</v>
      </c>
      <c r="Y353" t="s">
        <v>3460</v>
      </c>
      <c r="Z353" t="s">
        <v>1798</v>
      </c>
      <c r="AA353" s="1">
        <v>108925</v>
      </c>
      <c r="AB353" s="2">
        <v>3.6499999999999998E-2</v>
      </c>
      <c r="AC353" s="2">
        <v>1.3899999999999999E-2</v>
      </c>
      <c r="AD353" s="2">
        <v>-2.7199999999999998E-2</v>
      </c>
      <c r="AE353" s="2">
        <v>-6.3600000000000004E-2</v>
      </c>
      <c r="AF353" s="2">
        <v>-3.8300000000000001E-2</v>
      </c>
      <c r="AG353" s="2">
        <v>-0.1736</v>
      </c>
      <c r="AH353" t="s">
        <v>4762</v>
      </c>
      <c r="AI353" t="s">
        <v>130</v>
      </c>
      <c r="AJ353" t="s">
        <v>131</v>
      </c>
      <c r="AK353" t="s">
        <v>40</v>
      </c>
      <c r="AL353">
        <v>100</v>
      </c>
      <c r="AM353" t="s">
        <v>41</v>
      </c>
      <c r="AN353" t="s">
        <v>42</v>
      </c>
      <c r="AO353" t="s">
        <v>4759</v>
      </c>
      <c r="AP353" t="s">
        <v>357</v>
      </c>
      <c r="AQ353" t="s">
        <v>4763</v>
      </c>
      <c r="AR353" t="s">
        <v>48</v>
      </c>
      <c r="AS353" t="s">
        <v>48</v>
      </c>
    </row>
    <row r="354" spans="1:54" x14ac:dyDescent="0.4">
      <c r="A354" t="s">
        <v>3628</v>
      </c>
      <c r="B354" t="s">
        <v>10</v>
      </c>
      <c r="C354" t="s">
        <v>3404</v>
      </c>
      <c r="D354" t="s">
        <v>11</v>
      </c>
      <c r="E354" s="2">
        <v>5.5999999999999999E-3</v>
      </c>
      <c r="F354" t="s">
        <v>363</v>
      </c>
      <c r="G354" s="4" t="s">
        <v>3629</v>
      </c>
      <c r="H354" t="s">
        <v>3404</v>
      </c>
      <c r="I354" t="s">
        <v>3630</v>
      </c>
      <c r="J354" t="s">
        <v>3631</v>
      </c>
      <c r="K354" t="s">
        <v>23</v>
      </c>
      <c r="L354" s="2">
        <v>3.7499999999999999E-2</v>
      </c>
      <c r="M354" t="s">
        <v>3632</v>
      </c>
      <c r="N354" t="s">
        <v>28</v>
      </c>
      <c r="O354" t="s">
        <v>2171</v>
      </c>
      <c r="P354" t="s">
        <v>829</v>
      </c>
      <c r="Q354" t="s">
        <v>829</v>
      </c>
      <c r="R354" t="s">
        <v>829</v>
      </c>
      <c r="S354" t="s">
        <v>829</v>
      </c>
      <c r="T354" t="s">
        <v>829</v>
      </c>
      <c r="U354" t="s">
        <v>829</v>
      </c>
      <c r="V354" t="s">
        <v>590</v>
      </c>
      <c r="W354" t="s">
        <v>3633</v>
      </c>
      <c r="X354" t="s">
        <v>3633</v>
      </c>
      <c r="Y354" t="s">
        <v>3633</v>
      </c>
      <c r="Z354" t="s">
        <v>3633</v>
      </c>
      <c r="AA354" t="s">
        <v>3633</v>
      </c>
      <c r="AB354" s="2">
        <v>3.5999999999999999E-3</v>
      </c>
      <c r="AC354" s="2">
        <v>4.4000000000000003E-3</v>
      </c>
      <c r="AD354" s="2">
        <v>4.4000000000000003E-3</v>
      </c>
      <c r="AE354" s="2">
        <v>4.4000000000000003E-3</v>
      </c>
      <c r="AF354" s="2">
        <v>4.4000000000000003E-3</v>
      </c>
      <c r="AG354" s="2">
        <v>4.4000000000000003E-3</v>
      </c>
      <c r="AH354" t="s">
        <v>1723</v>
      </c>
      <c r="AI354" t="s">
        <v>130</v>
      </c>
      <c r="AJ354" t="s">
        <v>131</v>
      </c>
      <c r="AK354" t="s">
        <v>40</v>
      </c>
      <c r="AL354">
        <v>1</v>
      </c>
      <c r="AM354" t="s">
        <v>41</v>
      </c>
      <c r="AN354" t="s">
        <v>42</v>
      </c>
      <c r="AO354" t="s">
        <v>2171</v>
      </c>
      <c r="AP354" t="s">
        <v>407</v>
      </c>
      <c r="AQ354" t="s">
        <v>407</v>
      </c>
      <c r="AR354" t="s">
        <v>48</v>
      </c>
      <c r="AS354" t="s">
        <v>48</v>
      </c>
    </row>
    <row r="355" spans="1:54" x14ac:dyDescent="0.4">
      <c r="A355" t="s">
        <v>161</v>
      </c>
      <c r="B355" t="s">
        <v>10</v>
      </c>
      <c r="C355" t="s">
        <v>1714</v>
      </c>
      <c r="D355" t="s">
        <v>11</v>
      </c>
      <c r="E355" s="2">
        <v>-5.0000000000000001E-4</v>
      </c>
      <c r="F355" t="s">
        <v>12</v>
      </c>
      <c r="G355" s="4">
        <f>-0.05 / -0.05%</f>
        <v>100</v>
      </c>
      <c r="H355" t="s">
        <v>1714</v>
      </c>
      <c r="I355" t="s">
        <v>1715</v>
      </c>
      <c r="J355" t="s">
        <v>1716</v>
      </c>
      <c r="K355" t="s">
        <v>23</v>
      </c>
      <c r="L355" s="2">
        <v>3.6249999999999998E-2</v>
      </c>
      <c r="M355" t="s">
        <v>1717</v>
      </c>
      <c r="N355" t="s">
        <v>28</v>
      </c>
      <c r="O355" t="s">
        <v>1718</v>
      </c>
      <c r="P355" t="s">
        <v>342</v>
      </c>
      <c r="Q355" t="s">
        <v>342</v>
      </c>
      <c r="R355" t="s">
        <v>415</v>
      </c>
      <c r="S355" t="s">
        <v>1719</v>
      </c>
      <c r="T355" t="s">
        <v>1720</v>
      </c>
      <c r="U355" t="s">
        <v>1720</v>
      </c>
      <c r="V355" t="s">
        <v>369</v>
      </c>
      <c r="W355" t="s">
        <v>1721</v>
      </c>
      <c r="X355" t="s">
        <v>1721</v>
      </c>
      <c r="Y355" t="s">
        <v>1721</v>
      </c>
      <c r="Z355" t="s">
        <v>1721</v>
      </c>
      <c r="AA355" t="s">
        <v>1722</v>
      </c>
      <c r="AB355" s="2">
        <v>-4.4999999999999997E-3</v>
      </c>
      <c r="AC355" s="2">
        <v>-6.8999999999999999E-3</v>
      </c>
      <c r="AD355" s="2">
        <v>1.1999999999999999E-3</v>
      </c>
      <c r="AE355" s="2">
        <v>1.9E-3</v>
      </c>
      <c r="AF355" s="2">
        <v>2.7000000000000001E-3</v>
      </c>
      <c r="AG355" s="2">
        <v>3.0000000000000001E-3</v>
      </c>
      <c r="AH355" t="s">
        <v>1723</v>
      </c>
      <c r="AI355" t="s">
        <v>130</v>
      </c>
      <c r="AJ355" t="s">
        <v>131</v>
      </c>
      <c r="AK355" t="s">
        <v>40</v>
      </c>
      <c r="AL355">
        <v>1</v>
      </c>
      <c r="AM355" t="s">
        <v>41</v>
      </c>
      <c r="AN355" t="s">
        <v>42</v>
      </c>
      <c r="AO355" t="s">
        <v>1718</v>
      </c>
      <c r="AP355" t="s">
        <v>225</v>
      </c>
      <c r="AQ355" t="s">
        <v>225</v>
      </c>
      <c r="AR355" t="s">
        <v>48</v>
      </c>
      <c r="AS355" t="s">
        <v>48</v>
      </c>
    </row>
    <row r="356" spans="1:54" x14ac:dyDescent="0.4">
      <c r="A356" t="s">
        <v>4453</v>
      </c>
      <c r="B356" t="s">
        <v>10</v>
      </c>
      <c r="C356" t="s">
        <v>5553</v>
      </c>
      <c r="D356" t="s">
        <v>11</v>
      </c>
      <c r="E356" s="2">
        <v>-5.4999999999999997E-3</v>
      </c>
      <c r="F356" t="s">
        <v>178</v>
      </c>
      <c r="G356" s="4">
        <f>-0.6 / -0.55%</f>
        <v>109.09090909090908</v>
      </c>
      <c r="H356" t="s">
        <v>5553</v>
      </c>
      <c r="I356" t="s">
        <v>5554</v>
      </c>
      <c r="J356" t="s">
        <v>5555</v>
      </c>
      <c r="K356" t="s">
        <v>23</v>
      </c>
      <c r="L356" s="2">
        <v>7.0000000000000007E-2</v>
      </c>
      <c r="M356" t="s">
        <v>5556</v>
      </c>
      <c r="N356" t="s">
        <v>121</v>
      </c>
      <c r="O356" t="s">
        <v>5557</v>
      </c>
      <c r="P356" t="s">
        <v>5558</v>
      </c>
      <c r="Q356" t="s">
        <v>5558</v>
      </c>
      <c r="R356" t="s">
        <v>5558</v>
      </c>
      <c r="S356" t="s">
        <v>5559</v>
      </c>
      <c r="T356" t="s">
        <v>1508</v>
      </c>
      <c r="U356" t="s">
        <v>954</v>
      </c>
      <c r="V356" t="s">
        <v>5560</v>
      </c>
      <c r="W356" t="s">
        <v>5561</v>
      </c>
      <c r="X356" t="s">
        <v>5562</v>
      </c>
      <c r="Y356" t="s">
        <v>5562</v>
      </c>
      <c r="Z356" t="s">
        <v>5562</v>
      </c>
      <c r="AA356" t="s">
        <v>5563</v>
      </c>
      <c r="AB356" s="2">
        <v>-1.7000000000000001E-2</v>
      </c>
      <c r="AC356" s="2">
        <v>-2.58E-2</v>
      </c>
      <c r="AD356" s="2">
        <v>-1.9699999999999999E-2</v>
      </c>
      <c r="AE356" s="2">
        <v>2.0000000000000001E-4</v>
      </c>
      <c r="AF356" s="2">
        <v>-1.32E-2</v>
      </c>
      <c r="AG356" s="2">
        <v>-0.19220000000000001</v>
      </c>
      <c r="AH356" t="s">
        <v>5564</v>
      </c>
      <c r="AI356" t="s">
        <v>130</v>
      </c>
      <c r="AJ356" t="s">
        <v>131</v>
      </c>
      <c r="AK356" t="s">
        <v>40</v>
      </c>
      <c r="AL356">
        <v>1</v>
      </c>
      <c r="AM356" t="s">
        <v>41</v>
      </c>
      <c r="AN356" t="s">
        <v>42</v>
      </c>
      <c r="AO356" t="s">
        <v>5557</v>
      </c>
      <c r="AP356" t="s">
        <v>1338</v>
      </c>
      <c r="AQ356" t="s">
        <v>1338</v>
      </c>
      <c r="AR356" t="s">
        <v>133</v>
      </c>
      <c r="AS356" t="s">
        <v>133</v>
      </c>
    </row>
    <row r="357" spans="1:54" x14ac:dyDescent="0.4">
      <c r="A357" t="s">
        <v>3428</v>
      </c>
      <c r="B357" t="s">
        <v>10</v>
      </c>
      <c r="C357" t="s">
        <v>110</v>
      </c>
      <c r="D357" t="s">
        <v>11</v>
      </c>
      <c r="E357" s="2">
        <v>0</v>
      </c>
      <c r="F357" t="s">
        <v>363</v>
      </c>
      <c r="G357" s="4" t="s">
        <v>15</v>
      </c>
      <c r="H357" t="s">
        <v>110</v>
      </c>
      <c r="I357" t="s">
        <v>2163</v>
      </c>
      <c r="J357" t="s">
        <v>3429</v>
      </c>
      <c r="K357" t="s">
        <v>23</v>
      </c>
      <c r="L357" s="2">
        <v>0.04</v>
      </c>
      <c r="M357" t="s">
        <v>3430</v>
      </c>
      <c r="N357" t="s">
        <v>28</v>
      </c>
      <c r="O357" t="s">
        <v>3431</v>
      </c>
      <c r="P357" t="s">
        <v>110</v>
      </c>
      <c r="Q357" t="s">
        <v>110</v>
      </c>
      <c r="R357" t="s">
        <v>257</v>
      </c>
      <c r="S357" t="s">
        <v>1440</v>
      </c>
      <c r="T357" t="s">
        <v>687</v>
      </c>
      <c r="U357" t="s">
        <v>687</v>
      </c>
      <c r="V357" t="s">
        <v>2874</v>
      </c>
      <c r="W357" t="s">
        <v>2874</v>
      </c>
      <c r="X357" t="s">
        <v>2874</v>
      </c>
      <c r="Y357" t="s">
        <v>2874</v>
      </c>
      <c r="Z357" t="s">
        <v>1125</v>
      </c>
      <c r="AA357" t="s">
        <v>1125</v>
      </c>
      <c r="AB357" s="2">
        <v>0</v>
      </c>
      <c r="AC357" s="2">
        <v>0</v>
      </c>
      <c r="AD357" s="2">
        <v>1.01E-2</v>
      </c>
      <c r="AE357" s="2">
        <v>1.01E-2</v>
      </c>
      <c r="AF357" s="2">
        <v>5.0000000000000001E-3</v>
      </c>
      <c r="AG357" s="2">
        <v>0</v>
      </c>
      <c r="AH357" t="s">
        <v>3432</v>
      </c>
      <c r="AI357" t="s">
        <v>232</v>
      </c>
      <c r="AJ357" t="s">
        <v>131</v>
      </c>
      <c r="AK357" t="s">
        <v>40</v>
      </c>
      <c r="AL357">
        <v>1</v>
      </c>
      <c r="AM357" t="s">
        <v>41</v>
      </c>
      <c r="AN357" t="s">
        <v>42</v>
      </c>
      <c r="AO357" t="s">
        <v>3431</v>
      </c>
      <c r="AP357" t="s">
        <v>3433</v>
      </c>
      <c r="AQ357">
        <v>1</v>
      </c>
      <c r="BA357" t="s">
        <v>197</v>
      </c>
      <c r="BB357" t="s">
        <v>61</v>
      </c>
    </row>
    <row r="358" spans="1:54" x14ac:dyDescent="0.4">
      <c r="A358" t="s">
        <v>4269</v>
      </c>
      <c r="B358" t="s">
        <v>10</v>
      </c>
      <c r="C358" t="s">
        <v>4270</v>
      </c>
      <c r="D358" t="s">
        <v>11</v>
      </c>
      <c r="E358" s="2">
        <v>1.9E-3</v>
      </c>
      <c r="F358" t="s">
        <v>4271</v>
      </c>
      <c r="G358" s="4" t="s">
        <v>4272</v>
      </c>
      <c r="H358" t="s">
        <v>4270</v>
      </c>
      <c r="I358" t="s">
        <v>4273</v>
      </c>
      <c r="J358" t="s">
        <v>4274</v>
      </c>
      <c r="K358" t="s">
        <v>23</v>
      </c>
      <c r="L358" s="2">
        <v>4.2999999999999997E-2</v>
      </c>
      <c r="M358" t="s">
        <v>683</v>
      </c>
      <c r="N358" t="s">
        <v>28</v>
      </c>
      <c r="O358" t="s">
        <v>4275</v>
      </c>
      <c r="P358" t="s">
        <v>939</v>
      </c>
      <c r="Q358" t="s">
        <v>939</v>
      </c>
      <c r="R358" t="s">
        <v>939</v>
      </c>
      <c r="S358" t="s">
        <v>2429</v>
      </c>
      <c r="T358" t="s">
        <v>2429</v>
      </c>
      <c r="U358" t="s">
        <v>2429</v>
      </c>
      <c r="V358" t="s">
        <v>394</v>
      </c>
      <c r="W358" t="s">
        <v>1121</v>
      </c>
      <c r="X358" t="s">
        <v>1121</v>
      </c>
      <c r="Y358" t="s">
        <v>2214</v>
      </c>
      <c r="Z358" t="s">
        <v>1765</v>
      </c>
      <c r="AA358" t="s">
        <v>1536</v>
      </c>
      <c r="AB358" s="2">
        <v>1.9E-3</v>
      </c>
      <c r="AC358" s="2">
        <v>-8.9999999999999993E-3</v>
      </c>
      <c r="AD358" s="2">
        <v>-4.0300000000000002E-2</v>
      </c>
      <c r="AE358" s="2">
        <v>-4.0500000000000001E-2</v>
      </c>
      <c r="AF358" s="2">
        <v>-7.9100000000000004E-2</v>
      </c>
      <c r="AG358" s="2">
        <v>-9.7299999999999998E-2</v>
      </c>
      <c r="AH358" t="s">
        <v>4276</v>
      </c>
      <c r="AI358" t="s">
        <v>232</v>
      </c>
      <c r="AJ358" t="s">
        <v>131</v>
      </c>
      <c r="AK358" t="s">
        <v>40</v>
      </c>
      <c r="AL358">
        <v>720</v>
      </c>
      <c r="AM358" t="s">
        <v>41</v>
      </c>
      <c r="AN358" t="s">
        <v>42</v>
      </c>
      <c r="AO358" t="s">
        <v>4275</v>
      </c>
      <c r="AP358" t="s">
        <v>4277</v>
      </c>
      <c r="AQ358">
        <v>720</v>
      </c>
      <c r="BA358" t="s">
        <v>197</v>
      </c>
      <c r="BB358" t="s">
        <v>61</v>
      </c>
    </row>
    <row r="359" spans="1:54" x14ac:dyDescent="0.4">
      <c r="A359" t="s">
        <v>2871</v>
      </c>
      <c r="B359" t="s">
        <v>10</v>
      </c>
      <c r="C359" t="s">
        <v>1552</v>
      </c>
      <c r="D359" t="s">
        <v>11</v>
      </c>
      <c r="E359" s="2">
        <v>0</v>
      </c>
      <c r="F359" t="s">
        <v>310</v>
      </c>
      <c r="G359" s="4" t="s">
        <v>15</v>
      </c>
      <c r="H359" t="s">
        <v>1552</v>
      </c>
      <c r="I359" t="s">
        <v>2872</v>
      </c>
      <c r="J359" t="s">
        <v>2873</v>
      </c>
      <c r="K359" t="s">
        <v>23</v>
      </c>
      <c r="L359" s="2">
        <v>4.4999999999999998E-2</v>
      </c>
      <c r="M359" t="s">
        <v>2235</v>
      </c>
      <c r="N359" t="s">
        <v>28</v>
      </c>
      <c r="O359" t="s">
        <v>683</v>
      </c>
      <c r="P359" t="s">
        <v>1122</v>
      </c>
      <c r="Q359" t="s">
        <v>939</v>
      </c>
      <c r="R359" t="s">
        <v>939</v>
      </c>
      <c r="S359" t="s">
        <v>939</v>
      </c>
      <c r="T359" t="s">
        <v>939</v>
      </c>
      <c r="U359" t="s">
        <v>939</v>
      </c>
      <c r="V359" t="s">
        <v>110</v>
      </c>
      <c r="W359" t="s">
        <v>110</v>
      </c>
      <c r="X359" t="s">
        <v>110</v>
      </c>
      <c r="Y359" t="s">
        <v>110</v>
      </c>
      <c r="Z359" t="s">
        <v>2874</v>
      </c>
      <c r="AA359" t="s">
        <v>1536</v>
      </c>
      <c r="AB359" s="2">
        <v>4.2599999999999999E-2</v>
      </c>
      <c r="AC359" s="2">
        <v>2.0799999999999999E-2</v>
      </c>
      <c r="AD359" s="2">
        <v>3.1600000000000003E-2</v>
      </c>
      <c r="AE359" s="2">
        <v>2.06E-2</v>
      </c>
      <c r="AF359" s="2">
        <v>-0.02</v>
      </c>
      <c r="AG359" s="2">
        <v>-5.7700000000000001E-2</v>
      </c>
      <c r="AH359" t="s">
        <v>2875</v>
      </c>
      <c r="AI359" t="s">
        <v>232</v>
      </c>
      <c r="AJ359" t="s">
        <v>131</v>
      </c>
      <c r="AK359" t="s">
        <v>40</v>
      </c>
      <c r="AL359">
        <v>780</v>
      </c>
      <c r="AM359" t="s">
        <v>41</v>
      </c>
      <c r="AN359" t="s">
        <v>42</v>
      </c>
      <c r="AO359" t="s">
        <v>683</v>
      </c>
      <c r="AP359" t="s">
        <v>2876</v>
      </c>
      <c r="AQ359">
        <v>780</v>
      </c>
      <c r="BA359" t="s">
        <v>197</v>
      </c>
      <c r="BB359" t="s">
        <v>61</v>
      </c>
    </row>
    <row r="360" spans="1:54" x14ac:dyDescent="0.4">
      <c r="A360" t="s">
        <v>161</v>
      </c>
      <c r="B360" t="s">
        <v>10</v>
      </c>
      <c r="C360" s="1">
        <v>99345</v>
      </c>
      <c r="D360" t="s">
        <v>11</v>
      </c>
      <c r="E360" s="2">
        <v>-5.0000000000000001E-4</v>
      </c>
      <c r="F360" t="s">
        <v>12</v>
      </c>
      <c r="G360" s="4">
        <f>-0.05 / -0.05%</f>
        <v>100</v>
      </c>
      <c r="H360" s="1">
        <v>99345</v>
      </c>
      <c r="I360" t="s">
        <v>6048</v>
      </c>
      <c r="J360" t="s">
        <v>6049</v>
      </c>
      <c r="K360" t="s">
        <v>23</v>
      </c>
      <c r="L360" s="2">
        <v>2.375E-2</v>
      </c>
      <c r="M360" t="s">
        <v>4298</v>
      </c>
      <c r="N360" t="s">
        <v>28</v>
      </c>
      <c r="O360" t="s">
        <v>6050</v>
      </c>
      <c r="P360" s="1">
        <v>99265</v>
      </c>
      <c r="Q360" s="1">
        <v>99175</v>
      </c>
      <c r="R360" s="1">
        <v>98135</v>
      </c>
      <c r="S360" s="1">
        <v>97155</v>
      </c>
      <c r="T360" s="1">
        <v>95475</v>
      </c>
      <c r="U360" s="1">
        <v>95005</v>
      </c>
      <c r="V360" s="1">
        <v>99645</v>
      </c>
      <c r="W360" s="1">
        <v>99715</v>
      </c>
      <c r="X360" s="1">
        <v>99715</v>
      </c>
      <c r="Y360" s="1">
        <v>99715</v>
      </c>
      <c r="Z360" s="1">
        <v>99715</v>
      </c>
      <c r="AA360" s="1">
        <v>109425</v>
      </c>
      <c r="AB360" s="2">
        <v>-2.0999999999999999E-3</v>
      </c>
      <c r="AC360" s="2">
        <v>-5.0000000000000001E-4</v>
      </c>
      <c r="AD360" s="2">
        <v>1.1599999999999999E-2</v>
      </c>
      <c r="AE360" s="2">
        <v>1.32E-2</v>
      </c>
      <c r="AF360" s="2">
        <v>2.86E-2</v>
      </c>
      <c r="AG360" s="2">
        <v>-9.2100000000000001E-2</v>
      </c>
      <c r="AH360" t="s">
        <v>6051</v>
      </c>
      <c r="AI360" t="s">
        <v>130</v>
      </c>
      <c r="AJ360" t="s">
        <v>131</v>
      </c>
      <c r="AK360" t="s">
        <v>40</v>
      </c>
      <c r="AL360">
        <v>100</v>
      </c>
      <c r="AM360" t="s">
        <v>41</v>
      </c>
      <c r="AN360" t="s">
        <v>42</v>
      </c>
      <c r="AO360" t="s">
        <v>6050</v>
      </c>
      <c r="AP360" t="s">
        <v>5745</v>
      </c>
      <c r="AQ360" t="s">
        <v>5745</v>
      </c>
      <c r="AR360" t="s">
        <v>48</v>
      </c>
      <c r="AS360" t="s">
        <v>48</v>
      </c>
    </row>
    <row r="361" spans="1:54" x14ac:dyDescent="0.4">
      <c r="A361" t="s">
        <v>76</v>
      </c>
      <c r="B361" t="s">
        <v>10</v>
      </c>
      <c r="C361" t="s">
        <v>3189</v>
      </c>
      <c r="D361" t="s">
        <v>11</v>
      </c>
      <c r="E361" s="2">
        <v>3.8E-3</v>
      </c>
      <c r="F361" t="s">
        <v>12</v>
      </c>
      <c r="G361" s="4" t="s">
        <v>6748</v>
      </c>
      <c r="H361" t="s">
        <v>3189</v>
      </c>
      <c r="I361" t="s">
        <v>6749</v>
      </c>
      <c r="J361" t="s">
        <v>6750</v>
      </c>
      <c r="K361" t="s">
        <v>23</v>
      </c>
      <c r="L361" s="2">
        <v>4.9500000000000002E-2</v>
      </c>
      <c r="M361" t="s">
        <v>53</v>
      </c>
      <c r="N361" t="s">
        <v>121</v>
      </c>
      <c r="O361" t="s">
        <v>6751</v>
      </c>
      <c r="P361" t="s">
        <v>6752</v>
      </c>
      <c r="Q361" t="s">
        <v>6752</v>
      </c>
      <c r="R361" t="s">
        <v>6752</v>
      </c>
      <c r="S361" t="s">
        <v>6752</v>
      </c>
      <c r="T361" t="s">
        <v>6752</v>
      </c>
      <c r="U361" t="s">
        <v>6752</v>
      </c>
      <c r="V361" t="s">
        <v>4466</v>
      </c>
      <c r="W361" t="s">
        <v>217</v>
      </c>
      <c r="X361" t="s">
        <v>6753</v>
      </c>
      <c r="Y361" t="s">
        <v>6753</v>
      </c>
      <c r="Z361" t="s">
        <v>6753</v>
      </c>
      <c r="AA361" t="s">
        <v>6753</v>
      </c>
      <c r="AB361" s="2">
        <v>-2.7000000000000001E-3</v>
      </c>
      <c r="AC361" s="2">
        <v>-2.06E-2</v>
      </c>
      <c r="AD361" s="2">
        <v>-2.8500000000000001E-2</v>
      </c>
      <c r="AE361" s="2">
        <v>-2.8500000000000001E-2</v>
      </c>
      <c r="AF361" s="2">
        <v>-2.8500000000000001E-2</v>
      </c>
      <c r="AG361" s="2">
        <v>-2.8500000000000001E-2</v>
      </c>
      <c r="AH361" t="s">
        <v>6754</v>
      </c>
      <c r="AI361" t="s">
        <v>130</v>
      </c>
      <c r="AJ361" t="s">
        <v>131</v>
      </c>
      <c r="AK361" t="s">
        <v>40</v>
      </c>
      <c r="AL361">
        <v>2</v>
      </c>
      <c r="AM361" t="s">
        <v>41</v>
      </c>
      <c r="AN361" t="s">
        <v>42</v>
      </c>
      <c r="AO361" t="s">
        <v>6751</v>
      </c>
      <c r="AP361" t="s">
        <v>750</v>
      </c>
      <c r="AQ361" t="s">
        <v>750</v>
      </c>
      <c r="AR361" t="s">
        <v>133</v>
      </c>
      <c r="AS361" t="s">
        <v>133</v>
      </c>
    </row>
    <row r="362" spans="1:54" x14ac:dyDescent="0.4">
      <c r="A362" t="s">
        <v>1330</v>
      </c>
      <c r="B362" t="s">
        <v>10</v>
      </c>
      <c r="C362" t="s">
        <v>362</v>
      </c>
      <c r="D362" t="s">
        <v>11</v>
      </c>
      <c r="E362" s="2">
        <v>5.1000000000000004E-3</v>
      </c>
      <c r="F362" t="s">
        <v>12</v>
      </c>
      <c r="G362" s="4" t="s">
        <v>1331</v>
      </c>
      <c r="H362" t="s">
        <v>362</v>
      </c>
      <c r="I362" t="s">
        <v>1332</v>
      </c>
      <c r="J362" t="s">
        <v>1333</v>
      </c>
      <c r="K362" t="s">
        <v>23</v>
      </c>
      <c r="L362" s="2">
        <v>8.6360000000000006E-2</v>
      </c>
      <c r="M362" t="s">
        <v>1334</v>
      </c>
      <c r="N362" t="s">
        <v>636</v>
      </c>
      <c r="O362" t="s">
        <v>1335</v>
      </c>
      <c r="P362" t="s">
        <v>1336</v>
      </c>
      <c r="Q362" t="s">
        <v>1336</v>
      </c>
      <c r="R362" t="s">
        <v>1336</v>
      </c>
      <c r="S362" t="s">
        <v>1336</v>
      </c>
      <c r="T362" t="s">
        <v>1336</v>
      </c>
      <c r="U362" t="s">
        <v>1336</v>
      </c>
      <c r="V362" t="s">
        <v>641</v>
      </c>
      <c r="W362" t="s">
        <v>641</v>
      </c>
      <c r="X362" t="s">
        <v>641</v>
      </c>
      <c r="Y362" t="s">
        <v>641</v>
      </c>
      <c r="Z362" t="s">
        <v>641</v>
      </c>
      <c r="AA362" t="s">
        <v>641</v>
      </c>
      <c r="AB362" s="2">
        <v>1.2699999999999999E-2</v>
      </c>
      <c r="AC362" s="2">
        <v>1.2699999999999999E-2</v>
      </c>
      <c r="AD362" s="2">
        <v>1.2699999999999999E-2</v>
      </c>
      <c r="AE362" s="2">
        <v>1.2699999999999999E-2</v>
      </c>
      <c r="AF362" s="2">
        <v>1.2699999999999999E-2</v>
      </c>
      <c r="AG362" s="2">
        <v>1.2699999999999999E-2</v>
      </c>
      <c r="AH362" t="s">
        <v>1337</v>
      </c>
      <c r="AI362" t="s">
        <v>130</v>
      </c>
      <c r="AJ362" t="s">
        <v>131</v>
      </c>
      <c r="AK362" t="s">
        <v>40</v>
      </c>
      <c r="AL362">
        <v>1</v>
      </c>
      <c r="AM362" t="s">
        <v>41</v>
      </c>
      <c r="AN362" t="s">
        <v>42</v>
      </c>
      <c r="AO362" t="s">
        <v>1335</v>
      </c>
      <c r="AP362" t="s">
        <v>1338</v>
      </c>
      <c r="AQ362" t="s">
        <v>1338</v>
      </c>
      <c r="AR362" t="s">
        <v>48</v>
      </c>
      <c r="AS362" t="s">
        <v>48</v>
      </c>
    </row>
    <row r="363" spans="1:54" x14ac:dyDescent="0.4">
      <c r="A363" t="s">
        <v>251</v>
      </c>
      <c r="B363" t="s">
        <v>10</v>
      </c>
      <c r="C363" t="s">
        <v>5201</v>
      </c>
      <c r="D363" t="s">
        <v>11</v>
      </c>
      <c r="E363" s="2">
        <v>-1.1000000000000001E-3</v>
      </c>
      <c r="F363" t="s">
        <v>12</v>
      </c>
      <c r="G363" s="4">
        <f>-0.125 / -0.11%</f>
        <v>113.63636363636363</v>
      </c>
      <c r="H363" t="s">
        <v>5201</v>
      </c>
      <c r="I363" t="s">
        <v>5202</v>
      </c>
      <c r="J363" t="s">
        <v>5203</v>
      </c>
      <c r="K363" t="s">
        <v>23</v>
      </c>
      <c r="L363" s="2">
        <v>8.5000000000000006E-2</v>
      </c>
      <c r="M363" t="s">
        <v>2722</v>
      </c>
      <c r="N363" t="s">
        <v>121</v>
      </c>
      <c r="O363" t="s">
        <v>3343</v>
      </c>
      <c r="P363" t="s">
        <v>5204</v>
      </c>
      <c r="Q363" s="1">
        <v>109575</v>
      </c>
      <c r="R363" s="1">
        <v>107575</v>
      </c>
      <c r="S363" t="s">
        <v>1297</v>
      </c>
      <c r="T363" t="s">
        <v>1297</v>
      </c>
      <c r="U363" t="s">
        <v>1297</v>
      </c>
      <c r="V363" s="1">
        <v>111325</v>
      </c>
      <c r="W363" t="s">
        <v>5205</v>
      </c>
      <c r="X363" t="s">
        <v>5205</v>
      </c>
      <c r="Y363" t="s">
        <v>5205</v>
      </c>
      <c r="Z363" t="s">
        <v>5205</v>
      </c>
      <c r="AA363" t="s">
        <v>5205</v>
      </c>
      <c r="AB363" s="2">
        <v>2.3E-3</v>
      </c>
      <c r="AC363" s="2">
        <v>7.9000000000000008E-3</v>
      </c>
      <c r="AD363" s="2">
        <v>2.4199999999999999E-2</v>
      </c>
      <c r="AE363" s="2">
        <v>9.1300000000000006E-2</v>
      </c>
      <c r="AF363" s="2">
        <v>0.12239999999999999</v>
      </c>
      <c r="AG363" s="2">
        <v>0.12239999999999999</v>
      </c>
      <c r="AH363" t="s">
        <v>4507</v>
      </c>
      <c r="AI363" t="s">
        <v>130</v>
      </c>
      <c r="AJ363" t="s">
        <v>131</v>
      </c>
      <c r="AK363" t="s">
        <v>40</v>
      </c>
      <c r="AL363">
        <v>200</v>
      </c>
      <c r="AM363" t="s">
        <v>41</v>
      </c>
      <c r="AN363" t="s">
        <v>42</v>
      </c>
      <c r="AO363" t="s">
        <v>3343</v>
      </c>
      <c r="AP363" t="s">
        <v>225</v>
      </c>
      <c r="AQ363">
        <v>200</v>
      </c>
      <c r="BA363" t="s">
        <v>136</v>
      </c>
      <c r="BB363" t="s">
        <v>61</v>
      </c>
    </row>
    <row r="364" spans="1:54" x14ac:dyDescent="0.4">
      <c r="A364" t="s">
        <v>251</v>
      </c>
      <c r="B364" t="s">
        <v>10</v>
      </c>
      <c r="C364" t="s">
        <v>5123</v>
      </c>
      <c r="D364" t="s">
        <v>11</v>
      </c>
      <c r="E364" s="2">
        <v>-1E-3</v>
      </c>
      <c r="F364" t="s">
        <v>12</v>
      </c>
      <c r="G364" s="4">
        <f>-0.095 / -0.1%</f>
        <v>95</v>
      </c>
      <c r="H364" t="s">
        <v>5123</v>
      </c>
      <c r="I364" t="s">
        <v>6422</v>
      </c>
      <c r="J364" t="s">
        <v>6423</v>
      </c>
      <c r="K364" t="s">
        <v>23</v>
      </c>
      <c r="L364" s="2">
        <v>3.15E-2</v>
      </c>
      <c r="M364" t="s">
        <v>314</v>
      </c>
      <c r="N364" t="s">
        <v>28</v>
      </c>
      <c r="O364" t="s">
        <v>315</v>
      </c>
      <c r="P364" s="1">
        <v>98085</v>
      </c>
      <c r="Q364" s="1">
        <v>98085</v>
      </c>
      <c r="R364" s="1">
        <v>97575</v>
      </c>
      <c r="S364" t="s">
        <v>6424</v>
      </c>
      <c r="T364" t="s">
        <v>6425</v>
      </c>
      <c r="U364" t="s">
        <v>6425</v>
      </c>
      <c r="V364" s="1">
        <v>99735</v>
      </c>
      <c r="W364" s="1">
        <v>100035</v>
      </c>
      <c r="X364" s="1">
        <v>100035</v>
      </c>
      <c r="Y364" s="1">
        <v>100035</v>
      </c>
      <c r="Z364" s="1">
        <v>100035</v>
      </c>
      <c r="AA364" s="1">
        <v>100035</v>
      </c>
      <c r="AB364" s="2">
        <v>-5.1999999999999998E-3</v>
      </c>
      <c r="AC364" s="2">
        <v>-7.7000000000000002E-3</v>
      </c>
      <c r="AD364" s="2">
        <v>4.8999999999999998E-3</v>
      </c>
      <c r="AE364" s="2">
        <v>4.36E-2</v>
      </c>
      <c r="AF364" s="2">
        <v>0.1552</v>
      </c>
      <c r="AG364" s="2">
        <v>-5.5999999999999999E-3</v>
      </c>
      <c r="AH364" t="s">
        <v>4507</v>
      </c>
      <c r="AI364" t="s">
        <v>130</v>
      </c>
      <c r="AJ364" t="s">
        <v>131</v>
      </c>
      <c r="AK364" t="s">
        <v>40</v>
      </c>
      <c r="AL364">
        <v>100</v>
      </c>
      <c r="AM364" t="s">
        <v>41</v>
      </c>
      <c r="AN364" t="s">
        <v>42</v>
      </c>
      <c r="AO364" t="s">
        <v>315</v>
      </c>
      <c r="AP364" t="s">
        <v>3153</v>
      </c>
      <c r="AQ364" t="s">
        <v>3153</v>
      </c>
      <c r="AR364" t="s">
        <v>48</v>
      </c>
      <c r="AS364" t="s">
        <v>48</v>
      </c>
    </row>
    <row r="365" spans="1:54" x14ac:dyDescent="0.4">
      <c r="A365" t="s">
        <v>161</v>
      </c>
      <c r="B365" t="s">
        <v>10</v>
      </c>
      <c r="C365" t="s">
        <v>4508</v>
      </c>
      <c r="D365" t="s">
        <v>11</v>
      </c>
      <c r="E365" s="2">
        <v>-1.1999999999999999E-3</v>
      </c>
      <c r="F365" t="s">
        <v>12</v>
      </c>
      <c r="G365" s="4">
        <f>-0.09 / -0.12%</f>
        <v>75</v>
      </c>
      <c r="H365" t="s">
        <v>4508</v>
      </c>
      <c r="I365" t="s">
        <v>4509</v>
      </c>
      <c r="J365" t="s">
        <v>4510</v>
      </c>
      <c r="K365" t="s">
        <v>23</v>
      </c>
      <c r="L365" s="2">
        <v>5.0000000000000001E-3</v>
      </c>
      <c r="M365" t="s">
        <v>1471</v>
      </c>
      <c r="N365" t="s">
        <v>28</v>
      </c>
      <c r="O365" t="s">
        <v>352</v>
      </c>
      <c r="P365" t="s">
        <v>4511</v>
      </c>
      <c r="Q365" t="s">
        <v>4511</v>
      </c>
      <c r="R365" t="s">
        <v>4512</v>
      </c>
      <c r="S365" t="s">
        <v>4513</v>
      </c>
      <c r="T365" t="s">
        <v>4514</v>
      </c>
      <c r="U365" t="s">
        <v>4514</v>
      </c>
      <c r="V365" t="s">
        <v>4515</v>
      </c>
      <c r="W365" t="s">
        <v>4516</v>
      </c>
      <c r="X365" t="s">
        <v>4516</v>
      </c>
      <c r="Y365" t="s">
        <v>4516</v>
      </c>
      <c r="Z365" t="s">
        <v>4516</v>
      </c>
      <c r="AA365" t="s">
        <v>4517</v>
      </c>
      <c r="AB365" s="2">
        <v>-1.5800000000000002E-2</v>
      </c>
      <c r="AC365" s="2">
        <v>-4.4999999999999997E-3</v>
      </c>
      <c r="AD365" s="2">
        <v>3.4000000000000002E-2</v>
      </c>
      <c r="AE365" s="2">
        <v>4.3200000000000002E-2</v>
      </c>
      <c r="AF365" s="2">
        <v>4.7199999999999999E-2</v>
      </c>
      <c r="AG365" s="2">
        <v>-0.2671</v>
      </c>
      <c r="AH365" t="s">
        <v>4507</v>
      </c>
      <c r="AI365" t="s">
        <v>130</v>
      </c>
      <c r="AJ365" t="s">
        <v>131</v>
      </c>
      <c r="AK365" t="s">
        <v>40</v>
      </c>
      <c r="AL365">
        <v>100</v>
      </c>
      <c r="AM365" t="s">
        <v>41</v>
      </c>
      <c r="AN365" t="s">
        <v>42</v>
      </c>
      <c r="AO365" t="s">
        <v>352</v>
      </c>
      <c r="AP365" t="s">
        <v>357</v>
      </c>
      <c r="AQ365" t="s">
        <v>357</v>
      </c>
      <c r="AR365" t="s">
        <v>48</v>
      </c>
      <c r="AS365" t="s">
        <v>48</v>
      </c>
    </row>
    <row r="366" spans="1:54" x14ac:dyDescent="0.4">
      <c r="A366" t="s">
        <v>251</v>
      </c>
      <c r="B366" t="s">
        <v>10</v>
      </c>
      <c r="C366" t="s">
        <v>4502</v>
      </c>
      <c r="D366" t="s">
        <v>11</v>
      </c>
      <c r="E366" s="2">
        <v>-1.5E-3</v>
      </c>
      <c r="F366" t="s">
        <v>12</v>
      </c>
      <c r="G366" s="4">
        <f>-0.14 / -0.15%</f>
        <v>93.333333333333343</v>
      </c>
      <c r="H366" t="s">
        <v>4502</v>
      </c>
      <c r="I366" t="s">
        <v>4503</v>
      </c>
      <c r="J366" t="s">
        <v>4504</v>
      </c>
      <c r="K366" t="s">
        <v>23</v>
      </c>
      <c r="L366" s="2">
        <v>1E-4</v>
      </c>
      <c r="M366" t="s">
        <v>4477</v>
      </c>
      <c r="N366" t="s">
        <v>28</v>
      </c>
      <c r="O366" t="s">
        <v>352</v>
      </c>
      <c r="P366" t="s">
        <v>3586</v>
      </c>
      <c r="Q366" t="s">
        <v>3586</v>
      </c>
      <c r="R366" t="s">
        <v>1996</v>
      </c>
      <c r="S366" t="s">
        <v>4505</v>
      </c>
      <c r="T366" s="1">
        <v>82545</v>
      </c>
      <c r="U366" s="1">
        <v>82545</v>
      </c>
      <c r="V366" t="s">
        <v>4506</v>
      </c>
      <c r="W366" t="s">
        <v>582</v>
      </c>
      <c r="X366" t="s">
        <v>582</v>
      </c>
      <c r="Y366" t="s">
        <v>582</v>
      </c>
      <c r="Z366" t="s">
        <v>582</v>
      </c>
      <c r="AA366" s="1">
        <v>99205</v>
      </c>
      <c r="AB366" s="2">
        <v>-3.0999999999999999E-3</v>
      </c>
      <c r="AC366" s="2">
        <v>-6.4000000000000003E-3</v>
      </c>
      <c r="AD366" s="2">
        <v>0.02</v>
      </c>
      <c r="AE366" s="2">
        <v>3.5700000000000003E-2</v>
      </c>
      <c r="AF366" s="2">
        <v>6.4500000000000002E-2</v>
      </c>
      <c r="AG366" s="2">
        <v>-8.8499999999999995E-2</v>
      </c>
      <c r="AH366" t="s">
        <v>4507</v>
      </c>
      <c r="AI366" t="s">
        <v>130</v>
      </c>
      <c r="AJ366" t="s">
        <v>131</v>
      </c>
      <c r="AK366" t="s">
        <v>40</v>
      </c>
      <c r="AL366">
        <v>100</v>
      </c>
      <c r="AM366" t="s">
        <v>41</v>
      </c>
      <c r="AN366" t="s">
        <v>42</v>
      </c>
      <c r="AO366" t="s">
        <v>352</v>
      </c>
      <c r="AP366" t="s">
        <v>357</v>
      </c>
      <c r="AQ366" t="s">
        <v>357</v>
      </c>
      <c r="AR366" t="s">
        <v>48</v>
      </c>
      <c r="AS366" t="s">
        <v>48</v>
      </c>
    </row>
    <row r="367" spans="1:54" x14ac:dyDescent="0.4">
      <c r="A367" t="s">
        <v>251</v>
      </c>
      <c r="B367" t="s">
        <v>10</v>
      </c>
      <c r="C367" s="1">
        <v>99649</v>
      </c>
      <c r="D367" t="s">
        <v>11</v>
      </c>
      <c r="E367" s="2">
        <v>-8.0000000000000004E-4</v>
      </c>
      <c r="F367" t="s">
        <v>12</v>
      </c>
      <c r="G367" s="4">
        <f>-0.079 / -0.08%</f>
        <v>98.75</v>
      </c>
      <c r="H367" s="1">
        <v>99649</v>
      </c>
      <c r="I367" t="s">
        <v>7007</v>
      </c>
      <c r="J367" t="s">
        <v>7008</v>
      </c>
      <c r="K367" t="s">
        <v>23</v>
      </c>
      <c r="L367" s="2">
        <v>3.0499999999999999E-2</v>
      </c>
      <c r="M367" t="s">
        <v>7009</v>
      </c>
      <c r="N367" t="s">
        <v>28</v>
      </c>
      <c r="O367" t="s">
        <v>7010</v>
      </c>
      <c r="P367" s="1">
        <v>99389</v>
      </c>
      <c r="Q367" s="1">
        <v>99389</v>
      </c>
      <c r="R367" t="s">
        <v>2597</v>
      </c>
      <c r="S367" t="s">
        <v>1665</v>
      </c>
      <c r="T367" t="s">
        <v>116</v>
      </c>
      <c r="U367" t="s">
        <v>116</v>
      </c>
      <c r="V367" s="1">
        <v>100015</v>
      </c>
      <c r="W367" s="1">
        <v>100425</v>
      </c>
      <c r="X367" s="1">
        <v>100425</v>
      </c>
      <c r="Y367" s="1">
        <v>100425</v>
      </c>
      <c r="Z367" s="1">
        <v>100425</v>
      </c>
      <c r="AA367" s="1">
        <v>100425</v>
      </c>
      <c r="AB367" s="2">
        <v>-3.0999999999999999E-3</v>
      </c>
      <c r="AC367" s="2">
        <v>-1.9E-3</v>
      </c>
      <c r="AD367" s="2">
        <v>1.3899999999999999E-2</v>
      </c>
      <c r="AE367" s="2">
        <v>1.9400000000000001E-2</v>
      </c>
      <c r="AF367" s="2">
        <v>6.6E-3</v>
      </c>
      <c r="AG367" s="2">
        <v>6.6E-3</v>
      </c>
      <c r="AH367" t="s">
        <v>4507</v>
      </c>
      <c r="AI367" t="s">
        <v>130</v>
      </c>
      <c r="AJ367" t="s">
        <v>131</v>
      </c>
      <c r="AK367" t="s">
        <v>40</v>
      </c>
      <c r="AL367">
        <v>1</v>
      </c>
      <c r="AM367" t="s">
        <v>41</v>
      </c>
      <c r="AN367" t="s">
        <v>42</v>
      </c>
      <c r="AO367" t="s">
        <v>7010</v>
      </c>
      <c r="AP367" t="s">
        <v>3153</v>
      </c>
      <c r="AQ367" t="s">
        <v>3153</v>
      </c>
      <c r="AR367" t="s">
        <v>48</v>
      </c>
      <c r="AS367" t="s">
        <v>48</v>
      </c>
    </row>
    <row r="368" spans="1:54" x14ac:dyDescent="0.4">
      <c r="A368" t="s">
        <v>76</v>
      </c>
      <c r="B368" t="s">
        <v>10</v>
      </c>
      <c r="C368" t="s">
        <v>511</v>
      </c>
      <c r="D368" t="s">
        <v>11</v>
      </c>
      <c r="E368" s="2">
        <v>1E-4</v>
      </c>
      <c r="F368" t="s">
        <v>12</v>
      </c>
      <c r="G368" s="4" t="s">
        <v>148</v>
      </c>
      <c r="H368" t="s">
        <v>511</v>
      </c>
      <c r="I368" t="s">
        <v>4660</v>
      </c>
      <c r="J368" t="s">
        <v>4741</v>
      </c>
      <c r="K368" t="s">
        <v>23</v>
      </c>
      <c r="N368" t="s">
        <v>1142</v>
      </c>
      <c r="O368" t="s">
        <v>4742</v>
      </c>
      <c r="P368" s="1">
        <v>99595</v>
      </c>
      <c r="Q368" t="s">
        <v>4662</v>
      </c>
      <c r="R368" t="s">
        <v>581</v>
      </c>
      <c r="S368" t="s">
        <v>581</v>
      </c>
      <c r="T368" t="s">
        <v>581</v>
      </c>
      <c r="U368" t="s">
        <v>581</v>
      </c>
      <c r="V368" t="s">
        <v>511</v>
      </c>
      <c r="W368" t="s">
        <v>511</v>
      </c>
      <c r="X368" t="s">
        <v>511</v>
      </c>
      <c r="Y368" t="s">
        <v>511</v>
      </c>
      <c r="Z368" t="s">
        <v>511</v>
      </c>
      <c r="AA368" t="s">
        <v>511</v>
      </c>
      <c r="AB368" s="2">
        <v>2.5000000000000001E-3</v>
      </c>
      <c r="AC368" s="2">
        <v>6.8999999999999999E-3</v>
      </c>
      <c r="AD368" s="2">
        <v>1.55E-2</v>
      </c>
      <c r="AE368" s="2">
        <v>1.55E-2</v>
      </c>
      <c r="AF368" s="2">
        <v>1.55E-2</v>
      </c>
      <c r="AG368" s="2">
        <v>1.55E-2</v>
      </c>
      <c r="AH368" t="s">
        <v>1091</v>
      </c>
      <c r="AI368" t="s">
        <v>130</v>
      </c>
      <c r="AJ368" t="s">
        <v>131</v>
      </c>
      <c r="AK368" t="s">
        <v>40</v>
      </c>
      <c r="AL368">
        <v>1</v>
      </c>
      <c r="AM368" t="s">
        <v>41</v>
      </c>
      <c r="AN368" t="s">
        <v>42</v>
      </c>
      <c r="AO368" t="s">
        <v>4743</v>
      </c>
      <c r="AP368" t="s">
        <v>4744</v>
      </c>
      <c r="AQ368" t="s">
        <v>4744</v>
      </c>
      <c r="BB368" t="s">
        <v>61</v>
      </c>
    </row>
    <row r="369" spans="1:46" x14ac:dyDescent="0.4">
      <c r="A369" t="s">
        <v>76</v>
      </c>
      <c r="B369" t="s">
        <v>10</v>
      </c>
      <c r="C369" s="1">
        <v>96622</v>
      </c>
      <c r="D369" t="s">
        <v>11</v>
      </c>
      <c r="E369" s="2">
        <v>-4.0000000000000002E-4</v>
      </c>
      <c r="F369" t="s">
        <v>12</v>
      </c>
      <c r="G369" s="4">
        <f>-0.038 / -0.04%</f>
        <v>95</v>
      </c>
      <c r="H369" s="1">
        <v>96622</v>
      </c>
      <c r="I369" t="s">
        <v>2442</v>
      </c>
      <c r="J369" t="s">
        <v>2443</v>
      </c>
      <c r="K369" t="s">
        <v>23</v>
      </c>
      <c r="M369" t="s">
        <v>2444</v>
      </c>
      <c r="N369" t="s">
        <v>28</v>
      </c>
      <c r="O369" t="s">
        <v>2445</v>
      </c>
      <c r="P369" s="1">
        <v>96455</v>
      </c>
      <c r="Q369" t="s">
        <v>2446</v>
      </c>
      <c r="R369" s="1">
        <v>94621</v>
      </c>
      <c r="S369" s="1">
        <v>93135</v>
      </c>
      <c r="T369" t="s">
        <v>2447</v>
      </c>
      <c r="U369" t="s">
        <v>2447</v>
      </c>
      <c r="V369" s="1">
        <v>96791</v>
      </c>
      <c r="W369" s="1">
        <v>96881</v>
      </c>
      <c r="X369" s="1">
        <v>96881</v>
      </c>
      <c r="Y369" s="1">
        <v>96881</v>
      </c>
      <c r="Z369" s="1">
        <v>96881</v>
      </c>
      <c r="AA369" s="1">
        <v>101025</v>
      </c>
      <c r="AB369" s="2">
        <v>-1.1000000000000001E-3</v>
      </c>
      <c r="AC369" s="2">
        <v>3.3E-3</v>
      </c>
      <c r="AD369" s="2">
        <v>2.0899999999999998E-2</v>
      </c>
      <c r="AE369" s="2">
        <v>3.3399999999999999E-2</v>
      </c>
      <c r="AF369" s="2">
        <v>6.1199999999999997E-2</v>
      </c>
      <c r="AG369" s="2">
        <v>-4.3400000000000001E-2</v>
      </c>
      <c r="AH369" t="s">
        <v>1091</v>
      </c>
      <c r="AI369" t="s">
        <v>130</v>
      </c>
      <c r="AJ369" t="s">
        <v>131</v>
      </c>
      <c r="AK369" t="s">
        <v>40</v>
      </c>
      <c r="AL369">
        <v>1</v>
      </c>
      <c r="AM369" t="s">
        <v>41</v>
      </c>
      <c r="AN369" t="s">
        <v>42</v>
      </c>
      <c r="AO369" t="s">
        <v>2445</v>
      </c>
      <c r="AP369" t="s">
        <v>2448</v>
      </c>
      <c r="AQ369" t="s">
        <v>2448</v>
      </c>
      <c r="AR369" t="s">
        <v>48</v>
      </c>
      <c r="AS369" t="s">
        <v>48</v>
      </c>
      <c r="AT369" t="s">
        <v>471</v>
      </c>
    </row>
    <row r="370" spans="1:46" x14ac:dyDescent="0.4">
      <c r="A370" t="s">
        <v>251</v>
      </c>
      <c r="B370" t="s">
        <v>10</v>
      </c>
      <c r="C370" t="s">
        <v>1881</v>
      </c>
      <c r="D370" t="s">
        <v>11</v>
      </c>
      <c r="E370" s="2">
        <v>-2.8999999999999998E-3</v>
      </c>
      <c r="F370" t="s">
        <v>12</v>
      </c>
      <c r="G370" s="4">
        <f>-0.24 / -0.29%</f>
        <v>82.758620689655174</v>
      </c>
      <c r="H370" t="s">
        <v>1881</v>
      </c>
      <c r="I370" t="s">
        <v>1882</v>
      </c>
      <c r="J370" t="s">
        <v>1883</v>
      </c>
      <c r="K370" t="s">
        <v>23</v>
      </c>
      <c r="M370" t="s">
        <v>1082</v>
      </c>
      <c r="N370" t="s">
        <v>28</v>
      </c>
      <c r="O370" t="s">
        <v>1884</v>
      </c>
      <c r="P370" t="s">
        <v>1885</v>
      </c>
      <c r="Q370" s="1">
        <v>83035</v>
      </c>
      <c r="R370" t="s">
        <v>1886</v>
      </c>
      <c r="S370" t="s">
        <v>1887</v>
      </c>
      <c r="T370" t="s">
        <v>1888</v>
      </c>
      <c r="U370" t="s">
        <v>1572</v>
      </c>
      <c r="V370" t="s">
        <v>1889</v>
      </c>
      <c r="W370" t="s">
        <v>1890</v>
      </c>
      <c r="X370" t="s">
        <v>1890</v>
      </c>
      <c r="Y370" t="s">
        <v>1890</v>
      </c>
      <c r="Z370" t="s">
        <v>1890</v>
      </c>
      <c r="AA370" t="s">
        <v>32</v>
      </c>
      <c r="AB370" s="2">
        <v>-1.09E-2</v>
      </c>
      <c r="AC370" s="2">
        <v>-5.7999999999999996E-3</v>
      </c>
      <c r="AD370" s="2">
        <v>1.5599999999999999E-2</v>
      </c>
      <c r="AE370" s="2">
        <v>2.8000000000000001E-2</v>
      </c>
      <c r="AF370" s="2">
        <v>5.3499999999999999E-2</v>
      </c>
      <c r="AG370" s="2">
        <v>-0.14860000000000001</v>
      </c>
      <c r="AH370" t="s">
        <v>1091</v>
      </c>
      <c r="AI370" t="s">
        <v>130</v>
      </c>
      <c r="AJ370" t="s">
        <v>131</v>
      </c>
      <c r="AK370" t="s">
        <v>40</v>
      </c>
      <c r="AL370">
        <v>1</v>
      </c>
      <c r="AM370" t="s">
        <v>41</v>
      </c>
      <c r="AN370" t="s">
        <v>42</v>
      </c>
      <c r="AO370" t="s">
        <v>1884</v>
      </c>
      <c r="AP370" t="s">
        <v>144</v>
      </c>
      <c r="AQ370" t="s">
        <v>144</v>
      </c>
      <c r="AR370" t="s">
        <v>48</v>
      </c>
      <c r="AS370" t="s">
        <v>48</v>
      </c>
      <c r="AT370" t="s">
        <v>1891</v>
      </c>
    </row>
    <row r="371" spans="1:46" x14ac:dyDescent="0.4">
      <c r="A371" t="s">
        <v>1078</v>
      </c>
      <c r="B371" t="s">
        <v>10</v>
      </c>
      <c r="C371" t="s">
        <v>1079</v>
      </c>
      <c r="D371" t="s">
        <v>11</v>
      </c>
      <c r="E371" s="2">
        <v>0</v>
      </c>
      <c r="F371" t="s">
        <v>310</v>
      </c>
      <c r="G371" s="4" t="s">
        <v>15</v>
      </c>
      <c r="H371" t="s">
        <v>1079</v>
      </c>
      <c r="I371" t="s">
        <v>1080</v>
      </c>
      <c r="J371" t="s">
        <v>1081</v>
      </c>
      <c r="K371" t="s">
        <v>23</v>
      </c>
      <c r="M371" t="s">
        <v>1082</v>
      </c>
      <c r="N371" t="s">
        <v>28</v>
      </c>
      <c r="O371" t="s">
        <v>1083</v>
      </c>
      <c r="P371" t="s">
        <v>1084</v>
      </c>
      <c r="Q371" t="s">
        <v>1085</v>
      </c>
      <c r="R371" t="s">
        <v>1086</v>
      </c>
      <c r="S371" t="s">
        <v>1087</v>
      </c>
      <c r="T371" t="s">
        <v>1088</v>
      </c>
      <c r="U371" t="s">
        <v>1088</v>
      </c>
      <c r="V371" t="s">
        <v>1089</v>
      </c>
      <c r="W371" t="s">
        <v>1090</v>
      </c>
      <c r="X371" t="s">
        <v>1090</v>
      </c>
      <c r="Y371" t="s">
        <v>1090</v>
      </c>
      <c r="Z371" t="s">
        <v>1090</v>
      </c>
      <c r="AA371" t="s">
        <v>1065</v>
      </c>
      <c r="AB371" s="2">
        <v>-7.1999999999999998E-3</v>
      </c>
      <c r="AC371" s="2">
        <v>-5.0000000000000001E-3</v>
      </c>
      <c r="AD371" s="2">
        <v>2.1399999999999999E-2</v>
      </c>
      <c r="AE371" s="2">
        <v>2.7900000000000001E-2</v>
      </c>
      <c r="AF371" s="2">
        <v>6.3E-2</v>
      </c>
      <c r="AG371" s="2">
        <v>-0.1053</v>
      </c>
      <c r="AH371" t="s">
        <v>1091</v>
      </c>
      <c r="AI371" t="s">
        <v>130</v>
      </c>
      <c r="AJ371" t="s">
        <v>131</v>
      </c>
      <c r="AK371" t="s">
        <v>40</v>
      </c>
      <c r="AL371">
        <v>1</v>
      </c>
      <c r="AM371" t="s">
        <v>41</v>
      </c>
      <c r="AN371" t="s">
        <v>42</v>
      </c>
      <c r="AO371" t="s">
        <v>1083</v>
      </c>
      <c r="AP371" t="s">
        <v>1092</v>
      </c>
      <c r="AQ371" t="s">
        <v>1092</v>
      </c>
      <c r="AR371" t="s">
        <v>48</v>
      </c>
      <c r="AS371" t="s">
        <v>48</v>
      </c>
      <c r="AT371" t="s">
        <v>1093</v>
      </c>
    </row>
    <row r="372" spans="1:46" x14ac:dyDescent="0.4">
      <c r="A372" t="s">
        <v>1865</v>
      </c>
      <c r="B372" t="s">
        <v>10</v>
      </c>
      <c r="C372" s="1">
        <v>101915</v>
      </c>
      <c r="D372" t="s">
        <v>11</v>
      </c>
      <c r="E372" s="2">
        <v>-1.8E-3</v>
      </c>
      <c r="F372" t="s">
        <v>12</v>
      </c>
      <c r="G372" s="4">
        <f>-0.185 / -0.18%</f>
        <v>102.77777777777779</v>
      </c>
      <c r="H372" s="1">
        <v>101915</v>
      </c>
      <c r="I372" t="s">
        <v>1866</v>
      </c>
      <c r="J372" t="s">
        <v>1867</v>
      </c>
      <c r="K372" t="s">
        <v>23</v>
      </c>
      <c r="L372" s="2">
        <v>3.125E-2</v>
      </c>
      <c r="M372" t="s">
        <v>1868</v>
      </c>
      <c r="N372" t="s">
        <v>28</v>
      </c>
      <c r="O372" t="s">
        <v>1869</v>
      </c>
      <c r="P372" s="1">
        <v>101435</v>
      </c>
      <c r="Q372" s="1">
        <v>101435</v>
      </c>
      <c r="R372" s="1">
        <v>101435</v>
      </c>
      <c r="S372" s="1">
        <v>100115</v>
      </c>
      <c r="T372" t="s">
        <v>1870</v>
      </c>
      <c r="U372" t="s">
        <v>1870</v>
      </c>
      <c r="V372" t="s">
        <v>1871</v>
      </c>
      <c r="W372" s="1">
        <v>104485</v>
      </c>
      <c r="X372" s="1">
        <v>104485</v>
      </c>
      <c r="Y372" s="1">
        <v>104485</v>
      </c>
      <c r="Z372" s="1">
        <v>104485</v>
      </c>
      <c r="AA372" s="1">
        <v>104485</v>
      </c>
      <c r="AB372" s="2">
        <v>-1.15E-2</v>
      </c>
      <c r="AC372" s="2">
        <v>-1.03E-2</v>
      </c>
      <c r="AD372" s="2">
        <v>1.5E-3</v>
      </c>
      <c r="AE372" s="2">
        <v>-2.0999999999999999E-3</v>
      </c>
      <c r="AF372" s="2">
        <v>2.5700000000000001E-2</v>
      </c>
      <c r="AG372" s="2">
        <v>2.5700000000000001E-2</v>
      </c>
      <c r="AH372" t="s">
        <v>1091</v>
      </c>
      <c r="AI372" t="s">
        <v>130</v>
      </c>
      <c r="AJ372" t="s">
        <v>131</v>
      </c>
      <c r="AK372" t="s">
        <v>40</v>
      </c>
      <c r="AL372">
        <v>1</v>
      </c>
      <c r="AM372" t="s">
        <v>41</v>
      </c>
      <c r="AN372" t="s">
        <v>42</v>
      </c>
      <c r="AO372" t="s">
        <v>1869</v>
      </c>
      <c r="AP372" t="s">
        <v>1872</v>
      </c>
      <c r="AQ372" t="s">
        <v>1872</v>
      </c>
      <c r="AR372" t="s">
        <v>48</v>
      </c>
      <c r="AS372" t="s">
        <v>48</v>
      </c>
    </row>
    <row r="373" spans="1:46" x14ac:dyDescent="0.4">
      <c r="A373" t="s">
        <v>1497</v>
      </c>
      <c r="B373" t="s">
        <v>10</v>
      </c>
      <c r="C373" t="s">
        <v>813</v>
      </c>
      <c r="D373" t="s">
        <v>11</v>
      </c>
      <c r="E373" s="2">
        <v>-4.5999999999999999E-3</v>
      </c>
      <c r="F373" t="s">
        <v>363</v>
      </c>
      <c r="G373" s="4">
        <f>-0.46 / -0.46%</f>
        <v>100</v>
      </c>
      <c r="H373" t="s">
        <v>813</v>
      </c>
      <c r="I373" t="s">
        <v>1498</v>
      </c>
      <c r="J373" t="s">
        <v>1499</v>
      </c>
      <c r="K373" t="s">
        <v>23</v>
      </c>
      <c r="L373" s="2">
        <v>0.03</v>
      </c>
      <c r="M373" t="s">
        <v>1500</v>
      </c>
      <c r="N373" t="s">
        <v>28</v>
      </c>
      <c r="O373" t="s">
        <v>1162</v>
      </c>
      <c r="P373" t="s">
        <v>1501</v>
      </c>
      <c r="Q373" t="s">
        <v>1501</v>
      </c>
      <c r="R373" t="s">
        <v>1501</v>
      </c>
      <c r="S373" t="s">
        <v>1502</v>
      </c>
      <c r="T373" t="s">
        <v>1502</v>
      </c>
      <c r="U373" t="s">
        <v>1502</v>
      </c>
      <c r="V373" t="s">
        <v>1503</v>
      </c>
      <c r="W373" t="s">
        <v>1504</v>
      </c>
      <c r="X373" t="s">
        <v>1504</v>
      </c>
      <c r="Y373" t="s">
        <v>1504</v>
      </c>
      <c r="Z373" t="s">
        <v>1504</v>
      </c>
      <c r="AA373" t="s">
        <v>1504</v>
      </c>
      <c r="AB373" s="2">
        <v>-1.12E-2</v>
      </c>
      <c r="AC373" s="2">
        <v>-1.01E-2</v>
      </c>
      <c r="AD373" s="2">
        <v>2.5000000000000001E-3</v>
      </c>
      <c r="AE373" s="2">
        <v>9.1999999999999998E-3</v>
      </c>
      <c r="AF373" s="2">
        <v>9.1999999999999998E-3</v>
      </c>
      <c r="AG373" s="2">
        <v>9.1999999999999998E-3</v>
      </c>
      <c r="AH373" t="s">
        <v>1091</v>
      </c>
      <c r="AI373" t="s">
        <v>130</v>
      </c>
      <c r="AJ373" t="s">
        <v>131</v>
      </c>
      <c r="AK373" t="s">
        <v>40</v>
      </c>
      <c r="AL373">
        <v>1</v>
      </c>
      <c r="AM373" t="s">
        <v>41</v>
      </c>
      <c r="AN373" t="s">
        <v>42</v>
      </c>
      <c r="AO373" t="s">
        <v>1162</v>
      </c>
      <c r="AP373" t="s">
        <v>1505</v>
      </c>
      <c r="AQ373" t="s">
        <v>1505</v>
      </c>
      <c r="AR373" t="s">
        <v>48</v>
      </c>
      <c r="AS373" t="s">
        <v>48</v>
      </c>
    </row>
    <row r="374" spans="1:46" x14ac:dyDescent="0.4">
      <c r="A374" t="s">
        <v>1741</v>
      </c>
      <c r="B374" t="s">
        <v>10</v>
      </c>
      <c r="C374" s="1">
        <v>100438</v>
      </c>
      <c r="D374" t="s">
        <v>11</v>
      </c>
      <c r="E374" s="2">
        <v>-1.1000000000000001E-3</v>
      </c>
      <c r="F374" t="s">
        <v>12</v>
      </c>
      <c r="G374" s="4">
        <f>-0.115 / -0.11%</f>
        <v>104.54545454545455</v>
      </c>
      <c r="H374" s="1">
        <v>100438</v>
      </c>
      <c r="I374" t="s">
        <v>1742</v>
      </c>
      <c r="J374" t="s">
        <v>1743</v>
      </c>
      <c r="K374" t="s">
        <v>23</v>
      </c>
      <c r="L374" s="2">
        <v>2.75E-2</v>
      </c>
      <c r="M374" t="s">
        <v>883</v>
      </c>
      <c r="N374" t="s">
        <v>28</v>
      </c>
      <c r="O374" t="s">
        <v>1744</v>
      </c>
      <c r="P374" s="1">
        <v>100413</v>
      </c>
      <c r="Q374" s="1">
        <v>100399</v>
      </c>
      <c r="R374" s="1">
        <v>99645</v>
      </c>
      <c r="S374" s="1">
        <v>98935</v>
      </c>
      <c r="T374" s="1">
        <v>97815</v>
      </c>
      <c r="U374" s="1">
        <v>97815</v>
      </c>
      <c r="V374" s="1">
        <v>100931</v>
      </c>
      <c r="W374" t="s">
        <v>1343</v>
      </c>
      <c r="X374" t="s">
        <v>1343</v>
      </c>
      <c r="Y374" t="s">
        <v>1343</v>
      </c>
      <c r="Z374" t="s">
        <v>1343</v>
      </c>
      <c r="AA374" t="s">
        <v>1343</v>
      </c>
      <c r="AB374" s="2">
        <v>-4.0000000000000001E-3</v>
      </c>
      <c r="AC374" s="2">
        <v>-4.1999999999999997E-3</v>
      </c>
      <c r="AD374" s="2">
        <v>7.4000000000000003E-3</v>
      </c>
      <c r="AE374" s="2">
        <v>5.7000000000000002E-3</v>
      </c>
      <c r="AF374" s="2">
        <v>4.3E-3</v>
      </c>
      <c r="AG374" s="2">
        <v>4.3E-3</v>
      </c>
      <c r="AH374" t="s">
        <v>1091</v>
      </c>
      <c r="AI374" t="s">
        <v>130</v>
      </c>
      <c r="AJ374" t="s">
        <v>131</v>
      </c>
      <c r="AK374" t="s">
        <v>40</v>
      </c>
      <c r="AL374">
        <v>1</v>
      </c>
      <c r="AM374" t="s">
        <v>41</v>
      </c>
      <c r="AN374" t="s">
        <v>42</v>
      </c>
      <c r="AO374" t="s">
        <v>1744</v>
      </c>
      <c r="AP374" t="s">
        <v>1745</v>
      </c>
      <c r="AQ374" t="s">
        <v>1745</v>
      </c>
      <c r="AR374" t="s">
        <v>48</v>
      </c>
      <c r="AS374" t="s">
        <v>48</v>
      </c>
    </row>
    <row r="375" spans="1:46" x14ac:dyDescent="0.4">
      <c r="A375" t="s">
        <v>251</v>
      </c>
      <c r="B375" t="s">
        <v>10</v>
      </c>
      <c r="C375" t="s">
        <v>2663</v>
      </c>
      <c r="D375" t="s">
        <v>11</v>
      </c>
      <c r="E375" s="2">
        <v>-2.0999999999999999E-3</v>
      </c>
      <c r="F375" t="s">
        <v>12</v>
      </c>
      <c r="G375" s="4">
        <f>-0.21 / -0.21%</f>
        <v>100</v>
      </c>
      <c r="H375" t="s">
        <v>2663</v>
      </c>
      <c r="I375" t="s">
        <v>4085</v>
      </c>
      <c r="J375" t="s">
        <v>4086</v>
      </c>
      <c r="K375" t="s">
        <v>23</v>
      </c>
      <c r="L375" s="2">
        <v>2.75E-2</v>
      </c>
      <c r="M375" t="s">
        <v>4087</v>
      </c>
      <c r="N375" t="s">
        <v>28</v>
      </c>
      <c r="O375" t="s">
        <v>1718</v>
      </c>
      <c r="P375" t="s">
        <v>3016</v>
      </c>
      <c r="Q375" t="s">
        <v>3016</v>
      </c>
      <c r="R375" t="s">
        <v>3016</v>
      </c>
      <c r="S375" t="s">
        <v>3638</v>
      </c>
      <c r="T375" t="s">
        <v>3134</v>
      </c>
      <c r="U375" t="s">
        <v>3134</v>
      </c>
      <c r="V375" t="s">
        <v>857</v>
      </c>
      <c r="W375" t="s">
        <v>4088</v>
      </c>
      <c r="X375" t="s">
        <v>4088</v>
      </c>
      <c r="Y375" t="s">
        <v>4088</v>
      </c>
      <c r="Z375" t="s">
        <v>4088</v>
      </c>
      <c r="AA375" t="s">
        <v>2550</v>
      </c>
      <c r="AB375" s="2">
        <v>-1.3100000000000001E-2</v>
      </c>
      <c r="AC375" s="2">
        <v>-1.26E-2</v>
      </c>
      <c r="AD375" s="2">
        <v>1.6999999999999999E-3</v>
      </c>
      <c r="AE375" s="2">
        <v>-1.5E-3</v>
      </c>
      <c r="AF375" s="2">
        <v>-5.0000000000000001E-4</v>
      </c>
      <c r="AG375" s="2">
        <v>-1.7899999999999999E-2</v>
      </c>
      <c r="AH375" t="s">
        <v>1091</v>
      </c>
      <c r="AI375" t="s">
        <v>130</v>
      </c>
      <c r="AJ375" t="s">
        <v>131</v>
      </c>
      <c r="AK375" t="s">
        <v>40</v>
      </c>
      <c r="AL375">
        <v>1</v>
      </c>
      <c r="AM375" t="s">
        <v>41</v>
      </c>
      <c r="AN375" t="s">
        <v>42</v>
      </c>
      <c r="AO375" t="s">
        <v>1718</v>
      </c>
      <c r="AP375" t="s">
        <v>4089</v>
      </c>
      <c r="AQ375" t="s">
        <v>4089</v>
      </c>
      <c r="AR375" t="s">
        <v>48</v>
      </c>
      <c r="AS375" t="s">
        <v>48</v>
      </c>
    </row>
    <row r="376" spans="1:46" x14ac:dyDescent="0.4">
      <c r="A376" t="s">
        <v>4453</v>
      </c>
      <c r="B376" t="s">
        <v>10</v>
      </c>
      <c r="C376" t="s">
        <v>4454</v>
      </c>
      <c r="D376" t="s">
        <v>11</v>
      </c>
      <c r="E376" s="2">
        <v>-1.1999999999999999E-3</v>
      </c>
      <c r="F376" t="s">
        <v>178</v>
      </c>
      <c r="G376" s="4">
        <f>-0.11 / -0.12%</f>
        <v>91.666666666666671</v>
      </c>
      <c r="H376" t="s">
        <v>4454</v>
      </c>
      <c r="I376" t="s">
        <v>4455</v>
      </c>
      <c r="J376" t="s">
        <v>4456</v>
      </c>
      <c r="K376" t="s">
        <v>23</v>
      </c>
      <c r="L376" s="2">
        <v>1.6250000000000001E-2</v>
      </c>
      <c r="M376" t="s">
        <v>4457</v>
      </c>
      <c r="N376" t="s">
        <v>28</v>
      </c>
      <c r="O376" t="s">
        <v>1584</v>
      </c>
      <c r="P376" t="s">
        <v>3042</v>
      </c>
      <c r="Q376" t="s">
        <v>4458</v>
      </c>
      <c r="R376" t="s">
        <v>1421</v>
      </c>
      <c r="S376" t="s">
        <v>4459</v>
      </c>
      <c r="T376" t="s">
        <v>2817</v>
      </c>
      <c r="U376" t="s">
        <v>2817</v>
      </c>
      <c r="V376" t="s">
        <v>4104</v>
      </c>
      <c r="W376" t="s">
        <v>1798</v>
      </c>
      <c r="X376" t="s">
        <v>1798</v>
      </c>
      <c r="Y376" t="s">
        <v>1798</v>
      </c>
      <c r="Z376" t="s">
        <v>1798</v>
      </c>
      <c r="AA376" t="s">
        <v>4460</v>
      </c>
      <c r="AB376" s="2">
        <v>-7.1999999999999998E-3</v>
      </c>
      <c r="AC376" s="2">
        <v>-4.1000000000000003E-3</v>
      </c>
      <c r="AD376" s="2">
        <v>1.1599999999999999E-2</v>
      </c>
      <c r="AE376" s="2">
        <v>1.38E-2</v>
      </c>
      <c r="AF376" s="2">
        <v>2.7799999999999998E-2</v>
      </c>
      <c r="AG376" s="2">
        <v>-5.0599999999999999E-2</v>
      </c>
      <c r="AH376" t="s">
        <v>1091</v>
      </c>
      <c r="AI376" t="s">
        <v>130</v>
      </c>
      <c r="AJ376" t="s">
        <v>131</v>
      </c>
      <c r="AK376" t="s">
        <v>40</v>
      </c>
      <c r="AL376">
        <v>1</v>
      </c>
      <c r="AM376" t="s">
        <v>41</v>
      </c>
      <c r="AN376" t="s">
        <v>42</v>
      </c>
      <c r="AO376" t="s">
        <v>1584</v>
      </c>
      <c r="AP376" t="s">
        <v>4461</v>
      </c>
      <c r="AQ376" t="s">
        <v>4461</v>
      </c>
      <c r="AR376" t="s">
        <v>48</v>
      </c>
      <c r="AS376" t="s">
        <v>48</v>
      </c>
    </row>
    <row r="377" spans="1:46" x14ac:dyDescent="0.4">
      <c r="A377" t="s">
        <v>2128</v>
      </c>
      <c r="B377" t="s">
        <v>10</v>
      </c>
      <c r="C377" t="s">
        <v>2129</v>
      </c>
      <c r="D377" t="s">
        <v>11</v>
      </c>
      <c r="E377" s="2">
        <v>8.0000000000000004E-4</v>
      </c>
      <c r="F377" t="s">
        <v>12</v>
      </c>
      <c r="G377" s="4" t="s">
        <v>2130</v>
      </c>
      <c r="H377" t="s">
        <v>2129</v>
      </c>
      <c r="I377" t="s">
        <v>2131</v>
      </c>
      <c r="J377" t="s">
        <v>2132</v>
      </c>
      <c r="K377" t="s">
        <v>23</v>
      </c>
      <c r="L377" s="2">
        <v>4.4999999999999997E-3</v>
      </c>
      <c r="M377" t="s">
        <v>1082</v>
      </c>
      <c r="N377" t="s">
        <v>28</v>
      </c>
      <c r="O377" t="s">
        <v>2133</v>
      </c>
      <c r="P377" t="s">
        <v>2134</v>
      </c>
      <c r="Q377" t="s">
        <v>2134</v>
      </c>
      <c r="R377" t="s">
        <v>2134</v>
      </c>
      <c r="S377" t="s">
        <v>2135</v>
      </c>
      <c r="T377" t="s">
        <v>2136</v>
      </c>
      <c r="U377" t="s">
        <v>2136</v>
      </c>
      <c r="V377" t="s">
        <v>2137</v>
      </c>
      <c r="W377" t="s">
        <v>2138</v>
      </c>
      <c r="X377" t="s">
        <v>2138</v>
      </c>
      <c r="Y377" t="s">
        <v>2138</v>
      </c>
      <c r="Z377" t="s">
        <v>2138</v>
      </c>
      <c r="AA377" t="s">
        <v>440</v>
      </c>
      <c r="AB377" s="2">
        <v>-2.7099999999999999E-2</v>
      </c>
      <c r="AC377" s="2">
        <v>-1.2699999999999999E-2</v>
      </c>
      <c r="AD377" s="2">
        <v>6.8999999999999999E-3</v>
      </c>
      <c r="AE377" s="2">
        <v>1.7000000000000001E-2</v>
      </c>
      <c r="AF377" s="2">
        <v>1.49E-2</v>
      </c>
      <c r="AG377" s="2">
        <v>-0.35</v>
      </c>
      <c r="AH377" t="s">
        <v>1091</v>
      </c>
      <c r="AI377" t="s">
        <v>130</v>
      </c>
      <c r="AJ377" t="s">
        <v>131</v>
      </c>
      <c r="AK377" t="s">
        <v>40</v>
      </c>
      <c r="AL377">
        <v>1</v>
      </c>
      <c r="AM377" t="s">
        <v>41</v>
      </c>
      <c r="AN377" t="s">
        <v>42</v>
      </c>
      <c r="AO377" t="s">
        <v>2133</v>
      </c>
      <c r="AP377" t="s">
        <v>2139</v>
      </c>
      <c r="AQ377" t="s">
        <v>2139</v>
      </c>
      <c r="AR377" t="s">
        <v>48</v>
      </c>
      <c r="AS377" t="s">
        <v>48</v>
      </c>
    </row>
    <row r="378" spans="1:46" x14ac:dyDescent="0.4">
      <c r="A378" t="s">
        <v>1613</v>
      </c>
      <c r="B378" t="s">
        <v>10</v>
      </c>
      <c r="C378" t="s">
        <v>666</v>
      </c>
      <c r="D378" t="s">
        <v>11</v>
      </c>
      <c r="E378" s="2">
        <v>0</v>
      </c>
      <c r="F378" t="s">
        <v>310</v>
      </c>
      <c r="G378" s="4" t="s">
        <v>15</v>
      </c>
      <c r="H378" t="s">
        <v>666</v>
      </c>
      <c r="I378" t="s">
        <v>1614</v>
      </c>
      <c r="J378" t="s">
        <v>1615</v>
      </c>
      <c r="K378" t="s">
        <v>23</v>
      </c>
      <c r="M378" t="s">
        <v>1616</v>
      </c>
      <c r="N378" t="s">
        <v>28</v>
      </c>
      <c r="O378" t="s">
        <v>1617</v>
      </c>
      <c r="P378" t="s">
        <v>1296</v>
      </c>
      <c r="Q378" t="s">
        <v>639</v>
      </c>
      <c r="R378" t="s">
        <v>124</v>
      </c>
      <c r="S378" t="s">
        <v>1618</v>
      </c>
      <c r="T378" t="s">
        <v>1619</v>
      </c>
      <c r="U378" t="s">
        <v>1619</v>
      </c>
      <c r="V378" t="s">
        <v>1620</v>
      </c>
      <c r="W378" t="s">
        <v>1621</v>
      </c>
      <c r="X378" t="s">
        <v>1621</v>
      </c>
      <c r="Y378" t="s">
        <v>1621</v>
      </c>
      <c r="Z378" t="s">
        <v>1621</v>
      </c>
      <c r="AA378" t="s">
        <v>1622</v>
      </c>
      <c r="AB378" s="2">
        <v>0</v>
      </c>
      <c r="AC378" s="2">
        <v>5.0000000000000001E-4</v>
      </c>
      <c r="AD378" s="2">
        <v>2.46E-2</v>
      </c>
      <c r="AE378" s="2">
        <v>3.4299999999999997E-2</v>
      </c>
      <c r="AF378" s="2">
        <v>6.4000000000000001E-2</v>
      </c>
      <c r="AG378" s="2">
        <v>-4.6699999999999998E-2</v>
      </c>
      <c r="AH378" t="s">
        <v>1623</v>
      </c>
      <c r="AI378" t="s">
        <v>130</v>
      </c>
      <c r="AJ378" t="s">
        <v>131</v>
      </c>
      <c r="AK378" t="s">
        <v>40</v>
      </c>
      <c r="AL378">
        <v>0</v>
      </c>
      <c r="AM378" t="s">
        <v>41</v>
      </c>
      <c r="AN378" t="s">
        <v>42</v>
      </c>
      <c r="AO378" t="s">
        <v>1617</v>
      </c>
      <c r="AP378" t="s">
        <v>1165</v>
      </c>
      <c r="AQ378" t="s">
        <v>1165</v>
      </c>
      <c r="AR378" t="s">
        <v>48</v>
      </c>
      <c r="AS378" t="s">
        <v>48</v>
      </c>
      <c r="AT378" t="s">
        <v>1624</v>
      </c>
    </row>
    <row r="379" spans="1:46" x14ac:dyDescent="0.4">
      <c r="A379" t="s">
        <v>1852</v>
      </c>
      <c r="B379" t="s">
        <v>10</v>
      </c>
      <c r="C379" t="s">
        <v>426</v>
      </c>
      <c r="D379" t="s">
        <v>11</v>
      </c>
      <c r="E379" s="2">
        <v>-2.0000000000000001E-4</v>
      </c>
      <c r="F379" t="s">
        <v>363</v>
      </c>
      <c r="G379" s="4">
        <f>-0.02 / -0.02%</f>
        <v>100</v>
      </c>
      <c r="H379" t="s">
        <v>426</v>
      </c>
      <c r="I379" t="s">
        <v>1853</v>
      </c>
      <c r="J379" t="s">
        <v>1854</v>
      </c>
      <c r="K379" t="s">
        <v>23</v>
      </c>
      <c r="L379" s="2">
        <v>5.0000000000000001E-3</v>
      </c>
      <c r="M379" t="s">
        <v>1855</v>
      </c>
      <c r="N379" t="s">
        <v>28</v>
      </c>
      <c r="O379" t="s">
        <v>1856</v>
      </c>
      <c r="P379" t="s">
        <v>1857</v>
      </c>
      <c r="Q379" t="s">
        <v>1858</v>
      </c>
      <c r="R379" t="s">
        <v>1215</v>
      </c>
      <c r="S379" t="s">
        <v>1859</v>
      </c>
      <c r="T379" t="s">
        <v>1860</v>
      </c>
      <c r="U379" t="s">
        <v>1860</v>
      </c>
      <c r="V379" t="s">
        <v>1502</v>
      </c>
      <c r="W379" t="s">
        <v>1861</v>
      </c>
      <c r="X379" t="s">
        <v>1861</v>
      </c>
      <c r="Y379" t="s">
        <v>1861</v>
      </c>
      <c r="Z379" t="s">
        <v>1861</v>
      </c>
      <c r="AA379" t="s">
        <v>1862</v>
      </c>
      <c r="AB379" s="2">
        <v>-2.0000000000000001E-4</v>
      </c>
      <c r="AC379" s="2">
        <v>2.7000000000000001E-3</v>
      </c>
      <c r="AD379" s="2">
        <v>1.7399999999999999E-2</v>
      </c>
      <c r="AE379" s="2">
        <v>2.5700000000000001E-2</v>
      </c>
      <c r="AF379" s="2">
        <v>5.0099999999999999E-2</v>
      </c>
      <c r="AG379" s="2">
        <v>-4.7699999999999999E-2</v>
      </c>
      <c r="AH379" t="s">
        <v>1623</v>
      </c>
      <c r="AI379" t="s">
        <v>130</v>
      </c>
      <c r="AJ379" t="s">
        <v>131</v>
      </c>
      <c r="AK379" t="s">
        <v>40</v>
      </c>
      <c r="AL379">
        <v>0</v>
      </c>
      <c r="AM379" t="s">
        <v>41</v>
      </c>
      <c r="AN379" t="s">
        <v>42</v>
      </c>
      <c r="AO379" t="s">
        <v>1856</v>
      </c>
      <c r="AP379" t="s">
        <v>1863</v>
      </c>
      <c r="AQ379" t="s">
        <v>1863</v>
      </c>
      <c r="AR379" t="s">
        <v>48</v>
      </c>
      <c r="AS379" t="s">
        <v>48</v>
      </c>
    </row>
    <row r="380" spans="1:46" x14ac:dyDescent="0.4">
      <c r="A380" t="s">
        <v>4368</v>
      </c>
      <c r="B380" t="s">
        <v>10</v>
      </c>
      <c r="C380" t="s">
        <v>4369</v>
      </c>
      <c r="D380" t="s">
        <v>11</v>
      </c>
      <c r="E380" s="2">
        <v>7.3499999999999996E-2</v>
      </c>
      <c r="F380" t="s">
        <v>12</v>
      </c>
      <c r="G380" s="4" t="s">
        <v>4370</v>
      </c>
      <c r="H380" t="s">
        <v>4369</v>
      </c>
      <c r="I380" t="s">
        <v>4371</v>
      </c>
      <c r="J380" t="s">
        <v>4372</v>
      </c>
      <c r="K380" t="s">
        <v>23</v>
      </c>
      <c r="N380" t="s">
        <v>1142</v>
      </c>
      <c r="O380" t="s">
        <v>4373</v>
      </c>
      <c r="P380" t="s">
        <v>4374</v>
      </c>
      <c r="Q380" t="s">
        <v>4375</v>
      </c>
      <c r="R380" t="s">
        <v>4376</v>
      </c>
      <c r="S380" t="s">
        <v>4377</v>
      </c>
      <c r="T380" t="s">
        <v>3271</v>
      </c>
      <c r="U380" t="s">
        <v>4378</v>
      </c>
      <c r="V380" t="s">
        <v>4369</v>
      </c>
      <c r="W380" t="s">
        <v>4369</v>
      </c>
      <c r="X380" t="s">
        <v>4369</v>
      </c>
      <c r="Y380" t="s">
        <v>4369</v>
      </c>
      <c r="Z380" t="s">
        <v>4369</v>
      </c>
      <c r="AA380" t="s">
        <v>4369</v>
      </c>
      <c r="AB380" s="2">
        <v>0.1424</v>
      </c>
      <c r="AC380" s="2">
        <v>0.218</v>
      </c>
      <c r="AD380" s="2">
        <v>0.314</v>
      </c>
      <c r="AE380" s="2">
        <v>0.52380000000000004</v>
      </c>
      <c r="AF380" s="2">
        <v>0.58940000000000003</v>
      </c>
      <c r="AG380" s="2">
        <v>1.0768</v>
      </c>
      <c r="AH380" t="s">
        <v>2282</v>
      </c>
      <c r="AI380" t="s">
        <v>130</v>
      </c>
      <c r="AJ380" t="s">
        <v>131</v>
      </c>
      <c r="AK380" t="s">
        <v>40</v>
      </c>
      <c r="AL380">
        <v>1</v>
      </c>
      <c r="AM380" t="s">
        <v>41</v>
      </c>
      <c r="AN380" t="s">
        <v>42</v>
      </c>
      <c r="AO380" t="s">
        <v>4373</v>
      </c>
      <c r="AP380" t="s">
        <v>4379</v>
      </c>
      <c r="AQ380" t="s">
        <v>4379</v>
      </c>
      <c r="AR380" t="s">
        <v>2284</v>
      </c>
      <c r="AS380" t="s">
        <v>2284</v>
      </c>
      <c r="AT380" t="s">
        <v>4380</v>
      </c>
    </row>
    <row r="381" spans="1:46" x14ac:dyDescent="0.4">
      <c r="A381" t="s">
        <v>161</v>
      </c>
      <c r="B381" t="s">
        <v>10</v>
      </c>
      <c r="C381" t="s">
        <v>4408</v>
      </c>
      <c r="D381" t="s">
        <v>11</v>
      </c>
      <c r="E381" s="2">
        <v>3.0000000000000001E-3</v>
      </c>
      <c r="F381" t="s">
        <v>12</v>
      </c>
      <c r="G381" s="4" t="s">
        <v>4409</v>
      </c>
      <c r="H381" t="s">
        <v>4408</v>
      </c>
      <c r="I381" t="s">
        <v>4410</v>
      </c>
      <c r="J381" t="s">
        <v>4411</v>
      </c>
      <c r="K381" t="s">
        <v>23</v>
      </c>
      <c r="N381" t="s">
        <v>1142</v>
      </c>
      <c r="O381" t="s">
        <v>3430</v>
      </c>
      <c r="P381" t="s">
        <v>4412</v>
      </c>
      <c r="Q381" t="s">
        <v>4413</v>
      </c>
      <c r="R381" t="s">
        <v>4414</v>
      </c>
      <c r="S381" t="s">
        <v>4415</v>
      </c>
      <c r="T381" t="s">
        <v>4415</v>
      </c>
      <c r="U381" t="s">
        <v>4415</v>
      </c>
      <c r="V381" t="s">
        <v>4416</v>
      </c>
      <c r="W381" t="s">
        <v>4416</v>
      </c>
      <c r="X381" t="s">
        <v>4416</v>
      </c>
      <c r="Y381" t="s">
        <v>4416</v>
      </c>
      <c r="Z381" t="s">
        <v>4416</v>
      </c>
      <c r="AA381" t="s">
        <v>4416</v>
      </c>
      <c r="AB381" s="2">
        <v>7.7700000000000005E-2</v>
      </c>
      <c r="AC381" s="2">
        <v>0.14940000000000001</v>
      </c>
      <c r="AD381" s="2">
        <v>0.22270000000000001</v>
      </c>
      <c r="AE381" s="2">
        <v>0.27200000000000002</v>
      </c>
      <c r="AF381" s="2">
        <v>0.27200000000000002</v>
      </c>
      <c r="AG381" s="2">
        <v>0.27200000000000002</v>
      </c>
      <c r="AH381" t="s">
        <v>2282</v>
      </c>
      <c r="AI381" t="s">
        <v>130</v>
      </c>
      <c r="AJ381" t="s">
        <v>131</v>
      </c>
      <c r="AK381" t="s">
        <v>40</v>
      </c>
      <c r="AL381">
        <v>1</v>
      </c>
      <c r="AM381" t="s">
        <v>41</v>
      </c>
      <c r="AN381" t="s">
        <v>42</v>
      </c>
      <c r="AO381" t="s">
        <v>4417</v>
      </c>
      <c r="AP381" t="s">
        <v>407</v>
      </c>
      <c r="AQ381" t="s">
        <v>407</v>
      </c>
      <c r="AR381" t="s">
        <v>2284</v>
      </c>
      <c r="AS381" t="s">
        <v>2284</v>
      </c>
      <c r="AT381" t="s">
        <v>528</v>
      </c>
    </row>
    <row r="382" spans="1:46" x14ac:dyDescent="0.4">
      <c r="A382" t="s">
        <v>76</v>
      </c>
      <c r="B382" t="s">
        <v>10</v>
      </c>
      <c r="C382" s="1">
        <v>95765</v>
      </c>
      <c r="D382" t="s">
        <v>11</v>
      </c>
      <c r="E382" s="2">
        <v>2E-3</v>
      </c>
      <c r="F382" t="s">
        <v>12</v>
      </c>
      <c r="G382" s="4" t="s">
        <v>2273</v>
      </c>
      <c r="H382" s="1">
        <v>95765</v>
      </c>
      <c r="I382" t="s">
        <v>2274</v>
      </c>
      <c r="J382" t="s">
        <v>2275</v>
      </c>
      <c r="K382" t="s">
        <v>23</v>
      </c>
      <c r="L382" s="2">
        <v>0.3</v>
      </c>
      <c r="M382" t="s">
        <v>2276</v>
      </c>
      <c r="N382" t="s">
        <v>28</v>
      </c>
      <c r="O382" t="s">
        <v>2277</v>
      </c>
      <c r="P382" t="s">
        <v>2278</v>
      </c>
      <c r="Q382" s="1">
        <v>91512</v>
      </c>
      <c r="R382" s="1">
        <v>88444</v>
      </c>
      <c r="S382" t="s">
        <v>2279</v>
      </c>
      <c r="T382" t="s">
        <v>2280</v>
      </c>
      <c r="U382" t="s">
        <v>2280</v>
      </c>
      <c r="V382" t="s">
        <v>1552</v>
      </c>
      <c r="W382" t="s">
        <v>1552</v>
      </c>
      <c r="X382" t="s">
        <v>1552</v>
      </c>
      <c r="Y382" t="s">
        <v>1552</v>
      </c>
      <c r="Z382" t="s">
        <v>2281</v>
      </c>
      <c r="AA382" t="s">
        <v>2281</v>
      </c>
      <c r="AB382" s="2">
        <v>-1.78E-2</v>
      </c>
      <c r="AC382" s="2">
        <v>4.2700000000000002E-2</v>
      </c>
      <c r="AD382" s="2">
        <v>4.9799999999999997E-2</v>
      </c>
      <c r="AE382" s="2">
        <v>9.9900000000000003E-2</v>
      </c>
      <c r="AF382" s="2">
        <v>-7.9200000000000007E-2</v>
      </c>
      <c r="AG382" s="2">
        <v>5.04E-2</v>
      </c>
      <c r="AH382" t="s">
        <v>2282</v>
      </c>
      <c r="AI382" t="s">
        <v>130</v>
      </c>
      <c r="AJ382" t="s">
        <v>131</v>
      </c>
      <c r="AK382" t="s">
        <v>40</v>
      </c>
      <c r="AL382">
        <v>10</v>
      </c>
      <c r="AM382" t="s">
        <v>41</v>
      </c>
      <c r="AN382" t="s">
        <v>42</v>
      </c>
      <c r="AO382" t="s">
        <v>2277</v>
      </c>
      <c r="AP382" t="s">
        <v>2283</v>
      </c>
      <c r="AQ382" t="s">
        <v>2283</v>
      </c>
      <c r="AR382" t="s">
        <v>2284</v>
      </c>
      <c r="AS382" t="s">
        <v>2284</v>
      </c>
    </row>
    <row r="383" spans="1:46" x14ac:dyDescent="0.4">
      <c r="A383" t="s">
        <v>161</v>
      </c>
      <c r="B383" t="s">
        <v>10</v>
      </c>
      <c r="C383" t="s">
        <v>167</v>
      </c>
      <c r="D383" t="s">
        <v>11</v>
      </c>
      <c r="E383" s="2">
        <v>1.1000000000000001E-3</v>
      </c>
      <c r="F383" t="s">
        <v>12</v>
      </c>
      <c r="G383" s="4" t="s">
        <v>3958</v>
      </c>
      <c r="H383" t="s">
        <v>167</v>
      </c>
      <c r="I383" t="s">
        <v>3959</v>
      </c>
      <c r="J383" t="s">
        <v>3960</v>
      </c>
      <c r="K383" t="s">
        <v>23</v>
      </c>
      <c r="L383" s="2">
        <v>0.4</v>
      </c>
      <c r="M383" t="s">
        <v>3961</v>
      </c>
      <c r="N383" t="s">
        <v>28</v>
      </c>
      <c r="O383" t="s">
        <v>1132</v>
      </c>
      <c r="P383" t="s">
        <v>1425</v>
      </c>
      <c r="Q383" t="s">
        <v>3042</v>
      </c>
      <c r="R383" t="s">
        <v>3962</v>
      </c>
      <c r="S383" t="s">
        <v>3962</v>
      </c>
      <c r="T383" t="s">
        <v>3962</v>
      </c>
      <c r="U383" t="s">
        <v>3962</v>
      </c>
      <c r="V383" t="s">
        <v>167</v>
      </c>
      <c r="W383" t="s">
        <v>167</v>
      </c>
      <c r="X383" t="s">
        <v>167</v>
      </c>
      <c r="Y383" t="s">
        <v>641</v>
      </c>
      <c r="Z383" t="s">
        <v>641</v>
      </c>
      <c r="AA383" t="s">
        <v>641</v>
      </c>
      <c r="AB383" s="2">
        <v>2.3599999999999999E-2</v>
      </c>
      <c r="AC383" s="2">
        <v>3.78E-2</v>
      </c>
      <c r="AD383" s="2">
        <v>4.4200000000000003E-2</v>
      </c>
      <c r="AE383" s="2">
        <v>2.5600000000000001E-2</v>
      </c>
      <c r="AF383" s="2">
        <v>2.5600000000000001E-2</v>
      </c>
      <c r="AG383" s="2">
        <v>2.5600000000000001E-2</v>
      </c>
      <c r="AH383" t="s">
        <v>2282</v>
      </c>
      <c r="AI383" t="s">
        <v>130</v>
      </c>
      <c r="AJ383" t="s">
        <v>131</v>
      </c>
      <c r="AK383" t="s">
        <v>40</v>
      </c>
      <c r="AL383">
        <v>1</v>
      </c>
      <c r="AM383" t="s">
        <v>41</v>
      </c>
      <c r="AN383" t="s">
        <v>42</v>
      </c>
      <c r="AO383" t="s">
        <v>1132</v>
      </c>
      <c r="AP383" t="s">
        <v>407</v>
      </c>
      <c r="AQ383" t="s">
        <v>407</v>
      </c>
      <c r="AR383" t="s">
        <v>2284</v>
      </c>
      <c r="AS383" t="s">
        <v>2284</v>
      </c>
    </row>
    <row r="384" spans="1:46" x14ac:dyDescent="0.4">
      <c r="A384" t="s">
        <v>161</v>
      </c>
      <c r="B384" t="s">
        <v>10</v>
      </c>
      <c r="C384" t="s">
        <v>4185</v>
      </c>
      <c r="D384" t="s">
        <v>11</v>
      </c>
      <c r="E384" s="2">
        <v>5.4000000000000003E-3</v>
      </c>
      <c r="F384" t="s">
        <v>12</v>
      </c>
      <c r="G384" s="4" t="s">
        <v>4186</v>
      </c>
      <c r="H384" t="s">
        <v>4185</v>
      </c>
      <c r="I384" t="s">
        <v>4187</v>
      </c>
      <c r="J384" t="s">
        <v>4188</v>
      </c>
      <c r="K384" t="s">
        <v>23</v>
      </c>
      <c r="L384" s="2">
        <v>0.25</v>
      </c>
      <c r="M384" t="s">
        <v>3622</v>
      </c>
      <c r="N384" t="s">
        <v>28</v>
      </c>
      <c r="O384" t="s">
        <v>3623</v>
      </c>
      <c r="P384" t="s">
        <v>962</v>
      </c>
      <c r="Q384" t="s">
        <v>4189</v>
      </c>
      <c r="R384" t="s">
        <v>4189</v>
      </c>
      <c r="S384" t="s">
        <v>4189</v>
      </c>
      <c r="T384" t="s">
        <v>4189</v>
      </c>
      <c r="U384" t="s">
        <v>4189</v>
      </c>
      <c r="V384" t="s">
        <v>2389</v>
      </c>
      <c r="W384" t="s">
        <v>2389</v>
      </c>
      <c r="X384" t="s">
        <v>2389</v>
      </c>
      <c r="Y384" t="s">
        <v>2389</v>
      </c>
      <c r="Z384" t="s">
        <v>2389</v>
      </c>
      <c r="AA384" t="s">
        <v>2389</v>
      </c>
      <c r="AB384" s="2">
        <v>0.1075</v>
      </c>
      <c r="AC384" s="2">
        <v>0.14410000000000001</v>
      </c>
      <c r="AD384" s="2">
        <v>0.14410000000000001</v>
      </c>
      <c r="AE384" s="2">
        <v>0.14410000000000001</v>
      </c>
      <c r="AF384" s="2">
        <v>0.14410000000000001</v>
      </c>
      <c r="AG384" s="2">
        <v>0.14410000000000001</v>
      </c>
      <c r="AH384" t="s">
        <v>2282</v>
      </c>
      <c r="AI384" t="s">
        <v>130</v>
      </c>
      <c r="AJ384" t="s">
        <v>131</v>
      </c>
      <c r="AK384" t="s">
        <v>40</v>
      </c>
      <c r="AL384">
        <v>1</v>
      </c>
      <c r="AM384" t="s">
        <v>41</v>
      </c>
      <c r="AN384" t="s">
        <v>42</v>
      </c>
      <c r="AO384" t="s">
        <v>3623</v>
      </c>
      <c r="AP384" t="s">
        <v>3347</v>
      </c>
      <c r="AQ384" t="s">
        <v>3347</v>
      </c>
      <c r="AR384" t="s">
        <v>2284</v>
      </c>
      <c r="AS384" t="s">
        <v>2284</v>
      </c>
    </row>
    <row r="385" spans="1:54" x14ac:dyDescent="0.4">
      <c r="A385" t="s">
        <v>251</v>
      </c>
      <c r="B385" t="s">
        <v>10</v>
      </c>
      <c r="C385" t="s">
        <v>2959</v>
      </c>
      <c r="D385" t="s">
        <v>11</v>
      </c>
      <c r="E385" s="2">
        <v>-1E-4</v>
      </c>
      <c r="F385" t="s">
        <v>12</v>
      </c>
      <c r="G385" s="4">
        <f>-0.01 / -0.01%</f>
        <v>100</v>
      </c>
      <c r="H385" t="s">
        <v>2959</v>
      </c>
      <c r="I385" t="s">
        <v>4347</v>
      </c>
      <c r="J385" t="s">
        <v>4348</v>
      </c>
      <c r="K385" t="s">
        <v>23</v>
      </c>
      <c r="L385" s="2">
        <v>0.12</v>
      </c>
      <c r="M385" t="s">
        <v>4349</v>
      </c>
      <c r="N385" t="s">
        <v>28</v>
      </c>
      <c r="O385" t="s">
        <v>4350</v>
      </c>
      <c r="P385" t="s">
        <v>4351</v>
      </c>
      <c r="Q385" t="s">
        <v>4352</v>
      </c>
      <c r="R385" t="s">
        <v>4353</v>
      </c>
      <c r="S385" t="s">
        <v>4354</v>
      </c>
      <c r="T385" t="s">
        <v>1909</v>
      </c>
      <c r="U385" t="s">
        <v>4355</v>
      </c>
      <c r="V385" t="s">
        <v>774</v>
      </c>
      <c r="W385" t="s">
        <v>774</v>
      </c>
      <c r="X385" t="s">
        <v>774</v>
      </c>
      <c r="Y385" t="s">
        <v>774</v>
      </c>
      <c r="Z385" t="s">
        <v>1912</v>
      </c>
      <c r="AA385" t="s">
        <v>1912</v>
      </c>
      <c r="AB385" s="2">
        <v>4.4699999999999997E-2</v>
      </c>
      <c r="AC385" s="2">
        <v>0.08</v>
      </c>
      <c r="AD385" s="2">
        <v>0.1391</v>
      </c>
      <c r="AE385" s="2">
        <v>0.2369</v>
      </c>
      <c r="AF385" s="2">
        <v>0.24229999999999999</v>
      </c>
      <c r="AG385" s="2">
        <v>0.31040000000000001</v>
      </c>
      <c r="AH385" t="s">
        <v>2282</v>
      </c>
      <c r="AI385" t="s">
        <v>130</v>
      </c>
      <c r="AJ385" t="s">
        <v>131</v>
      </c>
      <c r="AK385" t="s">
        <v>40</v>
      </c>
      <c r="AL385">
        <v>1</v>
      </c>
      <c r="AM385" t="s">
        <v>41</v>
      </c>
      <c r="AN385" t="s">
        <v>42</v>
      </c>
      <c r="AO385" t="s">
        <v>4350</v>
      </c>
      <c r="AP385" t="s">
        <v>643</v>
      </c>
      <c r="AQ385" t="s">
        <v>643</v>
      </c>
      <c r="AR385" t="s">
        <v>2284</v>
      </c>
      <c r="AS385" t="s">
        <v>2284</v>
      </c>
    </row>
    <row r="386" spans="1:54" x14ac:dyDescent="0.4">
      <c r="A386" t="s">
        <v>1364</v>
      </c>
      <c r="B386" t="s">
        <v>10</v>
      </c>
      <c r="C386" s="1">
        <v>101445</v>
      </c>
      <c r="D386" t="s">
        <v>11</v>
      </c>
      <c r="E386" s="2">
        <v>-1.1999999999999999E-3</v>
      </c>
      <c r="F386" t="s">
        <v>12</v>
      </c>
      <c r="G386" s="4">
        <f>-0.12 / -0.12%</f>
        <v>100</v>
      </c>
      <c r="H386" s="1">
        <v>101445</v>
      </c>
      <c r="I386" t="s">
        <v>1365</v>
      </c>
      <c r="J386" t="s">
        <v>1366</v>
      </c>
      <c r="K386" t="s">
        <v>23</v>
      </c>
      <c r="L386" s="2">
        <v>0.03</v>
      </c>
      <c r="M386" t="s">
        <v>1367</v>
      </c>
      <c r="N386" t="s">
        <v>28</v>
      </c>
      <c r="O386" t="s">
        <v>1368</v>
      </c>
      <c r="P386" t="s">
        <v>342</v>
      </c>
      <c r="Q386" t="s">
        <v>342</v>
      </c>
      <c r="R386" t="s">
        <v>1369</v>
      </c>
      <c r="S386" t="s">
        <v>97</v>
      </c>
      <c r="T386" s="1">
        <v>97515</v>
      </c>
      <c r="U386" s="1">
        <v>97515</v>
      </c>
      <c r="V386" t="s">
        <v>1370</v>
      </c>
      <c r="W386" t="s">
        <v>1371</v>
      </c>
      <c r="X386" t="s">
        <v>1371</v>
      </c>
      <c r="Y386" t="s">
        <v>1371</v>
      </c>
      <c r="Z386" t="s">
        <v>1371</v>
      </c>
      <c r="AA386" t="s">
        <v>1371</v>
      </c>
      <c r="AB386" s="2">
        <v>-5.7000000000000002E-3</v>
      </c>
      <c r="AC386" s="2">
        <v>-7.3000000000000001E-3</v>
      </c>
      <c r="AD386" s="2">
        <v>6.0000000000000001E-3</v>
      </c>
      <c r="AE386" s="2">
        <v>4.8999999999999998E-3</v>
      </c>
      <c r="AF386" s="2">
        <v>1.9E-2</v>
      </c>
      <c r="AG386" s="2">
        <v>1.9E-2</v>
      </c>
      <c r="AH386" t="s">
        <v>1372</v>
      </c>
      <c r="AI386" t="s">
        <v>130</v>
      </c>
      <c r="AJ386" t="s">
        <v>131</v>
      </c>
      <c r="AK386" t="s">
        <v>40</v>
      </c>
      <c r="AL386">
        <v>1</v>
      </c>
      <c r="AM386" t="s">
        <v>41</v>
      </c>
      <c r="AN386" t="s">
        <v>42</v>
      </c>
      <c r="AO386" t="s">
        <v>1368</v>
      </c>
      <c r="AP386" t="s">
        <v>1165</v>
      </c>
      <c r="AQ386" t="s">
        <v>1165</v>
      </c>
      <c r="AR386" t="s">
        <v>48</v>
      </c>
      <c r="AS386" t="s">
        <v>48</v>
      </c>
    </row>
    <row r="387" spans="1:54" x14ac:dyDescent="0.4">
      <c r="A387" t="s">
        <v>2305</v>
      </c>
      <c r="B387" t="s">
        <v>10</v>
      </c>
      <c r="C387" t="s">
        <v>1589</v>
      </c>
      <c r="D387" t="s">
        <v>11</v>
      </c>
      <c r="E387" s="2">
        <v>-4.4000000000000003E-3</v>
      </c>
      <c r="F387" t="s">
        <v>363</v>
      </c>
      <c r="G387" s="4">
        <f>-0.44 / -0.44%</f>
        <v>100</v>
      </c>
      <c r="H387" t="s">
        <v>1589</v>
      </c>
      <c r="I387" t="s">
        <v>2306</v>
      </c>
      <c r="J387" t="s">
        <v>2307</v>
      </c>
      <c r="K387" t="s">
        <v>23</v>
      </c>
      <c r="L387" s="2">
        <v>2.8750000000000001E-2</v>
      </c>
      <c r="M387" t="s">
        <v>2308</v>
      </c>
      <c r="N387" t="s">
        <v>28</v>
      </c>
      <c r="O387" t="s">
        <v>2309</v>
      </c>
      <c r="P387" t="s">
        <v>2177</v>
      </c>
      <c r="Q387" t="s">
        <v>2177</v>
      </c>
      <c r="R387" t="s">
        <v>2177</v>
      </c>
      <c r="S387" t="s">
        <v>2310</v>
      </c>
      <c r="T387" t="s">
        <v>1026</v>
      </c>
      <c r="U387" t="s">
        <v>1026</v>
      </c>
      <c r="V387" t="s">
        <v>2311</v>
      </c>
      <c r="W387" t="s">
        <v>2312</v>
      </c>
      <c r="X387" t="s">
        <v>2312</v>
      </c>
      <c r="Y387" t="s">
        <v>2312</v>
      </c>
      <c r="Z387" t="s">
        <v>2312</v>
      </c>
      <c r="AA387" t="s">
        <v>2312</v>
      </c>
      <c r="AB387" s="2">
        <v>-1.2999999999999999E-2</v>
      </c>
      <c r="AC387" s="2">
        <v>-1.41E-2</v>
      </c>
      <c r="AD387" s="2">
        <v>2.5999999999999999E-3</v>
      </c>
      <c r="AE387" s="2">
        <v>2.9999999999999997E-4</v>
      </c>
      <c r="AF387" s="2">
        <v>1E-3</v>
      </c>
      <c r="AG387" s="2">
        <v>1.4200000000000001E-2</v>
      </c>
      <c r="AH387" t="s">
        <v>1372</v>
      </c>
      <c r="AI387" t="s">
        <v>130</v>
      </c>
      <c r="AJ387" t="s">
        <v>131</v>
      </c>
      <c r="AK387" t="s">
        <v>40</v>
      </c>
      <c r="AL387">
        <v>1</v>
      </c>
      <c r="AM387" t="s">
        <v>41</v>
      </c>
      <c r="AN387" t="s">
        <v>42</v>
      </c>
      <c r="AO387" t="s">
        <v>2309</v>
      </c>
      <c r="AP387" t="s">
        <v>1165</v>
      </c>
      <c r="AQ387" t="s">
        <v>1165</v>
      </c>
      <c r="AR387" t="s">
        <v>48</v>
      </c>
      <c r="AS387" t="s">
        <v>48</v>
      </c>
    </row>
    <row r="388" spans="1:54" x14ac:dyDescent="0.4">
      <c r="A388" t="s">
        <v>76</v>
      </c>
      <c r="B388" t="s">
        <v>10</v>
      </c>
      <c r="C388" t="s">
        <v>1467</v>
      </c>
      <c r="D388" t="s">
        <v>11</v>
      </c>
      <c r="E388" s="2">
        <v>-1.6999999999999999E-3</v>
      </c>
      <c r="F388" t="s">
        <v>12</v>
      </c>
      <c r="G388" s="4">
        <f>-0.17 / -0.17%</f>
        <v>100</v>
      </c>
      <c r="H388" t="s">
        <v>1467</v>
      </c>
      <c r="I388" t="s">
        <v>1468</v>
      </c>
      <c r="J388" t="s">
        <v>1469</v>
      </c>
      <c r="K388" t="s">
        <v>23</v>
      </c>
      <c r="L388" s="2">
        <v>2.8750000000000001E-2</v>
      </c>
      <c r="M388" t="s">
        <v>1470</v>
      </c>
      <c r="N388" t="s">
        <v>28</v>
      </c>
      <c r="O388" t="s">
        <v>1471</v>
      </c>
      <c r="P388" t="s">
        <v>1472</v>
      </c>
      <c r="Q388" t="s">
        <v>1472</v>
      </c>
      <c r="R388" t="s">
        <v>1472</v>
      </c>
      <c r="S388" t="s">
        <v>1473</v>
      </c>
      <c r="T388" t="s">
        <v>1006</v>
      </c>
      <c r="U388" t="s">
        <v>1006</v>
      </c>
      <c r="V388" t="s">
        <v>877</v>
      </c>
      <c r="W388" t="s">
        <v>1474</v>
      </c>
      <c r="X388" t="s">
        <v>1474</v>
      </c>
      <c r="Y388" t="s">
        <v>1474</v>
      </c>
      <c r="Z388" t="s">
        <v>1474</v>
      </c>
      <c r="AA388" t="s">
        <v>1474</v>
      </c>
      <c r="AB388" s="2">
        <v>-1.38E-2</v>
      </c>
      <c r="AC388" s="2">
        <v>-1.4500000000000001E-2</v>
      </c>
      <c r="AD388" s="2">
        <v>5.4000000000000003E-3</v>
      </c>
      <c r="AE388" s="2">
        <v>2.3999999999999998E-3</v>
      </c>
      <c r="AF388" s="2">
        <v>3.3999999999999998E-3</v>
      </c>
      <c r="AG388" s="2">
        <v>7.1000000000000004E-3</v>
      </c>
      <c r="AH388" t="s">
        <v>1210</v>
      </c>
      <c r="AI388" t="s">
        <v>130</v>
      </c>
      <c r="AJ388" t="s">
        <v>131</v>
      </c>
      <c r="AK388" t="s">
        <v>40</v>
      </c>
      <c r="AL388">
        <v>1</v>
      </c>
      <c r="AM388" t="s">
        <v>41</v>
      </c>
      <c r="AN388" t="s">
        <v>42</v>
      </c>
      <c r="AO388" t="s">
        <v>1471</v>
      </c>
      <c r="AP388" t="s">
        <v>1258</v>
      </c>
      <c r="AQ388" t="s">
        <v>1258</v>
      </c>
      <c r="AR388" t="s">
        <v>48</v>
      </c>
      <c r="AS388" t="s">
        <v>48</v>
      </c>
    </row>
    <row r="389" spans="1:54" x14ac:dyDescent="0.4">
      <c r="A389" t="s">
        <v>5815</v>
      </c>
      <c r="B389" t="s">
        <v>10</v>
      </c>
      <c r="C389" s="1">
        <v>100705</v>
      </c>
      <c r="D389" t="s">
        <v>11</v>
      </c>
      <c r="E389" s="2">
        <v>-4.0000000000000002E-4</v>
      </c>
      <c r="F389" t="s">
        <v>12</v>
      </c>
      <c r="G389" s="4">
        <f>-0.045 / -0.04%</f>
        <v>112.49999999999999</v>
      </c>
      <c r="H389" s="1">
        <v>100705</v>
      </c>
      <c r="I389" t="s">
        <v>6045</v>
      </c>
      <c r="J389" t="s">
        <v>6046</v>
      </c>
      <c r="K389" t="s">
        <v>23</v>
      </c>
      <c r="L389" s="2">
        <v>2.75E-2</v>
      </c>
      <c r="M389" t="s">
        <v>1187</v>
      </c>
      <c r="N389" t="s">
        <v>28</v>
      </c>
      <c r="O389" t="s">
        <v>3627</v>
      </c>
      <c r="P389" s="1">
        <v>100245</v>
      </c>
      <c r="Q389" s="1">
        <v>100245</v>
      </c>
      <c r="R389" s="1">
        <v>99875</v>
      </c>
      <c r="S389" t="s">
        <v>1720</v>
      </c>
      <c r="T389" t="s">
        <v>1720</v>
      </c>
      <c r="U389" t="s">
        <v>1720</v>
      </c>
      <c r="V389" t="s">
        <v>1945</v>
      </c>
      <c r="W389" t="s">
        <v>6047</v>
      </c>
      <c r="X389" t="s">
        <v>6047</v>
      </c>
      <c r="Y389" t="s">
        <v>6047</v>
      </c>
      <c r="Z389" t="s">
        <v>6047</v>
      </c>
      <c r="AA389" t="s">
        <v>6047</v>
      </c>
      <c r="AB389" s="2">
        <v>-7.6E-3</v>
      </c>
      <c r="AC389" s="2">
        <v>-6.4000000000000003E-3</v>
      </c>
      <c r="AD389" s="2">
        <v>8.3000000000000001E-3</v>
      </c>
      <c r="AE389" s="2">
        <v>1.2699999999999999E-2</v>
      </c>
      <c r="AF389" s="2">
        <v>1.2699999999999999E-2</v>
      </c>
      <c r="AG389" s="2">
        <v>1.2699999999999999E-2</v>
      </c>
      <c r="AH389" t="s">
        <v>1210</v>
      </c>
      <c r="AI389" t="s">
        <v>130</v>
      </c>
      <c r="AJ389" t="s">
        <v>131</v>
      </c>
      <c r="AK389" t="s">
        <v>40</v>
      </c>
      <c r="AL389">
        <v>1</v>
      </c>
      <c r="AM389" t="s">
        <v>41</v>
      </c>
      <c r="AN389" t="s">
        <v>42</v>
      </c>
      <c r="AO389" t="s">
        <v>3627</v>
      </c>
      <c r="AP389" t="s">
        <v>1258</v>
      </c>
      <c r="AQ389" t="s">
        <v>1258</v>
      </c>
      <c r="AR389" t="s">
        <v>48</v>
      </c>
      <c r="AS389" t="s">
        <v>48</v>
      </c>
    </row>
    <row r="390" spans="1:54" x14ac:dyDescent="0.4">
      <c r="A390" t="s">
        <v>115</v>
      </c>
      <c r="B390" t="s">
        <v>10</v>
      </c>
      <c r="C390" t="s">
        <v>6561</v>
      </c>
      <c r="D390" t="s">
        <v>11</v>
      </c>
      <c r="E390" s="2">
        <v>-2.3999999999999998E-3</v>
      </c>
      <c r="F390" t="s">
        <v>12</v>
      </c>
      <c r="G390" s="4">
        <f>-0.19 / -0.24%</f>
        <v>79.166666666666671</v>
      </c>
      <c r="H390" t="s">
        <v>6561</v>
      </c>
      <c r="I390" t="s">
        <v>7429</v>
      </c>
      <c r="J390" t="s">
        <v>7430</v>
      </c>
      <c r="K390" t="s">
        <v>23</v>
      </c>
      <c r="L390" s="2">
        <v>1.7500000000000002E-2</v>
      </c>
      <c r="M390" t="s">
        <v>7431</v>
      </c>
      <c r="N390" t="s">
        <v>28</v>
      </c>
      <c r="O390" t="s">
        <v>7432</v>
      </c>
      <c r="P390" t="s">
        <v>7433</v>
      </c>
      <c r="Q390" t="s">
        <v>7433</v>
      </c>
      <c r="R390" t="s">
        <v>7433</v>
      </c>
      <c r="S390" t="s">
        <v>7434</v>
      </c>
      <c r="T390" t="s">
        <v>7182</v>
      </c>
      <c r="U390" t="s">
        <v>7182</v>
      </c>
      <c r="V390" t="s">
        <v>6430</v>
      </c>
      <c r="W390" t="s">
        <v>7435</v>
      </c>
      <c r="X390" t="s">
        <v>7435</v>
      </c>
      <c r="Y390" t="s">
        <v>7435</v>
      </c>
      <c r="Z390" t="s">
        <v>7435</v>
      </c>
      <c r="AA390" t="s">
        <v>7436</v>
      </c>
      <c r="AB390" s="2">
        <v>-2.7099999999999999E-2</v>
      </c>
      <c r="AC390" s="2">
        <v>-2.1999999999999999E-2</v>
      </c>
      <c r="AD390" s="2">
        <v>2.5999999999999999E-3</v>
      </c>
      <c r="AE390" s="2">
        <v>-1E-4</v>
      </c>
      <c r="AF390" s="2">
        <v>-2.7300000000000001E-2</v>
      </c>
      <c r="AG390" s="2">
        <v>-0.37669999999999998</v>
      </c>
      <c r="AH390" t="s">
        <v>1210</v>
      </c>
      <c r="AI390" t="s">
        <v>130</v>
      </c>
      <c r="AJ390" t="s">
        <v>131</v>
      </c>
      <c r="AK390" t="s">
        <v>40</v>
      </c>
      <c r="AL390">
        <v>1</v>
      </c>
      <c r="AM390" t="s">
        <v>41</v>
      </c>
      <c r="AN390" t="s">
        <v>42</v>
      </c>
      <c r="AO390" t="s">
        <v>7432</v>
      </c>
      <c r="AP390" t="s">
        <v>7437</v>
      </c>
      <c r="AQ390" t="s">
        <v>7437</v>
      </c>
      <c r="AR390" t="s">
        <v>48</v>
      </c>
      <c r="AS390" t="s">
        <v>48</v>
      </c>
    </row>
    <row r="391" spans="1:54" x14ac:dyDescent="0.4">
      <c r="A391" t="s">
        <v>2338</v>
      </c>
      <c r="B391" t="s">
        <v>10</v>
      </c>
      <c r="C391" s="1">
        <v>105185</v>
      </c>
      <c r="D391" t="s">
        <v>11</v>
      </c>
      <c r="E391" s="2">
        <v>5.0000000000000001E-4</v>
      </c>
      <c r="F391" t="s">
        <v>178</v>
      </c>
      <c r="G391" s="4" t="s">
        <v>2339</v>
      </c>
      <c r="H391" s="1">
        <v>105185</v>
      </c>
      <c r="I391" t="s">
        <v>2340</v>
      </c>
      <c r="J391" t="s">
        <v>2341</v>
      </c>
      <c r="K391" t="s">
        <v>23</v>
      </c>
      <c r="L391" s="2">
        <v>0.06</v>
      </c>
      <c r="M391" t="s">
        <v>2342</v>
      </c>
      <c r="N391" t="s">
        <v>28</v>
      </c>
      <c r="O391" t="s">
        <v>2343</v>
      </c>
      <c r="P391" s="1">
        <v>104345</v>
      </c>
      <c r="Q391" s="1">
        <v>104345</v>
      </c>
      <c r="R391" s="1">
        <v>104345</v>
      </c>
      <c r="S391" s="1">
        <v>104345</v>
      </c>
      <c r="T391" t="s">
        <v>2344</v>
      </c>
      <c r="U391" t="s">
        <v>2344</v>
      </c>
      <c r="V391" s="1">
        <v>105245</v>
      </c>
      <c r="W391" t="s">
        <v>2345</v>
      </c>
      <c r="X391" s="1">
        <v>108585</v>
      </c>
      <c r="Y391" s="1">
        <v>108855</v>
      </c>
      <c r="Z391" t="s">
        <v>2346</v>
      </c>
      <c r="AA391" t="s">
        <v>2347</v>
      </c>
      <c r="AB391" s="2">
        <v>-2E-3</v>
      </c>
      <c r="AC391" s="2">
        <v>-1.2699999999999999E-2</v>
      </c>
      <c r="AD391" s="2">
        <v>-1.5599999999999999E-2</v>
      </c>
      <c r="AE391" s="2">
        <v>-2.58E-2</v>
      </c>
      <c r="AF391" s="2">
        <v>-5.0200000000000002E-2</v>
      </c>
      <c r="AG391" s="2">
        <v>-0.1958</v>
      </c>
      <c r="AH391" t="s">
        <v>1210</v>
      </c>
      <c r="AI391" t="s">
        <v>130</v>
      </c>
      <c r="AJ391" t="s">
        <v>131</v>
      </c>
      <c r="AK391" t="s">
        <v>40</v>
      </c>
      <c r="AL391">
        <v>1</v>
      </c>
      <c r="AM391" t="s">
        <v>41</v>
      </c>
      <c r="AN391" t="s">
        <v>42</v>
      </c>
      <c r="AO391" t="s">
        <v>2343</v>
      </c>
      <c r="AP391" t="s">
        <v>2348</v>
      </c>
      <c r="AQ391" t="s">
        <v>2349</v>
      </c>
      <c r="AR391" t="s">
        <v>2350</v>
      </c>
      <c r="AS391" t="s">
        <v>2350</v>
      </c>
    </row>
    <row r="392" spans="1:54" x14ac:dyDescent="0.4">
      <c r="A392" t="s">
        <v>161</v>
      </c>
      <c r="B392" t="s">
        <v>10</v>
      </c>
      <c r="C392" t="s">
        <v>3573</v>
      </c>
      <c r="D392" t="s">
        <v>11</v>
      </c>
      <c r="E392" s="2">
        <v>1E-3</v>
      </c>
      <c r="F392" t="s">
        <v>12</v>
      </c>
      <c r="G392" s="4" t="s">
        <v>4075</v>
      </c>
      <c r="H392" t="s">
        <v>3573</v>
      </c>
      <c r="I392" t="s">
        <v>4356</v>
      </c>
      <c r="J392" t="s">
        <v>4357</v>
      </c>
      <c r="K392" t="s">
        <v>23</v>
      </c>
      <c r="L392" s="2">
        <v>0.08</v>
      </c>
      <c r="M392" t="s">
        <v>4358</v>
      </c>
      <c r="N392" t="s">
        <v>28</v>
      </c>
      <c r="O392" t="s">
        <v>4359</v>
      </c>
      <c r="P392" t="s">
        <v>736</v>
      </c>
      <c r="Q392" t="s">
        <v>1218</v>
      </c>
      <c r="R392" t="s">
        <v>1121</v>
      </c>
      <c r="S392" t="s">
        <v>4360</v>
      </c>
      <c r="T392" t="s">
        <v>4361</v>
      </c>
      <c r="U392" t="s">
        <v>4361</v>
      </c>
      <c r="V392" t="s">
        <v>853</v>
      </c>
      <c r="W392" t="s">
        <v>853</v>
      </c>
      <c r="X392" t="s">
        <v>853</v>
      </c>
      <c r="Y392" t="s">
        <v>853</v>
      </c>
      <c r="Z392" t="s">
        <v>853</v>
      </c>
      <c r="AA392" t="s">
        <v>4362</v>
      </c>
      <c r="AB392" s="2">
        <v>-5.3E-3</v>
      </c>
      <c r="AC392" s="2">
        <v>5.0000000000000001E-3</v>
      </c>
      <c r="AD392" s="2">
        <v>1.3299999999999999E-2</v>
      </c>
      <c r="AE392" s="2">
        <v>2.2000000000000001E-3</v>
      </c>
      <c r="AF392" s="2">
        <v>1.6500000000000001E-2</v>
      </c>
      <c r="AG392" s="2">
        <v>-5.6500000000000002E-2</v>
      </c>
      <c r="AH392" t="s">
        <v>1210</v>
      </c>
      <c r="AI392" t="s">
        <v>130</v>
      </c>
      <c r="AJ392" t="s">
        <v>131</v>
      </c>
      <c r="AK392" t="s">
        <v>40</v>
      </c>
      <c r="AL392">
        <v>1</v>
      </c>
      <c r="AM392" t="s">
        <v>41</v>
      </c>
      <c r="AN392" t="s">
        <v>42</v>
      </c>
      <c r="AO392" t="s">
        <v>4359</v>
      </c>
      <c r="AP392" t="s">
        <v>4363</v>
      </c>
      <c r="AQ392" t="s">
        <v>4363</v>
      </c>
      <c r="AR392" t="s">
        <v>3498</v>
      </c>
      <c r="AS392" t="s">
        <v>3498</v>
      </c>
    </row>
    <row r="393" spans="1:54" x14ac:dyDescent="0.4">
      <c r="A393" t="s">
        <v>161</v>
      </c>
      <c r="B393" t="s">
        <v>10</v>
      </c>
      <c r="C393" t="s">
        <v>1198</v>
      </c>
      <c r="D393" t="s">
        <v>11</v>
      </c>
      <c r="E393" s="2">
        <v>1.9E-3</v>
      </c>
      <c r="F393" t="s">
        <v>12</v>
      </c>
      <c r="G393" s="4" t="s">
        <v>1199</v>
      </c>
      <c r="H393" t="s">
        <v>1198</v>
      </c>
      <c r="I393" t="s">
        <v>1200</v>
      </c>
      <c r="J393" t="s">
        <v>1201</v>
      </c>
      <c r="K393" t="s">
        <v>23</v>
      </c>
      <c r="L393" s="2">
        <v>4.8750000000000002E-2</v>
      </c>
      <c r="M393" t="s">
        <v>1202</v>
      </c>
      <c r="N393" t="s">
        <v>121</v>
      </c>
      <c r="O393" t="s">
        <v>1203</v>
      </c>
      <c r="P393" t="s">
        <v>450</v>
      </c>
      <c r="Q393" t="s">
        <v>450</v>
      </c>
      <c r="R393" t="s">
        <v>450</v>
      </c>
      <c r="S393" t="s">
        <v>1204</v>
      </c>
      <c r="T393" t="s">
        <v>1205</v>
      </c>
      <c r="U393" t="s">
        <v>1205</v>
      </c>
      <c r="V393" t="s">
        <v>441</v>
      </c>
      <c r="W393" t="s">
        <v>1206</v>
      </c>
      <c r="X393" t="s">
        <v>1207</v>
      </c>
      <c r="Y393" t="s">
        <v>1207</v>
      </c>
      <c r="Z393" t="s">
        <v>1208</v>
      </c>
      <c r="AA393" t="s">
        <v>1209</v>
      </c>
      <c r="AB393" s="2">
        <v>-1.2999999999999999E-3</v>
      </c>
      <c r="AC393" s="2">
        <v>-3.4799999999999998E-2</v>
      </c>
      <c r="AD393" s="2">
        <v>-2.9899999999999999E-2</v>
      </c>
      <c r="AE393" s="2">
        <v>-3.1300000000000001E-2</v>
      </c>
      <c r="AF393" s="2">
        <v>-8.09E-2</v>
      </c>
      <c r="AG393" s="2">
        <v>-0.25030000000000002</v>
      </c>
      <c r="AH393" t="s">
        <v>1210</v>
      </c>
      <c r="AI393" t="s">
        <v>130</v>
      </c>
      <c r="AJ393" t="s">
        <v>131</v>
      </c>
      <c r="AK393" t="s">
        <v>40</v>
      </c>
      <c r="AL393">
        <v>1</v>
      </c>
      <c r="AM393" t="s">
        <v>41</v>
      </c>
      <c r="AN393" t="s">
        <v>42</v>
      </c>
      <c r="AO393" t="s">
        <v>1203</v>
      </c>
      <c r="AP393" t="s">
        <v>407</v>
      </c>
      <c r="AQ393" t="s">
        <v>407</v>
      </c>
      <c r="AR393" t="s">
        <v>133</v>
      </c>
      <c r="AS393" t="s">
        <v>133</v>
      </c>
    </row>
    <row r="394" spans="1:54" x14ac:dyDescent="0.4">
      <c r="A394" t="s">
        <v>2514</v>
      </c>
      <c r="B394" t="s">
        <v>10</v>
      </c>
      <c r="C394" s="1">
        <v>84015</v>
      </c>
      <c r="D394" t="s">
        <v>11</v>
      </c>
      <c r="E394" s="2">
        <v>1.6999999999999999E-3</v>
      </c>
      <c r="F394" t="s">
        <v>12</v>
      </c>
      <c r="G394" s="4" t="s">
        <v>2515</v>
      </c>
      <c r="H394" s="1">
        <v>84015</v>
      </c>
      <c r="I394" t="s">
        <v>2516</v>
      </c>
      <c r="J394" t="s">
        <v>2517</v>
      </c>
      <c r="K394" t="s">
        <v>23</v>
      </c>
      <c r="L394" s="2">
        <v>1.6250000000000001E-2</v>
      </c>
      <c r="M394" t="s">
        <v>2518</v>
      </c>
      <c r="N394" t="s">
        <v>121</v>
      </c>
      <c r="O394" t="s">
        <v>2519</v>
      </c>
      <c r="P394" t="s">
        <v>2520</v>
      </c>
      <c r="Q394" t="s">
        <v>2520</v>
      </c>
      <c r="R394" t="s">
        <v>2520</v>
      </c>
      <c r="S394" t="s">
        <v>2521</v>
      </c>
      <c r="T394" t="s">
        <v>2522</v>
      </c>
      <c r="U394" t="s">
        <v>2522</v>
      </c>
      <c r="V394" s="1">
        <v>84225</v>
      </c>
      <c r="W394" t="s">
        <v>2523</v>
      </c>
      <c r="X394" s="1">
        <v>88695</v>
      </c>
      <c r="Y394" s="1">
        <v>88695</v>
      </c>
      <c r="Z394" s="1">
        <v>88695</v>
      </c>
      <c r="AA394" t="s">
        <v>1182</v>
      </c>
      <c r="AB394" s="2">
        <v>-1.5E-3</v>
      </c>
      <c r="AC394" s="2">
        <v>-1.7000000000000001E-2</v>
      </c>
      <c r="AD394" s="2">
        <v>-7.1000000000000004E-3</v>
      </c>
      <c r="AE394" s="2">
        <v>-3.0999999999999999E-3</v>
      </c>
      <c r="AF394" s="2">
        <v>-2.64E-2</v>
      </c>
      <c r="AG394" s="2">
        <v>-0.14849999999999999</v>
      </c>
      <c r="AH394" t="s">
        <v>1210</v>
      </c>
      <c r="AI394" t="s">
        <v>130</v>
      </c>
      <c r="AJ394" t="s">
        <v>131</v>
      </c>
      <c r="AK394" t="s">
        <v>40</v>
      </c>
      <c r="AL394">
        <v>1</v>
      </c>
      <c r="AM394" t="s">
        <v>41</v>
      </c>
      <c r="AN394" t="s">
        <v>42</v>
      </c>
      <c r="AO394" t="s">
        <v>2519</v>
      </c>
      <c r="AP394" t="s">
        <v>500</v>
      </c>
      <c r="AQ394" t="s">
        <v>500</v>
      </c>
      <c r="AR394" t="s">
        <v>133</v>
      </c>
      <c r="AS394" t="s">
        <v>133</v>
      </c>
    </row>
    <row r="395" spans="1:54" x14ac:dyDescent="0.4">
      <c r="A395" t="s">
        <v>104</v>
      </c>
      <c r="B395" t="s">
        <v>10</v>
      </c>
      <c r="C395" s="1">
        <v>96571</v>
      </c>
      <c r="D395" t="s">
        <v>11</v>
      </c>
      <c r="E395" s="2">
        <v>8.0000000000000004E-4</v>
      </c>
      <c r="F395" t="s">
        <v>12</v>
      </c>
      <c r="G395" s="4" t="s">
        <v>1646</v>
      </c>
      <c r="H395" s="1">
        <v>96571</v>
      </c>
      <c r="I395" t="s">
        <v>1647</v>
      </c>
      <c r="J395" t="s">
        <v>1648</v>
      </c>
      <c r="K395" t="s">
        <v>23</v>
      </c>
      <c r="L395" s="2">
        <v>3.7499999999999999E-3</v>
      </c>
      <c r="M395" t="s">
        <v>1649</v>
      </c>
      <c r="N395" t="s">
        <v>121</v>
      </c>
      <c r="O395" t="s">
        <v>1650</v>
      </c>
      <c r="P395" s="1">
        <v>95845</v>
      </c>
      <c r="Q395" t="s">
        <v>1651</v>
      </c>
      <c r="R395" s="1">
        <v>93775</v>
      </c>
      <c r="S395" t="s">
        <v>1652</v>
      </c>
      <c r="T395" t="s">
        <v>1085</v>
      </c>
      <c r="U395" t="s">
        <v>1653</v>
      </c>
      <c r="V395" t="s">
        <v>1654</v>
      </c>
      <c r="W395" t="s">
        <v>1654</v>
      </c>
      <c r="X395" t="s">
        <v>1654</v>
      </c>
      <c r="Y395" t="s">
        <v>1654</v>
      </c>
      <c r="Z395" t="s">
        <v>1654</v>
      </c>
      <c r="AA395" t="s">
        <v>1654</v>
      </c>
      <c r="AB395" s="2">
        <v>5.3E-3</v>
      </c>
      <c r="AC395" s="2">
        <v>1.0699999999999999E-2</v>
      </c>
      <c r="AD395" s="2">
        <v>2.5399999999999999E-2</v>
      </c>
      <c r="AE395" s="2">
        <v>4.1799999999999997E-2</v>
      </c>
      <c r="AF395" s="2">
        <v>6.9900000000000004E-2</v>
      </c>
      <c r="AG395" s="2">
        <v>8.3000000000000001E-3</v>
      </c>
      <c r="AH395" t="s">
        <v>1210</v>
      </c>
      <c r="AI395" t="s">
        <v>130</v>
      </c>
      <c r="AJ395" t="s">
        <v>131</v>
      </c>
      <c r="AK395" t="s">
        <v>40</v>
      </c>
      <c r="AL395">
        <v>1</v>
      </c>
      <c r="AM395" t="s">
        <v>41</v>
      </c>
      <c r="AN395" t="s">
        <v>42</v>
      </c>
      <c r="AO395" t="s">
        <v>1650</v>
      </c>
      <c r="AP395" t="s">
        <v>1165</v>
      </c>
      <c r="AQ395" t="s">
        <v>1165</v>
      </c>
      <c r="AR395" t="s">
        <v>133</v>
      </c>
      <c r="AS395" t="s">
        <v>133</v>
      </c>
    </row>
    <row r="396" spans="1:54" x14ac:dyDescent="0.4">
      <c r="A396" t="s">
        <v>251</v>
      </c>
      <c r="B396" t="s">
        <v>10</v>
      </c>
      <c r="C396" s="1">
        <v>96985</v>
      </c>
      <c r="D396" t="s">
        <v>11</v>
      </c>
      <c r="E396" s="2">
        <v>1.1000000000000001E-3</v>
      </c>
      <c r="F396" t="s">
        <v>12</v>
      </c>
      <c r="G396" s="4" t="s">
        <v>3958</v>
      </c>
      <c r="H396" s="1">
        <v>96985</v>
      </c>
      <c r="I396" t="s">
        <v>3971</v>
      </c>
      <c r="J396" t="s">
        <v>3972</v>
      </c>
      <c r="K396" t="s">
        <v>23</v>
      </c>
      <c r="L396" s="2">
        <v>7.2499999999999995E-2</v>
      </c>
      <c r="M396" t="s">
        <v>3973</v>
      </c>
      <c r="N396" t="s">
        <v>28</v>
      </c>
      <c r="O396" t="s">
        <v>3974</v>
      </c>
      <c r="P396" s="1">
        <v>95705</v>
      </c>
      <c r="Q396" s="1">
        <v>95705</v>
      </c>
      <c r="R396" s="1">
        <v>95705</v>
      </c>
      <c r="S396" t="s">
        <v>391</v>
      </c>
      <c r="T396" s="1">
        <v>85365</v>
      </c>
      <c r="U396" s="1">
        <v>85365</v>
      </c>
      <c r="V396" s="1">
        <v>97885</v>
      </c>
      <c r="W396" s="1">
        <v>98285</v>
      </c>
      <c r="X396" t="s">
        <v>1525</v>
      </c>
      <c r="Y396" t="s">
        <v>1525</v>
      </c>
      <c r="Z396" t="s">
        <v>1525</v>
      </c>
      <c r="AA396" t="s">
        <v>262</v>
      </c>
      <c r="AB396" s="2">
        <v>4.1999999999999997E-3</v>
      </c>
      <c r="AC396" s="2">
        <v>4.7000000000000002E-3</v>
      </c>
      <c r="AD396" s="2">
        <v>1.0200000000000001E-2</v>
      </c>
      <c r="AE396" s="2">
        <v>4.53E-2</v>
      </c>
      <c r="AF396" s="2">
        <v>2.5000000000000001E-2</v>
      </c>
      <c r="AG396" s="2">
        <v>-2.0899999999999998E-2</v>
      </c>
      <c r="AH396" t="s">
        <v>1210</v>
      </c>
      <c r="AI396" t="s">
        <v>130</v>
      </c>
      <c r="AJ396" t="s">
        <v>131</v>
      </c>
      <c r="AK396" t="s">
        <v>40</v>
      </c>
      <c r="AL396">
        <v>10</v>
      </c>
      <c r="AM396" t="s">
        <v>41</v>
      </c>
      <c r="AN396" t="s">
        <v>42</v>
      </c>
      <c r="AO396" t="s">
        <v>3974</v>
      </c>
      <c r="AP396" t="s">
        <v>3975</v>
      </c>
      <c r="AQ396" t="s">
        <v>3975</v>
      </c>
      <c r="AR396" t="s">
        <v>2148</v>
      </c>
      <c r="AS396" t="s">
        <v>2148</v>
      </c>
    </row>
    <row r="397" spans="1:54" x14ac:dyDescent="0.4">
      <c r="A397" t="s">
        <v>3155</v>
      </c>
      <c r="B397" t="s">
        <v>10</v>
      </c>
      <c r="C397" t="s">
        <v>1494</v>
      </c>
      <c r="D397" t="s">
        <v>11</v>
      </c>
      <c r="E397" s="2">
        <v>1.2999999999999999E-3</v>
      </c>
      <c r="F397" t="s">
        <v>363</v>
      </c>
      <c r="G397" s="4" t="s">
        <v>1248</v>
      </c>
      <c r="H397" t="s">
        <v>1494</v>
      </c>
      <c r="I397" t="s">
        <v>3156</v>
      </c>
      <c r="J397" t="s">
        <v>3157</v>
      </c>
      <c r="K397" t="s">
        <v>23</v>
      </c>
      <c r="L397" s="2">
        <v>8.1250000000000003E-2</v>
      </c>
      <c r="M397" t="s">
        <v>3158</v>
      </c>
      <c r="N397" t="s">
        <v>28</v>
      </c>
      <c r="O397" t="s">
        <v>3159</v>
      </c>
      <c r="P397" t="s">
        <v>1196</v>
      </c>
      <c r="Q397" s="1">
        <v>99335</v>
      </c>
      <c r="R397" s="1">
        <v>99335</v>
      </c>
      <c r="S397" t="s">
        <v>1586</v>
      </c>
      <c r="T397" t="s">
        <v>2212</v>
      </c>
      <c r="U397" t="s">
        <v>2212</v>
      </c>
      <c r="V397" s="1">
        <v>102921</v>
      </c>
      <c r="W397" s="1">
        <v>102921</v>
      </c>
      <c r="X397" s="1">
        <v>102921</v>
      </c>
      <c r="Y397" s="1">
        <v>102921</v>
      </c>
      <c r="Z397" s="1">
        <v>102921</v>
      </c>
      <c r="AA397" t="s">
        <v>987</v>
      </c>
      <c r="AB397" s="2">
        <v>-5.0000000000000001E-4</v>
      </c>
      <c r="AC397" s="2">
        <v>-1.1000000000000001E-3</v>
      </c>
      <c r="AD397" s="2">
        <v>-2.8999999999999998E-3</v>
      </c>
      <c r="AE397" s="2">
        <v>7.1000000000000004E-3</v>
      </c>
      <c r="AF397" s="2">
        <v>-9.1999999999999998E-3</v>
      </c>
      <c r="AG397" s="2">
        <v>-2.7400000000000001E-2</v>
      </c>
      <c r="AH397" t="s">
        <v>1210</v>
      </c>
      <c r="AI397" t="s">
        <v>130</v>
      </c>
      <c r="AJ397" t="s">
        <v>131</v>
      </c>
      <c r="AK397" t="s">
        <v>40</v>
      </c>
      <c r="AL397">
        <v>5</v>
      </c>
      <c r="AM397" t="s">
        <v>41</v>
      </c>
      <c r="AN397" t="s">
        <v>42</v>
      </c>
      <c r="AO397" t="s">
        <v>3159</v>
      </c>
      <c r="AP397" t="s">
        <v>3160</v>
      </c>
      <c r="AQ397" t="s">
        <v>3160</v>
      </c>
      <c r="AR397" t="s">
        <v>2148</v>
      </c>
      <c r="AS397" t="s">
        <v>2148</v>
      </c>
    </row>
    <row r="398" spans="1:54" x14ac:dyDescent="0.4">
      <c r="A398" t="s">
        <v>4336</v>
      </c>
      <c r="B398" t="s">
        <v>10</v>
      </c>
      <c r="C398" t="s">
        <v>4337</v>
      </c>
      <c r="D398" t="s">
        <v>11</v>
      </c>
      <c r="E398" s="2">
        <v>1</v>
      </c>
      <c r="F398" t="s">
        <v>310</v>
      </c>
      <c r="G398" s="4" t="s">
        <v>4338</v>
      </c>
      <c r="H398" t="s">
        <v>4337</v>
      </c>
      <c r="I398" t="s">
        <v>4339</v>
      </c>
      <c r="J398" t="s">
        <v>4340</v>
      </c>
      <c r="K398" t="s">
        <v>23</v>
      </c>
      <c r="L398" s="2">
        <v>6.25E-2</v>
      </c>
      <c r="M398" t="s">
        <v>2773</v>
      </c>
      <c r="N398" t="s">
        <v>28</v>
      </c>
      <c r="O398" t="s">
        <v>4341</v>
      </c>
      <c r="P398" t="s">
        <v>4342</v>
      </c>
      <c r="Q398" t="s">
        <v>4342</v>
      </c>
      <c r="R398" t="s">
        <v>4342</v>
      </c>
      <c r="S398" t="s">
        <v>4342</v>
      </c>
      <c r="T398" t="s">
        <v>4342</v>
      </c>
      <c r="U398" t="s">
        <v>4342</v>
      </c>
      <c r="V398" t="s">
        <v>4198</v>
      </c>
      <c r="W398" t="s">
        <v>4343</v>
      </c>
      <c r="X398" t="s">
        <v>3271</v>
      </c>
      <c r="Y398" t="s">
        <v>2166</v>
      </c>
      <c r="Z398" t="s">
        <v>1709</v>
      </c>
      <c r="AA398" t="s">
        <v>1709</v>
      </c>
      <c r="AB398" s="2">
        <v>1</v>
      </c>
      <c r="AC398" s="2">
        <v>-0.6</v>
      </c>
      <c r="AD398" s="2">
        <v>-0.77139999999999997</v>
      </c>
      <c r="AE398" s="2">
        <v>-0.77780000000000005</v>
      </c>
      <c r="AF398" s="2">
        <v>-0.92</v>
      </c>
      <c r="AG398" s="2">
        <v>-0.92</v>
      </c>
      <c r="AH398" t="s">
        <v>4344</v>
      </c>
      <c r="AI398" t="s">
        <v>232</v>
      </c>
      <c r="AJ398" t="s">
        <v>131</v>
      </c>
      <c r="AK398" t="s">
        <v>40</v>
      </c>
      <c r="AL398">
        <v>1</v>
      </c>
      <c r="AM398" t="s">
        <v>41</v>
      </c>
      <c r="AN398" t="s">
        <v>42</v>
      </c>
      <c r="AO398" t="s">
        <v>4341</v>
      </c>
      <c r="AP398" t="s">
        <v>4345</v>
      </c>
      <c r="AQ398">
        <v>1</v>
      </c>
      <c r="BA398" t="s">
        <v>197</v>
      </c>
      <c r="BB398" t="s">
        <v>61</v>
      </c>
    </row>
    <row r="399" spans="1:54" x14ac:dyDescent="0.4">
      <c r="A399" t="s">
        <v>4453</v>
      </c>
      <c r="B399" t="s">
        <v>10</v>
      </c>
      <c r="C399" t="s">
        <v>387</v>
      </c>
      <c r="D399" t="s">
        <v>11</v>
      </c>
      <c r="E399" s="2">
        <v>2.0000000000000001E-4</v>
      </c>
      <c r="F399" t="s">
        <v>1057</v>
      </c>
      <c r="G399" s="4" t="s">
        <v>3463</v>
      </c>
      <c r="H399" t="s">
        <v>387</v>
      </c>
      <c r="I399" t="s">
        <v>6283</v>
      </c>
      <c r="J399" t="s">
        <v>6284</v>
      </c>
      <c r="K399" t="s">
        <v>23</v>
      </c>
      <c r="L399" s="2">
        <v>2.5499999999999998E-2</v>
      </c>
      <c r="M399" t="s">
        <v>6285</v>
      </c>
      <c r="N399" t="s">
        <v>121</v>
      </c>
      <c r="O399" t="s">
        <v>6286</v>
      </c>
      <c r="P399" t="s">
        <v>936</v>
      </c>
      <c r="Q399" t="s">
        <v>2715</v>
      </c>
      <c r="R399" t="s">
        <v>6287</v>
      </c>
      <c r="S399" t="s">
        <v>6288</v>
      </c>
      <c r="T399" t="s">
        <v>6289</v>
      </c>
      <c r="U399" t="s">
        <v>4131</v>
      </c>
      <c r="V399" t="s">
        <v>1518</v>
      </c>
      <c r="W399" t="s">
        <v>1518</v>
      </c>
      <c r="X399" t="s">
        <v>381</v>
      </c>
      <c r="Y399" t="s">
        <v>381</v>
      </c>
      <c r="Z399" t="s">
        <v>381</v>
      </c>
      <c r="AA399" t="s">
        <v>2549</v>
      </c>
      <c r="AB399" s="2">
        <v>2.5999999999999999E-3</v>
      </c>
      <c r="AC399" s="2">
        <v>1.1999999999999999E-3</v>
      </c>
      <c r="AD399" s="2">
        <v>1.0200000000000001E-2</v>
      </c>
      <c r="AE399" s="2">
        <v>1.9300000000000001E-2</v>
      </c>
      <c r="AF399" s="2">
        <v>3.5900000000000001E-2</v>
      </c>
      <c r="AG399" s="2">
        <v>-5.3400000000000003E-2</v>
      </c>
      <c r="AH399" t="s">
        <v>6290</v>
      </c>
      <c r="AI399" t="s">
        <v>130</v>
      </c>
      <c r="AJ399" t="s">
        <v>131</v>
      </c>
      <c r="AK399" t="s">
        <v>40</v>
      </c>
      <c r="AL399">
        <v>2</v>
      </c>
      <c r="AM399" t="s">
        <v>41</v>
      </c>
      <c r="AN399" t="s">
        <v>42</v>
      </c>
      <c r="AO399" t="s">
        <v>6286</v>
      </c>
      <c r="AP399" t="s">
        <v>3387</v>
      </c>
      <c r="AQ399" t="s">
        <v>3387</v>
      </c>
      <c r="AR399" t="s">
        <v>133</v>
      </c>
      <c r="AS399" t="s">
        <v>133</v>
      </c>
    </row>
    <row r="400" spans="1:54" x14ac:dyDescent="0.4">
      <c r="A400" t="s">
        <v>4453</v>
      </c>
      <c r="B400" t="s">
        <v>10</v>
      </c>
      <c r="C400" t="s">
        <v>1176</v>
      </c>
      <c r="D400" t="s">
        <v>11</v>
      </c>
      <c r="E400" s="2">
        <v>1.4E-3</v>
      </c>
      <c r="F400" t="s">
        <v>310</v>
      </c>
      <c r="G400" s="4" t="s">
        <v>1522</v>
      </c>
      <c r="H400" t="s">
        <v>1176</v>
      </c>
      <c r="I400" t="s">
        <v>4870</v>
      </c>
      <c r="J400" t="s">
        <v>4871</v>
      </c>
      <c r="K400" t="s">
        <v>23</v>
      </c>
      <c r="L400" s="2">
        <v>0.05</v>
      </c>
      <c r="M400" t="s">
        <v>1181</v>
      </c>
      <c r="N400" t="s">
        <v>121</v>
      </c>
      <c r="O400" t="s">
        <v>4773</v>
      </c>
      <c r="P400" t="s">
        <v>2904</v>
      </c>
      <c r="Q400" t="s">
        <v>2904</v>
      </c>
      <c r="R400" t="s">
        <v>2904</v>
      </c>
      <c r="S400" t="s">
        <v>1386</v>
      </c>
      <c r="T400" t="s">
        <v>1386</v>
      </c>
      <c r="U400" t="s">
        <v>1386</v>
      </c>
      <c r="V400" t="s">
        <v>1589</v>
      </c>
      <c r="W400" t="s">
        <v>1402</v>
      </c>
      <c r="X400" t="s">
        <v>3408</v>
      </c>
      <c r="Y400" t="s">
        <v>3408</v>
      </c>
      <c r="Z400" t="s">
        <v>3408</v>
      </c>
      <c r="AA400" t="s">
        <v>3408</v>
      </c>
      <c r="AB400" s="2">
        <v>5.9999999999999995E-4</v>
      </c>
      <c r="AC400" s="2">
        <v>-6.4999999999999997E-3</v>
      </c>
      <c r="AD400" s="2">
        <v>1.6000000000000001E-3</v>
      </c>
      <c r="AE400" s="2">
        <v>1E-4</v>
      </c>
      <c r="AF400" s="2">
        <v>3.0000000000000001E-3</v>
      </c>
      <c r="AG400" s="2">
        <v>3.0000000000000001E-3</v>
      </c>
      <c r="AH400" t="s">
        <v>4872</v>
      </c>
      <c r="AI400" t="s">
        <v>130</v>
      </c>
      <c r="AJ400" t="s">
        <v>131</v>
      </c>
      <c r="AK400" t="s">
        <v>40</v>
      </c>
      <c r="AL400">
        <v>2</v>
      </c>
      <c r="AM400" t="s">
        <v>41</v>
      </c>
      <c r="AN400" t="s">
        <v>42</v>
      </c>
      <c r="AO400" t="s">
        <v>4773</v>
      </c>
      <c r="AP400" t="s">
        <v>3387</v>
      </c>
      <c r="AQ400" t="s">
        <v>3387</v>
      </c>
      <c r="AR400" t="s">
        <v>133</v>
      </c>
      <c r="AS400" t="s">
        <v>133</v>
      </c>
    </row>
    <row r="401" spans="1:54" x14ac:dyDescent="0.4">
      <c r="A401" t="s">
        <v>444</v>
      </c>
      <c r="B401" t="s">
        <v>10</v>
      </c>
      <c r="C401" t="s">
        <v>445</v>
      </c>
      <c r="D401" t="s">
        <v>11</v>
      </c>
      <c r="E401" s="2">
        <v>0</v>
      </c>
      <c r="F401" t="s">
        <v>310</v>
      </c>
      <c r="G401" s="4" t="s">
        <v>15</v>
      </c>
      <c r="H401" t="s">
        <v>445</v>
      </c>
      <c r="I401" t="s">
        <v>446</v>
      </c>
      <c r="J401" t="s">
        <v>447</v>
      </c>
      <c r="K401" t="s">
        <v>23</v>
      </c>
      <c r="L401" s="2">
        <v>3.2500000000000001E-2</v>
      </c>
      <c r="M401" t="s">
        <v>448</v>
      </c>
      <c r="N401" t="s">
        <v>28</v>
      </c>
      <c r="O401" t="s">
        <v>449</v>
      </c>
      <c r="P401" t="s">
        <v>450</v>
      </c>
      <c r="Q401" t="s">
        <v>450</v>
      </c>
      <c r="R401" t="s">
        <v>450</v>
      </c>
      <c r="S401" t="s">
        <v>450</v>
      </c>
      <c r="T401" t="s">
        <v>450</v>
      </c>
      <c r="U401" t="s">
        <v>450</v>
      </c>
      <c r="V401" t="s">
        <v>451</v>
      </c>
      <c r="W401" t="s">
        <v>451</v>
      </c>
      <c r="X401" t="s">
        <v>451</v>
      </c>
      <c r="Y401" t="s">
        <v>451</v>
      </c>
      <c r="Z401" t="s">
        <v>451</v>
      </c>
      <c r="AA401" t="s">
        <v>451</v>
      </c>
      <c r="AB401" s="2">
        <v>7.6E-3</v>
      </c>
      <c r="AC401" s="2">
        <v>7.6E-3</v>
      </c>
      <c r="AD401" s="2">
        <v>7.6E-3</v>
      </c>
      <c r="AE401" s="2">
        <v>7.6E-3</v>
      </c>
      <c r="AF401" s="2">
        <v>7.6E-3</v>
      </c>
      <c r="AG401" s="2">
        <v>7.6E-3</v>
      </c>
      <c r="AH401" t="s">
        <v>452</v>
      </c>
      <c r="AI401" t="s">
        <v>232</v>
      </c>
      <c r="AJ401" t="s">
        <v>131</v>
      </c>
      <c r="AK401" t="s">
        <v>40</v>
      </c>
      <c r="AL401">
        <v>1</v>
      </c>
      <c r="AM401" t="s">
        <v>41</v>
      </c>
      <c r="AN401" t="s">
        <v>42</v>
      </c>
      <c r="AO401" t="s">
        <v>449</v>
      </c>
      <c r="AP401" t="s">
        <v>225</v>
      </c>
      <c r="AQ401" t="s">
        <v>225</v>
      </c>
      <c r="AR401" t="s">
        <v>48</v>
      </c>
      <c r="AS401" t="s">
        <v>48</v>
      </c>
    </row>
    <row r="402" spans="1:54" x14ac:dyDescent="0.4">
      <c r="A402" t="s">
        <v>2313</v>
      </c>
      <c r="B402" t="s">
        <v>10</v>
      </c>
      <c r="C402" t="s">
        <v>110</v>
      </c>
      <c r="D402" t="s">
        <v>11</v>
      </c>
      <c r="E402" s="2">
        <v>1.01E-2</v>
      </c>
      <c r="F402" t="s">
        <v>1057</v>
      </c>
      <c r="G402" s="4" t="s">
        <v>2314</v>
      </c>
      <c r="H402" t="s">
        <v>110</v>
      </c>
      <c r="I402" t="s">
        <v>2315</v>
      </c>
      <c r="J402" t="s">
        <v>2316</v>
      </c>
      <c r="K402" t="s">
        <v>23</v>
      </c>
      <c r="L402" s="2">
        <v>7.2499999999999995E-2</v>
      </c>
      <c r="M402" t="s">
        <v>2317</v>
      </c>
      <c r="N402" t="s">
        <v>121</v>
      </c>
      <c r="O402" t="s">
        <v>2318</v>
      </c>
      <c r="P402" t="s">
        <v>257</v>
      </c>
      <c r="Q402" t="s">
        <v>1552</v>
      </c>
      <c r="R402" t="s">
        <v>1440</v>
      </c>
      <c r="S402" t="s">
        <v>1311</v>
      </c>
      <c r="T402" t="s">
        <v>1311</v>
      </c>
      <c r="U402" t="s">
        <v>1311</v>
      </c>
      <c r="V402" t="s">
        <v>1538</v>
      </c>
      <c r="W402" t="s">
        <v>1538</v>
      </c>
      <c r="X402" t="s">
        <v>1538</v>
      </c>
      <c r="Y402" t="s">
        <v>1538</v>
      </c>
      <c r="Z402" t="s">
        <v>1538</v>
      </c>
      <c r="AA402" t="s">
        <v>1538</v>
      </c>
      <c r="AB402" s="2">
        <v>0</v>
      </c>
      <c r="AC402" s="2">
        <v>2.0400000000000001E-2</v>
      </c>
      <c r="AD402" s="2">
        <v>1.01E-2</v>
      </c>
      <c r="AE402" s="2">
        <v>2.0400000000000001E-2</v>
      </c>
      <c r="AF402" s="2">
        <v>0</v>
      </c>
      <c r="AG402" s="2">
        <v>0</v>
      </c>
      <c r="AH402" t="s">
        <v>2319</v>
      </c>
      <c r="AI402" t="s">
        <v>232</v>
      </c>
      <c r="AJ402" t="s">
        <v>131</v>
      </c>
      <c r="AK402" t="s">
        <v>40</v>
      </c>
      <c r="AL402">
        <v>1</v>
      </c>
      <c r="AM402" t="s">
        <v>41</v>
      </c>
      <c r="AN402" t="s">
        <v>42</v>
      </c>
      <c r="AO402" t="s">
        <v>2318</v>
      </c>
      <c r="AP402" t="s">
        <v>2320</v>
      </c>
      <c r="BA402" t="s">
        <v>197</v>
      </c>
      <c r="BB402" t="s">
        <v>61</v>
      </c>
    </row>
    <row r="403" spans="1:54" x14ac:dyDescent="0.4">
      <c r="A403" t="s">
        <v>4453</v>
      </c>
      <c r="B403" t="s">
        <v>10</v>
      </c>
      <c r="C403" t="s">
        <v>6755</v>
      </c>
      <c r="D403" t="s">
        <v>11</v>
      </c>
      <c r="E403" s="2">
        <v>1E-4</v>
      </c>
      <c r="F403" t="s">
        <v>178</v>
      </c>
      <c r="G403" s="4" t="s">
        <v>148</v>
      </c>
      <c r="H403" t="s">
        <v>6755</v>
      </c>
      <c r="I403" t="s">
        <v>6756</v>
      </c>
      <c r="J403" t="s">
        <v>6757</v>
      </c>
      <c r="K403" t="s">
        <v>23</v>
      </c>
      <c r="L403" s="2">
        <v>7.1249999999999994E-2</v>
      </c>
      <c r="M403" t="s">
        <v>6758</v>
      </c>
      <c r="N403" t="s">
        <v>121</v>
      </c>
      <c r="O403" t="s">
        <v>6759</v>
      </c>
      <c r="P403" t="s">
        <v>6760</v>
      </c>
      <c r="Q403" t="s">
        <v>6760</v>
      </c>
      <c r="R403" t="s">
        <v>6760</v>
      </c>
      <c r="S403" t="s">
        <v>6760</v>
      </c>
      <c r="T403" t="s">
        <v>6761</v>
      </c>
      <c r="U403" t="s">
        <v>6761</v>
      </c>
      <c r="V403" t="s">
        <v>6762</v>
      </c>
      <c r="W403" t="s">
        <v>6763</v>
      </c>
      <c r="X403" t="s">
        <v>6764</v>
      </c>
      <c r="Y403" t="s">
        <v>6764</v>
      </c>
      <c r="Z403" t="s">
        <v>6765</v>
      </c>
      <c r="AA403" t="s">
        <v>6766</v>
      </c>
      <c r="AB403" s="2">
        <v>-2.0999999999999999E-3</v>
      </c>
      <c r="AC403" s="2">
        <v>-1.9099999999999999E-2</v>
      </c>
      <c r="AD403" s="2">
        <v>-1.8200000000000001E-2</v>
      </c>
      <c r="AE403" s="2">
        <v>-3.2800000000000003E-2</v>
      </c>
      <c r="AF403" s="2">
        <v>-7.7399999999999997E-2</v>
      </c>
      <c r="AG403" s="2">
        <v>-0.19800000000000001</v>
      </c>
      <c r="AH403" t="s">
        <v>6767</v>
      </c>
      <c r="AI403" t="s">
        <v>130</v>
      </c>
      <c r="AJ403" t="s">
        <v>131</v>
      </c>
      <c r="AK403" t="s">
        <v>40</v>
      </c>
      <c r="AL403">
        <v>1</v>
      </c>
      <c r="AM403" t="s">
        <v>41</v>
      </c>
      <c r="AN403" t="s">
        <v>42</v>
      </c>
      <c r="AO403" t="s">
        <v>6759</v>
      </c>
      <c r="AP403" t="s">
        <v>2601</v>
      </c>
      <c r="AQ403" t="s">
        <v>2601</v>
      </c>
      <c r="AR403" t="s">
        <v>133</v>
      </c>
      <c r="AS403" t="s">
        <v>133</v>
      </c>
    </row>
    <row r="404" spans="1:54" x14ac:dyDescent="0.4">
      <c r="A404" t="s">
        <v>76</v>
      </c>
      <c r="B404" t="s">
        <v>10</v>
      </c>
      <c r="C404" s="1">
        <v>86165</v>
      </c>
      <c r="D404" t="s">
        <v>11</v>
      </c>
      <c r="E404" s="2">
        <v>-8.9999999999999998E-4</v>
      </c>
      <c r="F404" t="s">
        <v>12</v>
      </c>
      <c r="G404" s="4">
        <f>-0.08 / -0.09%</f>
        <v>88.8888888888889</v>
      </c>
      <c r="H404" s="1">
        <v>86165</v>
      </c>
      <c r="I404" t="s">
        <v>2013</v>
      </c>
      <c r="J404" t="s">
        <v>2014</v>
      </c>
      <c r="K404" t="s">
        <v>23</v>
      </c>
      <c r="M404" t="s">
        <v>2015</v>
      </c>
      <c r="N404" t="s">
        <v>28</v>
      </c>
      <c r="O404" t="s">
        <v>2016</v>
      </c>
      <c r="P404" t="s">
        <v>2017</v>
      </c>
      <c r="Q404" t="s">
        <v>2018</v>
      </c>
      <c r="R404" s="1">
        <v>84405</v>
      </c>
      <c r="S404" t="s">
        <v>2019</v>
      </c>
      <c r="T404" t="s">
        <v>2020</v>
      </c>
      <c r="U404" t="s">
        <v>2020</v>
      </c>
      <c r="V404" t="s">
        <v>2021</v>
      </c>
      <c r="W404" t="s">
        <v>2022</v>
      </c>
      <c r="X404" t="s">
        <v>2022</v>
      </c>
      <c r="Y404" t="s">
        <v>2022</v>
      </c>
      <c r="Z404" t="s">
        <v>2022</v>
      </c>
      <c r="AA404" t="s">
        <v>2023</v>
      </c>
      <c r="AB404" s="2">
        <v>-9.7999999999999997E-3</v>
      </c>
      <c r="AC404" s="2">
        <v>-6.6E-3</v>
      </c>
      <c r="AD404" s="2">
        <v>1.9800000000000002E-2</v>
      </c>
      <c r="AE404" s="2">
        <v>2.75E-2</v>
      </c>
      <c r="AF404" s="2">
        <v>5.1700000000000003E-2</v>
      </c>
      <c r="AG404" s="2">
        <v>-0.1338</v>
      </c>
      <c r="AH404" t="s">
        <v>2024</v>
      </c>
      <c r="AI404" t="s">
        <v>130</v>
      </c>
      <c r="AJ404" t="s">
        <v>131</v>
      </c>
      <c r="AK404" t="s">
        <v>40</v>
      </c>
      <c r="AL404">
        <v>1</v>
      </c>
      <c r="AM404" t="s">
        <v>41</v>
      </c>
      <c r="AN404" t="s">
        <v>42</v>
      </c>
      <c r="AO404" t="s">
        <v>2016</v>
      </c>
      <c r="AP404" t="s">
        <v>2025</v>
      </c>
      <c r="AQ404" t="s">
        <v>2025</v>
      </c>
      <c r="AR404" t="s">
        <v>48</v>
      </c>
      <c r="AS404" t="s">
        <v>48</v>
      </c>
      <c r="AT404" t="s">
        <v>2026</v>
      </c>
    </row>
    <row r="405" spans="1:54" x14ac:dyDescent="0.4">
      <c r="A405" t="s">
        <v>161</v>
      </c>
      <c r="B405" t="s">
        <v>10</v>
      </c>
      <c r="C405" t="s">
        <v>641</v>
      </c>
      <c r="D405" t="s">
        <v>11</v>
      </c>
      <c r="E405" s="2">
        <v>-1.1999999999999999E-3</v>
      </c>
      <c r="F405" t="s">
        <v>12</v>
      </c>
      <c r="G405" s="4">
        <f>-0.12 / -0.12%</f>
        <v>100</v>
      </c>
      <c r="H405" t="s">
        <v>641</v>
      </c>
      <c r="I405" t="s">
        <v>2895</v>
      </c>
      <c r="J405" t="s">
        <v>2896</v>
      </c>
      <c r="K405" t="s">
        <v>23</v>
      </c>
      <c r="L405" s="2">
        <v>0.03</v>
      </c>
      <c r="M405" t="s">
        <v>2897</v>
      </c>
      <c r="N405" t="s">
        <v>28</v>
      </c>
      <c r="O405" t="s">
        <v>1341</v>
      </c>
      <c r="P405" t="s">
        <v>31</v>
      </c>
      <c r="Q405" t="s">
        <v>31</v>
      </c>
      <c r="R405" t="s">
        <v>31</v>
      </c>
      <c r="S405" t="s">
        <v>928</v>
      </c>
      <c r="T405" t="s">
        <v>928</v>
      </c>
      <c r="U405" t="s">
        <v>928</v>
      </c>
      <c r="V405" t="s">
        <v>305</v>
      </c>
      <c r="W405" t="s">
        <v>2898</v>
      </c>
      <c r="X405" t="s">
        <v>2898</v>
      </c>
      <c r="Y405" t="s">
        <v>2898</v>
      </c>
      <c r="Z405" t="s">
        <v>2898</v>
      </c>
      <c r="AA405" t="s">
        <v>2898</v>
      </c>
      <c r="AB405" s="2">
        <v>-1.6199999999999999E-2</v>
      </c>
      <c r="AC405" s="2">
        <v>-1.9400000000000001E-2</v>
      </c>
      <c r="AD405" s="2">
        <v>7.7000000000000002E-3</v>
      </c>
      <c r="AE405" s="2">
        <v>2.4E-2</v>
      </c>
      <c r="AF405" s="2">
        <v>2.4E-2</v>
      </c>
      <c r="AG405" s="2">
        <v>2.4E-2</v>
      </c>
      <c r="AH405" t="s">
        <v>2024</v>
      </c>
      <c r="AI405" t="s">
        <v>130</v>
      </c>
      <c r="AJ405" t="s">
        <v>131</v>
      </c>
      <c r="AK405" t="s">
        <v>40</v>
      </c>
      <c r="AL405">
        <v>1</v>
      </c>
      <c r="AM405" t="s">
        <v>41</v>
      </c>
      <c r="AN405" t="s">
        <v>42</v>
      </c>
      <c r="AO405" t="s">
        <v>1341</v>
      </c>
      <c r="AP405" t="s">
        <v>2899</v>
      </c>
      <c r="AQ405" t="s">
        <v>2899</v>
      </c>
      <c r="AR405" t="s">
        <v>48</v>
      </c>
      <c r="AS405" t="s">
        <v>48</v>
      </c>
    </row>
    <row r="406" spans="1:54" x14ac:dyDescent="0.4">
      <c r="A406" t="s">
        <v>3002</v>
      </c>
      <c r="B406" t="s">
        <v>10</v>
      </c>
      <c r="C406" t="s">
        <v>3003</v>
      </c>
      <c r="D406" t="s">
        <v>11</v>
      </c>
      <c r="E406" s="2">
        <v>-3.0999999999999999E-3</v>
      </c>
      <c r="F406" t="s">
        <v>12</v>
      </c>
      <c r="G406" s="4">
        <f>-0.31 / -0.31%</f>
        <v>100</v>
      </c>
      <c r="H406" t="s">
        <v>3003</v>
      </c>
      <c r="I406" t="s">
        <v>3004</v>
      </c>
      <c r="J406" t="s">
        <v>3005</v>
      </c>
      <c r="K406" t="s">
        <v>23</v>
      </c>
      <c r="L406" s="2">
        <v>0.03</v>
      </c>
      <c r="M406" t="s">
        <v>3006</v>
      </c>
      <c r="N406" t="s">
        <v>28</v>
      </c>
      <c r="O406" t="s">
        <v>3007</v>
      </c>
      <c r="P406" t="s">
        <v>1633</v>
      </c>
      <c r="Q406" t="s">
        <v>1633</v>
      </c>
      <c r="R406" t="s">
        <v>1633</v>
      </c>
      <c r="S406" t="s">
        <v>1473</v>
      </c>
      <c r="T406" t="s">
        <v>1110</v>
      </c>
      <c r="U406" t="s">
        <v>1110</v>
      </c>
      <c r="V406" t="s">
        <v>2545</v>
      </c>
      <c r="W406" t="s">
        <v>3008</v>
      </c>
      <c r="X406" t="s">
        <v>3008</v>
      </c>
      <c r="Y406" t="s">
        <v>3008</v>
      </c>
      <c r="Z406" t="s">
        <v>3009</v>
      </c>
      <c r="AA406" t="s">
        <v>3009</v>
      </c>
      <c r="AB406" s="2">
        <v>-1.61E-2</v>
      </c>
      <c r="AC406" s="2">
        <v>-1.7399999999999999E-2</v>
      </c>
      <c r="AD406" s="2">
        <v>-8.9999999999999998E-4</v>
      </c>
      <c r="AE406" s="2">
        <v>-3.2000000000000002E-3</v>
      </c>
      <c r="AF406" s="2">
        <v>1.0699999999999999E-2</v>
      </c>
      <c r="AG406" s="2">
        <v>1.0699999999999999E-2</v>
      </c>
      <c r="AH406" t="s">
        <v>2024</v>
      </c>
      <c r="AI406" t="s">
        <v>130</v>
      </c>
      <c r="AJ406" t="s">
        <v>131</v>
      </c>
      <c r="AK406" t="s">
        <v>40</v>
      </c>
      <c r="AL406">
        <v>1</v>
      </c>
      <c r="AM406" t="s">
        <v>41</v>
      </c>
      <c r="AN406" t="s">
        <v>42</v>
      </c>
      <c r="AO406" t="s">
        <v>3007</v>
      </c>
      <c r="AP406" t="s">
        <v>3010</v>
      </c>
      <c r="AQ406" t="s">
        <v>3010</v>
      </c>
      <c r="AR406" t="s">
        <v>48</v>
      </c>
      <c r="AS406" t="s">
        <v>48</v>
      </c>
    </row>
    <row r="407" spans="1:54" x14ac:dyDescent="0.4">
      <c r="A407" t="s">
        <v>76</v>
      </c>
      <c r="B407" t="s">
        <v>10</v>
      </c>
      <c r="C407" t="s">
        <v>5449</v>
      </c>
      <c r="D407" t="s">
        <v>11</v>
      </c>
      <c r="E407" s="2">
        <v>-1.8E-3</v>
      </c>
      <c r="F407" t="s">
        <v>12</v>
      </c>
      <c r="G407" s="4">
        <f>-0.08 / -0.18%</f>
        <v>44.44444444444445</v>
      </c>
      <c r="H407" t="s">
        <v>5449</v>
      </c>
      <c r="I407" t="s">
        <v>5450</v>
      </c>
      <c r="J407" t="s">
        <v>5451</v>
      </c>
      <c r="K407" t="s">
        <v>23</v>
      </c>
      <c r="L407" s="2">
        <v>1.25E-3</v>
      </c>
      <c r="M407" t="s">
        <v>3736</v>
      </c>
      <c r="N407" t="s">
        <v>28</v>
      </c>
      <c r="O407" t="s">
        <v>4395</v>
      </c>
      <c r="P407" t="s">
        <v>5452</v>
      </c>
      <c r="Q407" t="s">
        <v>5452</v>
      </c>
      <c r="R407" t="s">
        <v>5452</v>
      </c>
      <c r="S407" t="s">
        <v>5453</v>
      </c>
      <c r="T407" t="s">
        <v>5454</v>
      </c>
      <c r="U407" t="s">
        <v>5454</v>
      </c>
      <c r="V407" t="s">
        <v>5455</v>
      </c>
      <c r="W407" t="s">
        <v>5456</v>
      </c>
      <c r="X407" t="s">
        <v>5456</v>
      </c>
      <c r="Y407" t="s">
        <v>5456</v>
      </c>
      <c r="Z407" t="s">
        <v>5457</v>
      </c>
      <c r="AA407" t="s">
        <v>3101</v>
      </c>
      <c r="AB407" s="2">
        <v>-6.3E-2</v>
      </c>
      <c r="AC407" s="2">
        <v>-3.04E-2</v>
      </c>
      <c r="AD407" s="2">
        <v>-9.4000000000000004E-3</v>
      </c>
      <c r="AE407" s="2">
        <v>-1.43E-2</v>
      </c>
      <c r="AF407" s="2">
        <v>-0.1142</v>
      </c>
      <c r="AG407" s="2">
        <v>-0.4889</v>
      </c>
      <c r="AH407" t="s">
        <v>2024</v>
      </c>
      <c r="AI407" t="s">
        <v>130</v>
      </c>
      <c r="AJ407" t="s">
        <v>131</v>
      </c>
      <c r="AK407" t="s">
        <v>40</v>
      </c>
      <c r="AL407">
        <v>1</v>
      </c>
      <c r="AM407" t="s">
        <v>41</v>
      </c>
      <c r="AN407" t="s">
        <v>42</v>
      </c>
      <c r="AO407" t="s">
        <v>4395</v>
      </c>
      <c r="AP407" t="s">
        <v>5458</v>
      </c>
      <c r="AQ407" t="s">
        <v>5458</v>
      </c>
      <c r="AR407" t="s">
        <v>48</v>
      </c>
      <c r="AS407" t="s">
        <v>48</v>
      </c>
    </row>
    <row r="408" spans="1:54" x14ac:dyDescent="0.4">
      <c r="A408" t="s">
        <v>9</v>
      </c>
      <c r="B408" t="s">
        <v>10</v>
      </c>
      <c r="C408" t="s">
        <v>381</v>
      </c>
      <c r="D408" t="s">
        <v>11</v>
      </c>
      <c r="E408" s="2">
        <v>-2.9999999999999997E-4</v>
      </c>
      <c r="F408" t="s">
        <v>12</v>
      </c>
      <c r="G408" s="4">
        <f>-0.03 / -0.03%</f>
        <v>100</v>
      </c>
      <c r="H408" t="s">
        <v>381</v>
      </c>
      <c r="I408" t="s">
        <v>382</v>
      </c>
      <c r="J408" t="s">
        <v>383</v>
      </c>
      <c r="K408" t="s">
        <v>23</v>
      </c>
      <c r="L408" s="2">
        <v>1.375E-2</v>
      </c>
      <c r="M408" t="s">
        <v>384</v>
      </c>
      <c r="N408" t="s">
        <v>28</v>
      </c>
      <c r="O408" t="s">
        <v>385</v>
      </c>
      <c r="P408" t="s">
        <v>386</v>
      </c>
      <c r="Q408" t="s">
        <v>387</v>
      </c>
      <c r="R408" t="s">
        <v>388</v>
      </c>
      <c r="S408" t="s">
        <v>389</v>
      </c>
      <c r="T408" t="s">
        <v>390</v>
      </c>
      <c r="U408" t="s">
        <v>391</v>
      </c>
      <c r="V408" s="1">
        <v>97992</v>
      </c>
      <c r="W408" s="1">
        <v>98048</v>
      </c>
      <c r="X408" s="1">
        <v>98048</v>
      </c>
      <c r="Y408" s="1">
        <v>98048</v>
      </c>
      <c r="Z408" s="1">
        <v>98048</v>
      </c>
      <c r="AA408" t="s">
        <v>392</v>
      </c>
      <c r="AB408" s="2">
        <v>-1.1999999999999999E-3</v>
      </c>
      <c r="AC408" s="2">
        <v>-2.0999999999999999E-3</v>
      </c>
      <c r="AD408" s="2">
        <v>1.83E-2</v>
      </c>
      <c r="AE408" s="2">
        <v>2.8000000000000001E-2</v>
      </c>
      <c r="AF408" s="2">
        <v>4.1099999999999998E-2</v>
      </c>
      <c r="AG408" s="2">
        <v>-6.59E-2</v>
      </c>
      <c r="AH408" t="s">
        <v>393</v>
      </c>
      <c r="AI408" t="s">
        <v>130</v>
      </c>
      <c r="AJ408" t="s">
        <v>131</v>
      </c>
      <c r="AK408" t="s">
        <v>40</v>
      </c>
      <c r="AL408">
        <v>100</v>
      </c>
      <c r="AM408" t="s">
        <v>41</v>
      </c>
      <c r="AN408" t="s">
        <v>42</v>
      </c>
      <c r="AO408" t="s">
        <v>385</v>
      </c>
      <c r="AP408" t="s">
        <v>357</v>
      </c>
      <c r="AQ408" t="s">
        <v>357</v>
      </c>
      <c r="AR408" t="s">
        <v>48</v>
      </c>
      <c r="AS408" t="s">
        <v>48</v>
      </c>
    </row>
    <row r="409" spans="1:54" x14ac:dyDescent="0.4">
      <c r="A409" t="s">
        <v>4453</v>
      </c>
      <c r="B409" t="s">
        <v>10</v>
      </c>
      <c r="C409" t="s">
        <v>3314</v>
      </c>
      <c r="D409" t="s">
        <v>11</v>
      </c>
      <c r="E409" s="2">
        <v>6.9999999999999999E-4</v>
      </c>
      <c r="F409" t="s">
        <v>178</v>
      </c>
      <c r="G409" s="4" t="s">
        <v>892</v>
      </c>
      <c r="H409" t="s">
        <v>3314</v>
      </c>
      <c r="I409" t="s">
        <v>6190</v>
      </c>
      <c r="J409" t="s">
        <v>6191</v>
      </c>
      <c r="K409" t="s">
        <v>23</v>
      </c>
      <c r="L409" s="2">
        <v>5.0000000000000001E-3</v>
      </c>
      <c r="M409" t="s">
        <v>2119</v>
      </c>
      <c r="N409" t="s">
        <v>121</v>
      </c>
      <c r="O409" t="s">
        <v>4600</v>
      </c>
      <c r="P409" t="s">
        <v>2765</v>
      </c>
      <c r="Q409" t="s">
        <v>2765</v>
      </c>
      <c r="R409" t="s">
        <v>2765</v>
      </c>
      <c r="S409" t="s">
        <v>2765</v>
      </c>
      <c r="T409" t="s">
        <v>2765</v>
      </c>
      <c r="U409" t="s">
        <v>2765</v>
      </c>
      <c r="V409" t="s">
        <v>3314</v>
      </c>
      <c r="W409" t="s">
        <v>3314</v>
      </c>
      <c r="X409" t="s">
        <v>3314</v>
      </c>
      <c r="Y409" t="s">
        <v>3314</v>
      </c>
      <c r="Z409" t="s">
        <v>3314</v>
      </c>
      <c r="AA409" t="s">
        <v>3314</v>
      </c>
      <c r="AB409" s="2">
        <v>6.0000000000000001E-3</v>
      </c>
      <c r="AC409" s="2">
        <v>6.0000000000000001E-3</v>
      </c>
      <c r="AD409" s="2">
        <v>6.0000000000000001E-3</v>
      </c>
      <c r="AE409" s="2">
        <v>6.0000000000000001E-3</v>
      </c>
      <c r="AF409" s="2">
        <v>6.0000000000000001E-3</v>
      </c>
      <c r="AG409" s="2">
        <v>6.0000000000000001E-3</v>
      </c>
      <c r="AH409" t="s">
        <v>6192</v>
      </c>
      <c r="AI409" t="s">
        <v>4794</v>
      </c>
      <c r="AJ409" t="s">
        <v>131</v>
      </c>
      <c r="AK409" t="s">
        <v>40</v>
      </c>
      <c r="AL409">
        <v>1</v>
      </c>
      <c r="AM409" t="s">
        <v>41</v>
      </c>
      <c r="AN409" t="s">
        <v>42</v>
      </c>
      <c r="AO409" t="s">
        <v>4600</v>
      </c>
      <c r="AP409" t="s">
        <v>6193</v>
      </c>
      <c r="AQ409" t="s">
        <v>6193</v>
      </c>
      <c r="AR409" t="s">
        <v>133</v>
      </c>
      <c r="AS409" t="s">
        <v>133</v>
      </c>
    </row>
    <row r="410" spans="1:54" x14ac:dyDescent="0.4">
      <c r="A410" t="s">
        <v>4453</v>
      </c>
      <c r="B410" t="s">
        <v>10</v>
      </c>
      <c r="C410" t="s">
        <v>5380</v>
      </c>
      <c r="D410" t="s">
        <v>11</v>
      </c>
      <c r="E410" s="2">
        <v>-3.2000000000000002E-3</v>
      </c>
      <c r="F410" t="s">
        <v>363</v>
      </c>
      <c r="G410" s="4">
        <f>-0.3 / -0.32%</f>
        <v>93.749999999999986</v>
      </c>
      <c r="H410" t="s">
        <v>5380</v>
      </c>
      <c r="I410" t="s">
        <v>5846</v>
      </c>
      <c r="J410" t="s">
        <v>5847</v>
      </c>
      <c r="K410" t="s">
        <v>23</v>
      </c>
      <c r="L410" s="2">
        <v>3.2500000000000001E-2</v>
      </c>
      <c r="M410" t="s">
        <v>1471</v>
      </c>
      <c r="N410" t="s">
        <v>28</v>
      </c>
      <c r="O410" t="s">
        <v>5848</v>
      </c>
      <c r="P410" t="s">
        <v>5849</v>
      </c>
      <c r="Q410" t="s">
        <v>5849</v>
      </c>
      <c r="R410" t="s">
        <v>5849</v>
      </c>
      <c r="S410" t="s">
        <v>4981</v>
      </c>
      <c r="T410" t="s">
        <v>5850</v>
      </c>
      <c r="U410" t="s">
        <v>5850</v>
      </c>
      <c r="V410" t="s">
        <v>4722</v>
      </c>
      <c r="W410" t="s">
        <v>618</v>
      </c>
      <c r="X410" t="s">
        <v>618</v>
      </c>
      <c r="Y410" t="s">
        <v>618</v>
      </c>
      <c r="Z410" t="s">
        <v>1289</v>
      </c>
      <c r="AA410" t="s">
        <v>3409</v>
      </c>
      <c r="AB410" s="2">
        <v>-2.1600000000000001E-2</v>
      </c>
      <c r="AC410" s="2">
        <v>-2.41E-2</v>
      </c>
      <c r="AD410" s="2">
        <v>-1.21E-2</v>
      </c>
      <c r="AE410" s="2">
        <v>-2.1100000000000001E-2</v>
      </c>
      <c r="AF410" s="2">
        <v>-3.8600000000000002E-2</v>
      </c>
      <c r="AG410" s="2">
        <v>-3.5400000000000001E-2</v>
      </c>
      <c r="AH410" t="s">
        <v>5851</v>
      </c>
      <c r="AI410" t="s">
        <v>130</v>
      </c>
      <c r="AJ410" t="s">
        <v>131</v>
      </c>
      <c r="AK410" t="s">
        <v>40</v>
      </c>
      <c r="AL410">
        <v>100</v>
      </c>
      <c r="AM410" t="s">
        <v>41</v>
      </c>
      <c r="AN410" t="s">
        <v>42</v>
      </c>
      <c r="AO410" t="s">
        <v>5848</v>
      </c>
      <c r="AP410" t="s">
        <v>193</v>
      </c>
      <c r="AQ410" t="s">
        <v>193</v>
      </c>
      <c r="AR410" t="s">
        <v>48</v>
      </c>
      <c r="AS410" t="s">
        <v>48</v>
      </c>
    </row>
    <row r="411" spans="1:54" x14ac:dyDescent="0.4">
      <c r="A411" t="s">
        <v>4453</v>
      </c>
      <c r="B411" t="s">
        <v>10</v>
      </c>
      <c r="C411" t="s">
        <v>4525</v>
      </c>
      <c r="D411" t="s">
        <v>11</v>
      </c>
      <c r="E411" s="2">
        <v>-2.3999999999999998E-3</v>
      </c>
      <c r="F411" t="s">
        <v>310</v>
      </c>
      <c r="G411" s="4">
        <f>-0.2 / -0.24%</f>
        <v>83.333333333333343</v>
      </c>
      <c r="H411" t="s">
        <v>4525</v>
      </c>
      <c r="I411" t="s">
        <v>6426</v>
      </c>
      <c r="J411" t="s">
        <v>6427</v>
      </c>
      <c r="K411" t="s">
        <v>23</v>
      </c>
      <c r="L411" s="2">
        <v>3.0000000000000001E-3</v>
      </c>
      <c r="M411" t="s">
        <v>2079</v>
      </c>
      <c r="N411" t="s">
        <v>28</v>
      </c>
      <c r="O411" t="s">
        <v>6428</v>
      </c>
      <c r="P411" t="s">
        <v>6429</v>
      </c>
      <c r="Q411" t="s">
        <v>6429</v>
      </c>
      <c r="R411" t="s">
        <v>1910</v>
      </c>
      <c r="S411" t="s">
        <v>6430</v>
      </c>
      <c r="T411" t="s">
        <v>6431</v>
      </c>
      <c r="U411" t="s">
        <v>6431</v>
      </c>
      <c r="V411" t="s">
        <v>6432</v>
      </c>
      <c r="W411" t="s">
        <v>687</v>
      </c>
      <c r="X411" t="s">
        <v>687</v>
      </c>
      <c r="Y411" t="s">
        <v>687</v>
      </c>
      <c r="Z411" t="s">
        <v>687</v>
      </c>
      <c r="AA411" t="s">
        <v>2413</v>
      </c>
      <c r="AB411" s="2">
        <v>-1.09E-2</v>
      </c>
      <c r="AC411" s="2">
        <v>-7.1000000000000004E-3</v>
      </c>
      <c r="AD411" s="2">
        <v>1.06E-2</v>
      </c>
      <c r="AE411" s="2">
        <v>1.8200000000000001E-2</v>
      </c>
      <c r="AF411" s="2">
        <v>4.1000000000000002E-2</v>
      </c>
      <c r="AG411" s="2">
        <v>-0.16339999999999999</v>
      </c>
      <c r="AH411" t="s">
        <v>5851</v>
      </c>
      <c r="AI411" t="s">
        <v>130</v>
      </c>
      <c r="AJ411" t="s">
        <v>131</v>
      </c>
      <c r="AK411" t="s">
        <v>40</v>
      </c>
      <c r="AL411">
        <v>100</v>
      </c>
      <c r="AM411" t="s">
        <v>41</v>
      </c>
      <c r="AN411" t="s">
        <v>42</v>
      </c>
      <c r="AO411" t="s">
        <v>6428</v>
      </c>
      <c r="AP411" t="s">
        <v>500</v>
      </c>
      <c r="AQ411" t="s">
        <v>500</v>
      </c>
      <c r="AR411" t="s">
        <v>48</v>
      </c>
      <c r="AS411" t="s">
        <v>48</v>
      </c>
    </row>
    <row r="412" spans="1:54" x14ac:dyDescent="0.4">
      <c r="A412" t="s">
        <v>251</v>
      </c>
      <c r="B412" t="s">
        <v>10</v>
      </c>
      <c r="C412" t="s">
        <v>1440</v>
      </c>
      <c r="D412" t="s">
        <v>11</v>
      </c>
      <c r="E412" s="2">
        <v>0</v>
      </c>
      <c r="F412" t="s">
        <v>12</v>
      </c>
      <c r="G412" s="4" t="s">
        <v>15</v>
      </c>
      <c r="H412" t="s">
        <v>1440</v>
      </c>
      <c r="I412" t="s">
        <v>3899</v>
      </c>
      <c r="J412" t="s">
        <v>3900</v>
      </c>
      <c r="K412" t="s">
        <v>23</v>
      </c>
      <c r="L412" s="2">
        <v>0.10201</v>
      </c>
      <c r="M412" t="s">
        <v>3901</v>
      </c>
      <c r="N412" t="s">
        <v>636</v>
      </c>
      <c r="O412" t="s">
        <v>3902</v>
      </c>
      <c r="P412" t="s">
        <v>1553</v>
      </c>
      <c r="Q412" t="s">
        <v>1121</v>
      </c>
      <c r="R412" t="s">
        <v>1121</v>
      </c>
      <c r="S412" t="s">
        <v>1121</v>
      </c>
      <c r="T412" t="s">
        <v>1122</v>
      </c>
      <c r="U412" t="s">
        <v>124</v>
      </c>
      <c r="V412" t="s">
        <v>590</v>
      </c>
      <c r="W412" t="s">
        <v>590</v>
      </c>
      <c r="X412" t="s">
        <v>2689</v>
      </c>
      <c r="Y412" t="s">
        <v>1267</v>
      </c>
      <c r="Z412" t="s">
        <v>1267</v>
      </c>
      <c r="AA412" t="s">
        <v>1267</v>
      </c>
      <c r="AB412" s="2">
        <v>5.1999999999999998E-3</v>
      </c>
      <c r="AC412" s="2">
        <v>-2.0199999999999999E-2</v>
      </c>
      <c r="AD412" s="2">
        <v>-4.7199999999999999E-2</v>
      </c>
      <c r="AE412" s="2">
        <v>7.7999999999999996E-3</v>
      </c>
      <c r="AF412" s="2">
        <v>3.1899999999999998E-2</v>
      </c>
      <c r="AG412" s="2">
        <v>2.1100000000000001E-2</v>
      </c>
      <c r="AH412" t="s">
        <v>3903</v>
      </c>
      <c r="AI412" t="s">
        <v>130</v>
      </c>
      <c r="AJ412" t="s">
        <v>131</v>
      </c>
      <c r="AK412" t="s">
        <v>40</v>
      </c>
      <c r="AL412">
        <v>1</v>
      </c>
      <c r="AM412" t="s">
        <v>41</v>
      </c>
      <c r="AN412" t="s">
        <v>42</v>
      </c>
      <c r="AO412" t="s">
        <v>3902</v>
      </c>
      <c r="AP412" t="s">
        <v>3904</v>
      </c>
      <c r="AQ412" t="s">
        <v>3904</v>
      </c>
      <c r="AR412" t="s">
        <v>48</v>
      </c>
      <c r="AS412" t="s">
        <v>48</v>
      </c>
    </row>
    <row r="413" spans="1:54" x14ac:dyDescent="0.4">
      <c r="A413" t="s">
        <v>4518</v>
      </c>
      <c r="B413" t="s">
        <v>10</v>
      </c>
      <c r="C413" t="s">
        <v>2898</v>
      </c>
      <c r="D413" t="s">
        <v>11</v>
      </c>
      <c r="E413" s="2">
        <v>-1.9E-3</v>
      </c>
      <c r="F413" t="s">
        <v>12</v>
      </c>
      <c r="G413" s="4">
        <f>-0.2 / -0.19%</f>
        <v>105.26315789473685</v>
      </c>
      <c r="H413" t="s">
        <v>2898</v>
      </c>
      <c r="I413" t="s">
        <v>6768</v>
      </c>
      <c r="J413" t="s">
        <v>6769</v>
      </c>
      <c r="K413" t="s">
        <v>23</v>
      </c>
      <c r="L413" s="2">
        <v>6.5000000000000002E-2</v>
      </c>
      <c r="M413" t="s">
        <v>805</v>
      </c>
      <c r="N413" t="s">
        <v>121</v>
      </c>
      <c r="O413" t="s">
        <v>6770</v>
      </c>
      <c r="P413" t="s">
        <v>1871</v>
      </c>
      <c r="Q413" t="s">
        <v>1871</v>
      </c>
      <c r="R413" t="s">
        <v>1871</v>
      </c>
      <c r="S413" t="s">
        <v>6771</v>
      </c>
      <c r="T413" t="s">
        <v>1575</v>
      </c>
      <c r="U413" t="s">
        <v>1575</v>
      </c>
      <c r="V413" t="s">
        <v>6610</v>
      </c>
      <c r="W413" t="s">
        <v>6772</v>
      </c>
      <c r="X413" t="s">
        <v>6773</v>
      </c>
      <c r="Y413" t="s">
        <v>6773</v>
      </c>
      <c r="Z413" t="s">
        <v>6773</v>
      </c>
      <c r="AA413" t="s">
        <v>6773</v>
      </c>
      <c r="AB413" s="2">
        <v>-9.2999999999999992E-3</v>
      </c>
      <c r="AC413" s="2">
        <v>-1.9300000000000001E-2</v>
      </c>
      <c r="AD413" s="2">
        <v>-1.29E-2</v>
      </c>
      <c r="AE413" s="2">
        <v>-1.7299999999999999E-2</v>
      </c>
      <c r="AF413" s="2">
        <v>5.6599999999999998E-2</v>
      </c>
      <c r="AG413" s="2">
        <v>5.6599999999999998E-2</v>
      </c>
      <c r="AH413" t="s">
        <v>6774</v>
      </c>
      <c r="AI413" t="s">
        <v>130</v>
      </c>
      <c r="AJ413" t="s">
        <v>131</v>
      </c>
      <c r="AK413" t="s">
        <v>40</v>
      </c>
      <c r="AL413">
        <v>2</v>
      </c>
      <c r="AM413" t="s">
        <v>41</v>
      </c>
      <c r="AN413" t="s">
        <v>42</v>
      </c>
      <c r="AO413" t="s">
        <v>6770</v>
      </c>
      <c r="AP413" t="s">
        <v>193</v>
      </c>
      <c r="AQ413" t="s">
        <v>193</v>
      </c>
      <c r="AR413" t="s">
        <v>133</v>
      </c>
      <c r="AS413" t="s">
        <v>133</v>
      </c>
    </row>
    <row r="414" spans="1:54" x14ac:dyDescent="0.4">
      <c r="A414" t="s">
        <v>251</v>
      </c>
      <c r="B414" t="s">
        <v>10</v>
      </c>
      <c r="C414" t="s">
        <v>3066</v>
      </c>
      <c r="D414" t="s">
        <v>11</v>
      </c>
      <c r="E414" s="2">
        <v>-5.0000000000000001E-4</v>
      </c>
      <c r="F414" t="s">
        <v>12</v>
      </c>
      <c r="G414" s="4">
        <f>-0.053 / -0.05%</f>
        <v>106</v>
      </c>
      <c r="H414" t="s">
        <v>3066</v>
      </c>
      <c r="I414" t="s">
        <v>3067</v>
      </c>
      <c r="J414" t="s">
        <v>3068</v>
      </c>
      <c r="K414" t="s">
        <v>23</v>
      </c>
      <c r="M414" t="s">
        <v>3069</v>
      </c>
      <c r="N414" t="s">
        <v>28</v>
      </c>
      <c r="O414" t="s">
        <v>3070</v>
      </c>
      <c r="P414" t="s">
        <v>1805</v>
      </c>
      <c r="Q414" s="1">
        <v>96839</v>
      </c>
      <c r="R414" s="1">
        <v>95416</v>
      </c>
      <c r="S414" s="1">
        <v>93168</v>
      </c>
      <c r="T414" t="s">
        <v>3071</v>
      </c>
      <c r="U414" t="s">
        <v>3071</v>
      </c>
      <c r="V414" s="1">
        <v>97554</v>
      </c>
      <c r="W414" s="1">
        <v>97554</v>
      </c>
      <c r="X414" s="1">
        <v>97554</v>
      </c>
      <c r="Y414" s="1">
        <v>97554</v>
      </c>
      <c r="Z414" s="1">
        <v>97554</v>
      </c>
      <c r="AA414" t="s">
        <v>2641</v>
      </c>
      <c r="AB414" s="2">
        <v>1E-3</v>
      </c>
      <c r="AC414" s="2">
        <v>4.7999999999999996E-3</v>
      </c>
      <c r="AD414" s="2">
        <v>2.1000000000000001E-2</v>
      </c>
      <c r="AE414" s="2">
        <v>3.0599999999999999E-2</v>
      </c>
      <c r="AF414" s="2">
        <v>5.2400000000000002E-2</v>
      </c>
      <c r="AG414" s="2">
        <v>-3.7699999999999997E-2</v>
      </c>
      <c r="AH414" t="s">
        <v>378</v>
      </c>
      <c r="AI414" t="s">
        <v>130</v>
      </c>
      <c r="AJ414" t="s">
        <v>131</v>
      </c>
      <c r="AK414" t="s">
        <v>40</v>
      </c>
      <c r="AL414">
        <v>1</v>
      </c>
      <c r="AM414" t="s">
        <v>41</v>
      </c>
      <c r="AN414" t="s">
        <v>42</v>
      </c>
      <c r="AO414" t="s">
        <v>3070</v>
      </c>
      <c r="AP414" t="s">
        <v>3072</v>
      </c>
      <c r="AQ414" t="s">
        <v>3072</v>
      </c>
      <c r="AR414" t="s">
        <v>48</v>
      </c>
      <c r="AS414" t="s">
        <v>48</v>
      </c>
      <c r="AT414" t="s">
        <v>3073</v>
      </c>
    </row>
    <row r="415" spans="1:54" x14ac:dyDescent="0.4">
      <c r="A415" t="s">
        <v>9</v>
      </c>
      <c r="B415" t="s">
        <v>10</v>
      </c>
      <c r="C415" t="s">
        <v>371</v>
      </c>
      <c r="D415" t="s">
        <v>11</v>
      </c>
      <c r="E415" s="2">
        <v>-2.0000000000000001E-4</v>
      </c>
      <c r="F415" t="s">
        <v>12</v>
      </c>
      <c r="G415" s="4">
        <f>-0.02 / -0.02%</f>
        <v>100</v>
      </c>
      <c r="H415" t="s">
        <v>371</v>
      </c>
      <c r="I415" t="s">
        <v>372</v>
      </c>
      <c r="J415" t="s">
        <v>373</v>
      </c>
      <c r="K415" t="s">
        <v>23</v>
      </c>
      <c r="L415" s="2">
        <v>0.03</v>
      </c>
      <c r="M415" t="s">
        <v>374</v>
      </c>
      <c r="N415" t="s">
        <v>28</v>
      </c>
      <c r="O415" t="s">
        <v>375</v>
      </c>
      <c r="P415" t="s">
        <v>304</v>
      </c>
      <c r="Q415" t="s">
        <v>304</v>
      </c>
      <c r="R415" t="s">
        <v>304</v>
      </c>
      <c r="S415" t="s">
        <v>304</v>
      </c>
      <c r="T415" t="s">
        <v>304</v>
      </c>
      <c r="U415" t="s">
        <v>304</v>
      </c>
      <c r="V415" t="s">
        <v>218</v>
      </c>
      <c r="W415" t="s">
        <v>376</v>
      </c>
      <c r="X415" t="s">
        <v>377</v>
      </c>
      <c r="Y415" t="s">
        <v>377</v>
      </c>
      <c r="Z415" t="s">
        <v>377</v>
      </c>
      <c r="AA415" t="s">
        <v>377</v>
      </c>
      <c r="AB415" s="2">
        <v>-1.61E-2</v>
      </c>
      <c r="AC415" s="2">
        <v>-2.6800000000000001E-2</v>
      </c>
      <c r="AD415" s="2">
        <v>-1.24E-2</v>
      </c>
      <c r="AE415" s="2">
        <v>-6.1000000000000004E-3</v>
      </c>
      <c r="AF415" s="2">
        <v>-6.1000000000000004E-3</v>
      </c>
      <c r="AG415" s="2">
        <v>-6.1000000000000004E-3</v>
      </c>
      <c r="AH415" t="s">
        <v>378</v>
      </c>
      <c r="AI415" t="s">
        <v>130</v>
      </c>
      <c r="AJ415" t="s">
        <v>131</v>
      </c>
      <c r="AK415" t="s">
        <v>40</v>
      </c>
      <c r="AL415">
        <v>1</v>
      </c>
      <c r="AM415" t="s">
        <v>41</v>
      </c>
      <c r="AN415" t="s">
        <v>42</v>
      </c>
      <c r="AO415" t="s">
        <v>375</v>
      </c>
      <c r="AP415" t="s">
        <v>379</v>
      </c>
      <c r="AQ415" t="s">
        <v>379</v>
      </c>
      <c r="AR415" t="s">
        <v>48</v>
      </c>
      <c r="AS415" t="s">
        <v>48</v>
      </c>
    </row>
    <row r="416" spans="1:54" x14ac:dyDescent="0.4">
      <c r="A416" t="s">
        <v>251</v>
      </c>
      <c r="B416" t="s">
        <v>10</v>
      </c>
      <c r="C416" t="s">
        <v>4062</v>
      </c>
      <c r="D416" t="s">
        <v>11</v>
      </c>
      <c r="E416" s="2">
        <v>-2.0000000000000001E-4</v>
      </c>
      <c r="F416" t="s">
        <v>12</v>
      </c>
      <c r="G416" s="4">
        <f>-0.02 / -0.02%</f>
        <v>100</v>
      </c>
      <c r="H416" t="s">
        <v>4062</v>
      </c>
      <c r="I416" t="s">
        <v>4063</v>
      </c>
      <c r="J416" t="s">
        <v>4064</v>
      </c>
      <c r="K416" t="s">
        <v>23</v>
      </c>
      <c r="L416" s="2">
        <v>3.5000000000000003E-2</v>
      </c>
      <c r="M416" t="s">
        <v>375</v>
      </c>
      <c r="N416" t="s">
        <v>28</v>
      </c>
      <c r="O416" t="s">
        <v>4065</v>
      </c>
      <c r="P416" t="s">
        <v>1369</v>
      </c>
      <c r="Q416" t="s">
        <v>1369</v>
      </c>
      <c r="R416" t="s">
        <v>1369</v>
      </c>
      <c r="S416" t="s">
        <v>1369</v>
      </c>
      <c r="T416" t="s">
        <v>1369</v>
      </c>
      <c r="U416" t="s">
        <v>1369</v>
      </c>
      <c r="V416" t="s">
        <v>1785</v>
      </c>
      <c r="W416" t="s">
        <v>3166</v>
      </c>
      <c r="X416" t="s">
        <v>551</v>
      </c>
      <c r="Y416" t="s">
        <v>4066</v>
      </c>
      <c r="Z416" t="s">
        <v>4067</v>
      </c>
      <c r="AA416" t="s">
        <v>4067</v>
      </c>
      <c r="AB416" s="2">
        <v>-1.55E-2</v>
      </c>
      <c r="AC416" s="2">
        <v>-2.9700000000000001E-2</v>
      </c>
      <c r="AD416" s="2">
        <v>-1.5299999999999999E-2</v>
      </c>
      <c r="AE416" s="2">
        <v>-3.7699999999999997E-2</v>
      </c>
      <c r="AF416" s="2">
        <v>-3.0999999999999999E-3</v>
      </c>
      <c r="AG416" s="2">
        <v>-3.0999999999999999E-3</v>
      </c>
      <c r="AH416" t="s">
        <v>378</v>
      </c>
      <c r="AI416" t="s">
        <v>130</v>
      </c>
      <c r="AJ416" t="s">
        <v>131</v>
      </c>
      <c r="AK416" t="s">
        <v>40</v>
      </c>
      <c r="AL416">
        <v>1</v>
      </c>
      <c r="AM416" t="s">
        <v>41</v>
      </c>
      <c r="AN416" t="s">
        <v>42</v>
      </c>
      <c r="AO416" t="s">
        <v>4065</v>
      </c>
      <c r="AP416" t="s">
        <v>4068</v>
      </c>
      <c r="AQ416" t="s">
        <v>4068</v>
      </c>
      <c r="AR416" t="s">
        <v>48</v>
      </c>
      <c r="AS416" t="s">
        <v>48</v>
      </c>
    </row>
    <row r="417" spans="1:54" x14ac:dyDescent="0.4">
      <c r="A417" t="s">
        <v>296</v>
      </c>
      <c r="B417" t="s">
        <v>10</v>
      </c>
      <c r="C417" t="s">
        <v>1458</v>
      </c>
      <c r="D417" t="s">
        <v>11</v>
      </c>
      <c r="E417" s="2">
        <v>-1.1000000000000001E-3</v>
      </c>
      <c r="F417" t="s">
        <v>12</v>
      </c>
      <c r="G417" s="4">
        <f>-0.11 / -0.11%</f>
        <v>100</v>
      </c>
      <c r="H417" t="s">
        <v>1458</v>
      </c>
      <c r="I417" t="s">
        <v>1459</v>
      </c>
      <c r="J417" t="s">
        <v>1460</v>
      </c>
      <c r="K417" t="s">
        <v>23</v>
      </c>
      <c r="L417" s="2">
        <v>0.03</v>
      </c>
      <c r="M417" t="s">
        <v>1461</v>
      </c>
      <c r="N417" t="s">
        <v>28</v>
      </c>
      <c r="O417" t="s">
        <v>1462</v>
      </c>
      <c r="P417" t="s">
        <v>371</v>
      </c>
      <c r="Q417" t="s">
        <v>371</v>
      </c>
      <c r="R417" t="s">
        <v>371</v>
      </c>
      <c r="S417" t="s">
        <v>371</v>
      </c>
      <c r="T417" t="s">
        <v>354</v>
      </c>
      <c r="U417" t="s">
        <v>354</v>
      </c>
      <c r="V417" t="s">
        <v>1385</v>
      </c>
      <c r="W417" t="s">
        <v>1463</v>
      </c>
      <c r="X417" t="s">
        <v>1076</v>
      </c>
      <c r="Y417" t="s">
        <v>1379</v>
      </c>
      <c r="Z417" t="s">
        <v>1464</v>
      </c>
      <c r="AA417" t="s">
        <v>1464</v>
      </c>
      <c r="AB417" s="2">
        <v>-1.11E-2</v>
      </c>
      <c r="AC417" s="2">
        <v>-2.3699999999999999E-2</v>
      </c>
      <c r="AD417" s="2">
        <v>-9.4999999999999998E-3</v>
      </c>
      <c r="AE417" s="2">
        <v>-0.03</v>
      </c>
      <c r="AF417" s="2">
        <v>-1.83E-2</v>
      </c>
      <c r="AG417" s="2">
        <v>-1.83E-2</v>
      </c>
      <c r="AH417" t="s">
        <v>378</v>
      </c>
      <c r="AI417" t="s">
        <v>130</v>
      </c>
      <c r="AJ417" t="s">
        <v>131</v>
      </c>
      <c r="AK417" t="s">
        <v>40</v>
      </c>
      <c r="AL417">
        <v>1</v>
      </c>
      <c r="AM417" t="s">
        <v>41</v>
      </c>
      <c r="AN417" t="s">
        <v>42</v>
      </c>
      <c r="AO417" t="s">
        <v>1462</v>
      </c>
      <c r="AP417" t="s">
        <v>1465</v>
      </c>
      <c r="AQ417" t="s">
        <v>1465</v>
      </c>
      <c r="AR417" t="s">
        <v>48</v>
      </c>
      <c r="AS417" t="s">
        <v>48</v>
      </c>
    </row>
    <row r="418" spans="1:54" x14ac:dyDescent="0.4">
      <c r="A418" t="s">
        <v>9</v>
      </c>
      <c r="B418" t="s">
        <v>10</v>
      </c>
      <c r="C418" t="s">
        <v>6722</v>
      </c>
      <c r="D418" t="s">
        <v>11</v>
      </c>
      <c r="E418" s="2">
        <v>6.9999999999999999E-4</v>
      </c>
      <c r="F418" t="s">
        <v>12</v>
      </c>
      <c r="G418" s="4" t="s">
        <v>2353</v>
      </c>
      <c r="H418" t="s">
        <v>6722</v>
      </c>
      <c r="I418" t="s">
        <v>6723</v>
      </c>
      <c r="J418" t="s">
        <v>6724</v>
      </c>
      <c r="K418" t="s">
        <v>23</v>
      </c>
      <c r="L418" s="2">
        <v>0.03</v>
      </c>
      <c r="M418" t="s">
        <v>6725</v>
      </c>
      <c r="N418" t="s">
        <v>28</v>
      </c>
      <c r="O418" t="s">
        <v>6726</v>
      </c>
      <c r="P418" t="s">
        <v>6727</v>
      </c>
      <c r="Q418" t="s">
        <v>6727</v>
      </c>
      <c r="R418" t="s">
        <v>6727</v>
      </c>
      <c r="S418" t="s">
        <v>6727</v>
      </c>
      <c r="T418" t="s">
        <v>6727</v>
      </c>
      <c r="U418" t="s">
        <v>6727</v>
      </c>
      <c r="V418" t="s">
        <v>1897</v>
      </c>
      <c r="W418" t="s">
        <v>1493</v>
      </c>
      <c r="X418" t="s">
        <v>1493</v>
      </c>
      <c r="Y418" t="s">
        <v>4663</v>
      </c>
      <c r="Z418" t="s">
        <v>4663</v>
      </c>
      <c r="AA418" t="s">
        <v>4663</v>
      </c>
      <c r="AB418" s="2">
        <v>-3.2500000000000001E-2</v>
      </c>
      <c r="AC418" s="2">
        <v>-4.02E-2</v>
      </c>
      <c r="AD418" s="2">
        <v>-2.8899999999999999E-2</v>
      </c>
      <c r="AE418" s="2">
        <v>-6.8900000000000003E-2</v>
      </c>
      <c r="AF418" s="2">
        <v>-7.0499999999999993E-2</v>
      </c>
      <c r="AG418" s="2">
        <v>-7.0499999999999993E-2</v>
      </c>
      <c r="AH418" t="s">
        <v>378</v>
      </c>
      <c r="AI418" t="s">
        <v>130</v>
      </c>
      <c r="AJ418" t="s">
        <v>131</v>
      </c>
      <c r="AK418" t="s">
        <v>40</v>
      </c>
      <c r="AL418">
        <v>1</v>
      </c>
      <c r="AM418" t="s">
        <v>41</v>
      </c>
      <c r="AN418" t="s">
        <v>42</v>
      </c>
      <c r="AO418" t="s">
        <v>6726</v>
      </c>
      <c r="AP418" t="s">
        <v>6728</v>
      </c>
      <c r="AQ418" t="s">
        <v>6728</v>
      </c>
      <c r="AR418" t="s">
        <v>48</v>
      </c>
      <c r="AS418" t="s">
        <v>48</v>
      </c>
    </row>
    <row r="419" spans="1:54" x14ac:dyDescent="0.4">
      <c r="A419" t="s">
        <v>630</v>
      </c>
      <c r="B419" t="s">
        <v>10</v>
      </c>
      <c r="C419" t="s">
        <v>3016</v>
      </c>
      <c r="D419" t="s">
        <v>11</v>
      </c>
      <c r="E419" s="2">
        <v>-1.1999999999999999E-3</v>
      </c>
      <c r="F419" t="s">
        <v>12</v>
      </c>
      <c r="G419" s="4">
        <f>-0.115 / -0.12%</f>
        <v>95.833333333333343</v>
      </c>
      <c r="H419" t="s">
        <v>3016</v>
      </c>
      <c r="I419" t="s">
        <v>3017</v>
      </c>
      <c r="J419" t="s">
        <v>3018</v>
      </c>
      <c r="K419" t="s">
        <v>23</v>
      </c>
      <c r="L419" s="2">
        <v>2.5000000000000001E-2</v>
      </c>
      <c r="M419" t="s">
        <v>3019</v>
      </c>
      <c r="N419" t="s">
        <v>28</v>
      </c>
      <c r="O419" t="s">
        <v>3020</v>
      </c>
      <c r="P419" s="1">
        <v>97435</v>
      </c>
      <c r="Q419" s="1">
        <v>97435</v>
      </c>
      <c r="R419" s="1">
        <v>97435</v>
      </c>
      <c r="S419" s="1">
        <v>96605</v>
      </c>
      <c r="T419" s="1">
        <v>95105</v>
      </c>
      <c r="U419" s="1">
        <v>95105</v>
      </c>
      <c r="V419" t="s">
        <v>616</v>
      </c>
      <c r="W419" t="s">
        <v>1196</v>
      </c>
      <c r="X419" t="s">
        <v>1467</v>
      </c>
      <c r="Y419" s="1">
        <v>100645</v>
      </c>
      <c r="Z419" s="1">
        <v>102015</v>
      </c>
      <c r="AA419" t="s">
        <v>3021</v>
      </c>
      <c r="AB419" s="2">
        <v>-8.3000000000000001E-3</v>
      </c>
      <c r="AC419" s="2">
        <v>-1.41E-2</v>
      </c>
      <c r="AD419" s="2">
        <v>1.9E-3</v>
      </c>
      <c r="AE419" s="2">
        <v>-1.1900000000000001E-2</v>
      </c>
      <c r="AF419" s="2">
        <v>-0.02</v>
      </c>
      <c r="AG419" s="2">
        <v>-0.1835</v>
      </c>
      <c r="AH419" t="s">
        <v>378</v>
      </c>
      <c r="AI419" t="s">
        <v>130</v>
      </c>
      <c r="AJ419" t="s">
        <v>131</v>
      </c>
      <c r="AK419" t="s">
        <v>40</v>
      </c>
      <c r="AL419">
        <v>1</v>
      </c>
      <c r="AM419" t="s">
        <v>41</v>
      </c>
      <c r="AN419" t="s">
        <v>42</v>
      </c>
      <c r="AO419" t="s">
        <v>3020</v>
      </c>
      <c r="AP419" t="s">
        <v>3022</v>
      </c>
      <c r="AQ419" t="s">
        <v>3022</v>
      </c>
      <c r="AR419" t="s">
        <v>48</v>
      </c>
      <c r="AS419" t="s">
        <v>48</v>
      </c>
    </row>
    <row r="420" spans="1:54" x14ac:dyDescent="0.4">
      <c r="A420" t="s">
        <v>630</v>
      </c>
      <c r="B420" t="s">
        <v>10</v>
      </c>
      <c r="C420" t="s">
        <v>1724</v>
      </c>
      <c r="D420" t="s">
        <v>11</v>
      </c>
      <c r="E420" s="2">
        <v>-1E-3</v>
      </c>
      <c r="F420" t="s">
        <v>12</v>
      </c>
      <c r="G420" s="4">
        <f>-0.095 / -0.1%</f>
        <v>95</v>
      </c>
      <c r="H420" t="s">
        <v>1724</v>
      </c>
      <c r="I420" t="s">
        <v>1725</v>
      </c>
      <c r="J420" t="s">
        <v>1726</v>
      </c>
      <c r="K420" t="s">
        <v>23</v>
      </c>
      <c r="L420" s="2">
        <v>1.4999999999999999E-2</v>
      </c>
      <c r="M420" t="s">
        <v>1727</v>
      </c>
      <c r="N420" t="s">
        <v>28</v>
      </c>
      <c r="O420" t="s">
        <v>1728</v>
      </c>
      <c r="P420" t="s">
        <v>1729</v>
      </c>
      <c r="Q420" t="s">
        <v>1729</v>
      </c>
      <c r="R420" t="s">
        <v>1729</v>
      </c>
      <c r="S420" t="s">
        <v>1730</v>
      </c>
      <c r="T420" t="s">
        <v>1731</v>
      </c>
      <c r="U420" t="s">
        <v>1731</v>
      </c>
      <c r="V420" t="s">
        <v>1732</v>
      </c>
      <c r="W420" s="1">
        <v>93935</v>
      </c>
      <c r="X420" s="1">
        <v>94195</v>
      </c>
      <c r="Y420" s="1">
        <v>94195</v>
      </c>
      <c r="Z420" t="s">
        <v>1733</v>
      </c>
      <c r="AA420" t="s">
        <v>1734</v>
      </c>
      <c r="AB420" s="2">
        <v>-8.6999999999999994E-3</v>
      </c>
      <c r="AC420" s="2">
        <v>-1.6E-2</v>
      </c>
      <c r="AD420" s="2">
        <v>2.8999999999999998E-3</v>
      </c>
      <c r="AE420" s="2">
        <v>-8.9999999999999993E-3</v>
      </c>
      <c r="AF420" s="2">
        <v>-1.37E-2</v>
      </c>
      <c r="AG420" s="2">
        <v>-0.18279999999999999</v>
      </c>
      <c r="AH420" t="s">
        <v>378</v>
      </c>
      <c r="AI420" t="s">
        <v>130</v>
      </c>
      <c r="AJ420" t="s">
        <v>131</v>
      </c>
      <c r="AK420" t="s">
        <v>40</v>
      </c>
      <c r="AL420">
        <v>1</v>
      </c>
      <c r="AM420" t="s">
        <v>41</v>
      </c>
      <c r="AN420" t="s">
        <v>42</v>
      </c>
      <c r="AO420" t="s">
        <v>1728</v>
      </c>
      <c r="AP420" t="s">
        <v>1735</v>
      </c>
      <c r="AQ420" t="s">
        <v>1735</v>
      </c>
      <c r="AR420" t="s">
        <v>48</v>
      </c>
      <c r="AS420" t="s">
        <v>48</v>
      </c>
    </row>
    <row r="421" spans="1:54" x14ac:dyDescent="0.4">
      <c r="A421" t="s">
        <v>961</v>
      </c>
      <c r="B421" t="s">
        <v>10</v>
      </c>
      <c r="C421" t="s">
        <v>3092</v>
      </c>
      <c r="D421" t="s">
        <v>11</v>
      </c>
      <c r="E421" s="2">
        <v>-8.0000000000000004E-4</v>
      </c>
      <c r="F421" t="s">
        <v>12</v>
      </c>
      <c r="G421" s="4">
        <f>-0.07 / -0.08%</f>
        <v>87.5</v>
      </c>
      <c r="H421" t="s">
        <v>3092</v>
      </c>
      <c r="I421" t="s">
        <v>3093</v>
      </c>
      <c r="J421" t="s">
        <v>3094</v>
      </c>
      <c r="K421" t="s">
        <v>23</v>
      </c>
      <c r="L421" s="2">
        <v>1.2500000000000001E-2</v>
      </c>
      <c r="M421" t="s">
        <v>3095</v>
      </c>
      <c r="N421" t="s">
        <v>28</v>
      </c>
      <c r="O421" t="s">
        <v>3096</v>
      </c>
      <c r="P421" t="s">
        <v>3097</v>
      </c>
      <c r="Q421" t="s">
        <v>3097</v>
      </c>
      <c r="R421" t="s">
        <v>3097</v>
      </c>
      <c r="S421" t="s">
        <v>3098</v>
      </c>
      <c r="T421" t="s">
        <v>3099</v>
      </c>
      <c r="U421" t="s">
        <v>3099</v>
      </c>
      <c r="V421" t="s">
        <v>687</v>
      </c>
      <c r="W421" t="s">
        <v>3100</v>
      </c>
      <c r="X421" t="s">
        <v>1731</v>
      </c>
      <c r="Y421" t="s">
        <v>1731</v>
      </c>
      <c r="Z421" t="s">
        <v>3101</v>
      </c>
      <c r="AA421" t="s">
        <v>3102</v>
      </c>
      <c r="AB421" s="2">
        <v>-1.2699999999999999E-2</v>
      </c>
      <c r="AC421" s="2">
        <v>-2.4299999999999999E-2</v>
      </c>
      <c r="AD421" s="2">
        <v>-4.4999999999999997E-3</v>
      </c>
      <c r="AE421" s="2">
        <v>-1.89E-2</v>
      </c>
      <c r="AF421" s="2">
        <v>-1.8599999999999998E-2</v>
      </c>
      <c r="AG421" s="2">
        <v>-0.23569999999999999</v>
      </c>
      <c r="AH421" t="s">
        <v>378</v>
      </c>
      <c r="AI421" t="s">
        <v>130</v>
      </c>
      <c r="AJ421" t="s">
        <v>131</v>
      </c>
      <c r="AK421" t="s">
        <v>40</v>
      </c>
      <c r="AL421">
        <v>1</v>
      </c>
      <c r="AM421" t="s">
        <v>41</v>
      </c>
      <c r="AN421" t="s">
        <v>42</v>
      </c>
      <c r="AO421" t="s">
        <v>3096</v>
      </c>
      <c r="AP421" t="s">
        <v>3103</v>
      </c>
      <c r="AQ421" t="s">
        <v>3103</v>
      </c>
      <c r="AR421" t="s">
        <v>48</v>
      </c>
      <c r="AS421" t="s">
        <v>48</v>
      </c>
    </row>
    <row r="422" spans="1:54" x14ac:dyDescent="0.4">
      <c r="A422" t="s">
        <v>323</v>
      </c>
      <c r="B422" t="s">
        <v>10</v>
      </c>
      <c r="C422" t="s">
        <v>324</v>
      </c>
      <c r="D422" t="s">
        <v>11</v>
      </c>
      <c r="E422" s="2">
        <v>1.5E-3</v>
      </c>
      <c r="F422" t="s">
        <v>12</v>
      </c>
      <c r="G422" s="4" t="s">
        <v>325</v>
      </c>
      <c r="H422" t="s">
        <v>324</v>
      </c>
      <c r="I422" t="s">
        <v>326</v>
      </c>
      <c r="J422" t="s">
        <v>327</v>
      </c>
      <c r="K422" t="s">
        <v>23</v>
      </c>
      <c r="L422" s="2">
        <v>4.2500000000000003E-2</v>
      </c>
      <c r="M422" t="s">
        <v>328</v>
      </c>
      <c r="N422" t="s">
        <v>28</v>
      </c>
      <c r="O422" t="s">
        <v>80</v>
      </c>
      <c r="P422" t="s">
        <v>169</v>
      </c>
      <c r="Q422" t="s">
        <v>169</v>
      </c>
      <c r="R422" t="s">
        <v>329</v>
      </c>
      <c r="S422" t="s">
        <v>241</v>
      </c>
      <c r="T422" t="s">
        <v>241</v>
      </c>
      <c r="U422" t="s">
        <v>241</v>
      </c>
      <c r="V422" t="s">
        <v>330</v>
      </c>
      <c r="W422" t="s">
        <v>331</v>
      </c>
      <c r="X422" t="s">
        <v>331</v>
      </c>
      <c r="Y422" t="s">
        <v>331</v>
      </c>
      <c r="Z422" t="s">
        <v>331</v>
      </c>
      <c r="AA422" t="s">
        <v>331</v>
      </c>
      <c r="AB422" s="2">
        <v>-1.61E-2</v>
      </c>
      <c r="AC422" s="2">
        <v>-9.2999999999999992E-3</v>
      </c>
      <c r="AD422" s="2">
        <v>7.3000000000000001E-3</v>
      </c>
      <c r="AE422" s="2">
        <v>3.6900000000000002E-2</v>
      </c>
      <c r="AF422" s="2">
        <v>3.6900000000000002E-2</v>
      </c>
      <c r="AG422" s="2">
        <v>3.6900000000000002E-2</v>
      </c>
      <c r="AH422" t="s">
        <v>332</v>
      </c>
      <c r="AI422" t="s">
        <v>232</v>
      </c>
      <c r="AJ422" t="s">
        <v>131</v>
      </c>
      <c r="AK422" t="s">
        <v>40</v>
      </c>
      <c r="AL422">
        <v>1</v>
      </c>
      <c r="AM422" t="s">
        <v>41</v>
      </c>
      <c r="AN422" t="s">
        <v>42</v>
      </c>
      <c r="AO422" t="s">
        <v>80</v>
      </c>
      <c r="AP422" t="s">
        <v>333</v>
      </c>
      <c r="AQ422" t="s">
        <v>333</v>
      </c>
      <c r="AR422" t="s">
        <v>48</v>
      </c>
      <c r="AS422" t="s">
        <v>48</v>
      </c>
    </row>
    <row r="423" spans="1:54" x14ac:dyDescent="0.4">
      <c r="A423" t="s">
        <v>251</v>
      </c>
      <c r="B423" t="s">
        <v>10</v>
      </c>
      <c r="C423" s="1">
        <v>101655</v>
      </c>
      <c r="D423" t="s">
        <v>11</v>
      </c>
      <c r="E423" s="2">
        <v>-5.5999999999999999E-3</v>
      </c>
      <c r="F423" t="s">
        <v>12</v>
      </c>
      <c r="G423" s="4">
        <f>-0.575 / -0.56%</f>
        <v>102.6785714285714</v>
      </c>
      <c r="H423" s="1">
        <v>101655</v>
      </c>
      <c r="I423" t="s">
        <v>1558</v>
      </c>
      <c r="J423" t="s">
        <v>1559</v>
      </c>
      <c r="K423" t="s">
        <v>23</v>
      </c>
      <c r="L423" s="2">
        <v>3.875E-2</v>
      </c>
      <c r="M423" t="s">
        <v>1560</v>
      </c>
      <c r="N423" t="s">
        <v>28</v>
      </c>
      <c r="O423" t="s">
        <v>1561</v>
      </c>
      <c r="P423" s="1">
        <v>101655</v>
      </c>
      <c r="Q423" s="1">
        <v>101655</v>
      </c>
      <c r="R423" s="1">
        <v>101195</v>
      </c>
      <c r="S423" s="1">
        <v>99985</v>
      </c>
      <c r="T423" t="s">
        <v>1420</v>
      </c>
      <c r="U423" s="1">
        <v>95195</v>
      </c>
      <c r="V423" t="s">
        <v>1562</v>
      </c>
      <c r="W423" s="1">
        <v>103345</v>
      </c>
      <c r="X423" s="1">
        <v>103345</v>
      </c>
      <c r="Y423" s="1">
        <v>103345</v>
      </c>
      <c r="Z423" s="1">
        <v>103345</v>
      </c>
      <c r="AA423" s="1">
        <v>103345</v>
      </c>
      <c r="AB423" s="2">
        <v>-1.0699999999999999E-2</v>
      </c>
      <c r="AC423" s="2">
        <v>-1.17E-2</v>
      </c>
      <c r="AD423" s="2">
        <v>2.5999999999999999E-3</v>
      </c>
      <c r="AE423" s="2">
        <v>3.8999999999999998E-3</v>
      </c>
      <c r="AF423" s="2">
        <v>2.06E-2</v>
      </c>
      <c r="AG423" s="2">
        <v>2.8299999999999999E-2</v>
      </c>
      <c r="AH423" t="s">
        <v>1563</v>
      </c>
      <c r="AI423" t="s">
        <v>232</v>
      </c>
      <c r="AJ423" t="s">
        <v>131</v>
      </c>
      <c r="AK423" t="s">
        <v>40</v>
      </c>
      <c r="AL423">
        <v>1</v>
      </c>
      <c r="AM423" t="s">
        <v>41</v>
      </c>
      <c r="AN423" t="s">
        <v>42</v>
      </c>
      <c r="AO423" t="s">
        <v>1561</v>
      </c>
      <c r="AP423" t="s">
        <v>357</v>
      </c>
      <c r="AQ423" t="s">
        <v>357</v>
      </c>
      <c r="AR423" t="s">
        <v>48</v>
      </c>
      <c r="AS423" t="s">
        <v>48</v>
      </c>
    </row>
    <row r="424" spans="1:54" x14ac:dyDescent="0.4">
      <c r="A424" t="s">
        <v>9</v>
      </c>
      <c r="B424" t="s">
        <v>10</v>
      </c>
      <c r="C424" s="1">
        <v>95804</v>
      </c>
      <c r="D424" t="s">
        <v>11</v>
      </c>
      <c r="E424" s="2">
        <v>-5.9999999999999995E-4</v>
      </c>
      <c r="F424" t="s">
        <v>12</v>
      </c>
      <c r="G424" s="4">
        <f>-0.06 / -0.06%</f>
        <v>100</v>
      </c>
      <c r="H424" s="1">
        <v>95804</v>
      </c>
      <c r="I424" t="s">
        <v>3514</v>
      </c>
      <c r="J424" t="s">
        <v>3515</v>
      </c>
      <c r="K424" t="s">
        <v>23</v>
      </c>
      <c r="L424" s="2">
        <v>6.2500000000000003E-3</v>
      </c>
      <c r="M424" t="s">
        <v>2127</v>
      </c>
      <c r="N424" t="s">
        <v>28</v>
      </c>
      <c r="O424" t="s">
        <v>2386</v>
      </c>
      <c r="P424" s="1">
        <v>95569</v>
      </c>
      <c r="Q424" t="s">
        <v>737</v>
      </c>
      <c r="R424" t="s">
        <v>2844</v>
      </c>
      <c r="S424" t="s">
        <v>2368</v>
      </c>
      <c r="T424" t="s">
        <v>2429</v>
      </c>
      <c r="U424" t="s">
        <v>3516</v>
      </c>
      <c r="V424" t="s">
        <v>2831</v>
      </c>
      <c r="W424" s="1">
        <v>96195</v>
      </c>
      <c r="X424" s="1">
        <v>96195</v>
      </c>
      <c r="Y424" s="1">
        <v>96195</v>
      </c>
      <c r="Z424" s="1">
        <v>96195</v>
      </c>
      <c r="AA424" t="s">
        <v>518</v>
      </c>
      <c r="AB424" s="2">
        <v>-2.2000000000000001E-3</v>
      </c>
      <c r="AC424" s="2">
        <v>1.1999999999999999E-3</v>
      </c>
      <c r="AD424" s="2">
        <v>2.2499999999999999E-2</v>
      </c>
      <c r="AE424" s="2">
        <v>4.36E-2</v>
      </c>
      <c r="AF424" s="2">
        <v>7.0000000000000007E-2</v>
      </c>
      <c r="AG424" s="2">
        <v>-5.4399999999999997E-2</v>
      </c>
      <c r="AH424" t="s">
        <v>1563</v>
      </c>
      <c r="AI424" t="s">
        <v>232</v>
      </c>
      <c r="AJ424" t="s">
        <v>131</v>
      </c>
      <c r="AK424" t="s">
        <v>40</v>
      </c>
      <c r="AL424">
        <v>1</v>
      </c>
      <c r="AM424" t="s">
        <v>41</v>
      </c>
      <c r="AN424" t="s">
        <v>42</v>
      </c>
      <c r="AO424" t="s">
        <v>2386</v>
      </c>
      <c r="AP424" t="s">
        <v>171</v>
      </c>
      <c r="AQ424" t="s">
        <v>171</v>
      </c>
      <c r="AR424" t="s">
        <v>48</v>
      </c>
      <c r="AS424" t="s">
        <v>48</v>
      </c>
    </row>
    <row r="425" spans="1:54" x14ac:dyDescent="0.4">
      <c r="A425" t="s">
        <v>1055</v>
      </c>
      <c r="B425" t="s">
        <v>10</v>
      </c>
      <c r="C425" t="s">
        <v>1056</v>
      </c>
      <c r="D425" t="s">
        <v>11</v>
      </c>
      <c r="E425" s="2">
        <v>3.8E-3</v>
      </c>
      <c r="F425" t="s">
        <v>1057</v>
      </c>
      <c r="G425" s="4" t="s">
        <v>1058</v>
      </c>
      <c r="H425" t="s">
        <v>1056</v>
      </c>
      <c r="I425" t="s">
        <v>1059</v>
      </c>
      <c r="J425" t="s">
        <v>1060</v>
      </c>
      <c r="K425" t="s">
        <v>23</v>
      </c>
      <c r="L425" s="2">
        <v>5.1249999999999997E-2</v>
      </c>
      <c r="M425" t="s">
        <v>1061</v>
      </c>
      <c r="N425" t="s">
        <v>28</v>
      </c>
      <c r="O425" t="s">
        <v>883</v>
      </c>
      <c r="P425" t="s">
        <v>1062</v>
      </c>
      <c r="Q425" t="s">
        <v>1062</v>
      </c>
      <c r="R425" t="s">
        <v>1063</v>
      </c>
      <c r="S425" t="s">
        <v>1064</v>
      </c>
      <c r="T425" t="s">
        <v>1065</v>
      </c>
      <c r="U425" t="s">
        <v>1065</v>
      </c>
      <c r="V425" s="1">
        <v>110785</v>
      </c>
      <c r="W425" t="s">
        <v>1066</v>
      </c>
      <c r="X425" t="s">
        <v>1066</v>
      </c>
      <c r="Y425" t="s">
        <v>1066</v>
      </c>
      <c r="Z425" t="s">
        <v>1066</v>
      </c>
      <c r="AA425" t="s">
        <v>1066</v>
      </c>
      <c r="AB425" s="2">
        <v>-4.1000000000000003E-3</v>
      </c>
      <c r="AC425" s="2">
        <v>8.0000000000000004E-4</v>
      </c>
      <c r="AD425" s="2">
        <v>1.9E-2</v>
      </c>
      <c r="AE425" s="2">
        <v>2.23E-2</v>
      </c>
      <c r="AF425" s="2">
        <v>8.4000000000000005E-2</v>
      </c>
      <c r="AG425" s="2">
        <v>8.4000000000000005E-2</v>
      </c>
      <c r="AH425" t="s">
        <v>1067</v>
      </c>
      <c r="AI425" t="s">
        <v>232</v>
      </c>
      <c r="AJ425" t="s">
        <v>131</v>
      </c>
      <c r="AK425" t="s">
        <v>40</v>
      </c>
      <c r="AL425">
        <v>1</v>
      </c>
      <c r="AM425" t="s">
        <v>41</v>
      </c>
      <c r="AN425" t="s">
        <v>42</v>
      </c>
      <c r="AO425" t="s">
        <v>883</v>
      </c>
      <c r="AP425" t="s">
        <v>225</v>
      </c>
      <c r="AQ425" t="s">
        <v>225</v>
      </c>
      <c r="AR425" t="s">
        <v>48</v>
      </c>
      <c r="AS425" t="s">
        <v>48</v>
      </c>
    </row>
    <row r="426" spans="1:54" x14ac:dyDescent="0.4">
      <c r="A426" t="s">
        <v>76</v>
      </c>
      <c r="B426" t="s">
        <v>10</v>
      </c>
      <c r="C426" t="s">
        <v>1710</v>
      </c>
      <c r="D426" t="s">
        <v>11</v>
      </c>
      <c r="E426" s="2">
        <v>-1.2999999999999999E-3</v>
      </c>
      <c r="F426" t="s">
        <v>12</v>
      </c>
      <c r="G426" s="4">
        <f>-0.13 / -0.13%</f>
        <v>100.00000000000001</v>
      </c>
      <c r="H426" t="s">
        <v>1710</v>
      </c>
      <c r="I426" t="s">
        <v>3192</v>
      </c>
      <c r="J426" t="s">
        <v>3193</v>
      </c>
      <c r="K426" t="s">
        <v>23</v>
      </c>
      <c r="L426" s="2">
        <v>2.8750000000000001E-2</v>
      </c>
      <c r="M426" t="s">
        <v>818</v>
      </c>
      <c r="N426" t="s">
        <v>28</v>
      </c>
      <c r="O426" t="s">
        <v>3194</v>
      </c>
      <c r="P426" t="s">
        <v>3195</v>
      </c>
      <c r="Q426" t="s">
        <v>3195</v>
      </c>
      <c r="R426" t="s">
        <v>2189</v>
      </c>
      <c r="S426" s="1">
        <v>96445</v>
      </c>
      <c r="T426" t="s">
        <v>3196</v>
      </c>
      <c r="U426" t="s">
        <v>774</v>
      </c>
      <c r="V426" t="s">
        <v>1289</v>
      </c>
      <c r="W426" t="s">
        <v>576</v>
      </c>
      <c r="X426" t="s">
        <v>576</v>
      </c>
      <c r="Y426" t="s">
        <v>576</v>
      </c>
      <c r="Z426" t="s">
        <v>576</v>
      </c>
      <c r="AA426" t="s">
        <v>3197</v>
      </c>
      <c r="AB426" s="2">
        <v>-8.3000000000000001E-3</v>
      </c>
      <c r="AC426" s="2">
        <v>-1.12E-2</v>
      </c>
      <c r="AD426" s="2">
        <v>9.9000000000000008E-3</v>
      </c>
      <c r="AE426" s="2">
        <v>1.9800000000000002E-2</v>
      </c>
      <c r="AF426" s="2">
        <v>6.5100000000000005E-2</v>
      </c>
      <c r="AG426" s="2">
        <v>-0.1179</v>
      </c>
      <c r="AH426" t="s">
        <v>1067</v>
      </c>
      <c r="AI426" t="s">
        <v>232</v>
      </c>
      <c r="AJ426" t="s">
        <v>131</v>
      </c>
      <c r="AK426" t="s">
        <v>40</v>
      </c>
      <c r="AL426">
        <v>1</v>
      </c>
      <c r="AM426" t="s">
        <v>41</v>
      </c>
      <c r="AN426" t="s">
        <v>42</v>
      </c>
      <c r="AO426" t="s">
        <v>3194</v>
      </c>
      <c r="AP426" t="s">
        <v>225</v>
      </c>
      <c r="AQ426" t="s">
        <v>225</v>
      </c>
      <c r="AR426" t="s">
        <v>48</v>
      </c>
      <c r="AS426" t="s">
        <v>48</v>
      </c>
    </row>
    <row r="427" spans="1:54" x14ac:dyDescent="0.4">
      <c r="A427" t="s">
        <v>4216</v>
      </c>
      <c r="B427" t="s">
        <v>10</v>
      </c>
      <c r="C427" s="1">
        <v>99857</v>
      </c>
      <c r="D427" t="s">
        <v>11</v>
      </c>
      <c r="E427" s="2">
        <v>1E-4</v>
      </c>
      <c r="F427" t="s">
        <v>12</v>
      </c>
      <c r="G427" s="4" t="s">
        <v>3849</v>
      </c>
      <c r="H427" s="1">
        <v>99857</v>
      </c>
      <c r="I427" t="s">
        <v>4217</v>
      </c>
      <c r="J427" t="s">
        <v>4218</v>
      </c>
      <c r="K427" t="s">
        <v>23</v>
      </c>
      <c r="L427" s="2">
        <v>1.8749999999999999E-2</v>
      </c>
      <c r="M427" t="s">
        <v>818</v>
      </c>
      <c r="N427" t="s">
        <v>28</v>
      </c>
      <c r="O427" t="s">
        <v>3194</v>
      </c>
      <c r="P427" s="1">
        <v>99746</v>
      </c>
      <c r="Q427" s="1">
        <v>99367</v>
      </c>
      <c r="R427" s="1">
        <v>98863</v>
      </c>
      <c r="S427" s="1">
        <v>97882</v>
      </c>
      <c r="T427" s="1">
        <v>95844</v>
      </c>
      <c r="U427" s="1">
        <v>95485</v>
      </c>
      <c r="V427" s="1">
        <v>99857</v>
      </c>
      <c r="W427" s="1">
        <v>99857</v>
      </c>
      <c r="X427" s="1">
        <v>99857</v>
      </c>
      <c r="Y427" s="1">
        <v>99857</v>
      </c>
      <c r="Z427" s="1">
        <v>99857</v>
      </c>
      <c r="AA427" s="1">
        <v>104855</v>
      </c>
      <c r="AB427" s="2">
        <v>1.4E-3</v>
      </c>
      <c r="AC427" s="2">
        <v>4.7999999999999996E-3</v>
      </c>
      <c r="AD427" s="2">
        <v>1.01E-2</v>
      </c>
      <c r="AE427" s="2">
        <v>1.5599999999999999E-2</v>
      </c>
      <c r="AF427" s="2">
        <v>2.58E-2</v>
      </c>
      <c r="AG427" s="2">
        <v>-4.7699999999999999E-2</v>
      </c>
      <c r="AH427" t="s">
        <v>1067</v>
      </c>
      <c r="AI427" t="s">
        <v>232</v>
      </c>
      <c r="AJ427" t="s">
        <v>131</v>
      </c>
      <c r="AK427" t="s">
        <v>40</v>
      </c>
      <c r="AL427">
        <v>1</v>
      </c>
      <c r="AM427" t="s">
        <v>41</v>
      </c>
      <c r="AN427" t="s">
        <v>42</v>
      </c>
      <c r="AO427" t="s">
        <v>3194</v>
      </c>
      <c r="AP427" t="s">
        <v>225</v>
      </c>
      <c r="AQ427" t="s">
        <v>225</v>
      </c>
      <c r="AR427" t="s">
        <v>48</v>
      </c>
      <c r="AS427" t="s">
        <v>48</v>
      </c>
    </row>
    <row r="428" spans="1:54" x14ac:dyDescent="0.4">
      <c r="A428" t="s">
        <v>4462</v>
      </c>
      <c r="B428" t="s">
        <v>10</v>
      </c>
      <c r="C428" t="s">
        <v>5723</v>
      </c>
      <c r="D428" t="s">
        <v>11</v>
      </c>
      <c r="E428" s="2">
        <v>-5.9999999999999995E-4</v>
      </c>
      <c r="F428" t="s">
        <v>178</v>
      </c>
      <c r="G428" s="4">
        <f>-0.06 / -0.06%</f>
        <v>100</v>
      </c>
      <c r="H428" t="s">
        <v>5723</v>
      </c>
      <c r="I428" t="s">
        <v>5724</v>
      </c>
      <c r="J428" t="s">
        <v>5725</v>
      </c>
      <c r="K428" t="s">
        <v>23</v>
      </c>
      <c r="L428" s="2">
        <v>6.6750000000000004E-2</v>
      </c>
      <c r="M428" t="s">
        <v>684</v>
      </c>
      <c r="N428" t="s">
        <v>121</v>
      </c>
      <c r="O428" t="s">
        <v>5726</v>
      </c>
      <c r="P428" t="s">
        <v>5723</v>
      </c>
      <c r="Q428" t="s">
        <v>5723</v>
      </c>
      <c r="R428" t="s">
        <v>5727</v>
      </c>
      <c r="S428" t="s">
        <v>5728</v>
      </c>
      <c r="T428" t="s">
        <v>5728</v>
      </c>
      <c r="U428" t="s">
        <v>5728</v>
      </c>
      <c r="V428" t="s">
        <v>387</v>
      </c>
      <c r="W428" t="s">
        <v>5490</v>
      </c>
      <c r="X428" t="s">
        <v>4589</v>
      </c>
      <c r="Y428" t="s">
        <v>4589</v>
      </c>
      <c r="Z428" t="s">
        <v>4589</v>
      </c>
      <c r="AA428" t="s">
        <v>4589</v>
      </c>
      <c r="AB428" s="2">
        <v>-1.2699999999999999E-2</v>
      </c>
      <c r="AC428" s="2">
        <v>-1.61E-2</v>
      </c>
      <c r="AD428" s="2">
        <v>7.0900000000000005E-2</v>
      </c>
      <c r="AE428" s="2">
        <v>0.1273</v>
      </c>
      <c r="AF428" s="2">
        <v>9.7100000000000006E-2</v>
      </c>
      <c r="AG428" s="2">
        <v>0.12820000000000001</v>
      </c>
      <c r="AH428" t="s">
        <v>5729</v>
      </c>
      <c r="AI428" t="s">
        <v>130</v>
      </c>
      <c r="AJ428" t="s">
        <v>131</v>
      </c>
      <c r="AK428" t="s">
        <v>40</v>
      </c>
      <c r="AL428">
        <v>200</v>
      </c>
      <c r="AM428" t="s">
        <v>41</v>
      </c>
      <c r="AN428" t="s">
        <v>42</v>
      </c>
      <c r="AO428" t="s">
        <v>5726</v>
      </c>
      <c r="AP428" t="s">
        <v>2382</v>
      </c>
      <c r="AQ428">
        <v>200</v>
      </c>
      <c r="BA428" t="s">
        <v>197</v>
      </c>
      <c r="BB428" t="s">
        <v>61</v>
      </c>
    </row>
    <row r="429" spans="1:54" x14ac:dyDescent="0.4">
      <c r="A429" t="s">
        <v>4238</v>
      </c>
      <c r="B429" t="s">
        <v>10</v>
      </c>
      <c r="C429" t="s">
        <v>2114</v>
      </c>
      <c r="D429" t="s">
        <v>11</v>
      </c>
      <c r="E429" s="2">
        <v>4.6899999999999997E-2</v>
      </c>
      <c r="F429" t="s">
        <v>178</v>
      </c>
      <c r="G429" s="4" t="s">
        <v>4239</v>
      </c>
      <c r="H429" t="s">
        <v>2114</v>
      </c>
      <c r="I429" t="s">
        <v>4240</v>
      </c>
      <c r="J429" t="s">
        <v>4241</v>
      </c>
      <c r="K429" t="s">
        <v>23</v>
      </c>
      <c r="L429" s="2">
        <v>5.2650000000000002E-2</v>
      </c>
      <c r="M429" t="s">
        <v>4242</v>
      </c>
      <c r="N429" t="s">
        <v>636</v>
      </c>
      <c r="O429" t="s">
        <v>1202</v>
      </c>
      <c r="P429" t="s">
        <v>3134</v>
      </c>
      <c r="Q429" t="s">
        <v>637</v>
      </c>
      <c r="R429" t="s">
        <v>637</v>
      </c>
      <c r="S429" t="s">
        <v>4243</v>
      </c>
      <c r="T429" t="s">
        <v>4244</v>
      </c>
      <c r="U429" t="s">
        <v>4245</v>
      </c>
      <c r="V429" t="s">
        <v>2114</v>
      </c>
      <c r="W429" t="s">
        <v>2114</v>
      </c>
      <c r="X429" t="s">
        <v>2114</v>
      </c>
      <c r="Y429" t="s">
        <v>1586</v>
      </c>
      <c r="Z429" t="s">
        <v>1586</v>
      </c>
      <c r="AA429" t="s">
        <v>1586</v>
      </c>
      <c r="AB429" s="2">
        <v>4.4699999999999997E-2</v>
      </c>
      <c r="AC429" s="2">
        <v>4.9200000000000001E-2</v>
      </c>
      <c r="AD429" s="2">
        <v>3.4599999999999999E-2</v>
      </c>
      <c r="AE429" s="2">
        <v>5.2699999999999997E-2</v>
      </c>
      <c r="AF429" s="2">
        <v>0.24210000000000001</v>
      </c>
      <c r="AG429" s="2">
        <v>0.126</v>
      </c>
      <c r="AH429" t="s">
        <v>4246</v>
      </c>
      <c r="AI429" t="s">
        <v>130</v>
      </c>
      <c r="AJ429" t="s">
        <v>131</v>
      </c>
      <c r="AK429" t="s">
        <v>40</v>
      </c>
      <c r="AL429">
        <v>1</v>
      </c>
      <c r="AM429" t="s">
        <v>41</v>
      </c>
      <c r="AN429" t="s">
        <v>42</v>
      </c>
      <c r="AO429" t="s">
        <v>1202</v>
      </c>
      <c r="AP429" t="s">
        <v>643</v>
      </c>
      <c r="AQ429" t="s">
        <v>643</v>
      </c>
      <c r="AR429" t="s">
        <v>133</v>
      </c>
      <c r="AS429" t="s">
        <v>133</v>
      </c>
    </row>
    <row r="430" spans="1:54" x14ac:dyDescent="0.4">
      <c r="A430" t="s">
        <v>76</v>
      </c>
      <c r="B430" t="s">
        <v>10</v>
      </c>
      <c r="C430" t="s">
        <v>1310</v>
      </c>
      <c r="D430" t="s">
        <v>11</v>
      </c>
      <c r="E430" s="2">
        <v>-2E-3</v>
      </c>
      <c r="F430" t="s">
        <v>12</v>
      </c>
      <c r="G430" s="4">
        <f>-0.15 / -0.2%</f>
        <v>75</v>
      </c>
      <c r="H430" t="s">
        <v>1310</v>
      </c>
      <c r="I430" t="s">
        <v>7178</v>
      </c>
      <c r="J430" t="s">
        <v>7179</v>
      </c>
      <c r="K430" t="s">
        <v>23</v>
      </c>
      <c r="L430" s="2">
        <v>8.7500000000000008E-3</v>
      </c>
      <c r="M430" t="s">
        <v>2678</v>
      </c>
      <c r="N430" t="s">
        <v>28</v>
      </c>
      <c r="O430" t="s">
        <v>4250</v>
      </c>
      <c r="P430" t="s">
        <v>7180</v>
      </c>
      <c r="Q430" t="s">
        <v>7180</v>
      </c>
      <c r="R430" t="s">
        <v>7181</v>
      </c>
      <c r="S430" t="s">
        <v>7182</v>
      </c>
      <c r="T430" t="s">
        <v>7183</v>
      </c>
      <c r="U430" t="s">
        <v>7184</v>
      </c>
      <c r="V430" t="s">
        <v>2049</v>
      </c>
      <c r="W430" t="s">
        <v>7185</v>
      </c>
      <c r="X430" t="s">
        <v>7185</v>
      </c>
      <c r="Y430" t="s">
        <v>7185</v>
      </c>
      <c r="Z430" t="s">
        <v>7185</v>
      </c>
      <c r="AA430" t="s">
        <v>936</v>
      </c>
      <c r="AB430" s="2">
        <v>-1.5599999999999999E-2</v>
      </c>
      <c r="AC430" s="2">
        <v>-8.9999999999999993E-3</v>
      </c>
      <c r="AD430" s="2">
        <v>2.1700000000000001E-2</v>
      </c>
      <c r="AE430" s="2">
        <v>3.7900000000000003E-2</v>
      </c>
      <c r="AF430" s="2">
        <v>5.2200000000000003E-2</v>
      </c>
      <c r="AG430" s="2">
        <v>-0.23080000000000001</v>
      </c>
      <c r="AH430" t="s">
        <v>7186</v>
      </c>
      <c r="AI430" t="s">
        <v>130</v>
      </c>
      <c r="AJ430" t="s">
        <v>131</v>
      </c>
      <c r="AK430" t="s">
        <v>40</v>
      </c>
      <c r="AL430">
        <v>100</v>
      </c>
      <c r="AM430" t="s">
        <v>41</v>
      </c>
      <c r="AN430" t="s">
        <v>42</v>
      </c>
      <c r="AO430" t="s">
        <v>4250</v>
      </c>
      <c r="AP430" t="s">
        <v>5189</v>
      </c>
      <c r="AQ430" t="s">
        <v>5189</v>
      </c>
      <c r="AR430" t="s">
        <v>48</v>
      </c>
      <c r="AS430" t="s">
        <v>48</v>
      </c>
    </row>
    <row r="431" spans="1:54" x14ac:dyDescent="0.4">
      <c r="A431" t="s">
        <v>4453</v>
      </c>
      <c r="B431" t="s">
        <v>10</v>
      </c>
      <c r="C431" t="s">
        <v>2806</v>
      </c>
      <c r="D431" t="s">
        <v>11</v>
      </c>
      <c r="E431" s="2">
        <v>-2.0000000000000001E-4</v>
      </c>
      <c r="F431" t="s">
        <v>178</v>
      </c>
      <c r="G431" s="4">
        <f>-0.02 / -0.02%</f>
        <v>100</v>
      </c>
      <c r="H431" t="s">
        <v>2806</v>
      </c>
      <c r="I431" t="s">
        <v>5565</v>
      </c>
      <c r="J431" t="s">
        <v>5566</v>
      </c>
      <c r="K431" t="s">
        <v>23</v>
      </c>
      <c r="L431" s="2">
        <v>4.8750000000000002E-2</v>
      </c>
      <c r="M431" t="s">
        <v>5567</v>
      </c>
      <c r="N431" t="s">
        <v>121</v>
      </c>
      <c r="O431" t="s">
        <v>1673</v>
      </c>
      <c r="P431" t="s">
        <v>3036</v>
      </c>
      <c r="Q431" t="s">
        <v>3036</v>
      </c>
      <c r="R431" t="s">
        <v>3036</v>
      </c>
      <c r="S431" t="s">
        <v>3036</v>
      </c>
      <c r="T431" t="s">
        <v>3036</v>
      </c>
      <c r="U431" t="s">
        <v>3036</v>
      </c>
      <c r="V431" t="s">
        <v>1170</v>
      </c>
      <c r="W431" t="s">
        <v>5568</v>
      </c>
      <c r="X431" t="s">
        <v>5568</v>
      </c>
      <c r="Y431" t="s">
        <v>5568</v>
      </c>
      <c r="Z431" t="s">
        <v>5568</v>
      </c>
      <c r="AA431" t="s">
        <v>5568</v>
      </c>
      <c r="AB431" s="2">
        <v>-1.6000000000000001E-3</v>
      </c>
      <c r="AC431" s="2">
        <v>-6.1000000000000004E-3</v>
      </c>
      <c r="AD431" s="2">
        <v>-6.1000000000000004E-3</v>
      </c>
      <c r="AE431" s="2">
        <v>-6.1000000000000004E-3</v>
      </c>
      <c r="AF431" s="2">
        <v>-6.1000000000000004E-3</v>
      </c>
      <c r="AG431" s="2">
        <v>-6.1000000000000004E-3</v>
      </c>
      <c r="AH431" t="s">
        <v>5569</v>
      </c>
      <c r="AI431" t="s">
        <v>130</v>
      </c>
      <c r="AJ431" t="s">
        <v>131</v>
      </c>
      <c r="AK431" t="s">
        <v>40</v>
      </c>
      <c r="AL431">
        <v>2</v>
      </c>
      <c r="AM431" t="s">
        <v>41</v>
      </c>
      <c r="AN431" t="s">
        <v>42</v>
      </c>
      <c r="AO431" t="s">
        <v>1673</v>
      </c>
      <c r="AP431" t="s">
        <v>357</v>
      </c>
      <c r="AQ431" t="s">
        <v>357</v>
      </c>
      <c r="AR431" t="s">
        <v>133</v>
      </c>
      <c r="AS431" t="s">
        <v>133</v>
      </c>
    </row>
    <row r="432" spans="1:54" x14ac:dyDescent="0.4">
      <c r="A432" t="s">
        <v>4518</v>
      </c>
      <c r="B432" t="s">
        <v>10</v>
      </c>
      <c r="C432" t="s">
        <v>217</v>
      </c>
      <c r="D432" t="s">
        <v>11</v>
      </c>
      <c r="E432" s="2">
        <v>2.9999999999999997E-4</v>
      </c>
      <c r="F432" t="s">
        <v>12</v>
      </c>
      <c r="G432" s="4" t="s">
        <v>4873</v>
      </c>
      <c r="H432" t="s">
        <v>217</v>
      </c>
      <c r="I432" t="s">
        <v>4874</v>
      </c>
      <c r="J432" t="s">
        <v>4875</v>
      </c>
      <c r="K432" t="s">
        <v>23</v>
      </c>
      <c r="L432" s="2">
        <v>0.04</v>
      </c>
      <c r="M432" t="s">
        <v>3015</v>
      </c>
      <c r="N432" t="s">
        <v>121</v>
      </c>
      <c r="O432" t="s">
        <v>4876</v>
      </c>
      <c r="P432" s="1">
        <v>99672</v>
      </c>
      <c r="Q432" s="1">
        <v>99408</v>
      </c>
      <c r="R432" t="s">
        <v>1457</v>
      </c>
      <c r="S432" s="1">
        <v>98203</v>
      </c>
      <c r="T432" s="1">
        <v>96265</v>
      </c>
      <c r="U432" t="s">
        <v>190</v>
      </c>
      <c r="V432" t="s">
        <v>217</v>
      </c>
      <c r="W432" t="s">
        <v>217</v>
      </c>
      <c r="X432" t="s">
        <v>217</v>
      </c>
      <c r="Y432" t="s">
        <v>217</v>
      </c>
      <c r="Z432" t="s">
        <v>217</v>
      </c>
      <c r="AA432" t="s">
        <v>4877</v>
      </c>
      <c r="AB432" s="2">
        <v>1.8E-3</v>
      </c>
      <c r="AC432" s="2">
        <v>3.8999999999999998E-3</v>
      </c>
      <c r="AD432" s="2">
        <v>9.5999999999999992E-3</v>
      </c>
      <c r="AE432" s="2">
        <v>1.4999999999999999E-2</v>
      </c>
      <c r="AF432" s="2">
        <v>2.53E-2</v>
      </c>
      <c r="AG432" s="2">
        <v>-5.6099999999999997E-2</v>
      </c>
      <c r="AH432" t="s">
        <v>4878</v>
      </c>
      <c r="AI432" t="s">
        <v>130</v>
      </c>
      <c r="AJ432" t="s">
        <v>131</v>
      </c>
      <c r="AK432" t="s">
        <v>40</v>
      </c>
      <c r="AL432">
        <v>2</v>
      </c>
      <c r="AM432" t="s">
        <v>41</v>
      </c>
      <c r="AN432" t="s">
        <v>42</v>
      </c>
      <c r="AO432" t="s">
        <v>4876</v>
      </c>
      <c r="AP432" t="s">
        <v>225</v>
      </c>
      <c r="AQ432" t="s">
        <v>225</v>
      </c>
      <c r="AR432" t="s">
        <v>133</v>
      </c>
      <c r="AS432" t="s">
        <v>133</v>
      </c>
    </row>
    <row r="433" spans="1:54" x14ac:dyDescent="0.4">
      <c r="A433" t="s">
        <v>296</v>
      </c>
      <c r="B433" t="s">
        <v>10</v>
      </c>
      <c r="C433" t="s">
        <v>2042</v>
      </c>
      <c r="D433" t="s">
        <v>11</v>
      </c>
      <c r="E433" s="2">
        <v>-1.8E-3</v>
      </c>
      <c r="F433" t="s">
        <v>12</v>
      </c>
      <c r="G433" s="4">
        <f>-0.18 / -0.18%</f>
        <v>100</v>
      </c>
      <c r="H433" t="s">
        <v>2042</v>
      </c>
      <c r="I433" t="s">
        <v>5570</v>
      </c>
      <c r="J433" t="s">
        <v>5571</v>
      </c>
      <c r="K433" t="s">
        <v>23</v>
      </c>
      <c r="L433" s="2">
        <v>5.8500000000000003E-2</v>
      </c>
      <c r="M433" t="s">
        <v>5572</v>
      </c>
      <c r="N433" t="s">
        <v>121</v>
      </c>
      <c r="O433" t="s">
        <v>1223</v>
      </c>
      <c r="P433" t="s">
        <v>343</v>
      </c>
      <c r="Q433" t="s">
        <v>343</v>
      </c>
      <c r="R433" t="s">
        <v>343</v>
      </c>
      <c r="S433" s="1">
        <v>99135</v>
      </c>
      <c r="T433" t="s">
        <v>1098</v>
      </c>
      <c r="U433" t="s">
        <v>1098</v>
      </c>
      <c r="V433" t="s">
        <v>128</v>
      </c>
      <c r="W433" t="s">
        <v>5573</v>
      </c>
      <c r="X433" s="1">
        <v>105355</v>
      </c>
      <c r="Y433" s="1">
        <v>105355</v>
      </c>
      <c r="Z433" s="1">
        <v>105355</v>
      </c>
      <c r="AA433" s="1">
        <v>105355</v>
      </c>
      <c r="AB433" s="2">
        <v>-4.7999999999999996E-3</v>
      </c>
      <c r="AC433" s="2">
        <v>-1.41E-2</v>
      </c>
      <c r="AD433" s="2">
        <v>-9.4999999999999998E-3</v>
      </c>
      <c r="AE433" s="2">
        <v>-2.3E-3</v>
      </c>
      <c r="AF433" s="2">
        <v>8.0999999999999996E-3</v>
      </c>
      <c r="AG433" s="2">
        <v>8.0999999999999996E-3</v>
      </c>
      <c r="AH433" t="s">
        <v>3299</v>
      </c>
      <c r="AI433" t="s">
        <v>130</v>
      </c>
      <c r="AJ433" t="s">
        <v>131</v>
      </c>
      <c r="AK433" t="s">
        <v>40</v>
      </c>
      <c r="AL433">
        <v>2</v>
      </c>
      <c r="AM433" t="s">
        <v>41</v>
      </c>
      <c r="AN433" t="s">
        <v>42</v>
      </c>
      <c r="AO433" t="s">
        <v>1223</v>
      </c>
      <c r="AP433" t="s">
        <v>407</v>
      </c>
      <c r="AQ433" t="s">
        <v>407</v>
      </c>
      <c r="AR433" t="s">
        <v>133</v>
      </c>
      <c r="AS433" t="s">
        <v>133</v>
      </c>
    </row>
    <row r="434" spans="1:54" x14ac:dyDescent="0.4">
      <c r="A434" t="s">
        <v>161</v>
      </c>
      <c r="B434" t="s">
        <v>10</v>
      </c>
      <c r="C434" t="s">
        <v>387</v>
      </c>
      <c r="D434" t="s">
        <v>11</v>
      </c>
      <c r="E434" s="2">
        <v>4.7999999999999996E-3</v>
      </c>
      <c r="F434" t="s">
        <v>12</v>
      </c>
      <c r="G434" s="4" t="s">
        <v>3291</v>
      </c>
      <c r="H434" t="s">
        <v>387</v>
      </c>
      <c r="I434" t="s">
        <v>3292</v>
      </c>
      <c r="J434" t="s">
        <v>3293</v>
      </c>
      <c r="K434" t="s">
        <v>23</v>
      </c>
      <c r="L434" s="2">
        <v>5.45E-2</v>
      </c>
      <c r="M434" t="s">
        <v>3294</v>
      </c>
      <c r="N434" t="s">
        <v>121</v>
      </c>
      <c r="O434" t="s">
        <v>3295</v>
      </c>
      <c r="P434" t="s">
        <v>3296</v>
      </c>
      <c r="Q434" t="s">
        <v>3296</v>
      </c>
      <c r="R434" t="s">
        <v>3296</v>
      </c>
      <c r="S434" t="s">
        <v>3296</v>
      </c>
      <c r="T434" t="s">
        <v>3296</v>
      </c>
      <c r="U434" t="s">
        <v>3296</v>
      </c>
      <c r="V434" t="s">
        <v>3297</v>
      </c>
      <c r="W434" t="s">
        <v>96</v>
      </c>
      <c r="X434" t="s">
        <v>3298</v>
      </c>
      <c r="Y434" t="s">
        <v>3298</v>
      </c>
      <c r="Z434" t="s">
        <v>3298</v>
      </c>
      <c r="AA434" t="s">
        <v>3298</v>
      </c>
      <c r="AB434" s="2">
        <v>-1E-3</v>
      </c>
      <c r="AC434" s="2">
        <v>-1.9699999999999999E-2</v>
      </c>
      <c r="AD434" s="2">
        <v>-3.4099999999999998E-2</v>
      </c>
      <c r="AE434" s="2">
        <v>-3.4099999999999998E-2</v>
      </c>
      <c r="AF434" s="2">
        <v>-3.4099999999999998E-2</v>
      </c>
      <c r="AG434" s="2">
        <v>-3.4099999999999998E-2</v>
      </c>
      <c r="AH434" t="s">
        <v>3299</v>
      </c>
      <c r="AI434" t="s">
        <v>130</v>
      </c>
      <c r="AJ434" t="s">
        <v>131</v>
      </c>
      <c r="AK434" t="s">
        <v>40</v>
      </c>
      <c r="AL434">
        <v>2</v>
      </c>
      <c r="AM434" t="s">
        <v>41</v>
      </c>
      <c r="AN434" t="s">
        <v>42</v>
      </c>
      <c r="AO434" t="s">
        <v>3295</v>
      </c>
      <c r="AP434" t="s">
        <v>357</v>
      </c>
      <c r="AQ434" t="s">
        <v>357</v>
      </c>
      <c r="AR434" t="s">
        <v>133</v>
      </c>
      <c r="AS434" t="s">
        <v>133</v>
      </c>
    </row>
    <row r="435" spans="1:54" x14ac:dyDescent="0.4">
      <c r="A435" t="s">
        <v>4160</v>
      </c>
      <c r="B435" t="s">
        <v>10</v>
      </c>
      <c r="C435" t="s">
        <v>4161</v>
      </c>
      <c r="D435" t="s">
        <v>11</v>
      </c>
      <c r="E435" s="2">
        <v>0</v>
      </c>
      <c r="F435" t="s">
        <v>310</v>
      </c>
      <c r="G435" s="4" t="s">
        <v>15</v>
      </c>
      <c r="H435" t="s">
        <v>4161</v>
      </c>
      <c r="I435" t="s">
        <v>4162</v>
      </c>
      <c r="J435" t="s">
        <v>4163</v>
      </c>
      <c r="K435" t="s">
        <v>23</v>
      </c>
      <c r="L435" s="2">
        <v>7.2499999999999995E-2</v>
      </c>
      <c r="M435" t="s">
        <v>4164</v>
      </c>
      <c r="N435" t="s">
        <v>28</v>
      </c>
      <c r="O435" t="s">
        <v>4165</v>
      </c>
      <c r="P435" s="1">
        <v>2005</v>
      </c>
      <c r="Q435" s="1">
        <v>2005</v>
      </c>
      <c r="R435" s="1">
        <v>2005</v>
      </c>
      <c r="S435" s="1">
        <v>1665</v>
      </c>
      <c r="T435" t="s">
        <v>3798</v>
      </c>
      <c r="U435" t="s">
        <v>3798</v>
      </c>
      <c r="V435" t="s">
        <v>4161</v>
      </c>
      <c r="W435" t="s">
        <v>4161</v>
      </c>
      <c r="X435" t="s">
        <v>4161</v>
      </c>
      <c r="Y435" t="s">
        <v>4161</v>
      </c>
      <c r="Z435" t="s">
        <v>4161</v>
      </c>
      <c r="AA435" t="s">
        <v>4161</v>
      </c>
      <c r="AB435" s="2">
        <v>0.14940000000000001</v>
      </c>
      <c r="AC435" s="2">
        <v>0.15379999999999999</v>
      </c>
      <c r="AD435" s="2">
        <v>0.46700000000000003</v>
      </c>
      <c r="AE435" s="2">
        <v>0.74929999999999997</v>
      </c>
      <c r="AF435" s="2">
        <v>0.5</v>
      </c>
      <c r="AG435" s="2">
        <v>0.46339999999999998</v>
      </c>
      <c r="AH435" t="s">
        <v>4166</v>
      </c>
      <c r="AI435" t="s">
        <v>232</v>
      </c>
      <c r="AJ435" t="s">
        <v>131</v>
      </c>
      <c r="AK435" t="s">
        <v>40</v>
      </c>
      <c r="AL435">
        <v>1</v>
      </c>
      <c r="AM435" t="s">
        <v>41</v>
      </c>
      <c r="AN435" t="s">
        <v>42</v>
      </c>
      <c r="AO435" t="s">
        <v>4165</v>
      </c>
      <c r="AP435" t="s">
        <v>978</v>
      </c>
      <c r="AQ435">
        <v>1</v>
      </c>
      <c r="BA435" t="s">
        <v>197</v>
      </c>
      <c r="BB435" t="s">
        <v>61</v>
      </c>
    </row>
    <row r="436" spans="1:54" x14ac:dyDescent="0.4">
      <c r="A436" t="s">
        <v>4381</v>
      </c>
      <c r="B436" t="s">
        <v>10</v>
      </c>
      <c r="C436" t="s">
        <v>4382</v>
      </c>
      <c r="D436" t="s">
        <v>11</v>
      </c>
      <c r="E436" s="2">
        <v>0</v>
      </c>
      <c r="F436" t="s">
        <v>178</v>
      </c>
      <c r="G436" s="4" t="s">
        <v>15</v>
      </c>
      <c r="H436" t="s">
        <v>4382</v>
      </c>
      <c r="I436" t="s">
        <v>4383</v>
      </c>
      <c r="J436" t="s">
        <v>4384</v>
      </c>
      <c r="K436" t="s">
        <v>23</v>
      </c>
      <c r="L436" s="2">
        <v>7.2499999999999995E-2</v>
      </c>
      <c r="M436" t="s">
        <v>4385</v>
      </c>
      <c r="N436" t="s">
        <v>28</v>
      </c>
      <c r="O436" t="s">
        <v>4386</v>
      </c>
      <c r="P436" s="1">
        <v>2751</v>
      </c>
      <c r="Q436" s="1">
        <v>2155</v>
      </c>
      <c r="R436" s="1">
        <v>2105</v>
      </c>
      <c r="S436" s="1">
        <v>1565</v>
      </c>
      <c r="T436" t="s">
        <v>3798</v>
      </c>
      <c r="U436" t="s">
        <v>3798</v>
      </c>
      <c r="V436" t="s">
        <v>4382</v>
      </c>
      <c r="W436" t="s">
        <v>4387</v>
      </c>
      <c r="X436" t="s">
        <v>4387</v>
      </c>
      <c r="Y436" t="s">
        <v>4387</v>
      </c>
      <c r="Z436" t="s">
        <v>4387</v>
      </c>
      <c r="AA436" t="s">
        <v>4387</v>
      </c>
      <c r="AB436" s="2">
        <v>0.1668</v>
      </c>
      <c r="AC436" s="2">
        <v>0.25879999999999997</v>
      </c>
      <c r="AD436" s="2">
        <v>0.52490000000000003</v>
      </c>
      <c r="AE436" s="2">
        <v>1</v>
      </c>
      <c r="AF436" s="2">
        <v>0.6895</v>
      </c>
      <c r="AG436" s="2">
        <v>0.52129999999999999</v>
      </c>
      <c r="AH436" t="s">
        <v>4166</v>
      </c>
      <c r="AI436" t="s">
        <v>232</v>
      </c>
      <c r="AJ436" t="s">
        <v>131</v>
      </c>
      <c r="AK436" t="s">
        <v>40</v>
      </c>
      <c r="AL436">
        <v>1</v>
      </c>
      <c r="AM436" t="s">
        <v>41</v>
      </c>
      <c r="AN436" t="s">
        <v>42</v>
      </c>
      <c r="AO436" t="s">
        <v>4386</v>
      </c>
      <c r="AP436" t="s">
        <v>1546</v>
      </c>
      <c r="AQ436">
        <v>1</v>
      </c>
      <c r="BA436" t="s">
        <v>197</v>
      </c>
      <c r="BB436" t="s">
        <v>61</v>
      </c>
    </row>
    <row r="437" spans="1:54" x14ac:dyDescent="0.4">
      <c r="A437" t="s">
        <v>4518</v>
      </c>
      <c r="B437" t="s">
        <v>10</v>
      </c>
      <c r="C437" t="s">
        <v>6194</v>
      </c>
      <c r="D437" t="s">
        <v>11</v>
      </c>
      <c r="E437" s="2">
        <v>-3.5999999999999999E-3</v>
      </c>
      <c r="F437" t="s">
        <v>12</v>
      </c>
      <c r="G437" s="4">
        <f>-0.32 / -0.36%</f>
        <v>88.8888888888889</v>
      </c>
      <c r="H437" t="s">
        <v>6194</v>
      </c>
      <c r="I437" t="s">
        <v>6195</v>
      </c>
      <c r="J437" t="s">
        <v>6196</v>
      </c>
      <c r="K437" t="s">
        <v>23</v>
      </c>
      <c r="L437" s="2">
        <v>4.7500000000000001E-2</v>
      </c>
      <c r="M437" t="s">
        <v>6197</v>
      </c>
      <c r="N437" t="s">
        <v>121</v>
      </c>
      <c r="O437" t="s">
        <v>6198</v>
      </c>
      <c r="P437" t="s">
        <v>5881</v>
      </c>
      <c r="Q437" t="s">
        <v>5881</v>
      </c>
      <c r="R437" t="s">
        <v>5881</v>
      </c>
      <c r="S437" t="s">
        <v>1087</v>
      </c>
      <c r="T437" t="s">
        <v>6199</v>
      </c>
      <c r="U437" t="s">
        <v>6199</v>
      </c>
      <c r="V437" t="s">
        <v>6200</v>
      </c>
      <c r="W437" t="s">
        <v>631</v>
      </c>
      <c r="X437" t="s">
        <v>6201</v>
      </c>
      <c r="Y437" t="s">
        <v>6201</v>
      </c>
      <c r="Z437" t="s">
        <v>598</v>
      </c>
      <c r="AA437" t="s">
        <v>6202</v>
      </c>
      <c r="AB437" s="2">
        <v>-4.1999999999999997E-3</v>
      </c>
      <c r="AC437" s="2">
        <v>-3.6499999999999998E-2</v>
      </c>
      <c r="AD437" s="2">
        <v>-1.9599999999999999E-2</v>
      </c>
      <c r="AE437" s="2">
        <v>-4.9700000000000001E-2</v>
      </c>
      <c r="AF437" s="2">
        <v>-9.3100000000000002E-2</v>
      </c>
      <c r="AG437" s="2">
        <v>-0.27679999999999999</v>
      </c>
      <c r="AH437" t="s">
        <v>6203</v>
      </c>
      <c r="AI437" t="s">
        <v>130</v>
      </c>
      <c r="AJ437" t="s">
        <v>131</v>
      </c>
      <c r="AK437" t="s">
        <v>40</v>
      </c>
      <c r="AL437">
        <v>2</v>
      </c>
      <c r="AM437" t="s">
        <v>41</v>
      </c>
      <c r="AN437" t="s">
        <v>42</v>
      </c>
      <c r="AO437" t="s">
        <v>6198</v>
      </c>
      <c r="AP437" t="s">
        <v>5182</v>
      </c>
      <c r="AQ437" t="s">
        <v>5182</v>
      </c>
      <c r="AR437" t="s">
        <v>133</v>
      </c>
      <c r="AS437" t="s">
        <v>133</v>
      </c>
    </row>
    <row r="438" spans="1:54" x14ac:dyDescent="0.4">
      <c r="A438" t="s">
        <v>251</v>
      </c>
      <c r="B438" t="s">
        <v>10</v>
      </c>
      <c r="C438" t="s">
        <v>1670</v>
      </c>
      <c r="D438" t="s">
        <v>11</v>
      </c>
      <c r="E438" s="2">
        <v>3.2000000000000002E-3</v>
      </c>
      <c r="F438" t="s">
        <v>12</v>
      </c>
      <c r="G438" s="4" t="s">
        <v>6204</v>
      </c>
      <c r="H438" t="s">
        <v>1670</v>
      </c>
      <c r="I438" t="s">
        <v>6205</v>
      </c>
      <c r="J438" t="s">
        <v>6206</v>
      </c>
      <c r="K438" t="s">
        <v>23</v>
      </c>
      <c r="L438" s="2">
        <v>6.3750000000000001E-2</v>
      </c>
      <c r="M438" t="s">
        <v>6207</v>
      </c>
      <c r="N438" t="s">
        <v>121</v>
      </c>
      <c r="O438" t="s">
        <v>6208</v>
      </c>
      <c r="P438" t="s">
        <v>5935</v>
      </c>
      <c r="Q438" t="s">
        <v>5935</v>
      </c>
      <c r="R438" t="s">
        <v>5935</v>
      </c>
      <c r="S438" t="s">
        <v>5935</v>
      </c>
      <c r="T438" t="s">
        <v>6209</v>
      </c>
      <c r="U438" t="s">
        <v>6209</v>
      </c>
      <c r="V438" t="s">
        <v>6210</v>
      </c>
      <c r="W438" t="s">
        <v>1734</v>
      </c>
      <c r="X438" t="s">
        <v>6211</v>
      </c>
      <c r="Y438" t="s">
        <v>6211</v>
      </c>
      <c r="Z438" t="s">
        <v>6212</v>
      </c>
      <c r="AA438" t="s">
        <v>6213</v>
      </c>
      <c r="AB438" s="2">
        <v>-1.6000000000000001E-3</v>
      </c>
      <c r="AC438" s="2">
        <v>-3.39E-2</v>
      </c>
      <c r="AD438" s="2">
        <v>-2.2499999999999999E-2</v>
      </c>
      <c r="AE438" s="2">
        <v>-5.5100000000000003E-2</v>
      </c>
      <c r="AF438" s="2">
        <v>-8.8999999999999996E-2</v>
      </c>
      <c r="AG438" s="2">
        <v>-0.2387</v>
      </c>
      <c r="AH438" t="s">
        <v>6214</v>
      </c>
      <c r="AI438" t="s">
        <v>130</v>
      </c>
      <c r="AJ438" t="s">
        <v>131</v>
      </c>
      <c r="AK438" t="s">
        <v>40</v>
      </c>
      <c r="AL438">
        <v>2</v>
      </c>
      <c r="AM438" t="s">
        <v>41</v>
      </c>
      <c r="AN438" t="s">
        <v>42</v>
      </c>
      <c r="AO438" t="s">
        <v>6208</v>
      </c>
      <c r="AP438" t="s">
        <v>3035</v>
      </c>
      <c r="AQ438" t="s">
        <v>3035</v>
      </c>
      <c r="AR438" t="s">
        <v>133</v>
      </c>
      <c r="AS438" t="s">
        <v>133</v>
      </c>
    </row>
    <row r="439" spans="1:54" x14ac:dyDescent="0.4">
      <c r="A439" t="s">
        <v>251</v>
      </c>
      <c r="B439" t="s">
        <v>10</v>
      </c>
      <c r="C439" t="s">
        <v>4731</v>
      </c>
      <c r="D439" t="s">
        <v>11</v>
      </c>
      <c r="E439" s="2">
        <v>5.7000000000000002E-3</v>
      </c>
      <c r="F439" t="s">
        <v>12</v>
      </c>
      <c r="G439" s="4" t="s">
        <v>6888</v>
      </c>
      <c r="H439" t="s">
        <v>4731</v>
      </c>
      <c r="I439" t="s">
        <v>6889</v>
      </c>
      <c r="J439" t="s">
        <v>6890</v>
      </c>
      <c r="K439" t="s">
        <v>23</v>
      </c>
      <c r="L439" s="2">
        <v>4.4999999999999998E-2</v>
      </c>
      <c r="M439" t="s">
        <v>6891</v>
      </c>
      <c r="N439" t="s">
        <v>121</v>
      </c>
      <c r="O439" t="s">
        <v>6067</v>
      </c>
      <c r="P439" t="s">
        <v>6639</v>
      </c>
      <c r="Q439" t="s">
        <v>6639</v>
      </c>
      <c r="R439" t="s">
        <v>6639</v>
      </c>
      <c r="S439" t="s">
        <v>6892</v>
      </c>
      <c r="T439" t="s">
        <v>5192</v>
      </c>
      <c r="U439" t="s">
        <v>5192</v>
      </c>
      <c r="V439" t="s">
        <v>6862</v>
      </c>
      <c r="W439" t="s">
        <v>2589</v>
      </c>
      <c r="X439" t="s">
        <v>1959</v>
      </c>
      <c r="Y439" t="s">
        <v>1959</v>
      </c>
      <c r="Z439" t="s">
        <v>1959</v>
      </c>
      <c r="AA439" t="s">
        <v>5561</v>
      </c>
      <c r="AB439" s="2">
        <v>8.0000000000000004E-4</v>
      </c>
      <c r="AC439" s="2">
        <v>-1.7899999999999999E-2</v>
      </c>
      <c r="AD439" s="2">
        <v>1.35E-2</v>
      </c>
      <c r="AE439" s="2">
        <v>5.0799999999999998E-2</v>
      </c>
      <c r="AF439" s="2">
        <v>5.1200000000000002E-2</v>
      </c>
      <c r="AG439" s="2">
        <v>-0.21340000000000001</v>
      </c>
      <c r="AH439" t="s">
        <v>6893</v>
      </c>
      <c r="AI439" t="s">
        <v>130</v>
      </c>
      <c r="AJ439" t="s">
        <v>131</v>
      </c>
      <c r="AK439" t="s">
        <v>40</v>
      </c>
      <c r="AL439">
        <v>2</v>
      </c>
      <c r="AM439" t="s">
        <v>41</v>
      </c>
      <c r="AN439" t="s">
        <v>42</v>
      </c>
      <c r="AO439" t="s">
        <v>6067</v>
      </c>
      <c r="AP439" t="s">
        <v>5855</v>
      </c>
      <c r="AQ439" t="s">
        <v>5855</v>
      </c>
      <c r="AR439" t="s">
        <v>133</v>
      </c>
      <c r="AS439" t="s">
        <v>133</v>
      </c>
    </row>
    <row r="440" spans="1:54" x14ac:dyDescent="0.4">
      <c r="A440" t="s">
        <v>251</v>
      </c>
      <c r="B440" t="s">
        <v>10</v>
      </c>
      <c r="C440" t="s">
        <v>110</v>
      </c>
      <c r="D440" t="s">
        <v>11</v>
      </c>
      <c r="E440" s="2">
        <v>-5.0000000000000001E-4</v>
      </c>
      <c r="F440" t="s">
        <v>12</v>
      </c>
      <c r="G440" s="4">
        <f>-0.05 / -0.05%</f>
        <v>100</v>
      </c>
      <c r="H440" t="s">
        <v>110</v>
      </c>
      <c r="I440" t="s">
        <v>252</v>
      </c>
      <c r="J440" t="s">
        <v>253</v>
      </c>
      <c r="K440" t="s">
        <v>23</v>
      </c>
      <c r="L440" s="2">
        <v>3.95E-2</v>
      </c>
      <c r="M440" t="s">
        <v>254</v>
      </c>
      <c r="N440" t="s">
        <v>28</v>
      </c>
      <c r="O440" t="s">
        <v>255</v>
      </c>
      <c r="P440" t="s">
        <v>217</v>
      </c>
      <c r="Q440" t="s">
        <v>256</v>
      </c>
      <c r="R440" t="s">
        <v>257</v>
      </c>
      <c r="S440" t="s">
        <v>257</v>
      </c>
      <c r="T440" t="s">
        <v>177</v>
      </c>
      <c r="U440" t="s">
        <v>258</v>
      </c>
      <c r="V440" t="s">
        <v>259</v>
      </c>
      <c r="W440" t="s">
        <v>259</v>
      </c>
      <c r="X440" t="s">
        <v>260</v>
      </c>
      <c r="Y440" t="s">
        <v>261</v>
      </c>
      <c r="Z440" t="s">
        <v>262</v>
      </c>
      <c r="AA440" t="s">
        <v>263</v>
      </c>
      <c r="AB440" s="2">
        <v>1E-4</v>
      </c>
      <c r="AC440" s="2">
        <v>-5.0000000000000001E-4</v>
      </c>
      <c r="AD440" s="2">
        <v>1E-3</v>
      </c>
      <c r="AE440" s="2">
        <v>1.5E-3</v>
      </c>
      <c r="AF440" s="2">
        <v>3.0300000000000001E-2</v>
      </c>
      <c r="AG440" s="2">
        <v>-5.7000000000000002E-2</v>
      </c>
      <c r="AH440" t="s">
        <v>264</v>
      </c>
      <c r="AI440" t="s">
        <v>130</v>
      </c>
      <c r="AJ440" t="s">
        <v>131</v>
      </c>
      <c r="AK440" t="s">
        <v>40</v>
      </c>
      <c r="AL440">
        <v>1</v>
      </c>
      <c r="AM440" t="s">
        <v>41</v>
      </c>
      <c r="AN440" t="s">
        <v>42</v>
      </c>
      <c r="AO440" t="s">
        <v>255</v>
      </c>
      <c r="AP440" t="s">
        <v>265</v>
      </c>
      <c r="AQ440" t="s">
        <v>266</v>
      </c>
      <c r="AR440" t="s">
        <v>48</v>
      </c>
      <c r="AS440" t="s">
        <v>48</v>
      </c>
    </row>
    <row r="441" spans="1:54" x14ac:dyDescent="0.4">
      <c r="A441" t="s">
        <v>2499</v>
      </c>
      <c r="B441" t="s">
        <v>10</v>
      </c>
      <c r="C441" t="s">
        <v>2500</v>
      </c>
      <c r="D441" t="s">
        <v>11</v>
      </c>
      <c r="E441" s="2">
        <v>7.9000000000000008E-3</v>
      </c>
      <c r="F441" t="s">
        <v>1057</v>
      </c>
      <c r="G441" s="4" t="s">
        <v>2501</v>
      </c>
      <c r="H441" t="s">
        <v>2500</v>
      </c>
      <c r="I441" t="s">
        <v>2502</v>
      </c>
      <c r="J441" t="s">
        <v>2503</v>
      </c>
      <c r="K441" t="s">
        <v>23</v>
      </c>
      <c r="L441" s="2">
        <v>5.7500000000000002E-2</v>
      </c>
      <c r="M441" t="s">
        <v>2504</v>
      </c>
      <c r="N441" t="s">
        <v>28</v>
      </c>
      <c r="O441" t="s">
        <v>1698</v>
      </c>
      <c r="P441" t="s">
        <v>2505</v>
      </c>
      <c r="Q441" t="s">
        <v>832</v>
      </c>
      <c r="R441" t="s">
        <v>1943</v>
      </c>
      <c r="S441" t="s">
        <v>1973</v>
      </c>
      <c r="T441" t="s">
        <v>1973</v>
      </c>
      <c r="U441" t="s">
        <v>1973</v>
      </c>
      <c r="V441" t="s">
        <v>2500</v>
      </c>
      <c r="W441" t="s">
        <v>987</v>
      </c>
      <c r="X441" t="s">
        <v>987</v>
      </c>
      <c r="Y441" t="s">
        <v>987</v>
      </c>
      <c r="Z441" t="s">
        <v>987</v>
      </c>
      <c r="AA441" t="s">
        <v>987</v>
      </c>
      <c r="AB441" s="2">
        <v>1.2500000000000001E-2</v>
      </c>
      <c r="AC441" s="2">
        <v>4.7000000000000002E-3</v>
      </c>
      <c r="AD441" s="2">
        <v>1.7399999999999999E-2</v>
      </c>
      <c r="AE441" s="2">
        <v>3.9699999999999999E-2</v>
      </c>
      <c r="AF441" s="2">
        <v>3.9699999999999999E-2</v>
      </c>
      <c r="AG441" s="2">
        <v>3.9699999999999999E-2</v>
      </c>
      <c r="AH441" t="s">
        <v>264</v>
      </c>
      <c r="AI441" t="s">
        <v>130</v>
      </c>
      <c r="AJ441" t="s">
        <v>131</v>
      </c>
      <c r="AK441" t="s">
        <v>40</v>
      </c>
      <c r="AL441">
        <v>1</v>
      </c>
      <c r="AM441" t="s">
        <v>41</v>
      </c>
      <c r="AN441" t="s">
        <v>42</v>
      </c>
      <c r="AO441" t="s">
        <v>1698</v>
      </c>
      <c r="AP441" t="s">
        <v>225</v>
      </c>
      <c r="AQ441" t="s">
        <v>225</v>
      </c>
      <c r="AR441" t="s">
        <v>48</v>
      </c>
      <c r="AS441" t="s">
        <v>48</v>
      </c>
    </row>
    <row r="442" spans="1:54" x14ac:dyDescent="0.4">
      <c r="A442" t="s">
        <v>296</v>
      </c>
      <c r="B442" t="s">
        <v>10</v>
      </c>
      <c r="C442" t="s">
        <v>853</v>
      </c>
      <c r="D442" t="s">
        <v>11</v>
      </c>
      <c r="E442" s="2">
        <v>0</v>
      </c>
      <c r="F442" t="s">
        <v>12</v>
      </c>
      <c r="G442" s="4" t="s">
        <v>15</v>
      </c>
      <c r="H442" t="s">
        <v>853</v>
      </c>
      <c r="I442" t="s">
        <v>854</v>
      </c>
      <c r="J442" t="s">
        <v>855</v>
      </c>
      <c r="K442" t="s">
        <v>23</v>
      </c>
      <c r="L442" s="2">
        <v>5.1249999999999997E-2</v>
      </c>
      <c r="M442" t="s">
        <v>856</v>
      </c>
      <c r="N442" t="s">
        <v>28</v>
      </c>
      <c r="O442" t="s">
        <v>437</v>
      </c>
      <c r="P442" t="s">
        <v>857</v>
      </c>
      <c r="Q442" t="s">
        <v>110</v>
      </c>
      <c r="R442" t="s">
        <v>110</v>
      </c>
      <c r="S442" t="s">
        <v>110</v>
      </c>
      <c r="T442" t="s">
        <v>110</v>
      </c>
      <c r="U442" t="s">
        <v>110</v>
      </c>
      <c r="V442" t="s">
        <v>858</v>
      </c>
      <c r="W442" t="s">
        <v>859</v>
      </c>
      <c r="X442" t="s">
        <v>859</v>
      </c>
      <c r="Y442" t="s">
        <v>859</v>
      </c>
      <c r="Z442" t="s">
        <v>859</v>
      </c>
      <c r="AA442" t="s">
        <v>859</v>
      </c>
      <c r="AB442" s="2">
        <v>1E-3</v>
      </c>
      <c r="AC442" s="2">
        <v>-1E-3</v>
      </c>
      <c r="AD442" s="2">
        <v>0.01</v>
      </c>
      <c r="AE442" s="2">
        <v>0.01</v>
      </c>
      <c r="AF442" s="2">
        <v>0.01</v>
      </c>
      <c r="AG442" s="2">
        <v>0.01</v>
      </c>
      <c r="AH442" t="s">
        <v>264</v>
      </c>
      <c r="AI442" t="s">
        <v>130</v>
      </c>
      <c r="AJ442" t="s">
        <v>131</v>
      </c>
      <c r="AK442" t="s">
        <v>40</v>
      </c>
      <c r="AL442">
        <v>1</v>
      </c>
      <c r="AM442" t="s">
        <v>41</v>
      </c>
      <c r="AN442" t="s">
        <v>42</v>
      </c>
      <c r="AO442" t="s">
        <v>437</v>
      </c>
      <c r="AP442" t="s">
        <v>225</v>
      </c>
      <c r="AQ442" t="s">
        <v>225</v>
      </c>
      <c r="AR442" t="s">
        <v>48</v>
      </c>
      <c r="AS442" t="s">
        <v>48</v>
      </c>
    </row>
    <row r="443" spans="1:54" x14ac:dyDescent="0.4">
      <c r="A443" t="s">
        <v>161</v>
      </c>
      <c r="B443" t="s">
        <v>10</v>
      </c>
      <c r="C443" t="s">
        <v>1115</v>
      </c>
      <c r="D443" t="s">
        <v>11</v>
      </c>
      <c r="E443" s="2">
        <v>-2.3E-3</v>
      </c>
      <c r="F443" t="s">
        <v>12</v>
      </c>
      <c r="G443" s="4">
        <f>-0.24 / -0.23%</f>
        <v>104.34782608695652</v>
      </c>
      <c r="H443" t="s">
        <v>1115</v>
      </c>
      <c r="I443" t="s">
        <v>1116</v>
      </c>
      <c r="J443" t="s">
        <v>1117</v>
      </c>
      <c r="K443" t="s">
        <v>23</v>
      </c>
      <c r="L443" s="2">
        <v>4.2999999999999997E-2</v>
      </c>
      <c r="M443" t="s">
        <v>1118</v>
      </c>
      <c r="N443" t="s">
        <v>28</v>
      </c>
      <c r="O443" t="s">
        <v>1119</v>
      </c>
      <c r="P443" t="s">
        <v>1120</v>
      </c>
      <c r="Q443" t="s">
        <v>832</v>
      </c>
      <c r="R443" t="s">
        <v>153</v>
      </c>
      <c r="S443" t="s">
        <v>1121</v>
      </c>
      <c r="T443" t="s">
        <v>1122</v>
      </c>
      <c r="U443" t="s">
        <v>939</v>
      </c>
      <c r="V443" t="s">
        <v>1123</v>
      </c>
      <c r="W443" t="s">
        <v>1124</v>
      </c>
      <c r="X443" t="s">
        <v>1124</v>
      </c>
      <c r="Y443" t="s">
        <v>1124</v>
      </c>
      <c r="Z443" t="s">
        <v>1125</v>
      </c>
      <c r="AA443" t="s">
        <v>1126</v>
      </c>
      <c r="AB443" s="2">
        <v>7.4000000000000003E-3</v>
      </c>
      <c r="AC443" s="2">
        <v>7.1000000000000004E-3</v>
      </c>
      <c r="AD443" s="2">
        <v>1.24E-2</v>
      </c>
      <c r="AE443" s="2">
        <v>3.78E-2</v>
      </c>
      <c r="AF443" s="2">
        <v>4.2999999999999997E-2</v>
      </c>
      <c r="AG443" s="2">
        <v>-2.12E-2</v>
      </c>
      <c r="AH443" t="s">
        <v>1127</v>
      </c>
      <c r="AI443" t="s">
        <v>130</v>
      </c>
      <c r="AJ443" t="s">
        <v>131</v>
      </c>
      <c r="AK443" t="s">
        <v>40</v>
      </c>
      <c r="AL443">
        <v>1</v>
      </c>
      <c r="AM443" t="s">
        <v>41</v>
      </c>
      <c r="AN443" t="s">
        <v>42</v>
      </c>
      <c r="AO443" t="s">
        <v>1119</v>
      </c>
      <c r="AP443" t="s">
        <v>1128</v>
      </c>
      <c r="BA443" t="s">
        <v>174</v>
      </c>
      <c r="BB443" t="s">
        <v>61</v>
      </c>
    </row>
    <row r="444" spans="1:54" x14ac:dyDescent="0.4">
      <c r="A444" t="s">
        <v>161</v>
      </c>
      <c r="B444" t="s">
        <v>10</v>
      </c>
      <c r="C444" t="s">
        <v>1477</v>
      </c>
      <c r="D444" t="s">
        <v>11</v>
      </c>
      <c r="E444" s="2">
        <v>2.86E-2</v>
      </c>
      <c r="F444" t="s">
        <v>12</v>
      </c>
      <c r="G444" s="4" t="s">
        <v>2463</v>
      </c>
      <c r="H444" t="s">
        <v>1477</v>
      </c>
      <c r="I444" t="s">
        <v>2464</v>
      </c>
      <c r="J444" t="s">
        <v>2465</v>
      </c>
      <c r="K444" t="s">
        <v>23</v>
      </c>
      <c r="L444" s="2">
        <v>4.2999999999999997E-2</v>
      </c>
      <c r="M444" t="s">
        <v>1118</v>
      </c>
      <c r="N444" t="s">
        <v>28</v>
      </c>
      <c r="O444" t="s">
        <v>1119</v>
      </c>
      <c r="P444" t="s">
        <v>1719</v>
      </c>
      <c r="Q444" t="s">
        <v>1719</v>
      </c>
      <c r="R444" t="s">
        <v>2466</v>
      </c>
      <c r="S444" t="s">
        <v>1121</v>
      </c>
      <c r="T444" t="s">
        <v>939</v>
      </c>
      <c r="U444" t="s">
        <v>939</v>
      </c>
      <c r="V444" t="s">
        <v>2467</v>
      </c>
      <c r="W444" t="s">
        <v>2468</v>
      </c>
      <c r="X444" t="s">
        <v>2468</v>
      </c>
      <c r="Y444" t="s">
        <v>2468</v>
      </c>
      <c r="Z444" t="s">
        <v>2468</v>
      </c>
      <c r="AA444" t="s">
        <v>2468</v>
      </c>
      <c r="AB444" s="2">
        <v>8.6E-3</v>
      </c>
      <c r="AC444" s="2">
        <v>4.7000000000000002E-3</v>
      </c>
      <c r="AD444" s="2">
        <v>4.87E-2</v>
      </c>
      <c r="AE444" s="2">
        <v>7.0199999999999999E-2</v>
      </c>
      <c r="AF444" s="2">
        <v>0.1166</v>
      </c>
      <c r="AG444" s="2">
        <v>-2.4299999999999999E-2</v>
      </c>
      <c r="AH444" t="s">
        <v>1127</v>
      </c>
      <c r="AI444" t="s">
        <v>130</v>
      </c>
      <c r="AJ444" t="s">
        <v>131</v>
      </c>
      <c r="AK444" t="s">
        <v>40</v>
      </c>
      <c r="AL444">
        <v>1</v>
      </c>
      <c r="AM444" t="s">
        <v>41</v>
      </c>
      <c r="AN444" t="s">
        <v>42</v>
      </c>
      <c r="AO444" t="s">
        <v>1119</v>
      </c>
      <c r="AP444" t="s">
        <v>1128</v>
      </c>
      <c r="BA444" t="s">
        <v>174</v>
      </c>
      <c r="BB444" t="s">
        <v>61</v>
      </c>
    </row>
    <row r="445" spans="1:54" x14ac:dyDescent="0.4">
      <c r="A445" t="s">
        <v>4014</v>
      </c>
      <c r="B445" t="s">
        <v>10</v>
      </c>
      <c r="C445" t="s">
        <v>1125</v>
      </c>
      <c r="D445" t="s">
        <v>11</v>
      </c>
      <c r="E445" s="2">
        <v>0</v>
      </c>
      <c r="F445" t="s">
        <v>1057</v>
      </c>
      <c r="G445" s="4" t="s">
        <v>15</v>
      </c>
      <c r="H445" t="s">
        <v>1125</v>
      </c>
      <c r="I445" t="s">
        <v>4015</v>
      </c>
      <c r="J445" t="s">
        <v>4016</v>
      </c>
      <c r="K445" t="s">
        <v>23</v>
      </c>
      <c r="L445" s="2">
        <v>5.1999999999999998E-2</v>
      </c>
      <c r="M445" t="s">
        <v>4017</v>
      </c>
      <c r="N445" t="s">
        <v>28</v>
      </c>
      <c r="O445" t="s">
        <v>4018</v>
      </c>
      <c r="P445" t="s">
        <v>1125</v>
      </c>
      <c r="Q445" t="s">
        <v>1125</v>
      </c>
      <c r="R445" t="s">
        <v>4019</v>
      </c>
      <c r="S445" t="s">
        <v>1544</v>
      </c>
      <c r="T445" t="s">
        <v>2446</v>
      </c>
      <c r="U445" t="s">
        <v>4020</v>
      </c>
      <c r="V445" t="s">
        <v>4021</v>
      </c>
      <c r="W445" t="s">
        <v>4022</v>
      </c>
      <c r="X445" t="s">
        <v>4023</v>
      </c>
      <c r="Y445" t="s">
        <v>4023</v>
      </c>
      <c r="Z445" t="s">
        <v>4024</v>
      </c>
      <c r="AA445" t="s">
        <v>4025</v>
      </c>
      <c r="AB445" s="2">
        <v>-2.6499999999999999E-2</v>
      </c>
      <c r="AC445" s="2">
        <v>-1.06E-2</v>
      </c>
      <c r="AD445" s="2">
        <v>-4.3499999999999997E-2</v>
      </c>
      <c r="AE445" s="2">
        <v>4.3999999999999997E-2</v>
      </c>
      <c r="AF445" s="2">
        <v>0.11890000000000001</v>
      </c>
      <c r="AG445" s="2">
        <v>-0.1535</v>
      </c>
      <c r="AH445" t="s">
        <v>1127</v>
      </c>
      <c r="AI445" t="s">
        <v>130</v>
      </c>
      <c r="AJ445" t="s">
        <v>131</v>
      </c>
      <c r="AK445" t="s">
        <v>40</v>
      </c>
      <c r="AL445">
        <v>1</v>
      </c>
      <c r="AM445" t="s">
        <v>41</v>
      </c>
      <c r="AN445" t="s">
        <v>42</v>
      </c>
      <c r="AO445" t="s">
        <v>4018</v>
      </c>
      <c r="AP445" t="s">
        <v>407</v>
      </c>
      <c r="BA445" t="s">
        <v>197</v>
      </c>
      <c r="BB445" t="s">
        <v>61</v>
      </c>
    </row>
    <row r="446" spans="1:54" x14ac:dyDescent="0.4">
      <c r="A446" t="s">
        <v>161</v>
      </c>
      <c r="B446" t="s">
        <v>10</v>
      </c>
      <c r="C446" t="s">
        <v>2989</v>
      </c>
      <c r="D446" t="s">
        <v>11</v>
      </c>
      <c r="E446" s="2">
        <v>0</v>
      </c>
      <c r="F446" t="s">
        <v>12</v>
      </c>
      <c r="G446" s="4" t="s">
        <v>15</v>
      </c>
      <c r="H446" t="s">
        <v>2989</v>
      </c>
      <c r="I446" t="s">
        <v>2990</v>
      </c>
      <c r="J446" t="s">
        <v>2991</v>
      </c>
      <c r="K446" t="s">
        <v>23</v>
      </c>
      <c r="M446" t="s">
        <v>2992</v>
      </c>
      <c r="N446" t="s">
        <v>28</v>
      </c>
      <c r="O446" t="s">
        <v>1119</v>
      </c>
      <c r="P446" t="s">
        <v>2993</v>
      </c>
      <c r="Q446" t="s">
        <v>2994</v>
      </c>
      <c r="R446" t="s">
        <v>2995</v>
      </c>
      <c r="S446" t="s">
        <v>2995</v>
      </c>
      <c r="T446" t="s">
        <v>2995</v>
      </c>
      <c r="U446" t="s">
        <v>2996</v>
      </c>
      <c r="V446" t="s">
        <v>2997</v>
      </c>
      <c r="W446" t="s">
        <v>2997</v>
      </c>
      <c r="X446" t="s">
        <v>2997</v>
      </c>
      <c r="Y446" t="s">
        <v>2998</v>
      </c>
      <c r="Z446" t="s">
        <v>2999</v>
      </c>
      <c r="AA446" t="s">
        <v>2999</v>
      </c>
      <c r="AB446" s="2">
        <v>6.0100000000000001E-2</v>
      </c>
      <c r="AC446" s="2">
        <v>0.22450000000000001</v>
      </c>
      <c r="AD446" s="2">
        <v>0.1111</v>
      </c>
      <c r="AE446" s="2">
        <v>7.1400000000000005E-2</v>
      </c>
      <c r="AF446" s="2">
        <v>0.14499999999999999</v>
      </c>
      <c r="AG446" s="2">
        <v>2</v>
      </c>
      <c r="AH446" t="s">
        <v>1127</v>
      </c>
      <c r="AI446" t="s">
        <v>130</v>
      </c>
      <c r="AJ446" t="s">
        <v>131</v>
      </c>
      <c r="AK446" t="s">
        <v>40</v>
      </c>
      <c r="AL446">
        <v>100</v>
      </c>
      <c r="AM446" t="s">
        <v>41</v>
      </c>
      <c r="AN446" t="s">
        <v>42</v>
      </c>
      <c r="AO446" t="s">
        <v>1119</v>
      </c>
      <c r="AP446" t="s">
        <v>3000</v>
      </c>
      <c r="AQ446" t="s">
        <v>3001</v>
      </c>
      <c r="BB446" t="s">
        <v>61</v>
      </c>
    </row>
    <row r="447" spans="1:54" x14ac:dyDescent="0.4">
      <c r="A447" t="s">
        <v>161</v>
      </c>
      <c r="B447" t="s">
        <v>10</v>
      </c>
      <c r="C447" t="s">
        <v>5480</v>
      </c>
      <c r="D447" t="s">
        <v>11</v>
      </c>
      <c r="E447" s="2">
        <v>-5.9999999999999995E-4</v>
      </c>
      <c r="F447" t="s">
        <v>12</v>
      </c>
      <c r="G447" s="4">
        <f>-0.05 / -0.06%</f>
        <v>83.333333333333343</v>
      </c>
      <c r="H447" t="s">
        <v>5480</v>
      </c>
      <c r="I447" t="s">
        <v>5481</v>
      </c>
      <c r="J447" t="s">
        <v>5482</v>
      </c>
      <c r="K447" t="s">
        <v>23</v>
      </c>
      <c r="L447" s="2">
        <v>1.8749999999999999E-2</v>
      </c>
      <c r="M447" t="s">
        <v>5459</v>
      </c>
      <c r="N447" t="s">
        <v>28</v>
      </c>
      <c r="O447" t="s">
        <v>5483</v>
      </c>
      <c r="P447" t="s">
        <v>1890</v>
      </c>
      <c r="Q447" t="s">
        <v>1890</v>
      </c>
      <c r="R447" t="s">
        <v>1016</v>
      </c>
      <c r="S447" t="s">
        <v>4537</v>
      </c>
      <c r="T447" t="s">
        <v>5484</v>
      </c>
      <c r="U447" t="s">
        <v>5485</v>
      </c>
      <c r="V447" t="s">
        <v>5070</v>
      </c>
      <c r="W447" t="s">
        <v>5486</v>
      </c>
      <c r="X447" t="s">
        <v>5486</v>
      </c>
      <c r="Y447" t="s">
        <v>5486</v>
      </c>
      <c r="Z447" t="s">
        <v>5486</v>
      </c>
      <c r="AA447" t="s">
        <v>273</v>
      </c>
      <c r="AB447" s="2">
        <v>-1.09E-2</v>
      </c>
      <c r="AC447" s="2">
        <v>-1.24E-2</v>
      </c>
      <c r="AD447" s="2">
        <v>3.2199999999999999E-2</v>
      </c>
      <c r="AE447" s="2">
        <v>3.3399999999999999E-2</v>
      </c>
      <c r="AF447" s="2">
        <v>0.14069999999999999</v>
      </c>
      <c r="AG447" s="2">
        <v>-0.12909999999999999</v>
      </c>
      <c r="AH447" t="s">
        <v>1127</v>
      </c>
      <c r="AI447" t="s">
        <v>130</v>
      </c>
      <c r="AJ447" t="s">
        <v>131</v>
      </c>
      <c r="AK447" t="s">
        <v>40</v>
      </c>
      <c r="AL447">
        <v>1</v>
      </c>
      <c r="AM447" t="s">
        <v>41</v>
      </c>
      <c r="AN447" t="s">
        <v>42</v>
      </c>
      <c r="AO447" t="s">
        <v>5483</v>
      </c>
      <c r="AP447" t="s">
        <v>5487</v>
      </c>
      <c r="AQ447" t="s">
        <v>5487</v>
      </c>
      <c r="AR447" t="s">
        <v>48</v>
      </c>
      <c r="AS447" t="s">
        <v>48</v>
      </c>
    </row>
    <row r="448" spans="1:54" x14ac:dyDescent="0.4">
      <c r="A448" t="s">
        <v>251</v>
      </c>
      <c r="B448" t="s">
        <v>10</v>
      </c>
      <c r="C448" t="s">
        <v>1121</v>
      </c>
      <c r="D448" t="s">
        <v>11</v>
      </c>
      <c r="E448" s="2">
        <v>0</v>
      </c>
      <c r="F448" t="s">
        <v>12</v>
      </c>
      <c r="G448" s="4" t="s">
        <v>15</v>
      </c>
      <c r="H448" t="s">
        <v>1121</v>
      </c>
      <c r="I448" t="s">
        <v>2436</v>
      </c>
      <c r="J448" t="s">
        <v>2437</v>
      </c>
      <c r="K448" t="s">
        <v>23</v>
      </c>
      <c r="L448" s="2">
        <v>0.1</v>
      </c>
      <c r="M448" t="s">
        <v>2438</v>
      </c>
      <c r="N448" t="s">
        <v>121</v>
      </c>
      <c r="O448" t="s">
        <v>340</v>
      </c>
      <c r="P448" t="s">
        <v>1121</v>
      </c>
      <c r="Q448" t="s">
        <v>1420</v>
      </c>
      <c r="R448" t="s">
        <v>1122</v>
      </c>
      <c r="S448" t="s">
        <v>1122</v>
      </c>
      <c r="T448" t="s">
        <v>1122</v>
      </c>
      <c r="U448" t="s">
        <v>1122</v>
      </c>
      <c r="V448" t="s">
        <v>1543</v>
      </c>
      <c r="W448" t="s">
        <v>257</v>
      </c>
      <c r="X448" t="s">
        <v>362</v>
      </c>
      <c r="Y448" t="s">
        <v>1538</v>
      </c>
      <c r="Z448" t="s">
        <v>1538</v>
      </c>
      <c r="AA448" t="s">
        <v>1538</v>
      </c>
      <c r="AB448" s="2">
        <v>0</v>
      </c>
      <c r="AC448" s="2">
        <v>-1.03E-2</v>
      </c>
      <c r="AD448" s="2">
        <v>-1E-3</v>
      </c>
      <c r="AE448" s="2">
        <v>-0.04</v>
      </c>
      <c r="AF448" s="2">
        <v>-0.04</v>
      </c>
      <c r="AG448" s="2">
        <v>-0.04</v>
      </c>
      <c r="AH448" t="s">
        <v>2439</v>
      </c>
      <c r="AI448" t="s">
        <v>232</v>
      </c>
      <c r="AJ448" t="s">
        <v>131</v>
      </c>
      <c r="AK448" t="s">
        <v>40</v>
      </c>
      <c r="AL448">
        <v>1</v>
      </c>
      <c r="AM448" t="s">
        <v>41</v>
      </c>
      <c r="AN448" t="s">
        <v>42</v>
      </c>
      <c r="AO448" t="s">
        <v>340</v>
      </c>
      <c r="AP448" t="s">
        <v>835</v>
      </c>
      <c r="AQ448" t="s">
        <v>2440</v>
      </c>
      <c r="AR448" t="s">
        <v>48</v>
      </c>
      <c r="AS448" t="s">
        <v>48</v>
      </c>
    </row>
    <row r="449" spans="1:54" x14ac:dyDescent="0.4">
      <c r="A449" t="s">
        <v>161</v>
      </c>
      <c r="B449" t="s">
        <v>10</v>
      </c>
      <c r="C449" t="s">
        <v>4299</v>
      </c>
      <c r="D449" t="s">
        <v>11</v>
      </c>
      <c r="E449" s="2">
        <v>8.0000000000000004E-4</v>
      </c>
      <c r="F449" t="s">
        <v>12</v>
      </c>
      <c r="G449" s="4" t="s">
        <v>1646</v>
      </c>
      <c r="H449" t="s">
        <v>4299</v>
      </c>
      <c r="I449" t="s">
        <v>4300</v>
      </c>
      <c r="J449" t="s">
        <v>4301</v>
      </c>
      <c r="K449" t="s">
        <v>23</v>
      </c>
      <c r="L449" s="2">
        <v>0.04</v>
      </c>
      <c r="M449" t="s">
        <v>274</v>
      </c>
      <c r="N449" t="s">
        <v>121</v>
      </c>
      <c r="O449" t="s">
        <v>1506</v>
      </c>
      <c r="P449" t="s">
        <v>4302</v>
      </c>
      <c r="Q449" t="s">
        <v>4302</v>
      </c>
      <c r="R449" t="s">
        <v>4302</v>
      </c>
      <c r="S449" t="s">
        <v>4302</v>
      </c>
      <c r="T449" t="s">
        <v>4302</v>
      </c>
      <c r="U449" t="s">
        <v>4302</v>
      </c>
      <c r="V449" t="s">
        <v>3931</v>
      </c>
      <c r="W449" t="s">
        <v>4303</v>
      </c>
      <c r="X449" t="s">
        <v>4304</v>
      </c>
      <c r="Y449" t="s">
        <v>4304</v>
      </c>
      <c r="Z449" t="s">
        <v>4304</v>
      </c>
      <c r="AA449" t="s">
        <v>4304</v>
      </c>
      <c r="AB449" s="2">
        <v>-1.1999999999999999E-3</v>
      </c>
      <c r="AC449" s="2">
        <v>-1.83E-2</v>
      </c>
      <c r="AD449" s="2">
        <v>-2.24E-2</v>
      </c>
      <c r="AE449" s="2">
        <v>-2.3800000000000002E-2</v>
      </c>
      <c r="AF449" s="2">
        <v>-2.3800000000000002E-2</v>
      </c>
      <c r="AG449" s="2">
        <v>-2.3800000000000002E-2</v>
      </c>
      <c r="AH449" t="s">
        <v>3361</v>
      </c>
      <c r="AI449" t="s">
        <v>130</v>
      </c>
      <c r="AJ449" t="s">
        <v>131</v>
      </c>
      <c r="AK449" t="s">
        <v>40</v>
      </c>
      <c r="AL449">
        <v>0</v>
      </c>
      <c r="AM449" t="s">
        <v>41</v>
      </c>
      <c r="AN449" t="s">
        <v>42</v>
      </c>
      <c r="AO449" t="s">
        <v>1506</v>
      </c>
      <c r="AP449" t="s">
        <v>4305</v>
      </c>
      <c r="AQ449" t="s">
        <v>4305</v>
      </c>
      <c r="AR449" t="s">
        <v>2350</v>
      </c>
      <c r="AS449" t="s">
        <v>2350</v>
      </c>
    </row>
    <row r="450" spans="1:54" x14ac:dyDescent="0.4">
      <c r="A450" t="s">
        <v>296</v>
      </c>
      <c r="B450" t="s">
        <v>10</v>
      </c>
      <c r="C450" t="s">
        <v>3354</v>
      </c>
      <c r="D450" t="s">
        <v>11</v>
      </c>
      <c r="E450" s="2">
        <v>-5.4999999999999997E-3</v>
      </c>
      <c r="F450" t="s">
        <v>12</v>
      </c>
      <c r="G450" s="4">
        <f>-0.49 / -0.55%</f>
        <v>89.090909090909079</v>
      </c>
      <c r="H450" t="s">
        <v>3354</v>
      </c>
      <c r="I450" t="s">
        <v>3355</v>
      </c>
      <c r="J450" t="s">
        <v>3356</v>
      </c>
      <c r="K450" t="s">
        <v>23</v>
      </c>
      <c r="L450" s="2">
        <v>3.7499999999999999E-2</v>
      </c>
      <c r="M450" t="s">
        <v>3357</v>
      </c>
      <c r="N450" t="s">
        <v>121</v>
      </c>
      <c r="O450" t="s">
        <v>2181</v>
      </c>
      <c r="P450" t="s">
        <v>2429</v>
      </c>
      <c r="Q450" t="s">
        <v>2429</v>
      </c>
      <c r="R450" t="s">
        <v>2429</v>
      </c>
      <c r="S450" t="s">
        <v>2429</v>
      </c>
      <c r="T450" t="s">
        <v>3358</v>
      </c>
      <c r="U450" t="s">
        <v>3358</v>
      </c>
      <c r="V450" t="s">
        <v>3359</v>
      </c>
      <c r="W450" t="s">
        <v>1111</v>
      </c>
      <c r="X450" t="s">
        <v>2750</v>
      </c>
      <c r="Y450" t="s">
        <v>2750</v>
      </c>
      <c r="Z450" t="s">
        <v>3360</v>
      </c>
      <c r="AA450" t="s">
        <v>1636</v>
      </c>
      <c r="AB450" s="2">
        <v>-1.1299999999999999E-2</v>
      </c>
      <c r="AC450" s="2">
        <v>-4.6100000000000002E-2</v>
      </c>
      <c r="AD450" s="2">
        <v>-4.9799999999999997E-2</v>
      </c>
      <c r="AE450" s="2">
        <v>-4.8800000000000003E-2</v>
      </c>
      <c r="AF450" s="2">
        <v>-0.11459999999999999</v>
      </c>
      <c r="AG450" s="2">
        <v>-0.1134</v>
      </c>
      <c r="AH450" t="s">
        <v>3361</v>
      </c>
      <c r="AI450" t="s">
        <v>130</v>
      </c>
      <c r="AJ450" t="s">
        <v>131</v>
      </c>
      <c r="AK450" t="s">
        <v>40</v>
      </c>
      <c r="AL450">
        <v>0</v>
      </c>
      <c r="AM450" t="s">
        <v>41</v>
      </c>
      <c r="AN450" t="s">
        <v>42</v>
      </c>
      <c r="AO450" t="s">
        <v>2181</v>
      </c>
      <c r="AP450" t="s">
        <v>3362</v>
      </c>
      <c r="AQ450" t="s">
        <v>3362</v>
      </c>
      <c r="AR450" t="s">
        <v>2350</v>
      </c>
      <c r="AS450" t="s">
        <v>2350</v>
      </c>
    </row>
    <row r="451" spans="1:54" x14ac:dyDescent="0.4">
      <c r="A451" t="s">
        <v>161</v>
      </c>
      <c r="B451" t="s">
        <v>10</v>
      </c>
      <c r="C451" t="s">
        <v>7308</v>
      </c>
      <c r="D451" t="s">
        <v>11</v>
      </c>
      <c r="E451" s="2">
        <v>4.4000000000000003E-3</v>
      </c>
      <c r="F451" t="s">
        <v>12</v>
      </c>
      <c r="G451" s="4" t="s">
        <v>7309</v>
      </c>
      <c r="H451" t="s">
        <v>7308</v>
      </c>
      <c r="I451" t="s">
        <v>7310</v>
      </c>
      <c r="J451" t="s">
        <v>7311</v>
      </c>
      <c r="K451" t="s">
        <v>23</v>
      </c>
      <c r="L451" s="2">
        <v>6.1249999999999999E-2</v>
      </c>
      <c r="M451" t="s">
        <v>7312</v>
      </c>
      <c r="N451" t="s">
        <v>121</v>
      </c>
      <c r="O451" t="s">
        <v>7313</v>
      </c>
      <c r="P451" t="s">
        <v>7314</v>
      </c>
      <c r="Q451" t="s">
        <v>7314</v>
      </c>
      <c r="R451" t="s">
        <v>7314</v>
      </c>
      <c r="S451" t="s">
        <v>7314</v>
      </c>
      <c r="T451" t="s">
        <v>7314</v>
      </c>
      <c r="U451" t="s">
        <v>7314</v>
      </c>
      <c r="V451" t="s">
        <v>7315</v>
      </c>
      <c r="W451" t="s">
        <v>1090</v>
      </c>
      <c r="X451" t="s">
        <v>674</v>
      </c>
      <c r="Y451" t="s">
        <v>674</v>
      </c>
      <c r="Z451" t="s">
        <v>7316</v>
      </c>
      <c r="AA451" t="s">
        <v>7317</v>
      </c>
      <c r="AB451" s="2">
        <v>-3.0099999999999998E-2</v>
      </c>
      <c r="AC451" s="2">
        <v>-8.72E-2</v>
      </c>
      <c r="AD451" s="2">
        <v>-0.15670000000000001</v>
      </c>
      <c r="AE451" s="2">
        <v>-0.15079999999999999</v>
      </c>
      <c r="AF451" s="2">
        <v>-0.21360000000000001</v>
      </c>
      <c r="AG451" s="2">
        <v>-0.3841</v>
      </c>
      <c r="AH451" t="s">
        <v>7318</v>
      </c>
      <c r="AI451" t="s">
        <v>130</v>
      </c>
      <c r="AJ451" t="s">
        <v>131</v>
      </c>
      <c r="AK451" t="s">
        <v>40</v>
      </c>
      <c r="AL451">
        <v>200</v>
      </c>
      <c r="AM451" t="s">
        <v>41</v>
      </c>
      <c r="AN451" t="s">
        <v>42</v>
      </c>
      <c r="AO451" t="s">
        <v>7313</v>
      </c>
      <c r="AP451" t="s">
        <v>739</v>
      </c>
      <c r="AQ451" t="s">
        <v>739</v>
      </c>
      <c r="AR451" t="s">
        <v>133</v>
      </c>
      <c r="AS451" t="s">
        <v>133</v>
      </c>
    </row>
    <row r="452" spans="1:54" x14ac:dyDescent="0.4">
      <c r="A452" t="s">
        <v>161</v>
      </c>
      <c r="B452" t="s">
        <v>10</v>
      </c>
      <c r="C452" t="s">
        <v>234</v>
      </c>
      <c r="D452" t="s">
        <v>11</v>
      </c>
      <c r="E452">
        <v>0</v>
      </c>
      <c r="F452" t="s">
        <v>12</v>
      </c>
      <c r="G452" s="4" t="s">
        <v>16</v>
      </c>
      <c r="H452" t="s">
        <v>234</v>
      </c>
      <c r="I452" t="s">
        <v>235</v>
      </c>
      <c r="J452" t="s">
        <v>236</v>
      </c>
      <c r="K452" t="s">
        <v>23</v>
      </c>
      <c r="L452" s="2">
        <v>3.5000000000000003E-2</v>
      </c>
      <c r="M452" t="s">
        <v>237</v>
      </c>
      <c r="N452" t="s">
        <v>28</v>
      </c>
      <c r="O452" t="s">
        <v>238</v>
      </c>
      <c r="AH452" t="s">
        <v>239</v>
      </c>
      <c r="AI452" t="s">
        <v>232</v>
      </c>
      <c r="AJ452" t="s">
        <v>131</v>
      </c>
      <c r="AK452" t="s">
        <v>40</v>
      </c>
      <c r="AL452">
        <v>1</v>
      </c>
      <c r="AM452" t="s">
        <v>41</v>
      </c>
      <c r="AN452" t="s">
        <v>42</v>
      </c>
      <c r="AO452" t="s">
        <v>238</v>
      </c>
      <c r="AP452" t="s">
        <v>225</v>
      </c>
      <c r="AQ452" t="s">
        <v>225</v>
      </c>
      <c r="AR452" t="s">
        <v>48</v>
      </c>
      <c r="AS452" t="s">
        <v>48</v>
      </c>
      <c r="AZ452">
        <v>1</v>
      </c>
      <c r="BA452" t="s">
        <v>174</v>
      </c>
      <c r="BB452" t="s">
        <v>61</v>
      </c>
    </row>
    <row r="453" spans="1:54" x14ac:dyDescent="0.4">
      <c r="A453" t="s">
        <v>540</v>
      </c>
      <c r="B453" t="s">
        <v>10</v>
      </c>
      <c r="C453" t="s">
        <v>541</v>
      </c>
      <c r="D453" t="s">
        <v>11</v>
      </c>
      <c r="E453" s="2">
        <v>4.0000000000000001E-3</v>
      </c>
      <c r="F453" t="s">
        <v>178</v>
      </c>
      <c r="G453" s="4" t="s">
        <v>542</v>
      </c>
      <c r="H453" t="s">
        <v>541</v>
      </c>
      <c r="I453" t="s">
        <v>543</v>
      </c>
      <c r="J453" t="s">
        <v>544</v>
      </c>
      <c r="K453" t="s">
        <v>23</v>
      </c>
      <c r="L453" s="2">
        <v>4.7500000000000001E-2</v>
      </c>
      <c r="M453" t="s">
        <v>545</v>
      </c>
      <c r="N453" t="s">
        <v>28</v>
      </c>
      <c r="O453" t="s">
        <v>546</v>
      </c>
      <c r="P453" t="s">
        <v>547</v>
      </c>
      <c r="Q453" t="s">
        <v>548</v>
      </c>
      <c r="R453" t="s">
        <v>549</v>
      </c>
      <c r="S453" t="s">
        <v>550</v>
      </c>
      <c r="T453" t="s">
        <v>550</v>
      </c>
      <c r="U453" t="s">
        <v>550</v>
      </c>
      <c r="V453" t="s">
        <v>541</v>
      </c>
      <c r="W453" t="s">
        <v>551</v>
      </c>
      <c r="X453" t="s">
        <v>551</v>
      </c>
      <c r="Y453" t="s">
        <v>551</v>
      </c>
      <c r="Z453" t="s">
        <v>551</v>
      </c>
      <c r="AA453" t="s">
        <v>551</v>
      </c>
      <c r="AB453" s="2">
        <v>-7.3000000000000001E-3</v>
      </c>
      <c r="AC453" s="2">
        <v>-2.0000000000000001E-4</v>
      </c>
      <c r="AD453" s="2">
        <v>2.1899999999999999E-2</v>
      </c>
      <c r="AE453" s="2">
        <v>5.4399999999999997E-2</v>
      </c>
      <c r="AF453" s="2">
        <v>5.4399999999999997E-2</v>
      </c>
      <c r="AG453" s="2">
        <v>5.4399999999999997E-2</v>
      </c>
      <c r="AH453" t="s">
        <v>239</v>
      </c>
      <c r="AI453" t="s">
        <v>232</v>
      </c>
      <c r="AJ453" t="s">
        <v>131</v>
      </c>
      <c r="AK453" t="s">
        <v>40</v>
      </c>
      <c r="AL453">
        <v>1</v>
      </c>
      <c r="AM453" t="s">
        <v>41</v>
      </c>
      <c r="AN453" t="s">
        <v>42</v>
      </c>
      <c r="AO453" t="s">
        <v>546</v>
      </c>
      <c r="AP453" t="s">
        <v>225</v>
      </c>
      <c r="AQ453" t="s">
        <v>225</v>
      </c>
      <c r="AR453" t="s">
        <v>48</v>
      </c>
      <c r="AS453" t="s">
        <v>48</v>
      </c>
    </row>
    <row r="454" spans="1:54" x14ac:dyDescent="0.4">
      <c r="A454" t="s">
        <v>251</v>
      </c>
      <c r="B454" t="s">
        <v>10</v>
      </c>
      <c r="C454" t="s">
        <v>518</v>
      </c>
      <c r="D454" t="s">
        <v>11</v>
      </c>
      <c r="E454" s="2">
        <v>-6.7000000000000002E-3</v>
      </c>
      <c r="F454" t="s">
        <v>12</v>
      </c>
      <c r="G454" s="4">
        <f>-0.68 / -0.67%</f>
        <v>101.49253731343283</v>
      </c>
      <c r="H454" t="s">
        <v>518</v>
      </c>
      <c r="I454" t="s">
        <v>519</v>
      </c>
      <c r="J454" t="s">
        <v>520</v>
      </c>
      <c r="K454" t="s">
        <v>23</v>
      </c>
      <c r="L454" s="2">
        <v>3.95E-2</v>
      </c>
      <c r="M454" t="s">
        <v>521</v>
      </c>
      <c r="N454" t="s">
        <v>28</v>
      </c>
      <c r="O454" t="s">
        <v>522</v>
      </c>
      <c r="P454" t="s">
        <v>445</v>
      </c>
      <c r="Q454" t="s">
        <v>523</v>
      </c>
      <c r="R454" t="s">
        <v>221</v>
      </c>
      <c r="S454" t="s">
        <v>524</v>
      </c>
      <c r="T454" t="s">
        <v>524</v>
      </c>
      <c r="U454" t="s">
        <v>524</v>
      </c>
      <c r="V454" t="s">
        <v>525</v>
      </c>
      <c r="W454" t="s">
        <v>248</v>
      </c>
      <c r="X454" t="s">
        <v>248</v>
      </c>
      <c r="Y454" t="s">
        <v>248</v>
      </c>
      <c r="Z454" t="s">
        <v>248</v>
      </c>
      <c r="AA454" t="s">
        <v>248</v>
      </c>
      <c r="AB454" s="2">
        <v>-1.37E-2</v>
      </c>
      <c r="AC454" s="2">
        <v>-1.04E-2</v>
      </c>
      <c r="AD454" s="2">
        <v>7.1999999999999998E-3</v>
      </c>
      <c r="AE454" s="2">
        <v>3.7999999999999999E-2</v>
      </c>
      <c r="AF454" s="2">
        <v>3.7999999999999999E-2</v>
      </c>
      <c r="AG454" s="2">
        <v>3.7999999999999999E-2</v>
      </c>
      <c r="AH454" t="s">
        <v>526</v>
      </c>
      <c r="AI454" t="s">
        <v>232</v>
      </c>
      <c r="AJ454" t="s">
        <v>131</v>
      </c>
      <c r="AK454" t="s">
        <v>40</v>
      </c>
      <c r="AL454">
        <v>1</v>
      </c>
      <c r="AM454" t="s">
        <v>41</v>
      </c>
      <c r="AN454" t="s">
        <v>42</v>
      </c>
      <c r="AO454" t="s">
        <v>522</v>
      </c>
      <c r="AP454" t="s">
        <v>527</v>
      </c>
      <c r="AQ454" t="s">
        <v>527</v>
      </c>
      <c r="AR454" t="s">
        <v>48</v>
      </c>
      <c r="AS454" t="s">
        <v>48</v>
      </c>
    </row>
    <row r="455" spans="1:54" x14ac:dyDescent="0.4">
      <c r="A455" t="s">
        <v>251</v>
      </c>
      <c r="B455" t="s">
        <v>10</v>
      </c>
      <c r="C455" t="s">
        <v>1704</v>
      </c>
      <c r="D455" t="s">
        <v>11</v>
      </c>
      <c r="E455" s="2">
        <v>-5.7999999999999996E-3</v>
      </c>
      <c r="F455" t="s">
        <v>12</v>
      </c>
      <c r="G455" s="4">
        <f>-0.59 / -0.58%</f>
        <v>101.72413793103449</v>
      </c>
      <c r="H455" t="s">
        <v>1704</v>
      </c>
      <c r="I455" t="s">
        <v>1705</v>
      </c>
      <c r="J455" t="s">
        <v>1706</v>
      </c>
      <c r="K455" t="s">
        <v>23</v>
      </c>
      <c r="L455" s="2">
        <v>3.7499999999999999E-2</v>
      </c>
      <c r="M455" t="s">
        <v>1707</v>
      </c>
      <c r="N455" t="s">
        <v>28</v>
      </c>
      <c r="O455" t="s">
        <v>1708</v>
      </c>
      <c r="P455" t="s">
        <v>1709</v>
      </c>
      <c r="Q455" t="s">
        <v>1709</v>
      </c>
      <c r="R455" t="s">
        <v>1710</v>
      </c>
      <c r="S455" t="s">
        <v>1711</v>
      </c>
      <c r="T455" t="s">
        <v>997</v>
      </c>
      <c r="U455" t="s">
        <v>997</v>
      </c>
      <c r="V455" t="s">
        <v>1712</v>
      </c>
      <c r="W455" t="s">
        <v>1713</v>
      </c>
      <c r="X455" t="s">
        <v>1713</v>
      </c>
      <c r="Y455" t="s">
        <v>1713</v>
      </c>
      <c r="Z455" t="s">
        <v>1713</v>
      </c>
      <c r="AA455" t="s">
        <v>1713</v>
      </c>
      <c r="AB455" s="2">
        <v>-9.5999999999999992E-3</v>
      </c>
      <c r="AC455" s="2">
        <v>-5.3E-3</v>
      </c>
      <c r="AD455" s="2">
        <v>8.0000000000000002E-3</v>
      </c>
      <c r="AE455" s="2">
        <v>2.3900000000000001E-2</v>
      </c>
      <c r="AF455" s="2">
        <v>4.9000000000000002E-2</v>
      </c>
      <c r="AG455" s="2">
        <v>3.85E-2</v>
      </c>
      <c r="AH455" t="s">
        <v>526</v>
      </c>
      <c r="AI455" t="s">
        <v>232</v>
      </c>
      <c r="AJ455" t="s">
        <v>131</v>
      </c>
      <c r="AK455" t="s">
        <v>40</v>
      </c>
      <c r="AL455">
        <v>1</v>
      </c>
      <c r="AM455" t="s">
        <v>41</v>
      </c>
      <c r="AN455" t="s">
        <v>42</v>
      </c>
      <c r="AO455" t="s">
        <v>1708</v>
      </c>
      <c r="AP455" t="s">
        <v>357</v>
      </c>
      <c r="AQ455" t="s">
        <v>357</v>
      </c>
      <c r="AR455" t="s">
        <v>48</v>
      </c>
      <c r="AS455" t="s">
        <v>48</v>
      </c>
    </row>
    <row r="456" spans="1:54" x14ac:dyDescent="0.4">
      <c r="A456" t="s">
        <v>251</v>
      </c>
      <c r="B456" t="s">
        <v>10</v>
      </c>
      <c r="C456" t="s">
        <v>1670</v>
      </c>
      <c r="D456" t="s">
        <v>11</v>
      </c>
      <c r="E456" s="2">
        <v>-5.4999999999999997E-3</v>
      </c>
      <c r="F456" t="s">
        <v>12</v>
      </c>
      <c r="G456" s="4">
        <f>-0.6 / -0.55%</f>
        <v>109.09090909090908</v>
      </c>
      <c r="H456" t="s">
        <v>1670</v>
      </c>
      <c r="I456" t="s">
        <v>1671</v>
      </c>
      <c r="J456" t="s">
        <v>1672</v>
      </c>
      <c r="K456" t="s">
        <v>23</v>
      </c>
      <c r="L456" s="2">
        <v>4.8750000000000002E-2</v>
      </c>
      <c r="M456" t="s">
        <v>1673</v>
      </c>
      <c r="N456" t="s">
        <v>28</v>
      </c>
      <c r="O456" t="s">
        <v>1674</v>
      </c>
      <c r="P456" t="s">
        <v>1675</v>
      </c>
      <c r="Q456" t="s">
        <v>1675</v>
      </c>
      <c r="R456" t="s">
        <v>1676</v>
      </c>
      <c r="S456" t="s">
        <v>1677</v>
      </c>
      <c r="T456" t="s">
        <v>284</v>
      </c>
      <c r="U456" t="s">
        <v>284</v>
      </c>
      <c r="V456" t="s">
        <v>1678</v>
      </c>
      <c r="W456" t="s">
        <v>1679</v>
      </c>
      <c r="X456" t="s">
        <v>1679</v>
      </c>
      <c r="Y456" t="s">
        <v>1679</v>
      </c>
      <c r="Z456" t="s">
        <v>1679</v>
      </c>
      <c r="AA456" t="s">
        <v>1679</v>
      </c>
      <c r="AB456" s="2">
        <v>-1.43E-2</v>
      </c>
      <c r="AC456" s="2">
        <v>-1.23E-2</v>
      </c>
      <c r="AD456" s="2">
        <v>1.2699999999999999E-2</v>
      </c>
      <c r="AE456" s="2">
        <v>2.3300000000000001E-2</v>
      </c>
      <c r="AF456" s="2">
        <v>8.4400000000000003E-2</v>
      </c>
      <c r="AG456" s="2">
        <v>8.4400000000000003E-2</v>
      </c>
      <c r="AH456" t="s">
        <v>1680</v>
      </c>
      <c r="AI456" t="s">
        <v>130</v>
      </c>
      <c r="AJ456" t="s">
        <v>131</v>
      </c>
      <c r="AK456" t="s">
        <v>40</v>
      </c>
      <c r="AL456">
        <v>1</v>
      </c>
      <c r="AM456" t="s">
        <v>41</v>
      </c>
      <c r="AN456" t="s">
        <v>42</v>
      </c>
      <c r="AO456" t="s">
        <v>1674</v>
      </c>
      <c r="AP456" t="s">
        <v>357</v>
      </c>
      <c r="AQ456" t="s">
        <v>357</v>
      </c>
      <c r="AR456" t="s">
        <v>48</v>
      </c>
      <c r="AS456" t="s">
        <v>48</v>
      </c>
    </row>
    <row r="457" spans="1:54" x14ac:dyDescent="0.4">
      <c r="A457" t="s">
        <v>1021</v>
      </c>
      <c r="B457" t="s">
        <v>10</v>
      </c>
      <c r="C457" s="1">
        <v>94575</v>
      </c>
      <c r="D457" t="s">
        <v>11</v>
      </c>
      <c r="E457" s="2">
        <v>-5.9999999999999995E-4</v>
      </c>
      <c r="F457" t="s">
        <v>12</v>
      </c>
      <c r="G457" s="4">
        <f>-0.055 / -0.06%</f>
        <v>91.666666666666671</v>
      </c>
      <c r="H457" s="1">
        <v>94575</v>
      </c>
      <c r="I457" t="s">
        <v>1022</v>
      </c>
      <c r="J457" t="s">
        <v>1023</v>
      </c>
      <c r="K457" t="s">
        <v>23</v>
      </c>
      <c r="L457" s="2">
        <v>5.0000000000000001E-3</v>
      </c>
      <c r="M457" t="s">
        <v>1024</v>
      </c>
      <c r="N457" t="s">
        <v>28</v>
      </c>
      <c r="O457" t="s">
        <v>1025</v>
      </c>
      <c r="P457" s="1">
        <v>94385</v>
      </c>
      <c r="Q457" t="s">
        <v>1026</v>
      </c>
      <c r="R457" t="s">
        <v>317</v>
      </c>
      <c r="S457" t="s">
        <v>1027</v>
      </c>
      <c r="T457" s="1">
        <v>87035</v>
      </c>
      <c r="U457" t="s">
        <v>1028</v>
      </c>
      <c r="V457" t="s">
        <v>1029</v>
      </c>
      <c r="W457" s="1">
        <v>95495</v>
      </c>
      <c r="X457" s="1">
        <v>95495</v>
      </c>
      <c r="Y457" s="1">
        <v>95495</v>
      </c>
      <c r="Z457" s="1">
        <v>95495</v>
      </c>
      <c r="AA457" t="s">
        <v>1030</v>
      </c>
      <c r="AB457" s="2">
        <v>-2.9999999999999997E-4</v>
      </c>
      <c r="AC457" s="2">
        <v>3.3999999999999998E-3</v>
      </c>
      <c r="AD457" s="2">
        <v>1.21E-2</v>
      </c>
      <c r="AE457" s="2">
        <v>4.3900000000000002E-2</v>
      </c>
      <c r="AF457" s="2">
        <v>8.0699999999999994E-2</v>
      </c>
      <c r="AG457" s="2">
        <v>-5.3499999999999999E-2</v>
      </c>
      <c r="AH457" t="s">
        <v>1031</v>
      </c>
      <c r="AI457" t="s">
        <v>232</v>
      </c>
      <c r="AJ457" t="s">
        <v>131</v>
      </c>
      <c r="AK457" t="s">
        <v>40</v>
      </c>
      <c r="AL457">
        <v>1</v>
      </c>
      <c r="AM457" t="s">
        <v>41</v>
      </c>
      <c r="AN457" t="s">
        <v>42</v>
      </c>
      <c r="AO457" t="s">
        <v>1025</v>
      </c>
      <c r="AP457" t="s">
        <v>225</v>
      </c>
      <c r="AQ457" t="s">
        <v>225</v>
      </c>
      <c r="AR457" t="s">
        <v>48</v>
      </c>
      <c r="AS457" t="s">
        <v>48</v>
      </c>
    </row>
    <row r="458" spans="1:54" x14ac:dyDescent="0.4">
      <c r="A458" t="s">
        <v>251</v>
      </c>
      <c r="B458" t="s">
        <v>10</v>
      </c>
      <c r="C458" t="s">
        <v>153</v>
      </c>
      <c r="D458" t="s">
        <v>11</v>
      </c>
      <c r="E458" s="2">
        <v>-5.4999999999999997E-3</v>
      </c>
      <c r="F458" t="s">
        <v>12</v>
      </c>
      <c r="G458" s="4">
        <f>-0.55 / -0.55%</f>
        <v>100</v>
      </c>
      <c r="H458" t="s">
        <v>153</v>
      </c>
      <c r="I458" t="s">
        <v>5856</v>
      </c>
      <c r="J458" t="s">
        <v>5857</v>
      </c>
      <c r="K458" t="s">
        <v>23</v>
      </c>
      <c r="L458" s="2">
        <v>1.4999999999999999E-2</v>
      </c>
      <c r="M458" t="s">
        <v>5068</v>
      </c>
      <c r="N458" t="s">
        <v>28</v>
      </c>
      <c r="O458" t="s">
        <v>3825</v>
      </c>
      <c r="P458" t="s">
        <v>1232</v>
      </c>
      <c r="Q458" s="1">
        <v>93405</v>
      </c>
      <c r="R458" s="1">
        <v>93405</v>
      </c>
      <c r="S458" s="1">
        <v>93405</v>
      </c>
      <c r="T458" t="s">
        <v>5858</v>
      </c>
      <c r="U458" t="s">
        <v>4695</v>
      </c>
      <c r="V458" t="s">
        <v>2373</v>
      </c>
      <c r="W458" t="s">
        <v>2373</v>
      </c>
      <c r="X458" t="s">
        <v>2373</v>
      </c>
      <c r="Y458" t="s">
        <v>2373</v>
      </c>
      <c r="Z458" t="s">
        <v>2373</v>
      </c>
      <c r="AA458" t="s">
        <v>259</v>
      </c>
      <c r="AB458" s="2">
        <v>-7.0000000000000001E-3</v>
      </c>
      <c r="AC458" s="2">
        <v>-2.0999999999999999E-3</v>
      </c>
      <c r="AD458" s="2">
        <v>1.04E-2</v>
      </c>
      <c r="AE458" s="2">
        <v>3.56E-2</v>
      </c>
      <c r="AF458" s="2">
        <v>5.9200000000000003E-2</v>
      </c>
      <c r="AG458" s="2">
        <v>-1.14E-2</v>
      </c>
      <c r="AH458" t="s">
        <v>5859</v>
      </c>
      <c r="AI458" t="s">
        <v>130</v>
      </c>
      <c r="AJ458" t="s">
        <v>131</v>
      </c>
      <c r="AK458" t="s">
        <v>40</v>
      </c>
      <c r="AL458">
        <v>5</v>
      </c>
      <c r="AM458" t="s">
        <v>41</v>
      </c>
      <c r="AN458" t="s">
        <v>42</v>
      </c>
      <c r="AO458" t="s">
        <v>3825</v>
      </c>
      <c r="AP458" t="s">
        <v>4291</v>
      </c>
      <c r="AQ458">
        <v>5</v>
      </c>
      <c r="BA458" t="s">
        <v>136</v>
      </c>
      <c r="BB458" t="s">
        <v>61</v>
      </c>
    </row>
    <row r="459" spans="1:54" x14ac:dyDescent="0.4">
      <c r="A459" t="s">
        <v>4453</v>
      </c>
      <c r="B459" t="s">
        <v>10</v>
      </c>
      <c r="C459" t="s">
        <v>3936</v>
      </c>
      <c r="D459" t="s">
        <v>11</v>
      </c>
      <c r="E459" s="2">
        <v>-1.4E-3</v>
      </c>
      <c r="F459" t="s">
        <v>178</v>
      </c>
      <c r="G459" s="4">
        <f>-0.14 / -0.14%</f>
        <v>100</v>
      </c>
      <c r="H459" t="s">
        <v>3936</v>
      </c>
      <c r="I459" t="s">
        <v>5860</v>
      </c>
      <c r="J459" t="s">
        <v>5861</v>
      </c>
      <c r="K459" t="s">
        <v>23</v>
      </c>
      <c r="L459" s="2">
        <v>1.4500000000000001E-2</v>
      </c>
      <c r="M459" t="s">
        <v>5068</v>
      </c>
      <c r="N459" t="s">
        <v>28</v>
      </c>
      <c r="O459" t="s">
        <v>3825</v>
      </c>
      <c r="P459" t="s">
        <v>1280</v>
      </c>
      <c r="Q459" t="s">
        <v>2036</v>
      </c>
      <c r="R459" t="s">
        <v>5862</v>
      </c>
      <c r="S459" t="s">
        <v>5576</v>
      </c>
      <c r="T459" t="s">
        <v>5863</v>
      </c>
      <c r="U459" t="s">
        <v>5864</v>
      </c>
      <c r="V459" t="s">
        <v>593</v>
      </c>
      <c r="W459" t="s">
        <v>1378</v>
      </c>
      <c r="X459" t="s">
        <v>1378</v>
      </c>
      <c r="Y459" t="s">
        <v>1378</v>
      </c>
      <c r="Z459" t="s">
        <v>1378</v>
      </c>
      <c r="AA459" t="s">
        <v>1378</v>
      </c>
      <c r="AB459" s="2">
        <v>-2.5100000000000001E-2</v>
      </c>
      <c r="AC459" s="2">
        <v>1.7000000000000001E-2</v>
      </c>
      <c r="AD459" s="2">
        <v>3.9100000000000003E-2</v>
      </c>
      <c r="AE459" s="2">
        <v>8.9800000000000005E-2</v>
      </c>
      <c r="AF459" s="2">
        <v>0.16309999999999999</v>
      </c>
      <c r="AG459" s="2">
        <v>1.32E-2</v>
      </c>
      <c r="AH459" t="s">
        <v>5859</v>
      </c>
      <c r="AI459" t="s">
        <v>130</v>
      </c>
      <c r="AJ459" t="s">
        <v>131</v>
      </c>
      <c r="AK459" t="s">
        <v>40</v>
      </c>
      <c r="AL459">
        <v>5</v>
      </c>
      <c r="AM459" t="s">
        <v>41</v>
      </c>
      <c r="AN459" t="s">
        <v>42</v>
      </c>
      <c r="AO459" t="s">
        <v>3825</v>
      </c>
      <c r="AP459" t="s">
        <v>4345</v>
      </c>
      <c r="AZ459">
        <v>5</v>
      </c>
      <c r="BA459" t="s">
        <v>197</v>
      </c>
    </row>
    <row r="460" spans="1:54" x14ac:dyDescent="0.4">
      <c r="A460" t="s">
        <v>9</v>
      </c>
      <c r="B460" t="s">
        <v>10</v>
      </c>
      <c r="C460" t="s">
        <v>1472</v>
      </c>
      <c r="D460" t="s">
        <v>11</v>
      </c>
      <c r="E460" s="2">
        <v>-1.5E-3</v>
      </c>
      <c r="F460" t="s">
        <v>12</v>
      </c>
      <c r="G460" s="4">
        <f>-0.15 / -0.15%</f>
        <v>100</v>
      </c>
      <c r="H460" t="s">
        <v>1472</v>
      </c>
      <c r="I460" t="s">
        <v>2599</v>
      </c>
      <c r="J460" t="s">
        <v>2600</v>
      </c>
      <c r="K460" t="s">
        <v>23</v>
      </c>
      <c r="L460" s="2">
        <v>2.75E-2</v>
      </c>
      <c r="M460" t="s">
        <v>359</v>
      </c>
      <c r="N460" t="s">
        <v>28</v>
      </c>
      <c r="O460" t="s">
        <v>608</v>
      </c>
      <c r="P460" t="s">
        <v>871</v>
      </c>
      <c r="Q460" t="s">
        <v>871</v>
      </c>
      <c r="R460" t="s">
        <v>871</v>
      </c>
      <c r="S460" t="s">
        <v>871</v>
      </c>
      <c r="T460" t="s">
        <v>871</v>
      </c>
      <c r="U460" t="s">
        <v>871</v>
      </c>
      <c r="V460" t="s">
        <v>273</v>
      </c>
      <c r="W460" t="s">
        <v>273</v>
      </c>
      <c r="X460" t="s">
        <v>273</v>
      </c>
      <c r="Y460" t="s">
        <v>273</v>
      </c>
      <c r="Z460" t="s">
        <v>273</v>
      </c>
      <c r="AA460" t="s">
        <v>273</v>
      </c>
      <c r="AB460" s="2">
        <v>-3.5999999999999999E-3</v>
      </c>
      <c r="AC460" s="2">
        <v>-3.5999999999999999E-3</v>
      </c>
      <c r="AD460" s="2">
        <v>-3.5999999999999999E-3</v>
      </c>
      <c r="AE460" s="2">
        <v>-3.5999999999999999E-3</v>
      </c>
      <c r="AF460" s="2">
        <v>-3.5999999999999999E-3</v>
      </c>
      <c r="AG460" s="2">
        <v>-3.5999999999999999E-3</v>
      </c>
      <c r="AH460" t="s">
        <v>1395</v>
      </c>
      <c r="AI460" t="s">
        <v>36</v>
      </c>
      <c r="AJ460" t="s">
        <v>38</v>
      </c>
      <c r="AK460" t="s">
        <v>40</v>
      </c>
      <c r="AL460">
        <v>1</v>
      </c>
      <c r="AM460" t="s">
        <v>41</v>
      </c>
      <c r="AN460" t="s">
        <v>42</v>
      </c>
      <c r="AO460" t="s">
        <v>608</v>
      </c>
      <c r="AP460" t="s">
        <v>2601</v>
      </c>
      <c r="AQ460" t="s">
        <v>2601</v>
      </c>
      <c r="AR460" t="s">
        <v>48</v>
      </c>
      <c r="AS460" t="s">
        <v>48</v>
      </c>
    </row>
    <row r="461" spans="1:54" x14ac:dyDescent="0.4">
      <c r="A461" t="s">
        <v>1389</v>
      </c>
      <c r="B461" t="s">
        <v>10</v>
      </c>
      <c r="C461" t="s">
        <v>455</v>
      </c>
      <c r="D461" t="s">
        <v>11</v>
      </c>
      <c r="E461" s="2">
        <v>5.0000000000000001E-4</v>
      </c>
      <c r="F461" t="s">
        <v>12</v>
      </c>
      <c r="G461" s="4" t="s">
        <v>1390</v>
      </c>
      <c r="H461" t="s">
        <v>455</v>
      </c>
      <c r="I461" t="s">
        <v>1391</v>
      </c>
      <c r="J461" t="s">
        <v>1392</v>
      </c>
      <c r="K461" t="s">
        <v>23</v>
      </c>
      <c r="L461" s="2">
        <v>2.5860000000000001E-2</v>
      </c>
      <c r="M461" t="s">
        <v>1393</v>
      </c>
      <c r="N461" t="s">
        <v>121</v>
      </c>
      <c r="O461" t="s">
        <v>1394</v>
      </c>
      <c r="P461" s="1">
        <v>99635</v>
      </c>
      <c r="Q461" s="1">
        <v>99635</v>
      </c>
      <c r="R461" s="1">
        <v>99635</v>
      </c>
      <c r="S461" t="s">
        <v>871</v>
      </c>
      <c r="T461" t="s">
        <v>871</v>
      </c>
      <c r="U461" t="s">
        <v>871</v>
      </c>
      <c r="V461" s="1">
        <v>100565</v>
      </c>
      <c r="W461" t="s">
        <v>415</v>
      </c>
      <c r="X461" t="s">
        <v>415</v>
      </c>
      <c r="Y461" t="s">
        <v>415</v>
      </c>
      <c r="Z461" t="s">
        <v>415</v>
      </c>
      <c r="AA461" t="s">
        <v>415</v>
      </c>
      <c r="AB461" s="2">
        <v>1E-4</v>
      </c>
      <c r="AC461" s="2">
        <v>-1.6999999999999999E-3</v>
      </c>
      <c r="AD461" s="2">
        <v>5.0000000000000001E-4</v>
      </c>
      <c r="AE461" s="2">
        <v>-4.4999999999999997E-3</v>
      </c>
      <c r="AF461" s="2">
        <v>-1.9E-3</v>
      </c>
      <c r="AG461" s="2">
        <v>-1.9E-3</v>
      </c>
      <c r="AH461" t="s">
        <v>1395</v>
      </c>
      <c r="AI461" t="s">
        <v>36</v>
      </c>
      <c r="AJ461" t="s">
        <v>38</v>
      </c>
      <c r="AK461" t="s">
        <v>40</v>
      </c>
      <c r="AL461">
        <v>1</v>
      </c>
      <c r="AM461" t="s">
        <v>41</v>
      </c>
      <c r="AN461" t="s">
        <v>42</v>
      </c>
      <c r="AO461" t="s">
        <v>1394</v>
      </c>
      <c r="AP461" t="s">
        <v>225</v>
      </c>
      <c r="AQ461" t="s">
        <v>225</v>
      </c>
      <c r="AR461" t="s">
        <v>48</v>
      </c>
      <c r="AS461" t="s">
        <v>48</v>
      </c>
    </row>
    <row r="462" spans="1:54" x14ac:dyDescent="0.4">
      <c r="A462" t="s">
        <v>2681</v>
      </c>
      <c r="B462" t="s">
        <v>10</v>
      </c>
      <c r="C462" t="s">
        <v>1054</v>
      </c>
      <c r="D462" t="s">
        <v>11</v>
      </c>
      <c r="E462" s="2">
        <v>8.2000000000000007E-3</v>
      </c>
      <c r="F462" t="s">
        <v>178</v>
      </c>
      <c r="G462" s="4" t="s">
        <v>2682</v>
      </c>
      <c r="H462" t="s">
        <v>1054</v>
      </c>
      <c r="I462" t="s">
        <v>2683</v>
      </c>
      <c r="J462" t="s">
        <v>2684</v>
      </c>
      <c r="K462" t="s">
        <v>23</v>
      </c>
      <c r="L462" s="2">
        <v>3.7499999999999999E-3</v>
      </c>
      <c r="M462" t="s">
        <v>2685</v>
      </c>
      <c r="N462" t="s">
        <v>28</v>
      </c>
      <c r="O462" t="s">
        <v>2686</v>
      </c>
      <c r="P462" t="s">
        <v>403</v>
      </c>
      <c r="Q462" t="s">
        <v>936</v>
      </c>
      <c r="R462" t="s">
        <v>177</v>
      </c>
      <c r="S462" t="s">
        <v>2687</v>
      </c>
      <c r="T462" t="s">
        <v>2688</v>
      </c>
      <c r="U462" t="s">
        <v>2688</v>
      </c>
      <c r="V462" t="s">
        <v>1502</v>
      </c>
      <c r="W462" t="s">
        <v>1502</v>
      </c>
      <c r="X462" t="s">
        <v>1502</v>
      </c>
      <c r="Y462" t="s">
        <v>1502</v>
      </c>
      <c r="Z462" t="s">
        <v>1502</v>
      </c>
      <c r="AA462" t="s">
        <v>2689</v>
      </c>
      <c r="AB462" s="2">
        <v>8.9999999999999993E-3</v>
      </c>
      <c r="AC462" s="2">
        <v>9.9000000000000008E-3</v>
      </c>
      <c r="AD462" s="2">
        <v>2.8500000000000001E-2</v>
      </c>
      <c r="AE462" s="2">
        <v>3.7100000000000001E-2</v>
      </c>
      <c r="AF462" s="2">
        <v>6.0699999999999997E-2</v>
      </c>
      <c r="AG462" s="2">
        <v>-4.1700000000000001E-2</v>
      </c>
      <c r="AH462" t="s">
        <v>1395</v>
      </c>
      <c r="AI462" t="s">
        <v>36</v>
      </c>
      <c r="AJ462" t="s">
        <v>38</v>
      </c>
      <c r="AK462" t="s">
        <v>40</v>
      </c>
      <c r="AL462">
        <v>1</v>
      </c>
      <c r="AM462" t="s">
        <v>41</v>
      </c>
      <c r="AN462" t="s">
        <v>42</v>
      </c>
      <c r="AO462" t="s">
        <v>2686</v>
      </c>
      <c r="AP462" t="s">
        <v>1825</v>
      </c>
      <c r="AQ462" t="s">
        <v>1825</v>
      </c>
      <c r="AR462" t="s">
        <v>48</v>
      </c>
      <c r="AS462" t="s">
        <v>48</v>
      </c>
    </row>
    <row r="463" spans="1:54" x14ac:dyDescent="0.4">
      <c r="A463" t="s">
        <v>9</v>
      </c>
      <c r="B463" t="s">
        <v>10</v>
      </c>
      <c r="C463" t="s">
        <v>3821</v>
      </c>
      <c r="D463" t="s">
        <v>11</v>
      </c>
      <c r="E463" s="2">
        <v>-1.8E-3</v>
      </c>
      <c r="F463" t="s">
        <v>12</v>
      </c>
      <c r="G463" s="4">
        <f>-0.16 / -0.18%</f>
        <v>88.8888888888889</v>
      </c>
      <c r="H463" t="s">
        <v>3821</v>
      </c>
      <c r="I463" t="s">
        <v>4134</v>
      </c>
      <c r="J463" t="s">
        <v>4135</v>
      </c>
      <c r="K463" t="s">
        <v>23</v>
      </c>
      <c r="L463" s="2">
        <v>1.2500000000000001E-2</v>
      </c>
      <c r="M463" t="s">
        <v>3716</v>
      </c>
      <c r="N463" t="s">
        <v>28</v>
      </c>
      <c r="O463" t="s">
        <v>1025</v>
      </c>
      <c r="P463" t="s">
        <v>4136</v>
      </c>
      <c r="Q463" t="s">
        <v>1997</v>
      </c>
      <c r="R463" t="s">
        <v>1910</v>
      </c>
      <c r="S463" t="s">
        <v>4137</v>
      </c>
      <c r="T463" t="s">
        <v>4138</v>
      </c>
      <c r="U463" t="s">
        <v>4139</v>
      </c>
      <c r="V463" s="1">
        <v>89125</v>
      </c>
      <c r="W463" s="1">
        <v>90925</v>
      </c>
      <c r="X463" s="1">
        <v>90925</v>
      </c>
      <c r="Y463" s="1">
        <v>90925</v>
      </c>
      <c r="Z463" s="1">
        <v>90925</v>
      </c>
      <c r="AA463" t="s">
        <v>1472</v>
      </c>
      <c r="AB463" s="2">
        <v>-9.1000000000000004E-3</v>
      </c>
      <c r="AC463" s="2">
        <v>1.15E-2</v>
      </c>
      <c r="AD463" s="2">
        <v>6.7299999999999999E-2</v>
      </c>
      <c r="AE463" s="2">
        <v>7.0199999999999999E-2</v>
      </c>
      <c r="AF463" s="2">
        <v>0.11609999999999999</v>
      </c>
      <c r="AG463" s="2">
        <v>-0.1162</v>
      </c>
      <c r="AH463" t="s">
        <v>3724</v>
      </c>
      <c r="AI463" t="s">
        <v>232</v>
      </c>
      <c r="AJ463" t="s">
        <v>131</v>
      </c>
      <c r="AK463" t="s">
        <v>40</v>
      </c>
      <c r="AL463">
        <v>1</v>
      </c>
      <c r="AM463" t="s">
        <v>41</v>
      </c>
      <c r="AN463" t="s">
        <v>42</v>
      </c>
      <c r="AO463" t="s">
        <v>1025</v>
      </c>
      <c r="AP463" t="s">
        <v>1338</v>
      </c>
      <c r="AQ463" t="s">
        <v>1338</v>
      </c>
      <c r="AR463" t="s">
        <v>48</v>
      </c>
      <c r="AS463" t="s">
        <v>48</v>
      </c>
    </row>
    <row r="464" spans="1:54" x14ac:dyDescent="0.4">
      <c r="A464" t="s">
        <v>3767</v>
      </c>
      <c r="B464" t="s">
        <v>10</v>
      </c>
      <c r="C464" s="1">
        <v>89525</v>
      </c>
      <c r="D464" t="s">
        <v>11</v>
      </c>
      <c r="E464" s="2">
        <v>-1.9E-3</v>
      </c>
      <c r="F464" t="s">
        <v>12</v>
      </c>
      <c r="G464" s="4">
        <f>-0.17 / -0.19%</f>
        <v>89.473684210526329</v>
      </c>
      <c r="H464" s="1">
        <v>89525</v>
      </c>
      <c r="I464" t="s">
        <v>3768</v>
      </c>
      <c r="J464" t="s">
        <v>3769</v>
      </c>
      <c r="K464" t="s">
        <v>23</v>
      </c>
      <c r="L464" s="2">
        <v>6.2500000000000003E-3</v>
      </c>
      <c r="M464" t="s">
        <v>3770</v>
      </c>
      <c r="N464" t="s">
        <v>28</v>
      </c>
      <c r="O464" t="s">
        <v>3771</v>
      </c>
      <c r="P464" t="s">
        <v>3772</v>
      </c>
      <c r="Q464" s="1">
        <v>89025</v>
      </c>
      <c r="R464" t="s">
        <v>3773</v>
      </c>
      <c r="S464" s="1">
        <v>84415</v>
      </c>
      <c r="T464" s="1">
        <v>77575</v>
      </c>
      <c r="U464" s="1">
        <v>65675</v>
      </c>
      <c r="V464" t="s">
        <v>3774</v>
      </c>
      <c r="W464" s="1">
        <v>91195</v>
      </c>
      <c r="X464" s="1">
        <v>91195</v>
      </c>
      <c r="Y464" s="1">
        <v>91195</v>
      </c>
      <c r="Z464" s="1">
        <v>91195</v>
      </c>
      <c r="AA464" t="s">
        <v>2411</v>
      </c>
      <c r="AB464" s="2">
        <v>-1.4E-2</v>
      </c>
      <c r="AC464" s="2">
        <v>-1.5E-3</v>
      </c>
      <c r="AD464" s="2">
        <v>3.15E-2</v>
      </c>
      <c r="AE464" s="2">
        <v>4.2200000000000001E-2</v>
      </c>
      <c r="AF464" s="2">
        <v>0.11600000000000001</v>
      </c>
      <c r="AG464" s="2">
        <v>-7.2999999999999995E-2</v>
      </c>
      <c r="AH464" t="s">
        <v>3724</v>
      </c>
      <c r="AI464" t="s">
        <v>232</v>
      </c>
      <c r="AJ464" t="s">
        <v>131</v>
      </c>
      <c r="AK464" t="s">
        <v>40</v>
      </c>
      <c r="AL464">
        <v>1</v>
      </c>
      <c r="AM464" t="s">
        <v>41</v>
      </c>
      <c r="AN464" t="s">
        <v>42</v>
      </c>
      <c r="AO464" t="s">
        <v>3771</v>
      </c>
      <c r="AP464" t="s">
        <v>225</v>
      </c>
      <c r="AQ464" t="s">
        <v>225</v>
      </c>
      <c r="AR464" t="s">
        <v>48</v>
      </c>
      <c r="AS464" t="s">
        <v>48</v>
      </c>
    </row>
    <row r="465" spans="1:54" x14ac:dyDescent="0.4">
      <c r="A465" t="s">
        <v>3712</v>
      </c>
      <c r="B465" t="s">
        <v>10</v>
      </c>
      <c r="C465" t="s">
        <v>3713</v>
      </c>
      <c r="D465" t="s">
        <v>11</v>
      </c>
      <c r="E465" s="2">
        <v>-1E-3</v>
      </c>
      <c r="F465" t="s">
        <v>178</v>
      </c>
      <c r="G465" s="4">
        <f>-0.09 / -0.1%</f>
        <v>90</v>
      </c>
      <c r="H465" t="s">
        <v>3713</v>
      </c>
      <c r="I465" t="s">
        <v>3714</v>
      </c>
      <c r="J465" t="s">
        <v>3715</v>
      </c>
      <c r="K465" t="s">
        <v>23</v>
      </c>
      <c r="L465" s="2">
        <v>5.0000000000000001E-3</v>
      </c>
      <c r="M465" t="s">
        <v>3716</v>
      </c>
      <c r="N465" t="s">
        <v>28</v>
      </c>
      <c r="O465" t="s">
        <v>1025</v>
      </c>
      <c r="P465" t="s">
        <v>3717</v>
      </c>
      <c r="Q465" t="s">
        <v>3718</v>
      </c>
      <c r="R465" t="s">
        <v>3719</v>
      </c>
      <c r="S465" t="s">
        <v>2921</v>
      </c>
      <c r="T465" t="s">
        <v>1997</v>
      </c>
      <c r="U465" t="s">
        <v>3720</v>
      </c>
      <c r="V465" t="s">
        <v>3721</v>
      </c>
      <c r="W465" t="s">
        <v>3722</v>
      </c>
      <c r="X465" t="s">
        <v>3722</v>
      </c>
      <c r="Y465" t="s">
        <v>3722</v>
      </c>
      <c r="Z465" t="s">
        <v>3722</v>
      </c>
      <c r="AA465" t="s">
        <v>3723</v>
      </c>
      <c r="AB465" s="2">
        <v>-4.4000000000000003E-3</v>
      </c>
      <c r="AC465" s="2">
        <v>2.3999999999999998E-3</v>
      </c>
      <c r="AD465" s="2">
        <v>2.46E-2</v>
      </c>
      <c r="AE465" s="2">
        <v>4.0300000000000002E-2</v>
      </c>
      <c r="AF465" s="2">
        <v>6.3100000000000003E-2</v>
      </c>
      <c r="AG465" s="2">
        <v>-5.9499999999999997E-2</v>
      </c>
      <c r="AH465" t="s">
        <v>3724</v>
      </c>
      <c r="AI465" t="s">
        <v>232</v>
      </c>
      <c r="AJ465" t="s">
        <v>131</v>
      </c>
      <c r="AK465" t="s">
        <v>40</v>
      </c>
      <c r="AL465">
        <v>1</v>
      </c>
      <c r="AM465" t="s">
        <v>41</v>
      </c>
      <c r="AN465" t="s">
        <v>42</v>
      </c>
      <c r="AO465" t="s">
        <v>1025</v>
      </c>
      <c r="AP465" t="s">
        <v>225</v>
      </c>
      <c r="AQ465" t="s">
        <v>225</v>
      </c>
      <c r="AR465" t="s">
        <v>48</v>
      </c>
      <c r="AS465" t="s">
        <v>48</v>
      </c>
    </row>
    <row r="466" spans="1:54" x14ac:dyDescent="0.4">
      <c r="A466" t="s">
        <v>296</v>
      </c>
      <c r="B466" t="s">
        <v>10</v>
      </c>
      <c r="C466" t="s">
        <v>1232</v>
      </c>
      <c r="D466" t="s">
        <v>11</v>
      </c>
      <c r="E466" s="2">
        <v>-6.1999999999999998E-3</v>
      </c>
      <c r="F466" t="s">
        <v>12</v>
      </c>
      <c r="G466" s="4">
        <f>-0.6 / -0.62%</f>
        <v>96.774193548387103</v>
      </c>
      <c r="H466" t="s">
        <v>1232</v>
      </c>
      <c r="I466" t="s">
        <v>2704</v>
      </c>
      <c r="J466" t="s">
        <v>2705</v>
      </c>
      <c r="K466" t="s">
        <v>23</v>
      </c>
      <c r="L466" s="2">
        <v>4.4999999999999998E-2</v>
      </c>
      <c r="M466" t="s">
        <v>2706</v>
      </c>
      <c r="N466" t="s">
        <v>28</v>
      </c>
      <c r="O466" t="s">
        <v>2707</v>
      </c>
      <c r="P466" t="s">
        <v>1122</v>
      </c>
      <c r="Q466" t="s">
        <v>1122</v>
      </c>
      <c r="R466" t="s">
        <v>1122</v>
      </c>
      <c r="S466" t="s">
        <v>2708</v>
      </c>
      <c r="T466" t="s">
        <v>1144</v>
      </c>
      <c r="U466" t="s">
        <v>1144</v>
      </c>
      <c r="V466" t="s">
        <v>1425</v>
      </c>
      <c r="W466" t="s">
        <v>824</v>
      </c>
      <c r="X466" t="s">
        <v>2214</v>
      </c>
      <c r="Y466" t="s">
        <v>2214</v>
      </c>
      <c r="Z466" t="s">
        <v>110</v>
      </c>
      <c r="AA466" t="s">
        <v>2709</v>
      </c>
      <c r="AB466" s="2">
        <v>6.3E-3</v>
      </c>
      <c r="AC466" s="2">
        <v>-1.7899999999999999E-2</v>
      </c>
      <c r="AD466" s="2">
        <v>-1.44E-2</v>
      </c>
      <c r="AE466" s="2">
        <v>8.8999999999999999E-3</v>
      </c>
      <c r="AF466" s="2">
        <v>2.0199999999999999E-2</v>
      </c>
      <c r="AG466" s="2">
        <v>-8.2299999999999998E-2</v>
      </c>
      <c r="AH466" t="s">
        <v>2710</v>
      </c>
      <c r="AI466" t="s">
        <v>232</v>
      </c>
      <c r="AJ466" t="s">
        <v>131</v>
      </c>
      <c r="AK466" t="s">
        <v>40</v>
      </c>
      <c r="AL466">
        <v>1</v>
      </c>
      <c r="AM466" t="s">
        <v>41</v>
      </c>
      <c r="AN466" t="s">
        <v>42</v>
      </c>
      <c r="AO466" t="s">
        <v>2707</v>
      </c>
      <c r="AP466" t="s">
        <v>2711</v>
      </c>
      <c r="AQ466" t="s">
        <v>2711</v>
      </c>
      <c r="AR466" t="s">
        <v>48</v>
      </c>
      <c r="AS466" t="s">
        <v>48</v>
      </c>
    </row>
    <row r="467" spans="1:54" x14ac:dyDescent="0.4">
      <c r="A467" t="s">
        <v>335</v>
      </c>
      <c r="B467" t="s">
        <v>10</v>
      </c>
      <c r="C467" t="s">
        <v>336</v>
      </c>
      <c r="D467" t="s">
        <v>11</v>
      </c>
      <c r="E467" s="2">
        <v>3.7000000000000002E-3</v>
      </c>
      <c r="F467" t="s">
        <v>178</v>
      </c>
      <c r="G467" s="4" t="s">
        <v>337</v>
      </c>
      <c r="H467" t="s">
        <v>336</v>
      </c>
      <c r="I467" t="s">
        <v>338</v>
      </c>
      <c r="J467" t="s">
        <v>339</v>
      </c>
      <c r="K467" t="s">
        <v>23</v>
      </c>
      <c r="L467" s="2">
        <v>3.5000000000000003E-2</v>
      </c>
      <c r="M467" t="s">
        <v>340</v>
      </c>
      <c r="N467" t="s">
        <v>28</v>
      </c>
      <c r="O467" t="s">
        <v>341</v>
      </c>
      <c r="P467" t="s">
        <v>342</v>
      </c>
      <c r="Q467" t="s">
        <v>342</v>
      </c>
      <c r="R467" t="s">
        <v>343</v>
      </c>
      <c r="S467" t="s">
        <v>344</v>
      </c>
      <c r="T467" t="s">
        <v>345</v>
      </c>
      <c r="U467" t="s">
        <v>345</v>
      </c>
      <c r="V467" t="s">
        <v>329</v>
      </c>
      <c r="W467" t="s">
        <v>346</v>
      </c>
      <c r="X467" t="s">
        <v>346</v>
      </c>
      <c r="Y467" t="s">
        <v>346</v>
      </c>
      <c r="Z467" t="s">
        <v>346</v>
      </c>
      <c r="AA467" t="s">
        <v>346</v>
      </c>
      <c r="AB467" s="2">
        <v>-5.0000000000000001E-4</v>
      </c>
      <c r="AC467" s="2">
        <v>-2E-3</v>
      </c>
      <c r="AD467" s="2">
        <v>1.14E-2</v>
      </c>
      <c r="AE467" s="2">
        <v>9.4000000000000004E-3</v>
      </c>
      <c r="AF467" s="2">
        <v>2.3599999999999999E-2</v>
      </c>
      <c r="AG467" s="2">
        <v>2.3599999999999999E-2</v>
      </c>
      <c r="AH467" t="s">
        <v>347</v>
      </c>
      <c r="AI467" t="s">
        <v>130</v>
      </c>
      <c r="AJ467" t="s">
        <v>131</v>
      </c>
      <c r="AK467" t="s">
        <v>40</v>
      </c>
      <c r="AL467">
        <v>100</v>
      </c>
      <c r="AM467" t="s">
        <v>41</v>
      </c>
      <c r="AN467" t="s">
        <v>42</v>
      </c>
      <c r="AO467" t="s">
        <v>341</v>
      </c>
      <c r="AP467" t="s">
        <v>333</v>
      </c>
      <c r="AQ467" t="s">
        <v>333</v>
      </c>
      <c r="AR467" t="s">
        <v>48</v>
      </c>
      <c r="AS467" t="s">
        <v>48</v>
      </c>
    </row>
    <row r="468" spans="1:54" x14ac:dyDescent="0.4">
      <c r="A468" t="s">
        <v>104</v>
      </c>
      <c r="B468" t="s">
        <v>10</v>
      </c>
      <c r="C468" t="s">
        <v>7413</v>
      </c>
      <c r="D468" t="s">
        <v>11</v>
      </c>
      <c r="E468" s="2">
        <v>3.8999999999999998E-3</v>
      </c>
      <c r="F468" t="s">
        <v>12</v>
      </c>
      <c r="G468" s="4" t="s">
        <v>7414</v>
      </c>
      <c r="H468" t="s">
        <v>7413</v>
      </c>
      <c r="I468" t="s">
        <v>7415</v>
      </c>
      <c r="J468" t="s">
        <v>7416</v>
      </c>
      <c r="K468" t="s">
        <v>23</v>
      </c>
      <c r="L468" s="2">
        <v>2.375E-2</v>
      </c>
      <c r="M468" t="s">
        <v>6082</v>
      </c>
      <c r="N468" t="s">
        <v>121</v>
      </c>
      <c r="O468" t="s">
        <v>6083</v>
      </c>
      <c r="P468" t="s">
        <v>7417</v>
      </c>
      <c r="Q468" t="s">
        <v>7417</v>
      </c>
      <c r="R468" t="s">
        <v>7417</v>
      </c>
      <c r="S468" t="s">
        <v>7418</v>
      </c>
      <c r="T468" t="s">
        <v>5742</v>
      </c>
      <c r="U468" t="s">
        <v>5742</v>
      </c>
      <c r="V468" t="s">
        <v>1908</v>
      </c>
      <c r="W468" t="s">
        <v>7419</v>
      </c>
      <c r="X468" t="s">
        <v>3272</v>
      </c>
      <c r="Y468" t="s">
        <v>3272</v>
      </c>
      <c r="Z468" t="s">
        <v>7420</v>
      </c>
      <c r="AA468" t="s">
        <v>5733</v>
      </c>
      <c r="AB468" s="2">
        <v>-1.6899999999999998E-2</v>
      </c>
      <c r="AC468" s="2">
        <v>-4.2000000000000003E-2</v>
      </c>
      <c r="AD468" s="2">
        <v>-1.6899999999999998E-2</v>
      </c>
      <c r="AE468" s="2">
        <v>-2.07E-2</v>
      </c>
      <c r="AF468" s="2">
        <v>-0.08</v>
      </c>
      <c r="AG468" s="2">
        <v>-0.30520000000000003</v>
      </c>
      <c r="AH468" t="s">
        <v>7421</v>
      </c>
      <c r="AI468" t="s">
        <v>130</v>
      </c>
      <c r="AJ468" t="s">
        <v>131</v>
      </c>
      <c r="AK468" t="s">
        <v>40</v>
      </c>
      <c r="AL468">
        <v>200</v>
      </c>
      <c r="AM468" t="s">
        <v>41</v>
      </c>
      <c r="AN468" t="s">
        <v>42</v>
      </c>
      <c r="AO468" t="s">
        <v>6083</v>
      </c>
      <c r="AP468" t="s">
        <v>225</v>
      </c>
      <c r="AQ468" t="s">
        <v>225</v>
      </c>
      <c r="AR468" t="s">
        <v>133</v>
      </c>
      <c r="AS468" t="s">
        <v>133</v>
      </c>
    </row>
    <row r="469" spans="1:54" x14ac:dyDescent="0.4">
      <c r="A469" t="s">
        <v>296</v>
      </c>
      <c r="B469" t="s">
        <v>10</v>
      </c>
      <c r="C469" t="s">
        <v>3585</v>
      </c>
      <c r="D469" t="s">
        <v>11</v>
      </c>
      <c r="E469" s="2">
        <v>2.3999999999999998E-3</v>
      </c>
      <c r="F469" t="s">
        <v>12</v>
      </c>
      <c r="G469" s="4" t="s">
        <v>7319</v>
      </c>
      <c r="H469" t="s">
        <v>3585</v>
      </c>
      <c r="I469" t="s">
        <v>7320</v>
      </c>
      <c r="J469" t="s">
        <v>7321</v>
      </c>
      <c r="K469" t="s">
        <v>23</v>
      </c>
      <c r="L469" s="2">
        <v>3.5000000000000003E-2</v>
      </c>
      <c r="M469" t="s">
        <v>1617</v>
      </c>
      <c r="N469" t="s">
        <v>121</v>
      </c>
      <c r="O469" t="s">
        <v>7322</v>
      </c>
      <c r="P469" s="1">
        <v>89035</v>
      </c>
      <c r="Q469" s="1">
        <v>88795</v>
      </c>
      <c r="R469" s="1">
        <v>88795</v>
      </c>
      <c r="S469" t="s">
        <v>5377</v>
      </c>
      <c r="T469" s="1">
        <v>80175</v>
      </c>
      <c r="U469" t="s">
        <v>7323</v>
      </c>
      <c r="V469" t="s">
        <v>7324</v>
      </c>
      <c r="W469" s="1">
        <v>91485</v>
      </c>
      <c r="X469" t="s">
        <v>7325</v>
      </c>
      <c r="Y469" t="s">
        <v>7325</v>
      </c>
      <c r="Z469" t="s">
        <v>7325</v>
      </c>
      <c r="AA469" t="s">
        <v>84</v>
      </c>
      <c r="AB469" s="2">
        <v>1.2999999999999999E-3</v>
      </c>
      <c r="AC469" s="2">
        <v>-8.3000000000000001E-3</v>
      </c>
      <c r="AD469" s="2">
        <v>7.4999999999999997E-3</v>
      </c>
      <c r="AE469" s="2">
        <v>1.6299999999999999E-2</v>
      </c>
      <c r="AF469" s="2">
        <v>5.7099999999999998E-2</v>
      </c>
      <c r="AG469" s="2">
        <v>-9.7900000000000001E-2</v>
      </c>
      <c r="AH469" t="s">
        <v>7326</v>
      </c>
      <c r="AI469" t="s">
        <v>130</v>
      </c>
      <c r="AJ469" t="s">
        <v>131</v>
      </c>
      <c r="AK469" t="s">
        <v>40</v>
      </c>
      <c r="AL469">
        <v>2</v>
      </c>
      <c r="AM469" t="s">
        <v>41</v>
      </c>
      <c r="AN469" t="s">
        <v>42</v>
      </c>
      <c r="AO469" t="s">
        <v>7322</v>
      </c>
      <c r="AP469" t="s">
        <v>357</v>
      </c>
      <c r="AQ469" t="s">
        <v>357</v>
      </c>
      <c r="AR469" t="s">
        <v>133</v>
      </c>
      <c r="AS469" t="s">
        <v>133</v>
      </c>
    </row>
    <row r="470" spans="1:54" x14ac:dyDescent="0.4">
      <c r="A470" t="s">
        <v>296</v>
      </c>
      <c r="B470" t="s">
        <v>10</v>
      </c>
      <c r="C470" s="1">
        <v>101565</v>
      </c>
      <c r="D470" t="s">
        <v>11</v>
      </c>
      <c r="E470" s="2">
        <v>1.1999999999999999E-3</v>
      </c>
      <c r="F470" t="s">
        <v>12</v>
      </c>
      <c r="G470" s="4" t="s">
        <v>1035</v>
      </c>
      <c r="H470" s="1">
        <v>101565</v>
      </c>
      <c r="I470" t="s">
        <v>6106</v>
      </c>
      <c r="J470" t="s">
        <v>6107</v>
      </c>
      <c r="K470" t="s">
        <v>23</v>
      </c>
      <c r="L470" s="2">
        <v>5.8999999999999997E-2</v>
      </c>
      <c r="M470" t="s">
        <v>6108</v>
      </c>
      <c r="N470" t="s">
        <v>121</v>
      </c>
      <c r="O470" t="s">
        <v>6109</v>
      </c>
      <c r="P470" s="1">
        <v>101245</v>
      </c>
      <c r="Q470" s="1">
        <v>101245</v>
      </c>
      <c r="R470" s="1">
        <v>101245</v>
      </c>
      <c r="S470" t="s">
        <v>273</v>
      </c>
      <c r="T470" t="s">
        <v>6110</v>
      </c>
      <c r="U470" t="s">
        <v>3593</v>
      </c>
      <c r="V470" t="s">
        <v>6111</v>
      </c>
      <c r="W470" t="s">
        <v>6112</v>
      </c>
      <c r="X470" t="s">
        <v>2061</v>
      </c>
      <c r="Y470" t="s">
        <v>2061</v>
      </c>
      <c r="Z470" t="s">
        <v>2061</v>
      </c>
      <c r="AA470" t="s">
        <v>6113</v>
      </c>
      <c r="AB470" s="2">
        <v>5.0000000000000001E-4</v>
      </c>
      <c r="AC470" s="2">
        <v>-1.06E-2</v>
      </c>
      <c r="AD470" s="2">
        <v>-2E-3</v>
      </c>
      <c r="AE470" s="2">
        <v>-2.9999999999999997E-4</v>
      </c>
      <c r="AF470" s="2">
        <v>5.8999999999999999E-3</v>
      </c>
      <c r="AG470" s="2">
        <v>-7.9399999999999998E-2</v>
      </c>
      <c r="AH470" t="s">
        <v>6114</v>
      </c>
      <c r="AI470" t="s">
        <v>130</v>
      </c>
      <c r="AJ470" t="s">
        <v>131</v>
      </c>
      <c r="AK470" t="s">
        <v>40</v>
      </c>
      <c r="AL470">
        <v>1</v>
      </c>
      <c r="AM470" t="s">
        <v>41</v>
      </c>
      <c r="AN470" t="s">
        <v>42</v>
      </c>
      <c r="AO470" t="s">
        <v>6109</v>
      </c>
      <c r="AP470" t="s">
        <v>6115</v>
      </c>
      <c r="AQ470" t="s">
        <v>6115</v>
      </c>
      <c r="AR470" t="s">
        <v>133</v>
      </c>
      <c r="AS470" t="s">
        <v>133</v>
      </c>
    </row>
    <row r="471" spans="1:54" x14ac:dyDescent="0.4">
      <c r="A471" t="s">
        <v>161</v>
      </c>
      <c r="B471" t="s">
        <v>10</v>
      </c>
      <c r="C471" t="s">
        <v>3917</v>
      </c>
      <c r="D471" t="s">
        <v>11</v>
      </c>
      <c r="E471" s="2">
        <v>0</v>
      </c>
      <c r="F471" t="s">
        <v>12</v>
      </c>
      <c r="G471" s="4" t="s">
        <v>15</v>
      </c>
      <c r="H471" t="s">
        <v>3917</v>
      </c>
      <c r="I471" t="s">
        <v>3918</v>
      </c>
      <c r="J471" t="s">
        <v>3919</v>
      </c>
      <c r="K471" t="s">
        <v>23</v>
      </c>
      <c r="L471" s="2">
        <v>0.08</v>
      </c>
      <c r="M471" t="s">
        <v>966</v>
      </c>
      <c r="N471" t="s">
        <v>636</v>
      </c>
      <c r="O471" t="s">
        <v>3920</v>
      </c>
      <c r="P471" t="s">
        <v>3798</v>
      </c>
      <c r="Q471" t="s">
        <v>3798</v>
      </c>
      <c r="R471" t="s">
        <v>3921</v>
      </c>
      <c r="S471" t="s">
        <v>3922</v>
      </c>
      <c r="T471" t="s">
        <v>3922</v>
      </c>
      <c r="U471" t="s">
        <v>3922</v>
      </c>
      <c r="V471" t="s">
        <v>3923</v>
      </c>
      <c r="W471" t="s">
        <v>3923</v>
      </c>
      <c r="X471" t="s">
        <v>3923</v>
      </c>
      <c r="Y471" t="s">
        <v>3923</v>
      </c>
      <c r="Z471" t="s">
        <v>3923</v>
      </c>
      <c r="AA471" t="s">
        <v>3924</v>
      </c>
      <c r="AB471" s="2">
        <v>0.52380000000000004</v>
      </c>
      <c r="AC471" s="2">
        <v>-0.1111</v>
      </c>
      <c r="AD471" s="2">
        <v>0.88239999999999996</v>
      </c>
      <c r="AE471" s="2">
        <v>2.2000000000000002</v>
      </c>
      <c r="AF471" s="2">
        <v>-0.55059999999999998</v>
      </c>
      <c r="AG471" s="2">
        <v>-0.75380000000000003</v>
      </c>
      <c r="AH471" t="s">
        <v>3925</v>
      </c>
      <c r="AI471" t="s">
        <v>130</v>
      </c>
      <c r="AJ471" t="s">
        <v>131</v>
      </c>
      <c r="AK471" t="s">
        <v>40</v>
      </c>
      <c r="AL471">
        <v>1</v>
      </c>
      <c r="AM471" t="s">
        <v>41</v>
      </c>
      <c r="AN471" t="s">
        <v>42</v>
      </c>
      <c r="AO471" t="s">
        <v>3920</v>
      </c>
      <c r="AP471" t="s">
        <v>3926</v>
      </c>
      <c r="AQ471">
        <v>1</v>
      </c>
      <c r="BA471" t="s">
        <v>174</v>
      </c>
      <c r="BB471" t="s">
        <v>61</v>
      </c>
    </row>
    <row r="472" spans="1:54" x14ac:dyDescent="0.4">
      <c r="A472" t="s">
        <v>3791</v>
      </c>
      <c r="B472" t="s">
        <v>10</v>
      </c>
      <c r="C472" t="s">
        <v>3792</v>
      </c>
      <c r="D472" t="s">
        <v>11</v>
      </c>
      <c r="E472" s="2">
        <v>0.92310000000000003</v>
      </c>
      <c r="F472" t="s">
        <v>12</v>
      </c>
      <c r="G472" s="4" t="s">
        <v>3793</v>
      </c>
      <c r="H472" t="s">
        <v>3792</v>
      </c>
      <c r="I472" t="s">
        <v>3794</v>
      </c>
      <c r="J472" t="s">
        <v>3795</v>
      </c>
      <c r="K472" t="s">
        <v>23</v>
      </c>
      <c r="L472" s="2">
        <v>0.06</v>
      </c>
      <c r="M472" t="s">
        <v>966</v>
      </c>
      <c r="N472" t="s">
        <v>121</v>
      </c>
      <c r="O472" t="s">
        <v>3796</v>
      </c>
      <c r="P472" t="s">
        <v>3797</v>
      </c>
      <c r="Q472" t="s">
        <v>3798</v>
      </c>
      <c r="R472" t="s">
        <v>3799</v>
      </c>
      <c r="S472" t="s">
        <v>3800</v>
      </c>
      <c r="T472" t="s">
        <v>3801</v>
      </c>
      <c r="U472" t="s">
        <v>3801</v>
      </c>
      <c r="V472" t="s">
        <v>3802</v>
      </c>
      <c r="W472" t="s">
        <v>3802</v>
      </c>
      <c r="X472" t="s">
        <v>3802</v>
      </c>
      <c r="Y472" t="s">
        <v>3802</v>
      </c>
      <c r="Z472" t="s">
        <v>3802</v>
      </c>
      <c r="AA472" t="s">
        <v>3803</v>
      </c>
      <c r="AB472" s="2">
        <v>1.1738999999999999</v>
      </c>
      <c r="AC472" s="2">
        <v>1.4752000000000001</v>
      </c>
      <c r="AD472" s="2">
        <v>2.3332999999999999</v>
      </c>
      <c r="AE472" s="2">
        <v>2.8462000000000001</v>
      </c>
      <c r="AF472" s="2">
        <v>-0.33329999999999999</v>
      </c>
      <c r="AG472" s="2">
        <v>-0.61829999999999996</v>
      </c>
      <c r="AH472" t="s">
        <v>3804</v>
      </c>
      <c r="AI472" t="s">
        <v>130</v>
      </c>
      <c r="AJ472" t="s">
        <v>38</v>
      </c>
      <c r="AK472" t="s">
        <v>40</v>
      </c>
      <c r="AL472">
        <v>1</v>
      </c>
      <c r="AM472" t="s">
        <v>41</v>
      </c>
      <c r="AN472" t="s">
        <v>42</v>
      </c>
      <c r="AO472" t="s">
        <v>3796</v>
      </c>
      <c r="AP472" t="s">
        <v>3805</v>
      </c>
      <c r="AQ472">
        <v>1</v>
      </c>
      <c r="BA472" t="s">
        <v>136</v>
      </c>
      <c r="BB472" t="s">
        <v>61</v>
      </c>
    </row>
    <row r="473" spans="1:54" x14ac:dyDescent="0.4">
      <c r="A473" t="s">
        <v>296</v>
      </c>
      <c r="B473" t="s">
        <v>10</v>
      </c>
      <c r="C473" t="s">
        <v>5797</v>
      </c>
      <c r="D473" t="s">
        <v>11</v>
      </c>
      <c r="E473" s="2">
        <v>-7.1999999999999998E-3</v>
      </c>
      <c r="F473" t="s">
        <v>12</v>
      </c>
      <c r="G473" s="4">
        <f>-0.64 / -0.72%</f>
        <v>88.8888888888889</v>
      </c>
      <c r="H473" t="s">
        <v>5797</v>
      </c>
      <c r="I473" t="s">
        <v>5798</v>
      </c>
      <c r="J473" t="s">
        <v>5799</v>
      </c>
      <c r="K473" t="s">
        <v>23</v>
      </c>
      <c r="L473" s="2">
        <v>1.375E-2</v>
      </c>
      <c r="M473" t="s">
        <v>5800</v>
      </c>
      <c r="N473" t="s">
        <v>28</v>
      </c>
      <c r="O473" t="s">
        <v>5801</v>
      </c>
      <c r="P473" t="s">
        <v>5802</v>
      </c>
      <c r="Q473" t="s">
        <v>5802</v>
      </c>
      <c r="R473" t="s">
        <v>5802</v>
      </c>
      <c r="S473" t="s">
        <v>5803</v>
      </c>
      <c r="T473" t="s">
        <v>5804</v>
      </c>
      <c r="U473" t="s">
        <v>5805</v>
      </c>
      <c r="V473" t="s">
        <v>2953</v>
      </c>
      <c r="W473" t="s">
        <v>2658</v>
      </c>
      <c r="X473" t="s">
        <v>2658</v>
      </c>
      <c r="Y473" t="s">
        <v>2658</v>
      </c>
      <c r="Z473" t="s">
        <v>2658</v>
      </c>
      <c r="AA473" t="s">
        <v>1065</v>
      </c>
      <c r="AB473" s="2">
        <v>-1.4800000000000001E-2</v>
      </c>
      <c r="AC473" s="2">
        <v>-1.46E-2</v>
      </c>
      <c r="AD473" s="2">
        <v>6.9999999999999999E-4</v>
      </c>
      <c r="AE473" s="2">
        <v>1.0699999999999999E-2</v>
      </c>
      <c r="AF473" s="2">
        <v>2.07E-2</v>
      </c>
      <c r="AG473" s="2">
        <v>-0.1116</v>
      </c>
      <c r="AH473" t="s">
        <v>5038</v>
      </c>
      <c r="AI473" t="s">
        <v>130</v>
      </c>
      <c r="AJ473" t="s">
        <v>131</v>
      </c>
      <c r="AK473" t="s">
        <v>40</v>
      </c>
      <c r="AL473">
        <v>100</v>
      </c>
      <c r="AM473" t="s">
        <v>41</v>
      </c>
      <c r="AN473" t="s">
        <v>42</v>
      </c>
      <c r="AO473" t="s">
        <v>5801</v>
      </c>
      <c r="AP473" t="s">
        <v>407</v>
      </c>
      <c r="AQ473" t="s">
        <v>407</v>
      </c>
      <c r="AR473" t="s">
        <v>48</v>
      </c>
      <c r="AS473" t="s">
        <v>48</v>
      </c>
    </row>
    <row r="474" spans="1:54" x14ac:dyDescent="0.4">
      <c r="A474" t="s">
        <v>4462</v>
      </c>
      <c r="B474" t="s">
        <v>10</v>
      </c>
      <c r="C474" t="s">
        <v>5030</v>
      </c>
      <c r="D474" t="s">
        <v>11</v>
      </c>
      <c r="E474" s="2">
        <v>1E-4</v>
      </c>
      <c r="F474" t="s">
        <v>363</v>
      </c>
      <c r="G474" s="4" t="s">
        <v>148</v>
      </c>
      <c r="H474" t="s">
        <v>5030</v>
      </c>
      <c r="I474" t="s">
        <v>5031</v>
      </c>
      <c r="J474" t="s">
        <v>5032</v>
      </c>
      <c r="K474" t="s">
        <v>23</v>
      </c>
      <c r="L474" s="2">
        <v>1.2500000000000001E-2</v>
      </c>
      <c r="M474" t="s">
        <v>5033</v>
      </c>
      <c r="N474" t="s">
        <v>28</v>
      </c>
      <c r="O474" t="s">
        <v>5034</v>
      </c>
      <c r="P474" t="s">
        <v>5035</v>
      </c>
      <c r="Q474" t="s">
        <v>559</v>
      </c>
      <c r="R474" t="s">
        <v>1101</v>
      </c>
      <c r="S474" t="s">
        <v>5036</v>
      </c>
      <c r="T474" t="s">
        <v>2124</v>
      </c>
      <c r="U474" t="s">
        <v>2124</v>
      </c>
      <c r="V474" t="s">
        <v>426</v>
      </c>
      <c r="W474" t="s">
        <v>1861</v>
      </c>
      <c r="X474" t="s">
        <v>1861</v>
      </c>
      <c r="Y474" t="s">
        <v>1861</v>
      </c>
      <c r="Z474" t="s">
        <v>1861</v>
      </c>
      <c r="AA474" t="s">
        <v>5037</v>
      </c>
      <c r="AB474" s="2">
        <v>-2.0999999999999999E-3</v>
      </c>
      <c r="AC474" s="2">
        <v>4.0000000000000002E-4</v>
      </c>
      <c r="AD474" s="2">
        <v>1.78E-2</v>
      </c>
      <c r="AE474" s="2">
        <v>2.07E-2</v>
      </c>
      <c r="AF474" s="2">
        <v>3.8399999999999997E-2</v>
      </c>
      <c r="AG474" s="2">
        <v>-7.0800000000000002E-2</v>
      </c>
      <c r="AH474" t="s">
        <v>5038</v>
      </c>
      <c r="AI474" t="s">
        <v>130</v>
      </c>
      <c r="AJ474" t="s">
        <v>131</v>
      </c>
      <c r="AK474" t="s">
        <v>40</v>
      </c>
      <c r="AL474">
        <v>100</v>
      </c>
      <c r="AM474" t="s">
        <v>41</v>
      </c>
      <c r="AN474" t="s">
        <v>42</v>
      </c>
      <c r="AO474" t="s">
        <v>5034</v>
      </c>
      <c r="AP474" t="s">
        <v>357</v>
      </c>
      <c r="AQ474" t="s">
        <v>357</v>
      </c>
      <c r="AR474" t="s">
        <v>48</v>
      </c>
      <c r="AS474" t="s">
        <v>48</v>
      </c>
    </row>
    <row r="475" spans="1:54" x14ac:dyDescent="0.4">
      <c r="A475" t="s">
        <v>4453</v>
      </c>
      <c r="B475" t="s">
        <v>10</v>
      </c>
      <c r="C475" t="s">
        <v>5167</v>
      </c>
      <c r="D475" t="s">
        <v>11</v>
      </c>
      <c r="E475" s="2">
        <v>-1E-3</v>
      </c>
      <c r="F475" t="s">
        <v>310</v>
      </c>
      <c r="G475" s="4">
        <f>-0.1 / -0.1%</f>
        <v>100</v>
      </c>
      <c r="H475" t="s">
        <v>5167</v>
      </c>
      <c r="I475" t="s">
        <v>5168</v>
      </c>
      <c r="J475" t="s">
        <v>5169</v>
      </c>
      <c r="K475" t="s">
        <v>23</v>
      </c>
      <c r="L475" s="2">
        <v>4.3749999999999997E-2</v>
      </c>
      <c r="M475" t="s">
        <v>5170</v>
      </c>
      <c r="N475" t="s">
        <v>28</v>
      </c>
      <c r="O475" t="s">
        <v>5171</v>
      </c>
      <c r="P475" t="s">
        <v>5172</v>
      </c>
      <c r="Q475" t="s">
        <v>5173</v>
      </c>
      <c r="R475" t="s">
        <v>1267</v>
      </c>
      <c r="S475" t="s">
        <v>3397</v>
      </c>
      <c r="T475" t="s">
        <v>3397</v>
      </c>
      <c r="U475" t="s">
        <v>3397</v>
      </c>
      <c r="V475" t="s">
        <v>704</v>
      </c>
      <c r="W475" t="s">
        <v>5174</v>
      </c>
      <c r="X475" t="s">
        <v>5174</v>
      </c>
      <c r="Y475" t="s">
        <v>5174</v>
      </c>
      <c r="Z475" t="s">
        <v>5174</v>
      </c>
      <c r="AA475" t="s">
        <v>5174</v>
      </c>
      <c r="AB475" s="2">
        <v>-8.6E-3</v>
      </c>
      <c r="AC475" s="2">
        <v>-1.8E-3</v>
      </c>
      <c r="AD475" s="2">
        <v>9.5999999999999992E-3</v>
      </c>
      <c r="AE475" s="2">
        <v>1.23E-2</v>
      </c>
      <c r="AF475" s="2">
        <v>2.0799999999999999E-2</v>
      </c>
      <c r="AG475" s="2">
        <v>2.0799999999999999E-2</v>
      </c>
      <c r="AH475" t="s">
        <v>5175</v>
      </c>
      <c r="AI475" t="s">
        <v>130</v>
      </c>
      <c r="AJ475" t="s">
        <v>131</v>
      </c>
      <c r="AK475" t="s">
        <v>40</v>
      </c>
      <c r="AL475">
        <v>100</v>
      </c>
      <c r="AM475" t="s">
        <v>41</v>
      </c>
      <c r="AN475" t="s">
        <v>42</v>
      </c>
      <c r="AO475" t="s">
        <v>5171</v>
      </c>
      <c r="AP475" t="s">
        <v>171</v>
      </c>
      <c r="AQ475" t="s">
        <v>171</v>
      </c>
      <c r="AR475" t="s">
        <v>48</v>
      </c>
      <c r="AS475" t="s">
        <v>48</v>
      </c>
    </row>
    <row r="476" spans="1:54" x14ac:dyDescent="0.4">
      <c r="A476" t="s">
        <v>296</v>
      </c>
      <c r="B476" t="s">
        <v>10</v>
      </c>
      <c r="C476" t="s">
        <v>1709</v>
      </c>
      <c r="D476" t="s">
        <v>11</v>
      </c>
      <c r="E476" s="2">
        <v>0.01</v>
      </c>
      <c r="F476" t="s">
        <v>12</v>
      </c>
      <c r="G476" s="4" t="s">
        <v>2363</v>
      </c>
      <c r="H476" t="s">
        <v>1709</v>
      </c>
      <c r="I476" t="s">
        <v>2364</v>
      </c>
      <c r="J476" t="s">
        <v>2365</v>
      </c>
      <c r="K476" t="s">
        <v>23</v>
      </c>
      <c r="L476" s="2">
        <v>0.04</v>
      </c>
      <c r="M476" t="s">
        <v>2366</v>
      </c>
      <c r="N476" t="s">
        <v>28</v>
      </c>
      <c r="O476" t="s">
        <v>2367</v>
      </c>
      <c r="P476" t="s">
        <v>1552</v>
      </c>
      <c r="Q476" t="s">
        <v>1552</v>
      </c>
      <c r="R476" t="s">
        <v>1810</v>
      </c>
      <c r="S476" t="s">
        <v>842</v>
      </c>
      <c r="T476" t="s">
        <v>2368</v>
      </c>
      <c r="U476" t="s">
        <v>2368</v>
      </c>
      <c r="V476" t="s">
        <v>1765</v>
      </c>
      <c r="W476" s="1">
        <v>104335</v>
      </c>
      <c r="X476" s="1">
        <v>104335</v>
      </c>
      <c r="Y476" s="1">
        <v>104335</v>
      </c>
      <c r="Z476" s="1">
        <v>104335</v>
      </c>
      <c r="AA476" t="s">
        <v>2369</v>
      </c>
      <c r="AB476" s="2">
        <v>2.1000000000000001E-2</v>
      </c>
      <c r="AC476" s="2">
        <v>1.9699999999999999E-2</v>
      </c>
      <c r="AD476" s="2">
        <v>7.0000000000000001E-3</v>
      </c>
      <c r="AE476" s="2">
        <v>3.5900000000000001E-2</v>
      </c>
      <c r="AF476" s="2">
        <v>2.0199999999999999E-2</v>
      </c>
      <c r="AG476" s="2">
        <v>-5.8299999999999998E-2</v>
      </c>
      <c r="AH476" t="s">
        <v>2370</v>
      </c>
      <c r="AI476" t="s">
        <v>232</v>
      </c>
      <c r="AJ476" t="s">
        <v>131</v>
      </c>
      <c r="AK476" t="s">
        <v>40</v>
      </c>
      <c r="AL476">
        <v>1</v>
      </c>
      <c r="AM476" t="s">
        <v>41</v>
      </c>
      <c r="AN476" t="s">
        <v>42</v>
      </c>
      <c r="AO476" t="s">
        <v>2367</v>
      </c>
      <c r="AP476" t="s">
        <v>835</v>
      </c>
      <c r="AQ476">
        <v>1</v>
      </c>
      <c r="BA476" t="s">
        <v>136</v>
      </c>
      <c r="BB476" t="s">
        <v>61</v>
      </c>
    </row>
    <row r="477" spans="1:54" x14ac:dyDescent="0.4">
      <c r="A477" t="s">
        <v>296</v>
      </c>
      <c r="B477" t="s">
        <v>10</v>
      </c>
      <c r="C477" t="s">
        <v>2218</v>
      </c>
      <c r="D477" t="s">
        <v>11</v>
      </c>
      <c r="E477" s="2">
        <v>-2.6100000000000002E-2</v>
      </c>
      <c r="F477" t="s">
        <v>12</v>
      </c>
      <c r="G477" s="4">
        <f>-2.65 / -2.61%</f>
        <v>101.53256704980843</v>
      </c>
      <c r="H477" t="s">
        <v>2218</v>
      </c>
      <c r="I477" t="s">
        <v>3394</v>
      </c>
      <c r="J477" t="s">
        <v>3395</v>
      </c>
      <c r="K477" t="s">
        <v>23</v>
      </c>
      <c r="L477" s="2">
        <v>0.04</v>
      </c>
      <c r="M477" t="s">
        <v>3051</v>
      </c>
      <c r="N477" t="s">
        <v>28</v>
      </c>
      <c r="O477" t="s">
        <v>948</v>
      </c>
      <c r="P477" t="s">
        <v>2218</v>
      </c>
      <c r="Q477" t="s">
        <v>3042</v>
      </c>
      <c r="R477" t="s">
        <v>3042</v>
      </c>
      <c r="S477" t="s">
        <v>3042</v>
      </c>
      <c r="T477" t="s">
        <v>3042</v>
      </c>
      <c r="U477" t="s">
        <v>3042</v>
      </c>
      <c r="V477" t="s">
        <v>2549</v>
      </c>
      <c r="W477" t="s">
        <v>832</v>
      </c>
      <c r="X477" t="s">
        <v>1554</v>
      </c>
      <c r="Y477" t="s">
        <v>1554</v>
      </c>
      <c r="Z477" t="s">
        <v>1554</v>
      </c>
      <c r="AA477" t="s">
        <v>1313</v>
      </c>
      <c r="AB477" s="2">
        <v>-1.5900000000000001E-2</v>
      </c>
      <c r="AC477" s="2">
        <v>-1.2999999999999999E-2</v>
      </c>
      <c r="AD477" s="2">
        <v>-5.4999999999999997E-3</v>
      </c>
      <c r="AE477" s="2">
        <v>-3.0000000000000001E-3</v>
      </c>
      <c r="AF477" s="2">
        <v>-2.5100000000000001E-2</v>
      </c>
      <c r="AG477" s="2">
        <v>-6.6799999999999998E-2</v>
      </c>
      <c r="AH477" t="s">
        <v>2370</v>
      </c>
      <c r="AI477" t="s">
        <v>232</v>
      </c>
      <c r="AJ477" t="s">
        <v>131</v>
      </c>
      <c r="AK477" t="s">
        <v>40</v>
      </c>
      <c r="AL477">
        <v>1</v>
      </c>
      <c r="AM477" t="s">
        <v>41</v>
      </c>
      <c r="AN477" t="s">
        <v>42</v>
      </c>
      <c r="AO477" t="s">
        <v>948</v>
      </c>
      <c r="AP477" t="s">
        <v>835</v>
      </c>
      <c r="AZ477">
        <v>1</v>
      </c>
      <c r="BA477" t="s">
        <v>136</v>
      </c>
    </row>
    <row r="478" spans="1:54" x14ac:dyDescent="0.4">
      <c r="A478" t="s">
        <v>4453</v>
      </c>
      <c r="B478" t="s">
        <v>10</v>
      </c>
      <c r="C478" t="s">
        <v>3280</v>
      </c>
      <c r="D478" t="s">
        <v>11</v>
      </c>
      <c r="E478" s="2">
        <v>5.0000000000000001E-4</v>
      </c>
      <c r="F478" t="s">
        <v>1057</v>
      </c>
      <c r="G478" s="4" t="s">
        <v>5706</v>
      </c>
      <c r="H478" t="s">
        <v>3280</v>
      </c>
      <c r="I478" t="s">
        <v>5707</v>
      </c>
      <c r="J478" t="s">
        <v>5708</v>
      </c>
      <c r="K478" t="s">
        <v>23</v>
      </c>
      <c r="L478" s="2">
        <v>4.7500000000000001E-2</v>
      </c>
      <c r="M478" t="s">
        <v>5709</v>
      </c>
      <c r="N478" t="s">
        <v>121</v>
      </c>
      <c r="O478" t="s">
        <v>5710</v>
      </c>
      <c r="P478" t="s">
        <v>5711</v>
      </c>
      <c r="Q478" t="s">
        <v>5711</v>
      </c>
      <c r="R478" t="s">
        <v>5711</v>
      </c>
      <c r="S478" t="s">
        <v>5711</v>
      </c>
      <c r="T478" t="s">
        <v>5712</v>
      </c>
      <c r="U478" t="s">
        <v>5713</v>
      </c>
      <c r="V478" t="s">
        <v>5714</v>
      </c>
      <c r="W478" t="s">
        <v>5715</v>
      </c>
      <c r="X478" t="s">
        <v>284</v>
      </c>
      <c r="Y478" t="s">
        <v>284</v>
      </c>
      <c r="Z478" t="s">
        <v>284</v>
      </c>
      <c r="AA478" t="s">
        <v>5716</v>
      </c>
      <c r="AB478" s="2">
        <v>-8.8000000000000005E-3</v>
      </c>
      <c r="AC478" s="2">
        <v>-4.8500000000000001E-2</v>
      </c>
      <c r="AD478" s="2">
        <v>-3.1300000000000001E-2</v>
      </c>
      <c r="AE478" s="2">
        <v>-3.95E-2</v>
      </c>
      <c r="AF478" s="2">
        <v>-6.7799999999999999E-2</v>
      </c>
      <c r="AG478" s="2">
        <v>-0.21870000000000001</v>
      </c>
      <c r="AH478" t="s">
        <v>5717</v>
      </c>
      <c r="AI478" t="s">
        <v>130</v>
      </c>
      <c r="AJ478" t="s">
        <v>131</v>
      </c>
      <c r="AK478" t="s">
        <v>40</v>
      </c>
      <c r="AL478">
        <v>200</v>
      </c>
      <c r="AM478" t="s">
        <v>41</v>
      </c>
      <c r="AN478" t="s">
        <v>42</v>
      </c>
      <c r="AO478" t="s">
        <v>5710</v>
      </c>
      <c r="AP478" t="s">
        <v>407</v>
      </c>
      <c r="AQ478" t="s">
        <v>407</v>
      </c>
      <c r="AR478" t="s">
        <v>133</v>
      </c>
      <c r="AS478" t="s">
        <v>133</v>
      </c>
    </row>
    <row r="479" spans="1:54" x14ac:dyDescent="0.4">
      <c r="A479" t="s">
        <v>76</v>
      </c>
      <c r="B479" t="s">
        <v>10</v>
      </c>
      <c r="C479" t="s">
        <v>6407</v>
      </c>
      <c r="D479" t="s">
        <v>11</v>
      </c>
      <c r="E479" s="2">
        <v>-8.9999999999999998E-4</v>
      </c>
      <c r="F479" t="s">
        <v>12</v>
      </c>
      <c r="G479" s="4">
        <f>-0.095 / -0.09%</f>
        <v>105.55555555555556</v>
      </c>
      <c r="H479" t="s">
        <v>6407</v>
      </c>
      <c r="I479" t="s">
        <v>6408</v>
      </c>
      <c r="J479" t="s">
        <v>6409</v>
      </c>
      <c r="K479" t="s">
        <v>23</v>
      </c>
      <c r="L479" s="2">
        <v>4.4999999999999998E-2</v>
      </c>
      <c r="M479" t="s">
        <v>2035</v>
      </c>
      <c r="N479" t="s">
        <v>28</v>
      </c>
      <c r="O479" t="s">
        <v>5157</v>
      </c>
      <c r="P479" t="s">
        <v>5173</v>
      </c>
      <c r="Q479" t="s">
        <v>5173</v>
      </c>
      <c r="R479" t="s">
        <v>2180</v>
      </c>
      <c r="S479" t="s">
        <v>1704</v>
      </c>
      <c r="T479" t="s">
        <v>1990</v>
      </c>
      <c r="U479" t="s">
        <v>1990</v>
      </c>
      <c r="V479" s="1">
        <v>104545</v>
      </c>
      <c r="W479" s="1">
        <v>105345</v>
      </c>
      <c r="X479" s="1">
        <v>105345</v>
      </c>
      <c r="Y479" s="1">
        <v>105345</v>
      </c>
      <c r="Z479" s="1">
        <v>105345</v>
      </c>
      <c r="AA479" s="1">
        <v>105345</v>
      </c>
      <c r="AB479" s="2">
        <v>-5.3E-3</v>
      </c>
      <c r="AC479" s="2">
        <v>-8.0999999999999996E-3</v>
      </c>
      <c r="AD479" s="2">
        <v>8.2000000000000007E-3</v>
      </c>
      <c r="AE479" s="2">
        <v>1.7000000000000001E-2</v>
      </c>
      <c r="AF479" s="2">
        <v>4.58E-2</v>
      </c>
      <c r="AG479" s="2">
        <v>4.58E-2</v>
      </c>
      <c r="AH479" t="s">
        <v>5043</v>
      </c>
      <c r="AI479" t="s">
        <v>130</v>
      </c>
      <c r="AJ479" t="s">
        <v>131</v>
      </c>
      <c r="AK479" t="s">
        <v>40</v>
      </c>
      <c r="AL479">
        <v>100</v>
      </c>
      <c r="AM479" t="s">
        <v>41</v>
      </c>
      <c r="AN479" t="s">
        <v>42</v>
      </c>
      <c r="AO479" t="s">
        <v>5157</v>
      </c>
      <c r="AP479" t="s">
        <v>500</v>
      </c>
      <c r="AQ479">
        <v>100</v>
      </c>
      <c r="BA479" t="s">
        <v>59</v>
      </c>
      <c r="BB479" t="s">
        <v>61</v>
      </c>
    </row>
    <row r="480" spans="1:54" x14ac:dyDescent="0.4">
      <c r="A480" t="s">
        <v>161</v>
      </c>
      <c r="B480" t="s">
        <v>10</v>
      </c>
      <c r="C480" s="1">
        <v>95145</v>
      </c>
      <c r="D480" t="s">
        <v>11</v>
      </c>
      <c r="E480" s="2">
        <v>-2.5999999999999999E-3</v>
      </c>
      <c r="F480" t="s">
        <v>12</v>
      </c>
      <c r="G480" s="4">
        <f>-0.25 / -0.26%</f>
        <v>96.15384615384616</v>
      </c>
      <c r="H480" s="1">
        <v>95145</v>
      </c>
      <c r="I480" t="s">
        <v>5039</v>
      </c>
      <c r="J480" t="s">
        <v>5040</v>
      </c>
      <c r="K480" t="s">
        <v>23</v>
      </c>
      <c r="L480" s="2">
        <v>2.5000000000000001E-2</v>
      </c>
      <c r="M480" t="s">
        <v>3953</v>
      </c>
      <c r="N480" t="s">
        <v>28</v>
      </c>
      <c r="O480" t="s">
        <v>1274</v>
      </c>
      <c r="P480" s="1">
        <v>94505</v>
      </c>
      <c r="Q480" s="1">
        <v>94505</v>
      </c>
      <c r="R480" s="1">
        <v>93905</v>
      </c>
      <c r="S480" s="1">
        <v>92095</v>
      </c>
      <c r="T480" t="s">
        <v>3220</v>
      </c>
      <c r="U480" t="s">
        <v>5041</v>
      </c>
      <c r="V480" s="1">
        <v>95825</v>
      </c>
      <c r="W480" s="1">
        <v>96995</v>
      </c>
      <c r="X480" s="1">
        <v>96995</v>
      </c>
      <c r="Y480" s="1">
        <v>96995</v>
      </c>
      <c r="Z480" s="1">
        <v>96995</v>
      </c>
      <c r="AA480" t="s">
        <v>5042</v>
      </c>
      <c r="AB480" s="2">
        <v>-8.0999999999999996E-3</v>
      </c>
      <c r="AC480" s="2">
        <v>-1.18E-2</v>
      </c>
      <c r="AD480" s="2">
        <v>1.2999999999999999E-2</v>
      </c>
      <c r="AE480" s="2">
        <v>1.66E-2</v>
      </c>
      <c r="AF480" s="2">
        <v>2.0899999999999998E-2</v>
      </c>
      <c r="AG480" s="2">
        <v>-0.16309999999999999</v>
      </c>
      <c r="AH480" t="s">
        <v>5043</v>
      </c>
      <c r="AI480" t="s">
        <v>130</v>
      </c>
      <c r="AJ480" t="s">
        <v>131</v>
      </c>
      <c r="AK480" t="s">
        <v>40</v>
      </c>
      <c r="AL480">
        <v>100</v>
      </c>
      <c r="AM480" t="s">
        <v>41</v>
      </c>
      <c r="AN480" t="s">
        <v>42</v>
      </c>
      <c r="AO480" t="s">
        <v>1274</v>
      </c>
      <c r="AP480" t="s">
        <v>500</v>
      </c>
      <c r="AQ480" t="s">
        <v>500</v>
      </c>
      <c r="AR480" t="s">
        <v>48</v>
      </c>
      <c r="AS480" t="s">
        <v>48</v>
      </c>
    </row>
    <row r="481" spans="1:46" x14ac:dyDescent="0.4">
      <c r="A481" t="s">
        <v>296</v>
      </c>
      <c r="B481" t="s">
        <v>10</v>
      </c>
      <c r="C481" t="s">
        <v>4478</v>
      </c>
      <c r="D481" t="s">
        <v>11</v>
      </c>
      <c r="E481" s="2">
        <v>3.2000000000000002E-3</v>
      </c>
      <c r="F481" t="s">
        <v>12</v>
      </c>
      <c r="G481" s="4" t="s">
        <v>3940</v>
      </c>
      <c r="H481" t="s">
        <v>4478</v>
      </c>
      <c r="I481" t="s">
        <v>4479</v>
      </c>
      <c r="J481" t="s">
        <v>4480</v>
      </c>
      <c r="K481" t="s">
        <v>23</v>
      </c>
      <c r="L481" s="2">
        <v>1.6E-2</v>
      </c>
      <c r="M481" t="s">
        <v>4481</v>
      </c>
      <c r="N481" t="s">
        <v>121</v>
      </c>
      <c r="O481" t="s">
        <v>4482</v>
      </c>
      <c r="P481" t="s">
        <v>4483</v>
      </c>
      <c r="Q481" t="s">
        <v>4483</v>
      </c>
      <c r="R481" t="s">
        <v>4483</v>
      </c>
      <c r="S481" t="s">
        <v>4484</v>
      </c>
      <c r="T481" s="1">
        <v>82845</v>
      </c>
      <c r="U481" t="s">
        <v>4485</v>
      </c>
      <c r="V481" t="s">
        <v>4486</v>
      </c>
      <c r="W481" t="s">
        <v>4487</v>
      </c>
      <c r="X481" s="1">
        <v>89595</v>
      </c>
      <c r="Y481" s="1">
        <v>89595</v>
      </c>
      <c r="Z481" s="1">
        <v>89595</v>
      </c>
      <c r="AA481" t="s">
        <v>4488</v>
      </c>
      <c r="AB481" s="2">
        <v>5.5999999999999999E-3</v>
      </c>
      <c r="AC481" s="2">
        <v>-4.0000000000000001E-3</v>
      </c>
      <c r="AD481" s="2">
        <v>-5.3E-3</v>
      </c>
      <c r="AE481" s="2">
        <v>5.0000000000000001E-4</v>
      </c>
      <c r="AF481" s="2">
        <v>4.5999999999999999E-3</v>
      </c>
      <c r="AG481" s="2">
        <v>-9.1499999999999998E-2</v>
      </c>
      <c r="AH481" t="s">
        <v>4489</v>
      </c>
      <c r="AI481" t="s">
        <v>130</v>
      </c>
      <c r="AJ481" t="s">
        <v>131</v>
      </c>
      <c r="AK481" t="s">
        <v>40</v>
      </c>
      <c r="AL481">
        <v>2</v>
      </c>
      <c r="AM481" t="s">
        <v>41</v>
      </c>
      <c r="AN481" t="s">
        <v>42</v>
      </c>
      <c r="AO481" t="s">
        <v>4482</v>
      </c>
      <c r="AP481" t="s">
        <v>407</v>
      </c>
      <c r="AQ481" t="s">
        <v>407</v>
      </c>
      <c r="AR481" t="s">
        <v>133</v>
      </c>
      <c r="AS481" t="s">
        <v>133</v>
      </c>
    </row>
    <row r="482" spans="1:46" x14ac:dyDescent="0.4">
      <c r="A482" t="s">
        <v>4453</v>
      </c>
      <c r="B482" t="s">
        <v>10</v>
      </c>
      <c r="C482" t="s">
        <v>1870</v>
      </c>
      <c r="D482" t="s">
        <v>11</v>
      </c>
      <c r="E482" s="2">
        <v>-1.2999999999999999E-3</v>
      </c>
      <c r="F482" t="s">
        <v>178</v>
      </c>
      <c r="G482" s="4">
        <f>-0.13 / -0.13%</f>
        <v>100.00000000000001</v>
      </c>
      <c r="H482" t="s">
        <v>1870</v>
      </c>
      <c r="I482" t="s">
        <v>6215</v>
      </c>
      <c r="J482" t="s">
        <v>6216</v>
      </c>
      <c r="K482" t="s">
        <v>23</v>
      </c>
      <c r="L482" s="2">
        <v>4.3749999999999997E-2</v>
      </c>
      <c r="M482" t="s">
        <v>517</v>
      </c>
      <c r="N482" t="s">
        <v>121</v>
      </c>
      <c r="O482" t="s">
        <v>1187</v>
      </c>
      <c r="P482" t="s">
        <v>220</v>
      </c>
      <c r="Q482" t="s">
        <v>220</v>
      </c>
      <c r="R482" t="s">
        <v>220</v>
      </c>
      <c r="S482" t="s">
        <v>220</v>
      </c>
      <c r="T482" t="s">
        <v>220</v>
      </c>
      <c r="U482" t="s">
        <v>220</v>
      </c>
      <c r="V482" t="s">
        <v>414</v>
      </c>
      <c r="W482" t="s">
        <v>6217</v>
      </c>
      <c r="X482" t="s">
        <v>6218</v>
      </c>
      <c r="Y482" t="s">
        <v>6218</v>
      </c>
      <c r="Z482" t="s">
        <v>6218</v>
      </c>
      <c r="AA482" t="s">
        <v>6218</v>
      </c>
      <c r="AB482" s="2">
        <v>-6.1999999999999998E-3</v>
      </c>
      <c r="AC482" s="2">
        <v>-2.9399999999999999E-2</v>
      </c>
      <c r="AD482" s="2">
        <v>-2.8000000000000001E-2</v>
      </c>
      <c r="AE482" s="2">
        <v>-2.4299999999999999E-2</v>
      </c>
      <c r="AF482" s="2">
        <v>-2.4299999999999999E-2</v>
      </c>
      <c r="AG482" s="2">
        <v>-2.4299999999999999E-2</v>
      </c>
      <c r="AH482" t="s">
        <v>6219</v>
      </c>
      <c r="AI482" t="s">
        <v>130</v>
      </c>
      <c r="AJ482" t="s">
        <v>131</v>
      </c>
      <c r="AK482" t="s">
        <v>40</v>
      </c>
      <c r="AL482">
        <v>200</v>
      </c>
      <c r="AM482" t="s">
        <v>41</v>
      </c>
      <c r="AN482" t="s">
        <v>42</v>
      </c>
      <c r="AO482" t="s">
        <v>1187</v>
      </c>
      <c r="AP482" t="s">
        <v>2601</v>
      </c>
      <c r="AQ482" t="s">
        <v>2601</v>
      </c>
      <c r="AR482" t="s">
        <v>133</v>
      </c>
      <c r="AS482" t="s">
        <v>133</v>
      </c>
    </row>
    <row r="483" spans="1:46" x14ac:dyDescent="0.4">
      <c r="A483" t="s">
        <v>76</v>
      </c>
      <c r="B483" t="s">
        <v>10</v>
      </c>
      <c r="C483" t="s">
        <v>669</v>
      </c>
      <c r="D483" t="s">
        <v>11</v>
      </c>
      <c r="E483" s="2">
        <v>-5.0000000000000001E-4</v>
      </c>
      <c r="F483" t="s">
        <v>12</v>
      </c>
      <c r="G483" s="4">
        <f>-0.05 / -0.05%</f>
        <v>100</v>
      </c>
      <c r="H483" t="s">
        <v>669</v>
      </c>
      <c r="I483" t="s">
        <v>2666</v>
      </c>
      <c r="J483" t="s">
        <v>2667</v>
      </c>
      <c r="K483" t="s">
        <v>23</v>
      </c>
      <c r="L483" s="2">
        <v>1.2500000000000001E-2</v>
      </c>
      <c r="M483" t="s">
        <v>2668</v>
      </c>
      <c r="N483" t="s">
        <v>28</v>
      </c>
      <c r="O483" t="s">
        <v>2669</v>
      </c>
      <c r="P483" t="s">
        <v>2670</v>
      </c>
      <c r="Q483" t="s">
        <v>2234</v>
      </c>
      <c r="R483" t="s">
        <v>639</v>
      </c>
      <c r="S483" s="1">
        <v>93695</v>
      </c>
      <c r="T483" t="s">
        <v>701</v>
      </c>
      <c r="U483" t="s">
        <v>1348</v>
      </c>
      <c r="V483" t="s">
        <v>1299</v>
      </c>
      <c r="W483" t="s">
        <v>1299</v>
      </c>
      <c r="X483" t="s">
        <v>1440</v>
      </c>
      <c r="Y483" t="s">
        <v>1440</v>
      </c>
      <c r="Z483" t="s">
        <v>2145</v>
      </c>
      <c r="AA483" t="s">
        <v>2145</v>
      </c>
      <c r="AB483" s="2">
        <v>2.5000000000000001E-3</v>
      </c>
      <c r="AC483" s="2">
        <v>4.0000000000000001E-3</v>
      </c>
      <c r="AD483" s="2">
        <v>1.54E-2</v>
      </c>
      <c r="AE483" s="2">
        <v>2.4199999999999999E-2</v>
      </c>
      <c r="AF483" s="2">
        <v>1.89E-2</v>
      </c>
      <c r="AG483" s="2">
        <v>-6.7000000000000002E-3</v>
      </c>
      <c r="AH483" t="s">
        <v>1808</v>
      </c>
      <c r="AI483" t="s">
        <v>130</v>
      </c>
      <c r="AJ483" t="s">
        <v>131</v>
      </c>
      <c r="AK483" t="s">
        <v>40</v>
      </c>
      <c r="AL483">
        <v>10</v>
      </c>
      <c r="AM483" t="s">
        <v>41</v>
      </c>
      <c r="AN483" t="s">
        <v>42</v>
      </c>
      <c r="AO483" t="s">
        <v>2669</v>
      </c>
      <c r="AP483" t="s">
        <v>814</v>
      </c>
      <c r="AQ483" t="s">
        <v>814</v>
      </c>
      <c r="AR483" t="s">
        <v>2671</v>
      </c>
      <c r="AS483" t="s">
        <v>2671</v>
      </c>
    </row>
    <row r="484" spans="1:46" x14ac:dyDescent="0.4">
      <c r="A484" t="s">
        <v>630</v>
      </c>
      <c r="B484" t="s">
        <v>10</v>
      </c>
      <c r="C484" t="s">
        <v>2466</v>
      </c>
      <c r="D484" t="s">
        <v>11</v>
      </c>
      <c r="E484" s="2">
        <v>-1.44E-2</v>
      </c>
      <c r="F484" t="s">
        <v>12</v>
      </c>
      <c r="G484" s="4">
        <f>-1.45 / -1.44%</f>
        <v>100.69444444444444</v>
      </c>
      <c r="H484" t="s">
        <v>2466</v>
      </c>
      <c r="I484" t="s">
        <v>3499</v>
      </c>
      <c r="J484" t="s">
        <v>3500</v>
      </c>
      <c r="K484" t="s">
        <v>23</v>
      </c>
      <c r="L484" s="2">
        <v>4.7500000000000001E-2</v>
      </c>
      <c r="M484" t="s">
        <v>3501</v>
      </c>
      <c r="N484" t="s">
        <v>121</v>
      </c>
      <c r="O484" t="s">
        <v>3502</v>
      </c>
      <c r="P484" t="s">
        <v>167</v>
      </c>
      <c r="Q484" t="s">
        <v>167</v>
      </c>
      <c r="R484" t="s">
        <v>167</v>
      </c>
      <c r="S484" t="s">
        <v>2178</v>
      </c>
      <c r="T484" t="s">
        <v>3503</v>
      </c>
      <c r="U484" t="s">
        <v>3503</v>
      </c>
      <c r="V484" t="s">
        <v>1709</v>
      </c>
      <c r="W484" t="s">
        <v>3504</v>
      </c>
      <c r="X484" t="s">
        <v>3505</v>
      </c>
      <c r="Y484" t="s">
        <v>3505</v>
      </c>
      <c r="Z484" t="s">
        <v>3506</v>
      </c>
      <c r="AA484" t="s">
        <v>3507</v>
      </c>
      <c r="AB484" s="2">
        <v>1.6999999999999999E-3</v>
      </c>
      <c r="AC484" s="2">
        <v>-3.32E-2</v>
      </c>
      <c r="AD484" s="2">
        <v>-2.93E-2</v>
      </c>
      <c r="AE484" s="2">
        <v>-1.8100000000000002E-2</v>
      </c>
      <c r="AF484" s="2">
        <v>-8.3599999999999994E-2</v>
      </c>
      <c r="AG484" s="2">
        <v>-0.23430000000000001</v>
      </c>
      <c r="AH484" t="s">
        <v>1808</v>
      </c>
      <c r="AI484" t="s">
        <v>130</v>
      </c>
      <c r="AJ484" t="s">
        <v>131</v>
      </c>
      <c r="AK484" t="s">
        <v>40</v>
      </c>
      <c r="AL484">
        <v>1</v>
      </c>
      <c r="AM484" t="s">
        <v>41</v>
      </c>
      <c r="AN484" t="s">
        <v>42</v>
      </c>
      <c r="AO484" t="s">
        <v>3502</v>
      </c>
      <c r="AP484" t="s">
        <v>357</v>
      </c>
      <c r="AQ484" t="s">
        <v>3508</v>
      </c>
      <c r="AR484" t="s">
        <v>133</v>
      </c>
      <c r="AS484" t="s">
        <v>133</v>
      </c>
    </row>
    <row r="485" spans="1:46" x14ac:dyDescent="0.4">
      <c r="A485" t="s">
        <v>630</v>
      </c>
      <c r="B485" t="s">
        <v>10</v>
      </c>
      <c r="C485" s="1">
        <v>99945</v>
      </c>
      <c r="D485" t="s">
        <v>11</v>
      </c>
      <c r="E485" s="2">
        <v>2.3999999999999998E-3</v>
      </c>
      <c r="F485" t="s">
        <v>12</v>
      </c>
      <c r="G485" s="4" t="s">
        <v>1848</v>
      </c>
      <c r="H485" s="1">
        <v>99945</v>
      </c>
      <c r="I485" t="s">
        <v>1849</v>
      </c>
      <c r="J485" t="s">
        <v>1850</v>
      </c>
      <c r="K485" t="s">
        <v>23</v>
      </c>
      <c r="L485" s="2">
        <v>4.6249999999999999E-2</v>
      </c>
      <c r="M485" t="s">
        <v>1851</v>
      </c>
      <c r="N485" t="s">
        <v>121</v>
      </c>
      <c r="O485" t="s">
        <v>449</v>
      </c>
      <c r="P485" t="s">
        <v>1458</v>
      </c>
      <c r="Q485" t="s">
        <v>1458</v>
      </c>
      <c r="R485" t="s">
        <v>1458</v>
      </c>
      <c r="S485" t="s">
        <v>1458</v>
      </c>
      <c r="T485" t="s">
        <v>1458</v>
      </c>
      <c r="U485" t="s">
        <v>1458</v>
      </c>
      <c r="V485" s="1">
        <v>100115</v>
      </c>
      <c r="W485" s="1">
        <v>100115</v>
      </c>
      <c r="X485" s="1">
        <v>100115</v>
      </c>
      <c r="Y485" s="1">
        <v>100115</v>
      </c>
      <c r="Z485" s="1">
        <v>100115</v>
      </c>
      <c r="AA485" s="1">
        <v>100115</v>
      </c>
      <c r="AB485" s="2">
        <v>5.4999999999999997E-3</v>
      </c>
      <c r="AC485" s="2">
        <v>5.4999999999999997E-3</v>
      </c>
      <c r="AD485" s="2">
        <v>5.4999999999999997E-3</v>
      </c>
      <c r="AE485" s="2">
        <v>5.4999999999999997E-3</v>
      </c>
      <c r="AF485" s="2">
        <v>5.4999999999999997E-3</v>
      </c>
      <c r="AG485" s="2">
        <v>5.4999999999999997E-3</v>
      </c>
      <c r="AH485" t="s">
        <v>1808</v>
      </c>
      <c r="AI485" t="s">
        <v>130</v>
      </c>
      <c r="AJ485" t="s">
        <v>131</v>
      </c>
      <c r="AK485" t="s">
        <v>40</v>
      </c>
      <c r="AL485">
        <v>1</v>
      </c>
      <c r="AM485" t="s">
        <v>41</v>
      </c>
      <c r="AN485" t="s">
        <v>42</v>
      </c>
      <c r="AO485" t="s">
        <v>449</v>
      </c>
      <c r="AP485" t="s">
        <v>1177</v>
      </c>
      <c r="AQ485" t="s">
        <v>1177</v>
      </c>
      <c r="AR485" t="s">
        <v>133</v>
      </c>
      <c r="AS485" t="s">
        <v>133</v>
      </c>
    </row>
    <row r="486" spans="1:46" x14ac:dyDescent="0.4">
      <c r="A486" t="s">
        <v>4453</v>
      </c>
      <c r="B486" t="s">
        <v>10</v>
      </c>
      <c r="C486" t="s">
        <v>626</v>
      </c>
      <c r="D486" t="s">
        <v>11</v>
      </c>
      <c r="E486" s="2">
        <v>2.9999999999999997E-4</v>
      </c>
      <c r="F486" t="s">
        <v>178</v>
      </c>
      <c r="G486" s="4" t="s">
        <v>2299</v>
      </c>
      <c r="H486" t="s">
        <v>626</v>
      </c>
      <c r="I486" t="s">
        <v>4879</v>
      </c>
      <c r="J486" t="s">
        <v>4880</v>
      </c>
      <c r="K486" t="s">
        <v>23</v>
      </c>
      <c r="L486" s="2">
        <v>0.04</v>
      </c>
      <c r="M486" t="s">
        <v>1189</v>
      </c>
      <c r="N486" t="s">
        <v>121</v>
      </c>
      <c r="O486" t="s">
        <v>1072</v>
      </c>
      <c r="P486" t="s">
        <v>1224</v>
      </c>
      <c r="Q486" t="s">
        <v>1224</v>
      </c>
      <c r="R486" t="s">
        <v>1224</v>
      </c>
      <c r="S486" t="s">
        <v>1859</v>
      </c>
      <c r="T486" t="s">
        <v>1859</v>
      </c>
      <c r="U486" t="s">
        <v>1859</v>
      </c>
      <c r="V486" t="s">
        <v>559</v>
      </c>
      <c r="W486" t="s">
        <v>344</v>
      </c>
      <c r="X486" t="s">
        <v>1538</v>
      </c>
      <c r="Y486" t="s">
        <v>1538</v>
      </c>
      <c r="Z486" t="s">
        <v>1538</v>
      </c>
      <c r="AA486" t="s">
        <v>1538</v>
      </c>
      <c r="AB486" s="2">
        <v>-2.2000000000000001E-3</v>
      </c>
      <c r="AC486" s="2">
        <v>-2.58E-2</v>
      </c>
      <c r="AD486" s="2">
        <v>-1.2200000000000001E-2</v>
      </c>
      <c r="AE486" s="2">
        <v>-1.46E-2</v>
      </c>
      <c r="AF486" s="2">
        <v>-1.7600000000000001E-2</v>
      </c>
      <c r="AG486" s="2">
        <v>-1.7600000000000001E-2</v>
      </c>
      <c r="AH486" t="s">
        <v>1808</v>
      </c>
      <c r="AI486" t="s">
        <v>130</v>
      </c>
      <c r="AJ486" t="s">
        <v>131</v>
      </c>
      <c r="AK486" t="s">
        <v>40</v>
      </c>
      <c r="AL486">
        <v>1</v>
      </c>
      <c r="AM486" t="s">
        <v>41</v>
      </c>
      <c r="AN486" t="s">
        <v>42</v>
      </c>
      <c r="AO486" t="s">
        <v>1072</v>
      </c>
      <c r="AP486" t="s">
        <v>1258</v>
      </c>
      <c r="AQ486" t="s">
        <v>1258</v>
      </c>
      <c r="AR486" t="s">
        <v>133</v>
      </c>
      <c r="AS486" t="s">
        <v>133</v>
      </c>
    </row>
    <row r="487" spans="1:46" x14ac:dyDescent="0.4">
      <c r="A487" t="s">
        <v>76</v>
      </c>
      <c r="B487" t="s">
        <v>10</v>
      </c>
      <c r="C487" t="s">
        <v>1798</v>
      </c>
      <c r="D487" t="s">
        <v>11</v>
      </c>
      <c r="E487" s="2">
        <v>2.0999999999999999E-3</v>
      </c>
      <c r="F487" t="s">
        <v>12</v>
      </c>
      <c r="G487" s="4" t="s">
        <v>1799</v>
      </c>
      <c r="H487" t="s">
        <v>1798</v>
      </c>
      <c r="I487" t="s">
        <v>1800</v>
      </c>
      <c r="J487" t="s">
        <v>1801</v>
      </c>
      <c r="K487" t="s">
        <v>23</v>
      </c>
      <c r="L487" s="2">
        <v>3.5000000000000003E-2</v>
      </c>
      <c r="M487" t="s">
        <v>1763</v>
      </c>
      <c r="N487" t="s">
        <v>121</v>
      </c>
      <c r="O487" t="s">
        <v>1802</v>
      </c>
      <c r="P487" t="s">
        <v>905</v>
      </c>
      <c r="Q487" t="s">
        <v>905</v>
      </c>
      <c r="R487" t="s">
        <v>905</v>
      </c>
      <c r="S487" t="s">
        <v>1803</v>
      </c>
      <c r="T487" t="s">
        <v>1804</v>
      </c>
      <c r="U487" t="s">
        <v>1804</v>
      </c>
      <c r="V487" t="s">
        <v>1805</v>
      </c>
      <c r="W487" t="s">
        <v>1806</v>
      </c>
      <c r="X487" t="s">
        <v>1807</v>
      </c>
      <c r="Y487" t="s">
        <v>1807</v>
      </c>
      <c r="Z487" t="s">
        <v>523</v>
      </c>
      <c r="AA487" t="s">
        <v>523</v>
      </c>
      <c r="AB487" s="2">
        <v>8.0000000000000004E-4</v>
      </c>
      <c r="AC487" s="2">
        <v>-8.8000000000000005E-3</v>
      </c>
      <c r="AD487" s="2">
        <v>-2E-3</v>
      </c>
      <c r="AE487" s="2">
        <v>8.0000000000000004E-4</v>
      </c>
      <c r="AF487" s="2">
        <v>-2.24E-2</v>
      </c>
      <c r="AG487" s="2">
        <v>-2.24E-2</v>
      </c>
      <c r="AH487" t="s">
        <v>1808</v>
      </c>
      <c r="AI487" t="s">
        <v>130</v>
      </c>
      <c r="AJ487" t="s">
        <v>131</v>
      </c>
      <c r="AK487" t="s">
        <v>40</v>
      </c>
      <c r="AL487">
        <v>1</v>
      </c>
      <c r="AM487" t="s">
        <v>41</v>
      </c>
      <c r="AN487" t="s">
        <v>42</v>
      </c>
      <c r="AO487" t="s">
        <v>1802</v>
      </c>
      <c r="AP487" t="s">
        <v>1258</v>
      </c>
      <c r="AQ487" t="s">
        <v>1258</v>
      </c>
      <c r="AR487" t="s">
        <v>133</v>
      </c>
      <c r="AS487" t="s">
        <v>133</v>
      </c>
    </row>
    <row r="488" spans="1:46" x14ac:dyDescent="0.4">
      <c r="A488" t="s">
        <v>961</v>
      </c>
      <c r="B488" t="s">
        <v>10</v>
      </c>
      <c r="C488" s="1">
        <v>101086</v>
      </c>
      <c r="D488" t="s">
        <v>11</v>
      </c>
      <c r="E488" s="2">
        <v>6.9999999999999999E-4</v>
      </c>
      <c r="F488" t="s">
        <v>12</v>
      </c>
      <c r="G488" s="4" t="s">
        <v>2140</v>
      </c>
      <c r="H488" s="1">
        <v>101086</v>
      </c>
      <c r="I488" t="s">
        <v>2141</v>
      </c>
      <c r="J488" t="s">
        <v>2142</v>
      </c>
      <c r="K488" t="s">
        <v>23</v>
      </c>
      <c r="L488" s="2">
        <v>8.2500000000000004E-2</v>
      </c>
      <c r="M488" t="s">
        <v>2143</v>
      </c>
      <c r="N488" t="s">
        <v>28</v>
      </c>
      <c r="O488" t="s">
        <v>2144</v>
      </c>
      <c r="P488" t="s">
        <v>1834</v>
      </c>
      <c r="Q488" s="1">
        <v>99851</v>
      </c>
      <c r="R488" t="s">
        <v>279</v>
      </c>
      <c r="S488" t="s">
        <v>2145</v>
      </c>
      <c r="T488" s="1">
        <v>79025</v>
      </c>
      <c r="U488" s="1">
        <v>79025</v>
      </c>
      <c r="V488" t="s">
        <v>1291</v>
      </c>
      <c r="W488" t="s">
        <v>1291</v>
      </c>
      <c r="X488" t="s">
        <v>2146</v>
      </c>
      <c r="Y488" t="s">
        <v>2146</v>
      </c>
      <c r="Z488" t="s">
        <v>2146</v>
      </c>
      <c r="AA488" t="s">
        <v>1951</v>
      </c>
      <c r="AB488" s="2">
        <v>5.1000000000000004E-3</v>
      </c>
      <c r="AC488" s="2">
        <v>8.5000000000000006E-3</v>
      </c>
      <c r="AD488" s="2">
        <v>4.8999999999999998E-3</v>
      </c>
      <c r="AE488" s="2">
        <v>1.5800000000000002E-2</v>
      </c>
      <c r="AF488" s="2">
        <v>6.0000000000000001E-3</v>
      </c>
      <c r="AG488" s="2">
        <v>-1.9400000000000001E-2</v>
      </c>
      <c r="AH488" t="s">
        <v>1808</v>
      </c>
      <c r="AI488" t="s">
        <v>130</v>
      </c>
      <c r="AJ488" t="s">
        <v>131</v>
      </c>
      <c r="AK488" t="s">
        <v>40</v>
      </c>
      <c r="AL488">
        <v>5</v>
      </c>
      <c r="AM488" t="s">
        <v>41</v>
      </c>
      <c r="AN488" t="s">
        <v>42</v>
      </c>
      <c r="AO488" t="s">
        <v>2144</v>
      </c>
      <c r="AP488" t="s">
        <v>2147</v>
      </c>
      <c r="AQ488" t="s">
        <v>2147</v>
      </c>
      <c r="AR488" t="s">
        <v>2148</v>
      </c>
      <c r="AS488" t="s">
        <v>2148</v>
      </c>
    </row>
    <row r="489" spans="1:46" x14ac:dyDescent="0.4">
      <c r="A489" t="s">
        <v>4518</v>
      </c>
      <c r="B489" t="s">
        <v>10</v>
      </c>
      <c r="C489" s="1">
        <v>94605</v>
      </c>
      <c r="D489" t="s">
        <v>11</v>
      </c>
      <c r="E489" s="2">
        <v>1.2999999999999999E-3</v>
      </c>
      <c r="F489" t="s">
        <v>12</v>
      </c>
      <c r="G489" s="4" t="s">
        <v>4801</v>
      </c>
      <c r="H489" s="1">
        <v>94605</v>
      </c>
      <c r="I489" t="s">
        <v>6910</v>
      </c>
      <c r="J489" t="s">
        <v>6911</v>
      </c>
      <c r="K489" t="s">
        <v>23</v>
      </c>
      <c r="L489" s="2">
        <v>7.0000000000000007E-2</v>
      </c>
      <c r="M489" t="s">
        <v>6912</v>
      </c>
      <c r="N489" t="s">
        <v>28</v>
      </c>
      <c r="O489" t="s">
        <v>5610</v>
      </c>
      <c r="P489" t="s">
        <v>6913</v>
      </c>
      <c r="Q489" s="1">
        <v>93005</v>
      </c>
      <c r="R489" s="1">
        <v>91805</v>
      </c>
      <c r="S489" t="s">
        <v>2736</v>
      </c>
      <c r="T489" s="1">
        <v>87825</v>
      </c>
      <c r="U489" s="1">
        <v>87825</v>
      </c>
      <c r="V489" s="1">
        <v>94605</v>
      </c>
      <c r="W489" t="s">
        <v>639</v>
      </c>
      <c r="X489" s="1">
        <v>95735</v>
      </c>
      <c r="Y489" s="1">
        <v>95735</v>
      </c>
      <c r="Z489" s="1">
        <v>95735</v>
      </c>
      <c r="AA489" t="s">
        <v>153</v>
      </c>
      <c r="AB489" s="2">
        <v>7.0000000000000001E-3</v>
      </c>
      <c r="AC489" s="2">
        <v>1.72E-2</v>
      </c>
      <c r="AD489" s="2">
        <v>3.0499999999999999E-2</v>
      </c>
      <c r="AE489" s="2">
        <v>2.5399999999999999E-2</v>
      </c>
      <c r="AF489" s="2">
        <v>2.8299999999999999E-2</v>
      </c>
      <c r="AG489" s="2">
        <v>-3.0499999999999999E-2</v>
      </c>
      <c r="AH489" t="s">
        <v>6914</v>
      </c>
      <c r="AI489" t="s">
        <v>130</v>
      </c>
      <c r="AJ489" t="s">
        <v>131</v>
      </c>
      <c r="AK489" t="s">
        <v>40</v>
      </c>
      <c r="AL489">
        <v>10</v>
      </c>
      <c r="AM489" t="s">
        <v>41</v>
      </c>
      <c r="AN489" t="s">
        <v>42</v>
      </c>
      <c r="AO489" t="s">
        <v>5610</v>
      </c>
      <c r="AP489" t="s">
        <v>6915</v>
      </c>
      <c r="AQ489" t="s">
        <v>6915</v>
      </c>
      <c r="AR489" t="s">
        <v>3498</v>
      </c>
      <c r="AS489" t="s">
        <v>3498</v>
      </c>
    </row>
    <row r="490" spans="1:46" x14ac:dyDescent="0.4">
      <c r="A490" t="s">
        <v>4453</v>
      </c>
      <c r="B490" t="s">
        <v>10</v>
      </c>
      <c r="C490" t="s">
        <v>5685</v>
      </c>
      <c r="D490" t="s">
        <v>11</v>
      </c>
      <c r="E490" s="2">
        <v>3.0999999999999999E-3</v>
      </c>
      <c r="F490" t="s">
        <v>178</v>
      </c>
      <c r="G490" s="4" t="s">
        <v>6994</v>
      </c>
      <c r="H490" t="s">
        <v>5685</v>
      </c>
      <c r="I490" t="s">
        <v>6995</v>
      </c>
      <c r="J490" t="s">
        <v>6996</v>
      </c>
      <c r="K490" t="s">
        <v>23</v>
      </c>
      <c r="L490" s="2">
        <v>0.1075</v>
      </c>
      <c r="M490" t="s">
        <v>6997</v>
      </c>
      <c r="N490" t="s">
        <v>121</v>
      </c>
      <c r="O490" t="s">
        <v>6998</v>
      </c>
      <c r="P490" t="s">
        <v>6999</v>
      </c>
      <c r="Q490" t="s">
        <v>6999</v>
      </c>
      <c r="R490" t="s">
        <v>5165</v>
      </c>
      <c r="S490" t="s">
        <v>7000</v>
      </c>
      <c r="T490" t="s">
        <v>7000</v>
      </c>
      <c r="U490" t="s">
        <v>7000</v>
      </c>
      <c r="V490" t="s">
        <v>7001</v>
      </c>
      <c r="W490" t="s">
        <v>7001</v>
      </c>
      <c r="X490" t="s">
        <v>7001</v>
      </c>
      <c r="Y490" t="s">
        <v>7001</v>
      </c>
      <c r="Z490" t="s">
        <v>7001</v>
      </c>
      <c r="AA490" t="s">
        <v>7001</v>
      </c>
      <c r="AB490" s="2">
        <v>5.9999999999999995E-4</v>
      </c>
      <c r="AC490" s="2">
        <v>-5.0000000000000001E-4</v>
      </c>
      <c r="AD490" s="2">
        <v>4.0500000000000001E-2</v>
      </c>
      <c r="AE490" s="2">
        <v>5.91E-2</v>
      </c>
      <c r="AF490" s="2">
        <v>5.91E-2</v>
      </c>
      <c r="AG490" s="2">
        <v>5.91E-2</v>
      </c>
      <c r="AH490" t="s">
        <v>7002</v>
      </c>
      <c r="AI490" t="s">
        <v>130</v>
      </c>
      <c r="AJ490" t="s">
        <v>131</v>
      </c>
      <c r="AK490" t="s">
        <v>40</v>
      </c>
      <c r="AL490">
        <v>100</v>
      </c>
      <c r="AM490" t="s">
        <v>41</v>
      </c>
      <c r="AN490" t="s">
        <v>42</v>
      </c>
      <c r="AO490" t="s">
        <v>6998</v>
      </c>
      <c r="AP490" t="s">
        <v>7003</v>
      </c>
      <c r="AQ490" t="s">
        <v>7003</v>
      </c>
      <c r="AR490" t="s">
        <v>48</v>
      </c>
      <c r="AS490" t="s">
        <v>48</v>
      </c>
    </row>
    <row r="491" spans="1:46" x14ac:dyDescent="0.4">
      <c r="A491" t="s">
        <v>4462</v>
      </c>
      <c r="B491" t="s">
        <v>10</v>
      </c>
      <c r="C491" t="s">
        <v>3256</v>
      </c>
      <c r="D491" t="s">
        <v>11</v>
      </c>
      <c r="E491" s="2">
        <v>-1.1000000000000001E-3</v>
      </c>
      <c r="F491" t="s">
        <v>310</v>
      </c>
      <c r="G491" s="4">
        <f>-0.11 / -0.11%</f>
        <v>100</v>
      </c>
      <c r="H491" t="s">
        <v>3256</v>
      </c>
      <c r="I491" t="s">
        <v>5697</v>
      </c>
      <c r="J491" t="s">
        <v>5698</v>
      </c>
      <c r="K491" t="s">
        <v>23</v>
      </c>
      <c r="L491" s="2">
        <v>6.1249999999999999E-2</v>
      </c>
      <c r="M491" t="s">
        <v>5699</v>
      </c>
      <c r="N491" t="s">
        <v>121</v>
      </c>
      <c r="O491" t="s">
        <v>4621</v>
      </c>
      <c r="P491" t="s">
        <v>2659</v>
      </c>
      <c r="Q491" t="s">
        <v>2659</v>
      </c>
      <c r="R491" t="s">
        <v>2659</v>
      </c>
      <c r="S491" t="s">
        <v>866</v>
      </c>
      <c r="T491" t="s">
        <v>695</v>
      </c>
      <c r="U491" t="s">
        <v>695</v>
      </c>
      <c r="V491" t="s">
        <v>434</v>
      </c>
      <c r="W491" t="s">
        <v>5700</v>
      </c>
      <c r="X491" t="s">
        <v>1300</v>
      </c>
      <c r="Y491" t="s">
        <v>1300</v>
      </c>
      <c r="Z491" t="s">
        <v>1300</v>
      </c>
      <c r="AA491" t="s">
        <v>1300</v>
      </c>
      <c r="AB491" s="2">
        <v>-7.0000000000000001E-3</v>
      </c>
      <c r="AC491" s="2">
        <v>-2.0199999999999999E-2</v>
      </c>
      <c r="AD491" s="2">
        <v>-1.9199999999999998E-2</v>
      </c>
      <c r="AE491" s="2">
        <v>-1.15E-2</v>
      </c>
      <c r="AF491" s="2">
        <v>-1.4E-3</v>
      </c>
      <c r="AG491" s="2">
        <v>-1.4E-3</v>
      </c>
      <c r="AH491" t="s">
        <v>5701</v>
      </c>
      <c r="AI491" t="s">
        <v>130</v>
      </c>
      <c r="AJ491" t="s">
        <v>131</v>
      </c>
      <c r="AK491" t="s">
        <v>40</v>
      </c>
      <c r="AL491">
        <v>200</v>
      </c>
      <c r="AM491" t="s">
        <v>41</v>
      </c>
      <c r="AN491" t="s">
        <v>42</v>
      </c>
      <c r="AO491" t="s">
        <v>4621</v>
      </c>
      <c r="AP491" t="s">
        <v>225</v>
      </c>
      <c r="AQ491" t="s">
        <v>225</v>
      </c>
      <c r="AR491" t="s">
        <v>133</v>
      </c>
      <c r="AS491" t="s">
        <v>133</v>
      </c>
    </row>
    <row r="492" spans="1:46" x14ac:dyDescent="0.4">
      <c r="A492" t="s">
        <v>4462</v>
      </c>
      <c r="B492" t="s">
        <v>10</v>
      </c>
      <c r="C492" t="s">
        <v>1756</v>
      </c>
      <c r="D492" t="s">
        <v>11</v>
      </c>
      <c r="E492" s="2">
        <v>5.0000000000000001E-4</v>
      </c>
      <c r="F492" t="s">
        <v>178</v>
      </c>
      <c r="G492" s="4" t="s">
        <v>565</v>
      </c>
      <c r="H492" t="s">
        <v>1756</v>
      </c>
      <c r="I492" t="s">
        <v>6319</v>
      </c>
      <c r="J492" t="s">
        <v>6320</v>
      </c>
      <c r="K492" t="s">
        <v>23</v>
      </c>
      <c r="L492" s="2">
        <v>5.5E-2</v>
      </c>
      <c r="M492" t="s">
        <v>6321</v>
      </c>
      <c r="N492" t="s">
        <v>28</v>
      </c>
      <c r="O492" t="s">
        <v>6322</v>
      </c>
      <c r="P492" t="s">
        <v>2214</v>
      </c>
      <c r="Q492" t="s">
        <v>2214</v>
      </c>
      <c r="R492" t="s">
        <v>2214</v>
      </c>
      <c r="S492" t="s">
        <v>2214</v>
      </c>
      <c r="T492" t="s">
        <v>1803</v>
      </c>
      <c r="U492" t="s">
        <v>1803</v>
      </c>
      <c r="V492" t="s">
        <v>1291</v>
      </c>
      <c r="W492" t="s">
        <v>6323</v>
      </c>
      <c r="X492" t="s">
        <v>6324</v>
      </c>
      <c r="Y492" t="s">
        <v>6324</v>
      </c>
      <c r="Z492" t="s">
        <v>6325</v>
      </c>
      <c r="AA492" t="s">
        <v>6325</v>
      </c>
      <c r="AB492" s="2">
        <v>-8.3000000000000001E-3</v>
      </c>
      <c r="AC492" s="2">
        <v>-2.9600000000000001E-2</v>
      </c>
      <c r="AD492" s="2">
        <v>-3.7699999999999997E-2</v>
      </c>
      <c r="AE492" s="2">
        <v>-2.8400000000000002E-2</v>
      </c>
      <c r="AF492" s="2">
        <v>-4.6800000000000001E-2</v>
      </c>
      <c r="AG492" s="2">
        <v>-4.6800000000000001E-2</v>
      </c>
      <c r="AH492" t="s">
        <v>6326</v>
      </c>
      <c r="AI492" t="s">
        <v>130</v>
      </c>
      <c r="AJ492" t="s">
        <v>131</v>
      </c>
      <c r="AK492" t="s">
        <v>40</v>
      </c>
      <c r="AL492">
        <v>50</v>
      </c>
      <c r="AM492" t="s">
        <v>41</v>
      </c>
      <c r="AN492" t="s">
        <v>42</v>
      </c>
      <c r="AO492" t="s">
        <v>6322</v>
      </c>
      <c r="AP492" t="s">
        <v>4291</v>
      </c>
      <c r="AQ492" t="s">
        <v>4291</v>
      </c>
      <c r="AR492" t="s">
        <v>2350</v>
      </c>
      <c r="AS492" t="s">
        <v>2350</v>
      </c>
    </row>
    <row r="493" spans="1:46" x14ac:dyDescent="0.4">
      <c r="A493" t="s">
        <v>296</v>
      </c>
      <c r="B493" t="s">
        <v>10</v>
      </c>
      <c r="C493" s="1">
        <v>83605</v>
      </c>
      <c r="D493" t="s">
        <v>11</v>
      </c>
      <c r="E493" s="2">
        <v>-2.8999999999999998E-3</v>
      </c>
      <c r="F493" t="s">
        <v>12</v>
      </c>
      <c r="G493" s="4">
        <f>-0.245 / -0.29%</f>
        <v>84.482758620689665</v>
      </c>
      <c r="H493" s="1">
        <v>83605</v>
      </c>
      <c r="I493" t="s">
        <v>1565</v>
      </c>
      <c r="J493" t="s">
        <v>1566</v>
      </c>
      <c r="K493" t="s">
        <v>23</v>
      </c>
      <c r="M493" t="s">
        <v>1567</v>
      </c>
      <c r="N493" t="s">
        <v>28</v>
      </c>
      <c r="O493" t="s">
        <v>353</v>
      </c>
      <c r="P493" t="s">
        <v>1568</v>
      </c>
      <c r="Q493" t="s">
        <v>1569</v>
      </c>
      <c r="R493" t="s">
        <v>1570</v>
      </c>
      <c r="S493" t="s">
        <v>1571</v>
      </c>
      <c r="T493" t="s">
        <v>1572</v>
      </c>
      <c r="U493" t="s">
        <v>1572</v>
      </c>
      <c r="V493" s="1">
        <v>85055</v>
      </c>
      <c r="W493" t="s">
        <v>1573</v>
      </c>
      <c r="X493" t="s">
        <v>1573</v>
      </c>
      <c r="Y493" t="s">
        <v>1573</v>
      </c>
      <c r="Z493" t="s">
        <v>1574</v>
      </c>
      <c r="AA493" t="s">
        <v>1575</v>
      </c>
      <c r="AB493" s="2">
        <v>-1.5100000000000001E-2</v>
      </c>
      <c r="AC493" s="2">
        <v>-1.43E-2</v>
      </c>
      <c r="AD493" s="2">
        <v>1.5599999999999999E-2</v>
      </c>
      <c r="AE493" s="2">
        <v>1.77E-2</v>
      </c>
      <c r="AF493" s="2">
        <v>4.6199999999999998E-2</v>
      </c>
      <c r="AG493" s="2">
        <v>-0.13830000000000001</v>
      </c>
      <c r="AH493" t="s">
        <v>306</v>
      </c>
      <c r="AI493" t="s">
        <v>130</v>
      </c>
      <c r="AJ493" t="s">
        <v>131</v>
      </c>
      <c r="AK493" t="s">
        <v>40</v>
      </c>
      <c r="AL493">
        <v>0</v>
      </c>
      <c r="AM493" t="s">
        <v>41</v>
      </c>
      <c r="AN493" t="s">
        <v>42</v>
      </c>
      <c r="AO493" t="s">
        <v>353</v>
      </c>
      <c r="AP493" t="s">
        <v>1576</v>
      </c>
      <c r="AQ493" t="s">
        <v>1576</v>
      </c>
      <c r="AR493" t="s">
        <v>48</v>
      </c>
      <c r="AS493" t="s">
        <v>48</v>
      </c>
      <c r="AT493" t="s">
        <v>1577</v>
      </c>
    </row>
    <row r="494" spans="1:46" x14ac:dyDescent="0.4">
      <c r="A494" t="s">
        <v>296</v>
      </c>
      <c r="B494" t="s">
        <v>10</v>
      </c>
      <c r="C494" t="s">
        <v>297</v>
      </c>
      <c r="D494" t="s">
        <v>11</v>
      </c>
      <c r="E494" s="2">
        <v>-1.1000000000000001E-3</v>
      </c>
      <c r="F494" t="s">
        <v>12</v>
      </c>
      <c r="G494" s="4">
        <f>-0.105 / -0.11%</f>
        <v>95.454545454545439</v>
      </c>
      <c r="H494" t="s">
        <v>297</v>
      </c>
      <c r="I494" t="s">
        <v>298</v>
      </c>
      <c r="J494" t="s">
        <v>299</v>
      </c>
      <c r="K494" t="s">
        <v>23</v>
      </c>
      <c r="L494" s="2">
        <v>2E-3</v>
      </c>
      <c r="M494" t="s">
        <v>300</v>
      </c>
      <c r="N494" t="s">
        <v>28</v>
      </c>
      <c r="O494" t="s">
        <v>301</v>
      </c>
      <c r="P494" t="s">
        <v>297</v>
      </c>
      <c r="Q494" t="s">
        <v>302</v>
      </c>
      <c r="R494" s="1">
        <v>93275</v>
      </c>
      <c r="S494" s="1">
        <v>92165</v>
      </c>
      <c r="T494" s="1">
        <v>87965</v>
      </c>
      <c r="U494" s="1">
        <v>87965</v>
      </c>
      <c r="V494" t="s">
        <v>303</v>
      </c>
      <c r="W494" t="s">
        <v>304</v>
      </c>
      <c r="X494" t="s">
        <v>304</v>
      </c>
      <c r="Y494" t="s">
        <v>304</v>
      </c>
      <c r="Z494" t="s">
        <v>304</v>
      </c>
      <c r="AA494" t="s">
        <v>305</v>
      </c>
      <c r="AB494" s="2">
        <v>-5.1000000000000004E-3</v>
      </c>
      <c r="AC494" s="2">
        <v>-2E-3</v>
      </c>
      <c r="AD494" s="2">
        <v>1.8800000000000001E-2</v>
      </c>
      <c r="AE494" s="2">
        <v>2.5499999999999998E-2</v>
      </c>
      <c r="AF494" s="2">
        <v>4.8800000000000003E-2</v>
      </c>
      <c r="AG494" s="2">
        <v>-6.6500000000000004E-2</v>
      </c>
      <c r="AH494" t="s">
        <v>306</v>
      </c>
      <c r="AI494" t="s">
        <v>130</v>
      </c>
      <c r="AJ494" t="s">
        <v>131</v>
      </c>
      <c r="AK494" t="s">
        <v>40</v>
      </c>
      <c r="AL494">
        <v>0</v>
      </c>
      <c r="AM494" t="s">
        <v>41</v>
      </c>
      <c r="AN494" t="s">
        <v>42</v>
      </c>
      <c r="AO494" t="s">
        <v>301</v>
      </c>
      <c r="AP494" t="s">
        <v>307</v>
      </c>
      <c r="AQ494" t="s">
        <v>307</v>
      </c>
      <c r="AR494" t="s">
        <v>48</v>
      </c>
      <c r="AS494" t="s">
        <v>48</v>
      </c>
    </row>
    <row r="495" spans="1:46" x14ac:dyDescent="0.4">
      <c r="A495" t="s">
        <v>9</v>
      </c>
      <c r="B495" t="s">
        <v>10</v>
      </c>
      <c r="C495" t="s">
        <v>609</v>
      </c>
      <c r="D495" t="s">
        <v>11</v>
      </c>
      <c r="E495" s="2">
        <v>-1E-4</v>
      </c>
      <c r="F495" t="s">
        <v>12</v>
      </c>
      <c r="G495" s="4">
        <f>-0.01 / -0.01%</f>
        <v>100</v>
      </c>
      <c r="H495" t="s">
        <v>609</v>
      </c>
      <c r="I495" t="s">
        <v>810</v>
      </c>
      <c r="J495" t="s">
        <v>811</v>
      </c>
      <c r="K495" t="s">
        <v>23</v>
      </c>
      <c r="L495" s="2">
        <v>3.15E-2</v>
      </c>
      <c r="M495" t="s">
        <v>812</v>
      </c>
      <c r="N495" t="s">
        <v>28</v>
      </c>
      <c r="O495" t="s">
        <v>608</v>
      </c>
      <c r="P495" t="s">
        <v>813</v>
      </c>
      <c r="Q495" t="s">
        <v>813</v>
      </c>
      <c r="R495" t="s">
        <v>813</v>
      </c>
      <c r="S495" t="s">
        <v>813</v>
      </c>
      <c r="T495" t="s">
        <v>813</v>
      </c>
      <c r="U495" t="s">
        <v>813</v>
      </c>
      <c r="V495" t="s">
        <v>305</v>
      </c>
      <c r="W495" t="s">
        <v>305</v>
      </c>
      <c r="X495" t="s">
        <v>305</v>
      </c>
      <c r="Y495" t="s">
        <v>305</v>
      </c>
      <c r="Z495" t="s">
        <v>305</v>
      </c>
      <c r="AA495" t="s">
        <v>305</v>
      </c>
      <c r="AB495" s="2">
        <v>-1.43E-2</v>
      </c>
      <c r="AC495" s="2">
        <v>-1.43E-2</v>
      </c>
      <c r="AD495" s="2">
        <v>-1.43E-2</v>
      </c>
      <c r="AE495" s="2">
        <v>-1.43E-2</v>
      </c>
      <c r="AF495" s="2">
        <v>-1.43E-2</v>
      </c>
      <c r="AG495" s="2">
        <v>-1.43E-2</v>
      </c>
      <c r="AH495" t="s">
        <v>306</v>
      </c>
      <c r="AI495" t="s">
        <v>130</v>
      </c>
      <c r="AJ495" t="s">
        <v>131</v>
      </c>
      <c r="AK495" t="s">
        <v>40</v>
      </c>
      <c r="AL495">
        <v>0</v>
      </c>
      <c r="AM495" t="s">
        <v>41</v>
      </c>
      <c r="AN495" t="s">
        <v>42</v>
      </c>
      <c r="AO495" t="s">
        <v>608</v>
      </c>
      <c r="AP495" t="s">
        <v>814</v>
      </c>
      <c r="AQ495" t="s">
        <v>814</v>
      </c>
      <c r="AR495" t="s">
        <v>48</v>
      </c>
      <c r="AS495" t="s">
        <v>48</v>
      </c>
    </row>
    <row r="496" spans="1:46" x14ac:dyDescent="0.4">
      <c r="A496" t="s">
        <v>296</v>
      </c>
      <c r="B496" t="s">
        <v>10</v>
      </c>
      <c r="C496" s="1">
        <v>91785</v>
      </c>
      <c r="D496" t="s">
        <v>11</v>
      </c>
      <c r="E496" s="2">
        <v>1.5E-3</v>
      </c>
      <c r="F496" t="s">
        <v>12</v>
      </c>
      <c r="G496" s="4" t="s">
        <v>4108</v>
      </c>
      <c r="H496" s="1">
        <v>91785</v>
      </c>
      <c r="I496" t="s">
        <v>4109</v>
      </c>
      <c r="J496" t="s">
        <v>4110</v>
      </c>
      <c r="K496" t="s">
        <v>23</v>
      </c>
      <c r="L496" s="2">
        <v>1.4999999999999999E-2</v>
      </c>
      <c r="M496" t="s">
        <v>3178</v>
      </c>
      <c r="N496" t="s">
        <v>28</v>
      </c>
      <c r="O496" t="s">
        <v>4111</v>
      </c>
      <c r="P496" s="1">
        <v>91495</v>
      </c>
      <c r="Q496" t="s">
        <v>4112</v>
      </c>
      <c r="R496" t="s">
        <v>4113</v>
      </c>
      <c r="S496" t="s">
        <v>2821</v>
      </c>
      <c r="T496" t="s">
        <v>4114</v>
      </c>
      <c r="U496" t="s">
        <v>4114</v>
      </c>
      <c r="V496" t="s">
        <v>3553</v>
      </c>
      <c r="W496" t="s">
        <v>4115</v>
      </c>
      <c r="X496" t="s">
        <v>4115</v>
      </c>
      <c r="Y496" t="s">
        <v>4115</v>
      </c>
      <c r="Z496" t="s">
        <v>4115</v>
      </c>
      <c r="AA496" s="1">
        <v>108065</v>
      </c>
      <c r="AB496" s="2">
        <v>-2.8E-3</v>
      </c>
      <c r="AC496" s="2">
        <v>2.4400000000000002E-2</v>
      </c>
      <c r="AD496" s="2">
        <v>2.81E-2</v>
      </c>
      <c r="AE496" s="2">
        <v>4.7100000000000003E-2</v>
      </c>
      <c r="AF496" s="2">
        <v>2.6800000000000001E-2</v>
      </c>
      <c r="AG496" s="2">
        <v>-0.14530000000000001</v>
      </c>
      <c r="AH496" t="s">
        <v>4116</v>
      </c>
      <c r="AI496" t="s">
        <v>130</v>
      </c>
      <c r="AJ496" t="s">
        <v>131</v>
      </c>
      <c r="AK496" t="s">
        <v>40</v>
      </c>
      <c r="AL496">
        <v>1</v>
      </c>
      <c r="AM496" t="s">
        <v>41</v>
      </c>
      <c r="AN496" t="s">
        <v>42</v>
      </c>
      <c r="AO496" t="s">
        <v>4111</v>
      </c>
      <c r="AP496" t="s">
        <v>4117</v>
      </c>
      <c r="AQ496" t="s">
        <v>4117</v>
      </c>
      <c r="AR496" t="s">
        <v>48</v>
      </c>
      <c r="AS496" t="s">
        <v>48</v>
      </c>
    </row>
    <row r="497" spans="1:54" x14ac:dyDescent="0.4">
      <c r="A497" t="s">
        <v>161</v>
      </c>
      <c r="B497" t="s">
        <v>10</v>
      </c>
      <c r="C497" t="s">
        <v>1805</v>
      </c>
      <c r="D497" t="s">
        <v>11</v>
      </c>
      <c r="E497" s="2">
        <v>-6.9999999999999999E-4</v>
      </c>
      <c r="F497" t="s">
        <v>12</v>
      </c>
      <c r="G497" s="4">
        <f>-0.07 / -0.07%</f>
        <v>100</v>
      </c>
      <c r="H497" t="s">
        <v>1805</v>
      </c>
      <c r="I497" t="s">
        <v>5022</v>
      </c>
      <c r="J497" t="s">
        <v>5023</v>
      </c>
      <c r="K497" t="s">
        <v>23</v>
      </c>
      <c r="L497" s="2">
        <v>1.6250000000000001E-2</v>
      </c>
      <c r="M497" t="s">
        <v>5024</v>
      </c>
      <c r="N497" t="s">
        <v>28</v>
      </c>
      <c r="O497" t="s">
        <v>5025</v>
      </c>
      <c r="P497" t="s">
        <v>5026</v>
      </c>
      <c r="Q497" t="s">
        <v>1665</v>
      </c>
      <c r="R497" t="s">
        <v>1101</v>
      </c>
      <c r="S497" t="s">
        <v>1436</v>
      </c>
      <c r="T497" t="s">
        <v>5027</v>
      </c>
      <c r="U497" t="s">
        <v>5028</v>
      </c>
      <c r="V497" t="s">
        <v>1336</v>
      </c>
      <c r="W497" t="s">
        <v>1861</v>
      </c>
      <c r="X497" t="s">
        <v>1861</v>
      </c>
      <c r="Y497" t="s">
        <v>1861</v>
      </c>
      <c r="Z497" t="s">
        <v>1861</v>
      </c>
      <c r="AA497" t="s">
        <v>3344</v>
      </c>
      <c r="AB497" s="2">
        <v>-3.8E-3</v>
      </c>
      <c r="AC497" s="2">
        <v>-1.1999999999999999E-3</v>
      </c>
      <c r="AD497" s="2">
        <v>1.4800000000000001E-2</v>
      </c>
      <c r="AE497" s="2">
        <v>2.86E-2</v>
      </c>
      <c r="AF497" s="2">
        <v>4.7699999999999999E-2</v>
      </c>
      <c r="AG497" s="2">
        <v>-7.3400000000000007E-2</v>
      </c>
      <c r="AH497" t="s">
        <v>5029</v>
      </c>
      <c r="AI497" t="s">
        <v>130</v>
      </c>
      <c r="AJ497" t="s">
        <v>131</v>
      </c>
      <c r="AK497" t="s">
        <v>40</v>
      </c>
      <c r="AL497">
        <v>100</v>
      </c>
      <c r="AM497" t="s">
        <v>41</v>
      </c>
      <c r="AN497" t="s">
        <v>42</v>
      </c>
      <c r="AO497" t="s">
        <v>5025</v>
      </c>
      <c r="AP497" t="s">
        <v>357</v>
      </c>
      <c r="AQ497" t="s">
        <v>357</v>
      </c>
      <c r="AR497" t="s">
        <v>48</v>
      </c>
      <c r="AS497" t="s">
        <v>48</v>
      </c>
    </row>
    <row r="498" spans="1:54" x14ac:dyDescent="0.4">
      <c r="A498" t="s">
        <v>3199</v>
      </c>
      <c r="B498" t="s">
        <v>10</v>
      </c>
      <c r="C498" t="s">
        <v>3200</v>
      </c>
      <c r="D498" t="s">
        <v>11</v>
      </c>
      <c r="E498" s="2">
        <v>9.9000000000000008E-3</v>
      </c>
      <c r="F498" t="s">
        <v>12</v>
      </c>
      <c r="G498" s="4" t="s">
        <v>3201</v>
      </c>
      <c r="H498" t="s">
        <v>3200</v>
      </c>
      <c r="I498" t="s">
        <v>3202</v>
      </c>
      <c r="J498" t="s">
        <v>3203</v>
      </c>
      <c r="K498" t="s">
        <v>23</v>
      </c>
      <c r="L498" s="2">
        <v>9.4999999999999998E-3</v>
      </c>
      <c r="M498" t="s">
        <v>2118</v>
      </c>
      <c r="N498" t="s">
        <v>121</v>
      </c>
      <c r="O498" t="s">
        <v>1780</v>
      </c>
      <c r="P498" t="s">
        <v>2822</v>
      </c>
      <c r="Q498" t="s">
        <v>2822</v>
      </c>
      <c r="R498" t="s">
        <v>3204</v>
      </c>
      <c r="S498" t="s">
        <v>3205</v>
      </c>
      <c r="T498" t="s">
        <v>3206</v>
      </c>
      <c r="U498" t="s">
        <v>3207</v>
      </c>
      <c r="V498" t="s">
        <v>3208</v>
      </c>
      <c r="W498" t="s">
        <v>2821</v>
      </c>
      <c r="X498" t="s">
        <v>2821</v>
      </c>
      <c r="Y498" t="s">
        <v>2821</v>
      </c>
      <c r="Z498" t="s">
        <v>2821</v>
      </c>
      <c r="AA498" t="s">
        <v>1587</v>
      </c>
      <c r="AB498" s="2">
        <v>-1.12E-2</v>
      </c>
      <c r="AC498" s="2">
        <v>-9.1000000000000004E-3</v>
      </c>
      <c r="AD498" s="2">
        <v>2.76E-2</v>
      </c>
      <c r="AE498" s="2">
        <v>4.9799999999999997E-2</v>
      </c>
      <c r="AF498" s="2">
        <v>9.1499999999999998E-2</v>
      </c>
      <c r="AG498" s="2">
        <v>-0.1181</v>
      </c>
      <c r="AH498" t="s">
        <v>1164</v>
      </c>
      <c r="AI498" t="s">
        <v>130</v>
      </c>
      <c r="AJ498" t="s">
        <v>131</v>
      </c>
      <c r="AK498" t="s">
        <v>40</v>
      </c>
      <c r="AL498">
        <v>1</v>
      </c>
      <c r="AM498" t="s">
        <v>41</v>
      </c>
      <c r="AN498" t="s">
        <v>42</v>
      </c>
      <c r="AO498" t="s">
        <v>1780</v>
      </c>
      <c r="AP498" t="s">
        <v>418</v>
      </c>
      <c r="BA498" t="s">
        <v>59</v>
      </c>
      <c r="BB498" t="s">
        <v>61</v>
      </c>
    </row>
    <row r="499" spans="1:54" x14ac:dyDescent="0.4">
      <c r="A499" t="s">
        <v>296</v>
      </c>
      <c r="B499" t="s">
        <v>10</v>
      </c>
      <c r="C499" s="1">
        <v>96391</v>
      </c>
      <c r="D499" t="s">
        <v>11</v>
      </c>
      <c r="E499" s="2">
        <v>-5.9999999999999995E-4</v>
      </c>
      <c r="F499" t="s">
        <v>12</v>
      </c>
      <c r="G499" s="4">
        <f>-0.056 / -0.06%</f>
        <v>93.333333333333343</v>
      </c>
      <c r="H499" s="1">
        <v>96391</v>
      </c>
      <c r="I499" t="s">
        <v>1211</v>
      </c>
      <c r="J499" t="s">
        <v>1212</v>
      </c>
      <c r="K499" t="s">
        <v>23</v>
      </c>
      <c r="M499" t="s">
        <v>1213</v>
      </c>
      <c r="N499" t="s">
        <v>121</v>
      </c>
      <c r="O499" t="s">
        <v>1214</v>
      </c>
      <c r="P499" t="s">
        <v>1215</v>
      </c>
      <c r="Q499" s="1">
        <v>95429</v>
      </c>
      <c r="R499" t="s">
        <v>1122</v>
      </c>
      <c r="S499" s="1">
        <v>92335</v>
      </c>
      <c r="T499" t="s">
        <v>1216</v>
      </c>
      <c r="U499" s="1">
        <v>85985</v>
      </c>
      <c r="V499" t="s">
        <v>1217</v>
      </c>
      <c r="W499" t="s">
        <v>1218</v>
      </c>
      <c r="X499" t="s">
        <v>1218</v>
      </c>
      <c r="Y499" t="s">
        <v>1218</v>
      </c>
      <c r="Z499" t="s">
        <v>1218</v>
      </c>
      <c r="AA499" s="1">
        <v>98105</v>
      </c>
      <c r="AB499" s="2">
        <v>-8.0000000000000004E-4</v>
      </c>
      <c r="AC499" s="2">
        <v>5.5999999999999999E-3</v>
      </c>
      <c r="AD499" s="2">
        <v>2.4899999999999999E-2</v>
      </c>
      <c r="AE499" s="2">
        <v>3.9800000000000002E-2</v>
      </c>
      <c r="AF499" s="2">
        <v>7.5800000000000006E-2</v>
      </c>
      <c r="AG499" s="2">
        <v>-1.54E-2</v>
      </c>
      <c r="AH499" t="s">
        <v>1164</v>
      </c>
      <c r="AI499" t="s">
        <v>130</v>
      </c>
      <c r="AJ499" t="s">
        <v>131</v>
      </c>
      <c r="AK499" t="s">
        <v>40</v>
      </c>
      <c r="AL499">
        <v>1</v>
      </c>
      <c r="AM499" t="s">
        <v>41</v>
      </c>
      <c r="AN499" t="s">
        <v>42</v>
      </c>
      <c r="AO499" t="s">
        <v>1214</v>
      </c>
      <c r="AP499" t="s">
        <v>1219</v>
      </c>
      <c r="AQ499" t="s">
        <v>1219</v>
      </c>
      <c r="BA499" t="s">
        <v>136</v>
      </c>
      <c r="BB499" t="s">
        <v>61</v>
      </c>
    </row>
    <row r="500" spans="1:54" x14ac:dyDescent="0.4">
      <c r="A500" t="s">
        <v>296</v>
      </c>
      <c r="B500" t="s">
        <v>10</v>
      </c>
      <c r="C500" s="1">
        <v>97148</v>
      </c>
      <c r="D500" t="s">
        <v>11</v>
      </c>
      <c r="E500" s="2">
        <v>-1E-3</v>
      </c>
      <c r="F500" t="s">
        <v>12</v>
      </c>
      <c r="G500" s="4">
        <f>-0.094 / -0.1%</f>
        <v>94</v>
      </c>
      <c r="H500" s="1">
        <v>97148</v>
      </c>
      <c r="I500" t="s">
        <v>2219</v>
      </c>
      <c r="J500" t="s">
        <v>2220</v>
      </c>
      <c r="K500" t="s">
        <v>23</v>
      </c>
      <c r="M500" t="s">
        <v>2221</v>
      </c>
      <c r="N500" t="s">
        <v>121</v>
      </c>
      <c r="O500" t="s">
        <v>2222</v>
      </c>
      <c r="P500" t="s">
        <v>688</v>
      </c>
      <c r="Q500" t="s">
        <v>958</v>
      </c>
      <c r="R500" s="1">
        <v>94885</v>
      </c>
      <c r="S500" t="s">
        <v>317</v>
      </c>
      <c r="T500" t="s">
        <v>2223</v>
      </c>
      <c r="U500" s="1">
        <v>87065</v>
      </c>
      <c r="V500" t="s">
        <v>2224</v>
      </c>
      <c r="W500" t="s">
        <v>2224</v>
      </c>
      <c r="X500" t="s">
        <v>2224</v>
      </c>
      <c r="Y500" t="s">
        <v>2224</v>
      </c>
      <c r="Z500" t="s">
        <v>2224</v>
      </c>
      <c r="AA500" s="1">
        <v>98505</v>
      </c>
      <c r="AB500" s="2">
        <v>-5.9999999999999995E-4</v>
      </c>
      <c r="AC500" s="2">
        <v>6.3E-3</v>
      </c>
      <c r="AD500" s="2">
        <v>2.35E-2</v>
      </c>
      <c r="AE500" s="2">
        <v>3.8100000000000002E-2</v>
      </c>
      <c r="AF500" s="2">
        <v>7.3400000000000007E-2</v>
      </c>
      <c r="AG500" s="2">
        <v>-1.23E-2</v>
      </c>
      <c r="AH500" t="s">
        <v>1164</v>
      </c>
      <c r="AI500" t="s">
        <v>130</v>
      </c>
      <c r="AJ500" t="s">
        <v>131</v>
      </c>
      <c r="AK500" t="s">
        <v>40</v>
      </c>
      <c r="AL500">
        <v>1</v>
      </c>
      <c r="AM500" t="s">
        <v>41</v>
      </c>
      <c r="AN500" t="s">
        <v>42</v>
      </c>
      <c r="AO500" t="s">
        <v>2222</v>
      </c>
      <c r="AP500" t="s">
        <v>1258</v>
      </c>
      <c r="AQ500" t="s">
        <v>1258</v>
      </c>
      <c r="BA500" t="s">
        <v>136</v>
      </c>
      <c r="BB500" t="s">
        <v>61</v>
      </c>
    </row>
    <row r="501" spans="1:54" x14ac:dyDescent="0.4">
      <c r="A501" t="s">
        <v>296</v>
      </c>
      <c r="B501" t="s">
        <v>10</v>
      </c>
      <c r="C501" t="s">
        <v>1101</v>
      </c>
      <c r="D501" t="s">
        <v>11</v>
      </c>
      <c r="E501" s="2">
        <v>-1.4E-3</v>
      </c>
      <c r="F501" t="s">
        <v>12</v>
      </c>
      <c r="G501" s="4">
        <f>-0.13 / -0.14%</f>
        <v>92.857142857142847</v>
      </c>
      <c r="H501" t="s">
        <v>1101</v>
      </c>
      <c r="I501" t="s">
        <v>2732</v>
      </c>
      <c r="J501" t="s">
        <v>2733</v>
      </c>
      <c r="K501" t="s">
        <v>23</v>
      </c>
      <c r="L501" s="2">
        <v>3.85E-2</v>
      </c>
      <c r="M501" t="s">
        <v>2734</v>
      </c>
      <c r="N501" t="s">
        <v>121</v>
      </c>
      <c r="O501" t="s">
        <v>2735</v>
      </c>
      <c r="P501" t="s">
        <v>124</v>
      </c>
      <c r="Q501" t="s">
        <v>124</v>
      </c>
      <c r="R501" t="s">
        <v>631</v>
      </c>
      <c r="S501" t="s">
        <v>2736</v>
      </c>
      <c r="T501" t="s">
        <v>2737</v>
      </c>
      <c r="U501" t="s">
        <v>2737</v>
      </c>
      <c r="V501" t="s">
        <v>898</v>
      </c>
      <c r="W501" t="s">
        <v>2738</v>
      </c>
      <c r="X501" t="s">
        <v>2738</v>
      </c>
      <c r="Y501" t="s">
        <v>2738</v>
      </c>
      <c r="Z501" t="s">
        <v>2738</v>
      </c>
      <c r="AA501" t="s">
        <v>2739</v>
      </c>
      <c r="AB501" s="2">
        <v>-2.4400000000000002E-2</v>
      </c>
      <c r="AC501" s="2">
        <v>-0.02</v>
      </c>
      <c r="AD501" s="2">
        <v>2.5600000000000001E-2</v>
      </c>
      <c r="AE501" s="2">
        <v>3.7999999999999999E-2</v>
      </c>
      <c r="AF501" s="2">
        <v>7.7999999999999996E-3</v>
      </c>
      <c r="AG501" s="2">
        <v>-0.30630000000000002</v>
      </c>
      <c r="AH501" t="s">
        <v>1164</v>
      </c>
      <c r="AI501" t="s">
        <v>130</v>
      </c>
      <c r="AJ501" t="s">
        <v>131</v>
      </c>
      <c r="AK501" t="s">
        <v>40</v>
      </c>
      <c r="AL501">
        <v>1</v>
      </c>
      <c r="AM501" t="s">
        <v>41</v>
      </c>
      <c r="AN501" t="s">
        <v>42</v>
      </c>
      <c r="AO501" t="s">
        <v>2735</v>
      </c>
      <c r="AP501" t="s">
        <v>2740</v>
      </c>
      <c r="BA501" t="s">
        <v>136</v>
      </c>
      <c r="BB501" t="s">
        <v>61</v>
      </c>
    </row>
    <row r="502" spans="1:54" x14ac:dyDescent="0.4">
      <c r="A502" t="s">
        <v>296</v>
      </c>
      <c r="B502" t="s">
        <v>10</v>
      </c>
      <c r="C502" s="1">
        <v>100655</v>
      </c>
      <c r="D502" t="s">
        <v>11</v>
      </c>
      <c r="E502" s="2">
        <v>-4.0000000000000002E-4</v>
      </c>
      <c r="F502" t="s">
        <v>12</v>
      </c>
      <c r="G502" s="4">
        <f>-0.04 / -0.04%</f>
        <v>100</v>
      </c>
      <c r="H502" s="1">
        <v>100655</v>
      </c>
      <c r="I502" t="s">
        <v>1159</v>
      </c>
      <c r="J502" t="s">
        <v>1160</v>
      </c>
      <c r="K502" t="s">
        <v>23</v>
      </c>
      <c r="L502" s="2">
        <v>3.2000000000000001E-2</v>
      </c>
      <c r="M502" t="s">
        <v>1161</v>
      </c>
      <c r="N502" t="s">
        <v>121</v>
      </c>
      <c r="O502" t="s">
        <v>1162</v>
      </c>
      <c r="P502" t="s">
        <v>857</v>
      </c>
      <c r="Q502" t="s">
        <v>857</v>
      </c>
      <c r="R502" s="1">
        <v>99938</v>
      </c>
      <c r="S502" s="1">
        <v>99298</v>
      </c>
      <c r="T502" s="1">
        <v>99298</v>
      </c>
      <c r="U502" s="1">
        <v>99298</v>
      </c>
      <c r="V502" t="s">
        <v>1163</v>
      </c>
      <c r="W502" t="s">
        <v>71</v>
      </c>
      <c r="X502" t="s">
        <v>71</v>
      </c>
      <c r="Y502" t="s">
        <v>71</v>
      </c>
      <c r="Z502" t="s">
        <v>71</v>
      </c>
      <c r="AA502" t="s">
        <v>71</v>
      </c>
      <c r="AB502" s="2">
        <v>-2E-3</v>
      </c>
      <c r="AC502" s="2">
        <v>-8.9999999999999998E-4</v>
      </c>
      <c r="AD502" s="2">
        <v>7.0000000000000001E-3</v>
      </c>
      <c r="AE502" s="2">
        <v>9.9000000000000008E-3</v>
      </c>
      <c r="AF502" s="2">
        <v>9.9000000000000008E-3</v>
      </c>
      <c r="AG502" s="2">
        <v>9.9000000000000008E-3</v>
      </c>
      <c r="AH502" t="s">
        <v>1164</v>
      </c>
      <c r="AI502" t="s">
        <v>130</v>
      </c>
      <c r="AJ502" t="s">
        <v>131</v>
      </c>
      <c r="AK502" t="s">
        <v>40</v>
      </c>
      <c r="AL502">
        <v>1</v>
      </c>
      <c r="AM502" t="s">
        <v>41</v>
      </c>
      <c r="AN502" t="s">
        <v>42</v>
      </c>
      <c r="AO502" t="s">
        <v>1162</v>
      </c>
      <c r="AP502" t="s">
        <v>1165</v>
      </c>
      <c r="BA502" t="s">
        <v>136</v>
      </c>
      <c r="BB502" t="s">
        <v>61</v>
      </c>
    </row>
    <row r="503" spans="1:54" x14ac:dyDescent="0.4">
      <c r="A503" t="s">
        <v>296</v>
      </c>
      <c r="B503" t="s">
        <v>10</v>
      </c>
      <c r="C503" s="1">
        <v>96825</v>
      </c>
      <c r="D503" t="s">
        <v>11</v>
      </c>
      <c r="E503" s="2">
        <v>-5.9999999999999995E-4</v>
      </c>
      <c r="F503" t="s">
        <v>12</v>
      </c>
      <c r="G503" s="4">
        <f>-0.058 / -0.06%</f>
        <v>96.666666666666686</v>
      </c>
      <c r="H503" s="1">
        <v>96825</v>
      </c>
      <c r="I503" t="s">
        <v>5488</v>
      </c>
      <c r="J503" t="s">
        <v>5489</v>
      </c>
      <c r="K503" t="s">
        <v>23</v>
      </c>
      <c r="L503" s="2">
        <v>8.5000000000000006E-3</v>
      </c>
      <c r="M503" t="s">
        <v>4380</v>
      </c>
      <c r="N503" t="s">
        <v>121</v>
      </c>
      <c r="O503" t="s">
        <v>3953</v>
      </c>
      <c r="P503" t="s">
        <v>5010</v>
      </c>
      <c r="Q503" t="s">
        <v>1253</v>
      </c>
      <c r="R503" s="1">
        <v>94775</v>
      </c>
      <c r="S503" s="1">
        <v>93355</v>
      </c>
      <c r="T503" s="1">
        <v>88865</v>
      </c>
      <c r="U503" t="s">
        <v>4212</v>
      </c>
      <c r="V503" t="s">
        <v>5490</v>
      </c>
      <c r="W503" t="s">
        <v>1245</v>
      </c>
      <c r="X503" t="s">
        <v>1245</v>
      </c>
      <c r="Y503" t="s">
        <v>1245</v>
      </c>
      <c r="Z503" t="s">
        <v>1245</v>
      </c>
      <c r="AA503" t="s">
        <v>3512</v>
      </c>
      <c r="AB503" s="2">
        <v>-2.5999999999999999E-3</v>
      </c>
      <c r="AC503" s="2">
        <v>1.9E-3</v>
      </c>
      <c r="AD503" s="2">
        <v>2.1299999999999999E-2</v>
      </c>
      <c r="AE503" s="2">
        <v>3.1600000000000003E-2</v>
      </c>
      <c r="AF503" s="2">
        <v>5.8900000000000001E-2</v>
      </c>
      <c r="AG503" s="2">
        <v>-4.6899999999999997E-2</v>
      </c>
      <c r="AH503" t="s">
        <v>1164</v>
      </c>
      <c r="AI503" t="s">
        <v>130</v>
      </c>
      <c r="AJ503" t="s">
        <v>131</v>
      </c>
      <c r="AK503" t="s">
        <v>40</v>
      </c>
      <c r="AL503">
        <v>1</v>
      </c>
      <c r="AM503" t="s">
        <v>41</v>
      </c>
      <c r="AN503" t="s">
        <v>42</v>
      </c>
      <c r="AO503" t="s">
        <v>3953</v>
      </c>
      <c r="AP503" t="s">
        <v>5491</v>
      </c>
      <c r="BA503" t="s">
        <v>136</v>
      </c>
      <c r="BB503" t="s">
        <v>61</v>
      </c>
    </row>
    <row r="504" spans="1:54" x14ac:dyDescent="0.4">
      <c r="A504" t="s">
        <v>296</v>
      </c>
      <c r="B504" t="s">
        <v>10</v>
      </c>
      <c r="C504" s="1">
        <v>90925</v>
      </c>
      <c r="D504" t="s">
        <v>11</v>
      </c>
      <c r="E504" s="2">
        <v>-1E-3</v>
      </c>
      <c r="F504" t="s">
        <v>12</v>
      </c>
      <c r="G504" s="4">
        <f>-0.095 / -0.1%</f>
        <v>95</v>
      </c>
      <c r="H504" s="1">
        <v>90925</v>
      </c>
      <c r="I504" t="s">
        <v>3564</v>
      </c>
      <c r="J504" t="s">
        <v>3565</v>
      </c>
      <c r="K504" t="s">
        <v>23</v>
      </c>
      <c r="L504" s="2">
        <v>4.4999999999999997E-3</v>
      </c>
      <c r="M504" t="s">
        <v>3566</v>
      </c>
      <c r="N504" t="s">
        <v>121</v>
      </c>
      <c r="O504" t="s">
        <v>3567</v>
      </c>
      <c r="P504" t="s">
        <v>3568</v>
      </c>
      <c r="Q504" t="s">
        <v>3569</v>
      </c>
      <c r="R504" s="1">
        <v>88515</v>
      </c>
      <c r="S504" t="s">
        <v>3570</v>
      </c>
      <c r="T504" s="1">
        <v>80465</v>
      </c>
      <c r="U504" s="1">
        <v>78345</v>
      </c>
      <c r="V504" t="s">
        <v>3571</v>
      </c>
      <c r="W504" t="s">
        <v>3572</v>
      </c>
      <c r="X504" t="s">
        <v>3572</v>
      </c>
      <c r="Y504" t="s">
        <v>3572</v>
      </c>
      <c r="Z504" t="s">
        <v>3572</v>
      </c>
      <c r="AA504" t="s">
        <v>3573</v>
      </c>
      <c r="AB504" s="2">
        <v>-5.4999999999999997E-3</v>
      </c>
      <c r="AC504" s="2">
        <v>-2.0999999999999999E-3</v>
      </c>
      <c r="AD504" s="2">
        <v>2.7099999999999999E-2</v>
      </c>
      <c r="AE504" s="2">
        <v>4.4600000000000001E-2</v>
      </c>
      <c r="AF504" s="2">
        <v>9.0200000000000002E-2</v>
      </c>
      <c r="AG504" s="2">
        <v>-6.2E-2</v>
      </c>
      <c r="AH504" t="s">
        <v>1164</v>
      </c>
      <c r="AI504" t="s">
        <v>130</v>
      </c>
      <c r="AJ504" t="s">
        <v>131</v>
      </c>
      <c r="AK504" t="s">
        <v>40</v>
      </c>
      <c r="AL504">
        <v>1</v>
      </c>
      <c r="AM504" t="s">
        <v>41</v>
      </c>
      <c r="AN504" t="s">
        <v>42</v>
      </c>
      <c r="AO504" t="s">
        <v>3567</v>
      </c>
      <c r="AP504" t="s">
        <v>418</v>
      </c>
      <c r="BA504" t="s">
        <v>136</v>
      </c>
      <c r="BB504" t="s">
        <v>61</v>
      </c>
    </row>
    <row r="505" spans="1:54" x14ac:dyDescent="0.4">
      <c r="A505" t="s">
        <v>296</v>
      </c>
      <c r="B505" t="s">
        <v>10</v>
      </c>
      <c r="C505" s="1">
        <v>92655</v>
      </c>
      <c r="D505" t="s">
        <v>11</v>
      </c>
      <c r="E505" s="2">
        <v>-8.9999999999999998E-4</v>
      </c>
      <c r="F505" t="s">
        <v>12</v>
      </c>
      <c r="G505" s="4">
        <f>-0.085 / -0.09%</f>
        <v>94.444444444444457</v>
      </c>
      <c r="H505" s="1">
        <v>92655</v>
      </c>
      <c r="I505" t="s">
        <v>3557</v>
      </c>
      <c r="J505" t="s">
        <v>3558</v>
      </c>
      <c r="K505" t="s">
        <v>23</v>
      </c>
      <c r="L505" s="2">
        <v>2.5000000000000001E-3</v>
      </c>
      <c r="M505" t="s">
        <v>1617</v>
      </c>
      <c r="N505" t="s">
        <v>121</v>
      </c>
      <c r="O505" t="s">
        <v>3559</v>
      </c>
      <c r="P505" s="1">
        <v>92195</v>
      </c>
      <c r="Q505" t="s">
        <v>3560</v>
      </c>
      <c r="R505" t="s">
        <v>2537</v>
      </c>
      <c r="S505" t="s">
        <v>3561</v>
      </c>
      <c r="T505" t="s">
        <v>3562</v>
      </c>
      <c r="U505" t="s">
        <v>1014</v>
      </c>
      <c r="V505" t="s">
        <v>1804</v>
      </c>
      <c r="W505" t="s">
        <v>697</v>
      </c>
      <c r="X505" t="s">
        <v>697</v>
      </c>
      <c r="Y505" t="s">
        <v>697</v>
      </c>
      <c r="Z505" t="s">
        <v>697</v>
      </c>
      <c r="AA505" s="1">
        <v>97335</v>
      </c>
      <c r="AB505" s="2">
        <v>-3.5999999999999999E-3</v>
      </c>
      <c r="AC505" s="2">
        <v>5.0000000000000001E-4</v>
      </c>
      <c r="AD505" s="2">
        <v>2.6200000000000001E-2</v>
      </c>
      <c r="AE505" s="2">
        <v>4.2200000000000001E-2</v>
      </c>
      <c r="AF505" s="2">
        <v>8.6099999999999996E-2</v>
      </c>
      <c r="AG505" s="2">
        <v>-4.5199999999999997E-2</v>
      </c>
      <c r="AH505" t="s">
        <v>1164</v>
      </c>
      <c r="AI505" t="s">
        <v>130</v>
      </c>
      <c r="AJ505" t="s">
        <v>131</v>
      </c>
      <c r="AK505" t="s">
        <v>40</v>
      </c>
      <c r="AL505">
        <v>1</v>
      </c>
      <c r="AM505" t="s">
        <v>41</v>
      </c>
      <c r="AN505" t="s">
        <v>42</v>
      </c>
      <c r="AO505" t="s">
        <v>3559</v>
      </c>
      <c r="AP505" t="s">
        <v>1219</v>
      </c>
      <c r="BA505" t="s">
        <v>136</v>
      </c>
      <c r="BB505" t="s">
        <v>61</v>
      </c>
    </row>
    <row r="506" spans="1:54" x14ac:dyDescent="0.4">
      <c r="A506" t="s">
        <v>3980</v>
      </c>
      <c r="B506" t="s">
        <v>10</v>
      </c>
      <c r="C506" t="s">
        <v>3981</v>
      </c>
      <c r="D506" t="s">
        <v>11</v>
      </c>
      <c r="E506" s="2">
        <v>0</v>
      </c>
      <c r="F506" t="s">
        <v>178</v>
      </c>
      <c r="G506" s="4" t="s">
        <v>15</v>
      </c>
      <c r="H506" t="s">
        <v>3981</v>
      </c>
      <c r="I506" t="s">
        <v>3982</v>
      </c>
      <c r="J506" t="s">
        <v>3983</v>
      </c>
      <c r="K506" t="s">
        <v>23</v>
      </c>
      <c r="L506" s="2">
        <v>1.7000000000000001E-2</v>
      </c>
      <c r="M506" t="s">
        <v>2222</v>
      </c>
      <c r="N506" t="s">
        <v>121</v>
      </c>
      <c r="O506" t="s">
        <v>3984</v>
      </c>
      <c r="P506" t="s">
        <v>3985</v>
      </c>
      <c r="Q506" t="s">
        <v>3985</v>
      </c>
      <c r="R506" t="s">
        <v>3986</v>
      </c>
      <c r="S506" t="s">
        <v>3987</v>
      </c>
      <c r="T506" t="s">
        <v>3988</v>
      </c>
      <c r="U506" t="s">
        <v>3988</v>
      </c>
      <c r="V506" t="s">
        <v>3989</v>
      </c>
      <c r="W506" t="s">
        <v>3990</v>
      </c>
      <c r="X506" t="s">
        <v>3990</v>
      </c>
      <c r="Y506" t="s">
        <v>3990</v>
      </c>
      <c r="Z506" t="s">
        <v>3990</v>
      </c>
      <c r="AA506" t="s">
        <v>3991</v>
      </c>
      <c r="AB506" s="2">
        <v>-2.4400000000000002E-2</v>
      </c>
      <c r="AC506" s="2">
        <v>-1.2999999999999999E-2</v>
      </c>
      <c r="AD506" s="2">
        <v>2.6700000000000002E-2</v>
      </c>
      <c r="AE506" s="2">
        <v>4.3900000000000002E-2</v>
      </c>
      <c r="AF506" s="2">
        <v>3.8300000000000001E-2</v>
      </c>
      <c r="AG506" s="2">
        <v>-0.32669999999999999</v>
      </c>
      <c r="AH506" t="s">
        <v>1164</v>
      </c>
      <c r="AI506" t="s">
        <v>130</v>
      </c>
      <c r="AJ506" t="s">
        <v>131</v>
      </c>
      <c r="AK506" t="s">
        <v>40</v>
      </c>
      <c r="AL506">
        <v>1</v>
      </c>
      <c r="AM506" t="s">
        <v>41</v>
      </c>
      <c r="AN506" t="s">
        <v>42</v>
      </c>
      <c r="AO506" t="s">
        <v>3984</v>
      </c>
      <c r="AP506" t="s">
        <v>1188</v>
      </c>
      <c r="BA506" t="s">
        <v>197</v>
      </c>
      <c r="BB506" t="s">
        <v>61</v>
      </c>
    </row>
    <row r="507" spans="1:54" x14ac:dyDescent="0.4">
      <c r="A507" t="s">
        <v>296</v>
      </c>
      <c r="B507" t="s">
        <v>10</v>
      </c>
      <c r="C507" s="1">
        <v>89275</v>
      </c>
      <c r="D507" t="s">
        <v>11</v>
      </c>
      <c r="E507" s="2">
        <v>-1.1999999999999999E-3</v>
      </c>
      <c r="F507" t="s">
        <v>12</v>
      </c>
      <c r="G507" s="4">
        <f>-0.11 / -0.12%</f>
        <v>91.666666666666671</v>
      </c>
      <c r="H507" s="1">
        <v>89275</v>
      </c>
      <c r="I507" t="s">
        <v>4125</v>
      </c>
      <c r="J507" t="s">
        <v>4126</v>
      </c>
      <c r="K507" t="s">
        <v>23</v>
      </c>
      <c r="L507" s="2">
        <v>9.4999999999999998E-3</v>
      </c>
      <c r="M507" t="s">
        <v>3140</v>
      </c>
      <c r="N507" t="s">
        <v>121</v>
      </c>
      <c r="O507" t="s">
        <v>4127</v>
      </c>
      <c r="P507" t="s">
        <v>4128</v>
      </c>
      <c r="Q507" t="s">
        <v>4129</v>
      </c>
      <c r="R507" t="s">
        <v>3219</v>
      </c>
      <c r="S507" s="1">
        <v>84695</v>
      </c>
      <c r="T507" t="s">
        <v>4130</v>
      </c>
      <c r="U507" t="s">
        <v>2043</v>
      </c>
      <c r="V507" t="s">
        <v>4131</v>
      </c>
      <c r="W507" t="s">
        <v>4132</v>
      </c>
      <c r="X507" t="s">
        <v>4132</v>
      </c>
      <c r="Y507" t="s">
        <v>4132</v>
      </c>
      <c r="Z507" t="s">
        <v>4132</v>
      </c>
      <c r="AA507" t="s">
        <v>241</v>
      </c>
      <c r="AB507" s="2">
        <v>-6.7999999999999996E-3</v>
      </c>
      <c r="AC507" s="2">
        <v>-6.0000000000000001E-3</v>
      </c>
      <c r="AD507" s="2">
        <v>2.6100000000000002E-2</v>
      </c>
      <c r="AE507" s="2">
        <v>4.48E-2</v>
      </c>
      <c r="AF507" s="2">
        <v>8.5300000000000001E-2</v>
      </c>
      <c r="AG507" s="2">
        <v>-9.6000000000000002E-2</v>
      </c>
      <c r="AH507" t="s">
        <v>1164</v>
      </c>
      <c r="AI507" t="s">
        <v>130</v>
      </c>
      <c r="AJ507" t="s">
        <v>131</v>
      </c>
      <c r="AK507" t="s">
        <v>40</v>
      </c>
      <c r="AL507">
        <v>1</v>
      </c>
      <c r="AM507" t="s">
        <v>41</v>
      </c>
      <c r="AN507" t="s">
        <v>42</v>
      </c>
      <c r="AO507" t="s">
        <v>4127</v>
      </c>
      <c r="AP507" t="s">
        <v>4133</v>
      </c>
      <c r="AQ507" t="s">
        <v>4133</v>
      </c>
      <c r="AR507" t="s">
        <v>48</v>
      </c>
      <c r="AS507" t="s">
        <v>48</v>
      </c>
    </row>
    <row r="508" spans="1:54" x14ac:dyDescent="0.4">
      <c r="A508" t="s">
        <v>4746</v>
      </c>
      <c r="B508" t="s">
        <v>10</v>
      </c>
      <c r="C508" s="1">
        <v>99615</v>
      </c>
      <c r="D508" t="s">
        <v>11</v>
      </c>
      <c r="E508" s="2">
        <v>-4.0000000000000002E-4</v>
      </c>
      <c r="F508" t="s">
        <v>12</v>
      </c>
      <c r="G508" s="4">
        <f>-0.035 / -0.04%</f>
        <v>87.5</v>
      </c>
      <c r="H508" s="1">
        <v>99615</v>
      </c>
      <c r="I508" t="s">
        <v>5843</v>
      </c>
      <c r="J508" t="s">
        <v>5844</v>
      </c>
      <c r="K508" t="s">
        <v>23</v>
      </c>
      <c r="L508" s="2">
        <v>2.75E-2</v>
      </c>
      <c r="M508" t="s">
        <v>2040</v>
      </c>
      <c r="N508" t="s">
        <v>28</v>
      </c>
      <c r="O508" t="s">
        <v>1449</v>
      </c>
      <c r="P508" t="s">
        <v>1585</v>
      </c>
      <c r="Q508" t="s">
        <v>1585</v>
      </c>
      <c r="R508" t="s">
        <v>1585</v>
      </c>
      <c r="S508" t="s">
        <v>1585</v>
      </c>
      <c r="T508" t="s">
        <v>1585</v>
      </c>
      <c r="U508" t="s">
        <v>1585</v>
      </c>
      <c r="V508" s="1">
        <v>99665</v>
      </c>
      <c r="W508" s="1">
        <v>99665</v>
      </c>
      <c r="X508" s="1">
        <v>99665</v>
      </c>
      <c r="Y508" s="1">
        <v>99665</v>
      </c>
      <c r="Z508" s="1">
        <v>99665</v>
      </c>
      <c r="AA508" s="1">
        <v>99665</v>
      </c>
      <c r="AB508" s="2">
        <v>2E-3</v>
      </c>
      <c r="AC508" s="2">
        <v>2E-3</v>
      </c>
      <c r="AD508" s="2">
        <v>2E-3</v>
      </c>
      <c r="AE508" s="2">
        <v>2E-3</v>
      </c>
      <c r="AF508" s="2">
        <v>2E-3</v>
      </c>
      <c r="AG508" s="2">
        <v>2E-3</v>
      </c>
      <c r="AH508" t="s">
        <v>5845</v>
      </c>
      <c r="AI508" t="s">
        <v>130</v>
      </c>
      <c r="AJ508" t="s">
        <v>131</v>
      </c>
      <c r="AK508" t="s">
        <v>40</v>
      </c>
      <c r="AL508">
        <v>100</v>
      </c>
      <c r="AM508" t="s">
        <v>41</v>
      </c>
      <c r="AN508" t="s">
        <v>42</v>
      </c>
      <c r="AO508" t="s">
        <v>1449</v>
      </c>
      <c r="AP508" t="s">
        <v>225</v>
      </c>
      <c r="AQ508" t="s">
        <v>225</v>
      </c>
      <c r="AR508" t="s">
        <v>48</v>
      </c>
      <c r="AS508" t="s">
        <v>48</v>
      </c>
    </row>
    <row r="509" spans="1:54" x14ac:dyDescent="0.4">
      <c r="A509" t="s">
        <v>296</v>
      </c>
      <c r="B509" t="s">
        <v>10</v>
      </c>
      <c r="C509" t="s">
        <v>1290</v>
      </c>
      <c r="D509" t="s">
        <v>11</v>
      </c>
      <c r="E509" s="2">
        <v>-3.2000000000000002E-3</v>
      </c>
      <c r="F509" t="s">
        <v>12</v>
      </c>
      <c r="G509" s="4">
        <f>-0.32 / -0.32%</f>
        <v>100</v>
      </c>
      <c r="H509" t="s">
        <v>1290</v>
      </c>
      <c r="I509" t="s">
        <v>6734</v>
      </c>
      <c r="J509" t="s">
        <v>6735</v>
      </c>
      <c r="K509" t="s">
        <v>23</v>
      </c>
      <c r="L509" s="2">
        <v>4.8500000000000001E-2</v>
      </c>
      <c r="M509" t="s">
        <v>1809</v>
      </c>
      <c r="N509" t="s">
        <v>121</v>
      </c>
      <c r="O509" t="s">
        <v>6736</v>
      </c>
      <c r="P509" t="s">
        <v>2760</v>
      </c>
      <c r="Q509" t="s">
        <v>2760</v>
      </c>
      <c r="R509" t="s">
        <v>2760</v>
      </c>
      <c r="S509" t="s">
        <v>1552</v>
      </c>
      <c r="T509" s="1">
        <v>96065</v>
      </c>
      <c r="U509" s="1">
        <v>96065</v>
      </c>
      <c r="V509" t="s">
        <v>2374</v>
      </c>
      <c r="W509" t="s">
        <v>4963</v>
      </c>
      <c r="X509" s="1">
        <v>103945</v>
      </c>
      <c r="Y509" s="1">
        <v>103945</v>
      </c>
      <c r="Z509" t="s">
        <v>6737</v>
      </c>
      <c r="AA509" t="s">
        <v>6737</v>
      </c>
      <c r="AB509" s="2">
        <v>-6.9999999999999999E-4</v>
      </c>
      <c r="AC509" s="2">
        <v>-1.38E-2</v>
      </c>
      <c r="AD509" s="2">
        <v>-7.7000000000000002E-3</v>
      </c>
      <c r="AE509" s="2">
        <v>-1.52E-2</v>
      </c>
      <c r="AF509" s="2">
        <v>-2.64E-2</v>
      </c>
      <c r="AG509" s="2">
        <v>1.0500000000000001E-2</v>
      </c>
      <c r="AH509" t="s">
        <v>467</v>
      </c>
      <c r="AI509" t="s">
        <v>130</v>
      </c>
      <c r="AJ509" t="s">
        <v>131</v>
      </c>
      <c r="AK509" t="s">
        <v>40</v>
      </c>
      <c r="AL509">
        <v>1</v>
      </c>
      <c r="AM509" t="s">
        <v>41</v>
      </c>
      <c r="AN509" t="s">
        <v>42</v>
      </c>
      <c r="AO509" t="s">
        <v>6736</v>
      </c>
      <c r="AP509" t="s">
        <v>4863</v>
      </c>
      <c r="AQ509" t="s">
        <v>4863</v>
      </c>
      <c r="AR509" t="s">
        <v>133</v>
      </c>
      <c r="AS509" t="s">
        <v>133</v>
      </c>
    </row>
    <row r="510" spans="1:54" x14ac:dyDescent="0.4">
      <c r="A510" t="s">
        <v>9</v>
      </c>
      <c r="B510" t="s">
        <v>10</v>
      </c>
      <c r="C510" t="s">
        <v>1488</v>
      </c>
      <c r="D510" t="s">
        <v>11</v>
      </c>
      <c r="E510" s="2">
        <v>2.0999999999999999E-3</v>
      </c>
      <c r="F510" t="s">
        <v>12</v>
      </c>
      <c r="G510" s="4" t="s">
        <v>1489</v>
      </c>
      <c r="H510" t="s">
        <v>1488</v>
      </c>
      <c r="I510" t="s">
        <v>1490</v>
      </c>
      <c r="J510" t="s">
        <v>1491</v>
      </c>
      <c r="K510" t="s">
        <v>23</v>
      </c>
      <c r="L510" s="2">
        <v>4.7500000000000001E-2</v>
      </c>
      <c r="M510" t="s">
        <v>94</v>
      </c>
      <c r="N510" t="s">
        <v>121</v>
      </c>
      <c r="O510" t="s">
        <v>1475</v>
      </c>
      <c r="P510" s="1">
        <v>99765</v>
      </c>
      <c r="Q510" s="1">
        <v>99765</v>
      </c>
      <c r="R510" s="1">
        <v>99765</v>
      </c>
      <c r="S510" t="s">
        <v>1492</v>
      </c>
      <c r="T510" t="s">
        <v>1493</v>
      </c>
      <c r="U510" t="s">
        <v>1493</v>
      </c>
      <c r="V510" t="s">
        <v>1494</v>
      </c>
      <c r="W510" t="s">
        <v>1495</v>
      </c>
      <c r="X510" t="s">
        <v>1496</v>
      </c>
      <c r="Y510" t="s">
        <v>1496</v>
      </c>
      <c r="Z510" t="s">
        <v>1496</v>
      </c>
      <c r="AA510" t="s">
        <v>1496</v>
      </c>
      <c r="AB510" s="2">
        <v>1.6999999999999999E-3</v>
      </c>
      <c r="AC510" s="2">
        <v>-4.7999999999999996E-3</v>
      </c>
      <c r="AD510" s="2">
        <v>2.0000000000000001E-4</v>
      </c>
      <c r="AE510" s="2">
        <v>-2.5000000000000001E-3</v>
      </c>
      <c r="AF510" s="2">
        <v>-7.1999999999999998E-3</v>
      </c>
      <c r="AG510" s="2">
        <v>5.4000000000000003E-3</v>
      </c>
      <c r="AH510" t="s">
        <v>467</v>
      </c>
      <c r="AI510" t="s">
        <v>130</v>
      </c>
      <c r="AJ510" t="s">
        <v>131</v>
      </c>
      <c r="AK510" t="s">
        <v>40</v>
      </c>
      <c r="AL510">
        <v>1</v>
      </c>
      <c r="AM510" t="s">
        <v>41</v>
      </c>
      <c r="AN510" t="s">
        <v>42</v>
      </c>
      <c r="AO510" t="s">
        <v>1475</v>
      </c>
      <c r="AP510" t="s">
        <v>750</v>
      </c>
      <c r="AQ510" t="s">
        <v>750</v>
      </c>
      <c r="AR510" t="s">
        <v>133</v>
      </c>
      <c r="AS510" t="s">
        <v>133</v>
      </c>
    </row>
    <row r="511" spans="1:54" x14ac:dyDescent="0.4">
      <c r="A511" t="s">
        <v>454</v>
      </c>
      <c r="B511" t="s">
        <v>10</v>
      </c>
      <c r="C511" t="s">
        <v>455</v>
      </c>
      <c r="D511" t="s">
        <v>11</v>
      </c>
      <c r="E511" s="2">
        <v>1.03E-2</v>
      </c>
      <c r="F511" t="s">
        <v>310</v>
      </c>
      <c r="G511" s="4" t="s">
        <v>456</v>
      </c>
      <c r="H511" t="s">
        <v>455</v>
      </c>
      <c r="I511" t="s">
        <v>457</v>
      </c>
      <c r="J511" t="s">
        <v>458</v>
      </c>
      <c r="K511" t="s">
        <v>23</v>
      </c>
      <c r="L511" s="2">
        <v>4.7E-2</v>
      </c>
      <c r="M511" t="s">
        <v>459</v>
      </c>
      <c r="N511" t="s">
        <v>121</v>
      </c>
      <c r="O511" t="s">
        <v>460</v>
      </c>
      <c r="P511" t="s">
        <v>461</v>
      </c>
      <c r="Q511" t="s">
        <v>461</v>
      </c>
      <c r="R511" t="s">
        <v>461</v>
      </c>
      <c r="S511" t="s">
        <v>462</v>
      </c>
      <c r="T511" t="s">
        <v>463</v>
      </c>
      <c r="U511" t="s">
        <v>463</v>
      </c>
      <c r="V511" t="s">
        <v>464</v>
      </c>
      <c r="W511" t="s">
        <v>465</v>
      </c>
      <c r="X511" t="s">
        <v>466</v>
      </c>
      <c r="Y511" t="s">
        <v>466</v>
      </c>
      <c r="Z511" t="s">
        <v>466</v>
      </c>
      <c r="AA511" t="s">
        <v>466</v>
      </c>
      <c r="AB511" s="2">
        <v>2.0000000000000001E-4</v>
      </c>
      <c r="AC511" s="2">
        <v>-1.38E-2</v>
      </c>
      <c r="AD511" s="2">
        <v>3.2000000000000002E-3</v>
      </c>
      <c r="AE511" s="2">
        <v>-6.0000000000000001E-3</v>
      </c>
      <c r="AF511" s="2">
        <v>4.0000000000000001E-3</v>
      </c>
      <c r="AG511" s="2">
        <v>4.0000000000000001E-3</v>
      </c>
      <c r="AH511" t="s">
        <v>467</v>
      </c>
      <c r="AI511" t="s">
        <v>130</v>
      </c>
      <c r="AJ511" t="s">
        <v>131</v>
      </c>
      <c r="AK511" t="s">
        <v>40</v>
      </c>
      <c r="AL511">
        <v>1</v>
      </c>
      <c r="AM511" t="s">
        <v>41</v>
      </c>
      <c r="AN511" t="s">
        <v>42</v>
      </c>
      <c r="AO511" t="s">
        <v>460</v>
      </c>
      <c r="AP511" t="s">
        <v>407</v>
      </c>
      <c r="AQ511" t="s">
        <v>407</v>
      </c>
      <c r="AR511" t="s">
        <v>133</v>
      </c>
      <c r="AS511" t="s">
        <v>133</v>
      </c>
    </row>
    <row r="512" spans="1:54" x14ac:dyDescent="0.4">
      <c r="A512" t="s">
        <v>76</v>
      </c>
      <c r="B512" t="s">
        <v>10</v>
      </c>
      <c r="C512" t="s">
        <v>729</v>
      </c>
      <c r="D512" t="s">
        <v>11</v>
      </c>
      <c r="E512" s="2">
        <v>1.9E-3</v>
      </c>
      <c r="F512" t="s">
        <v>12</v>
      </c>
      <c r="G512" s="4" t="s">
        <v>730</v>
      </c>
      <c r="H512" t="s">
        <v>729</v>
      </c>
      <c r="I512" t="s">
        <v>731</v>
      </c>
      <c r="J512" t="s">
        <v>732</v>
      </c>
      <c r="K512" t="s">
        <v>23</v>
      </c>
      <c r="L512" s="2">
        <v>4.1500000000000002E-2</v>
      </c>
      <c r="M512" t="s">
        <v>733</v>
      </c>
      <c r="N512" t="s">
        <v>121</v>
      </c>
      <c r="O512" t="s">
        <v>734</v>
      </c>
      <c r="P512" t="s">
        <v>735</v>
      </c>
      <c r="Q512" t="s">
        <v>735</v>
      </c>
      <c r="R512" s="1">
        <v>98375</v>
      </c>
      <c r="S512" t="s">
        <v>736</v>
      </c>
      <c r="T512" t="s">
        <v>737</v>
      </c>
      <c r="U512" t="s">
        <v>737</v>
      </c>
      <c r="V512" t="s">
        <v>247</v>
      </c>
      <c r="W512" t="s">
        <v>70</v>
      </c>
      <c r="X512" t="s">
        <v>738</v>
      </c>
      <c r="Y512" t="s">
        <v>738</v>
      </c>
      <c r="Z512" t="s">
        <v>738</v>
      </c>
      <c r="AA512" t="s">
        <v>738</v>
      </c>
      <c r="AB512" s="2">
        <v>1.9E-3</v>
      </c>
      <c r="AC512" s="2">
        <v>-4.1999999999999997E-3</v>
      </c>
      <c r="AD512" s="2">
        <v>2.0999999999999999E-3</v>
      </c>
      <c r="AE512" s="2">
        <v>3.8E-3</v>
      </c>
      <c r="AF512" s="2">
        <v>-6.1999999999999998E-3</v>
      </c>
      <c r="AG512" s="2">
        <v>-9.7000000000000003E-3</v>
      </c>
      <c r="AH512" t="s">
        <v>467</v>
      </c>
      <c r="AI512" t="s">
        <v>130</v>
      </c>
      <c r="AJ512" t="s">
        <v>131</v>
      </c>
      <c r="AK512" t="s">
        <v>40</v>
      </c>
      <c r="AL512">
        <v>1</v>
      </c>
      <c r="AM512" t="s">
        <v>41</v>
      </c>
      <c r="AN512" t="s">
        <v>42</v>
      </c>
      <c r="AO512" t="s">
        <v>734</v>
      </c>
      <c r="AP512" t="s">
        <v>739</v>
      </c>
      <c r="AQ512" t="s">
        <v>739</v>
      </c>
      <c r="AR512" t="s">
        <v>133</v>
      </c>
      <c r="AS512" t="s">
        <v>133</v>
      </c>
    </row>
    <row r="513" spans="1:54" x14ac:dyDescent="0.4">
      <c r="A513" t="s">
        <v>4518</v>
      </c>
      <c r="B513" t="s">
        <v>10</v>
      </c>
      <c r="C513" t="s">
        <v>6784</v>
      </c>
      <c r="D513" t="s">
        <v>11</v>
      </c>
      <c r="E513" s="2">
        <v>-2.3E-3</v>
      </c>
      <c r="F513" t="s">
        <v>12</v>
      </c>
      <c r="G513" s="4">
        <f>-0.18 / -0.23%</f>
        <v>78.260869565217391</v>
      </c>
      <c r="H513" t="s">
        <v>6784</v>
      </c>
      <c r="I513" t="s">
        <v>6785</v>
      </c>
      <c r="J513" t="s">
        <v>6786</v>
      </c>
      <c r="K513" t="s">
        <v>23</v>
      </c>
      <c r="L513" s="2">
        <v>3.7499999999999999E-2</v>
      </c>
      <c r="M513" t="s">
        <v>6787</v>
      </c>
      <c r="N513" t="s">
        <v>121</v>
      </c>
      <c r="O513" t="s">
        <v>6788</v>
      </c>
      <c r="P513" t="s">
        <v>6789</v>
      </c>
      <c r="Q513" t="s">
        <v>6789</v>
      </c>
      <c r="R513" t="s">
        <v>6789</v>
      </c>
      <c r="S513" t="s">
        <v>6789</v>
      </c>
      <c r="T513" t="s">
        <v>6790</v>
      </c>
      <c r="U513" t="s">
        <v>6790</v>
      </c>
      <c r="V513" t="s">
        <v>6791</v>
      </c>
      <c r="W513" t="s">
        <v>6792</v>
      </c>
      <c r="X513" t="s">
        <v>6793</v>
      </c>
      <c r="Y513" t="s">
        <v>6793</v>
      </c>
      <c r="Z513" t="s">
        <v>4694</v>
      </c>
      <c r="AA513" t="s">
        <v>6794</v>
      </c>
      <c r="AB513" s="2">
        <v>-1.3899999999999999E-2</v>
      </c>
      <c r="AC513" s="2">
        <v>-5.0500000000000003E-2</v>
      </c>
      <c r="AD513" s="2">
        <v>-3.5900000000000001E-2</v>
      </c>
      <c r="AE513" s="2">
        <v>-7.2400000000000006E-2</v>
      </c>
      <c r="AF513" s="2">
        <v>-0.127</v>
      </c>
      <c r="AG513" s="2">
        <v>-0.31559999999999999</v>
      </c>
      <c r="AH513" t="s">
        <v>6795</v>
      </c>
      <c r="AI513" t="s">
        <v>130</v>
      </c>
      <c r="AJ513" t="s">
        <v>131</v>
      </c>
      <c r="AK513" t="s">
        <v>40</v>
      </c>
      <c r="AL513">
        <v>2</v>
      </c>
      <c r="AM513" t="s">
        <v>41</v>
      </c>
      <c r="AN513" t="s">
        <v>42</v>
      </c>
      <c r="AO513" t="s">
        <v>6788</v>
      </c>
      <c r="AP513" t="s">
        <v>407</v>
      </c>
      <c r="AQ513" t="s">
        <v>407</v>
      </c>
      <c r="AR513" t="s">
        <v>133</v>
      </c>
      <c r="AS513" t="s">
        <v>133</v>
      </c>
    </row>
    <row r="514" spans="1:54" x14ac:dyDescent="0.4">
      <c r="A514" t="s">
        <v>9</v>
      </c>
      <c r="B514" t="s">
        <v>10</v>
      </c>
      <c r="C514" s="1">
        <v>97815</v>
      </c>
      <c r="D514" t="s">
        <v>11</v>
      </c>
      <c r="E514" s="2">
        <v>2.5999999999999999E-3</v>
      </c>
      <c r="F514" t="s">
        <v>12</v>
      </c>
      <c r="G514" s="4" t="s">
        <v>7327</v>
      </c>
      <c r="H514" s="1">
        <v>97815</v>
      </c>
      <c r="I514" t="s">
        <v>7328</v>
      </c>
      <c r="J514" t="s">
        <v>7329</v>
      </c>
      <c r="K514" t="s">
        <v>23</v>
      </c>
      <c r="L514" s="2">
        <v>4.6030000000000001E-2</v>
      </c>
      <c r="M514" t="s">
        <v>2012</v>
      </c>
      <c r="N514" t="s">
        <v>121</v>
      </c>
      <c r="O514" t="s">
        <v>274</v>
      </c>
      <c r="P514" t="s">
        <v>666</v>
      </c>
      <c r="Q514" t="s">
        <v>666</v>
      </c>
      <c r="R514" t="s">
        <v>666</v>
      </c>
      <c r="S514" t="s">
        <v>666</v>
      </c>
      <c r="T514" t="s">
        <v>666</v>
      </c>
      <c r="U514" t="s">
        <v>666</v>
      </c>
      <c r="V514" s="1">
        <v>98055</v>
      </c>
      <c r="W514" s="1">
        <v>99535</v>
      </c>
      <c r="X514" t="s">
        <v>976</v>
      </c>
      <c r="Y514" t="s">
        <v>976</v>
      </c>
      <c r="Z514" t="s">
        <v>976</v>
      </c>
      <c r="AA514" t="s">
        <v>976</v>
      </c>
      <c r="AB514" s="2">
        <v>4.0000000000000002E-4</v>
      </c>
      <c r="AC514" s="2">
        <v>-1.34E-2</v>
      </c>
      <c r="AD514" s="2">
        <v>-1.9400000000000001E-2</v>
      </c>
      <c r="AE514" s="2">
        <v>-1.9400000000000001E-2</v>
      </c>
      <c r="AF514" s="2">
        <v>-1.9400000000000001E-2</v>
      </c>
      <c r="AG514" s="2">
        <v>-1.9400000000000001E-2</v>
      </c>
      <c r="AH514" t="s">
        <v>4890</v>
      </c>
      <c r="AI514" t="s">
        <v>130</v>
      </c>
      <c r="AJ514" t="s">
        <v>131</v>
      </c>
      <c r="AK514" t="s">
        <v>40</v>
      </c>
      <c r="AL514">
        <v>2</v>
      </c>
      <c r="AM514" t="s">
        <v>41</v>
      </c>
      <c r="AN514" t="s">
        <v>42</v>
      </c>
      <c r="AO514" t="s">
        <v>274</v>
      </c>
      <c r="AP514" t="s">
        <v>2601</v>
      </c>
      <c r="AQ514">
        <v>2</v>
      </c>
      <c r="BA514" t="s">
        <v>59</v>
      </c>
      <c r="BB514" t="s">
        <v>61</v>
      </c>
    </row>
    <row r="515" spans="1:54" x14ac:dyDescent="0.4">
      <c r="A515" t="s">
        <v>296</v>
      </c>
      <c r="B515" t="s">
        <v>10</v>
      </c>
      <c r="C515" t="s">
        <v>1412</v>
      </c>
      <c r="D515" t="s">
        <v>11</v>
      </c>
      <c r="E515" s="2">
        <v>5.1999999999999998E-3</v>
      </c>
      <c r="F515" t="s">
        <v>12</v>
      </c>
      <c r="G515" s="4" t="s">
        <v>4881</v>
      </c>
      <c r="H515" t="s">
        <v>1412</v>
      </c>
      <c r="I515" t="s">
        <v>4882</v>
      </c>
      <c r="J515" t="s">
        <v>4883</v>
      </c>
      <c r="K515" t="s">
        <v>23</v>
      </c>
      <c r="L515" s="2">
        <v>4.8500000000000001E-2</v>
      </c>
      <c r="M515" t="s">
        <v>4884</v>
      </c>
      <c r="N515" t="s">
        <v>121</v>
      </c>
      <c r="O515" t="s">
        <v>4885</v>
      </c>
      <c r="P515" t="s">
        <v>1216</v>
      </c>
      <c r="Q515" t="s">
        <v>1216</v>
      </c>
      <c r="R515" t="s">
        <v>1216</v>
      </c>
      <c r="S515" t="s">
        <v>1216</v>
      </c>
      <c r="T515" t="s">
        <v>770</v>
      </c>
      <c r="U515" t="s">
        <v>4886</v>
      </c>
      <c r="V515" t="s">
        <v>4887</v>
      </c>
      <c r="W515" t="s">
        <v>935</v>
      </c>
      <c r="X515" t="s">
        <v>4888</v>
      </c>
      <c r="Y515" t="s">
        <v>4888</v>
      </c>
      <c r="Z515" t="s">
        <v>2549</v>
      </c>
      <c r="AA515" t="s">
        <v>4889</v>
      </c>
      <c r="AB515" s="2">
        <v>-2.7000000000000001E-3</v>
      </c>
      <c r="AC515" s="2">
        <v>-4.1099999999999998E-2</v>
      </c>
      <c r="AD515" s="2">
        <v>-2.9000000000000001E-2</v>
      </c>
      <c r="AE515" s="2">
        <v>-3.7499999999999999E-2</v>
      </c>
      <c r="AF515" s="2">
        <v>-8.6499999999999994E-2</v>
      </c>
      <c r="AG515" s="2">
        <v>-0.26650000000000001</v>
      </c>
      <c r="AH515" t="s">
        <v>4890</v>
      </c>
      <c r="AI515" t="s">
        <v>130</v>
      </c>
      <c r="AJ515" t="s">
        <v>131</v>
      </c>
      <c r="AK515" t="s">
        <v>40</v>
      </c>
      <c r="AL515">
        <v>2</v>
      </c>
      <c r="AM515" t="s">
        <v>41</v>
      </c>
      <c r="AN515" t="s">
        <v>42</v>
      </c>
      <c r="AO515" t="s">
        <v>4885</v>
      </c>
      <c r="AP515" t="s">
        <v>407</v>
      </c>
      <c r="AQ515" t="s">
        <v>407</v>
      </c>
      <c r="AR515" t="s">
        <v>133</v>
      </c>
      <c r="AS515" t="s">
        <v>133</v>
      </c>
    </row>
    <row r="516" spans="1:54" x14ac:dyDescent="0.4">
      <c r="A516" t="s">
        <v>296</v>
      </c>
      <c r="B516" t="s">
        <v>10</v>
      </c>
      <c r="C516" t="s">
        <v>1313</v>
      </c>
      <c r="D516" t="s">
        <v>11</v>
      </c>
      <c r="E516" s="2">
        <v>-2.3E-3</v>
      </c>
      <c r="F516" t="s">
        <v>12</v>
      </c>
      <c r="G516" s="4">
        <f>-0.25 / -0.23%</f>
        <v>108.69565217391305</v>
      </c>
      <c r="H516" t="s">
        <v>1313</v>
      </c>
      <c r="I516" t="s">
        <v>3348</v>
      </c>
      <c r="J516" t="s">
        <v>3349</v>
      </c>
      <c r="K516" t="s">
        <v>23</v>
      </c>
      <c r="L516" s="2">
        <v>6.7500000000000004E-2</v>
      </c>
      <c r="M516" t="s">
        <v>1952</v>
      </c>
      <c r="N516" t="s">
        <v>121</v>
      </c>
      <c r="O516" t="s">
        <v>2099</v>
      </c>
      <c r="P516" t="s">
        <v>1313</v>
      </c>
      <c r="Q516" t="s">
        <v>1313</v>
      </c>
      <c r="R516" t="s">
        <v>3350</v>
      </c>
      <c r="S516" t="s">
        <v>1767</v>
      </c>
      <c r="T516" t="s">
        <v>110</v>
      </c>
      <c r="U516" t="s">
        <v>110</v>
      </c>
      <c r="V516" t="s">
        <v>3351</v>
      </c>
      <c r="W516" t="s">
        <v>3351</v>
      </c>
      <c r="X516" t="s">
        <v>3352</v>
      </c>
      <c r="Y516" t="s">
        <v>3352</v>
      </c>
      <c r="Z516" t="s">
        <v>3352</v>
      </c>
      <c r="AA516" t="s">
        <v>3352</v>
      </c>
      <c r="AB516" s="2">
        <v>-1.15E-2</v>
      </c>
      <c r="AC516" s="2">
        <v>-1.38E-2</v>
      </c>
      <c r="AD516" s="2">
        <v>-1.29E-2</v>
      </c>
      <c r="AE516" s="2">
        <v>-4.7000000000000002E-3</v>
      </c>
      <c r="AF516" s="2">
        <v>7.0000000000000007E-2</v>
      </c>
      <c r="AG516" s="2">
        <v>7.0000000000000007E-2</v>
      </c>
      <c r="AH516" t="s">
        <v>3353</v>
      </c>
      <c r="AI516" t="s">
        <v>232</v>
      </c>
      <c r="AJ516" t="s">
        <v>131</v>
      </c>
      <c r="AK516" t="s">
        <v>40</v>
      </c>
      <c r="AL516">
        <v>1</v>
      </c>
      <c r="AM516" t="s">
        <v>41</v>
      </c>
      <c r="AN516" t="s">
        <v>42</v>
      </c>
      <c r="AO516" t="s">
        <v>2099</v>
      </c>
      <c r="AP516" t="s">
        <v>2382</v>
      </c>
      <c r="AQ516" t="s">
        <v>2382</v>
      </c>
      <c r="AR516" t="s">
        <v>48</v>
      </c>
      <c r="AS516" t="s">
        <v>48</v>
      </c>
    </row>
    <row r="517" spans="1:54" x14ac:dyDescent="0.4">
      <c r="A517" t="s">
        <v>740</v>
      </c>
      <c r="B517" t="s">
        <v>10</v>
      </c>
      <c r="C517" t="s">
        <v>6738</v>
      </c>
      <c r="D517" t="s">
        <v>11</v>
      </c>
      <c r="E517" s="2">
        <v>5.0000000000000001E-3</v>
      </c>
      <c r="F517" t="s">
        <v>12</v>
      </c>
      <c r="G517" s="4" t="s">
        <v>6739</v>
      </c>
      <c r="H517" t="s">
        <v>6738</v>
      </c>
      <c r="I517" t="s">
        <v>6740</v>
      </c>
      <c r="J517" t="s">
        <v>6741</v>
      </c>
      <c r="K517" t="s">
        <v>23</v>
      </c>
      <c r="L517" s="2">
        <v>4.4200000000000003E-2</v>
      </c>
      <c r="M517" t="s">
        <v>4154</v>
      </c>
      <c r="N517" t="s">
        <v>121</v>
      </c>
      <c r="O517" t="s">
        <v>6742</v>
      </c>
      <c r="P517" t="s">
        <v>6743</v>
      </c>
      <c r="Q517" t="s">
        <v>6743</v>
      </c>
      <c r="R517" t="s">
        <v>6743</v>
      </c>
      <c r="S517" t="s">
        <v>6743</v>
      </c>
      <c r="T517" t="s">
        <v>6744</v>
      </c>
      <c r="U517" t="s">
        <v>6744</v>
      </c>
      <c r="V517" t="s">
        <v>3474</v>
      </c>
      <c r="W517" t="s">
        <v>6745</v>
      </c>
      <c r="X517" t="s">
        <v>2812</v>
      </c>
      <c r="Y517" t="s">
        <v>2812</v>
      </c>
      <c r="Z517" t="s">
        <v>2084</v>
      </c>
      <c r="AA517" t="s">
        <v>6746</v>
      </c>
      <c r="AB517" s="2">
        <v>-8.0000000000000004E-4</v>
      </c>
      <c r="AC517" s="2">
        <v>-4.7600000000000003E-2</v>
      </c>
      <c r="AD517" s="2">
        <v>-3.2500000000000001E-2</v>
      </c>
      <c r="AE517" s="2">
        <v>-7.0699999999999999E-2</v>
      </c>
      <c r="AF517" s="2">
        <v>-0.1166</v>
      </c>
      <c r="AG517" s="2">
        <v>-0.30759999999999998</v>
      </c>
      <c r="AH517" t="s">
        <v>6747</v>
      </c>
      <c r="AI517" t="s">
        <v>130</v>
      </c>
      <c r="AJ517" t="s">
        <v>131</v>
      </c>
      <c r="AK517" t="s">
        <v>40</v>
      </c>
      <c r="AL517">
        <v>2</v>
      </c>
      <c r="AM517" t="s">
        <v>41</v>
      </c>
      <c r="AN517" t="s">
        <v>42</v>
      </c>
      <c r="AO517" t="s">
        <v>6742</v>
      </c>
      <c r="AP517" t="s">
        <v>4863</v>
      </c>
      <c r="AQ517" t="s">
        <v>4863</v>
      </c>
      <c r="AR517" t="s">
        <v>133</v>
      </c>
      <c r="AS517" t="s">
        <v>133</v>
      </c>
    </row>
    <row r="518" spans="1:54" x14ac:dyDescent="0.4">
      <c r="A518" t="s">
        <v>4518</v>
      </c>
      <c r="B518" t="s">
        <v>10</v>
      </c>
      <c r="C518" s="1">
        <v>99474</v>
      </c>
      <c r="D518" t="s">
        <v>11</v>
      </c>
      <c r="E518" s="2">
        <v>0</v>
      </c>
      <c r="F518" t="s">
        <v>12</v>
      </c>
      <c r="G518" s="4" t="e">
        <f>-0.001 / 0%</f>
        <v>#DIV/0!</v>
      </c>
      <c r="H518" s="1">
        <v>99474</v>
      </c>
      <c r="I518" t="s">
        <v>4891</v>
      </c>
      <c r="J518" t="s">
        <v>4892</v>
      </c>
      <c r="K518" t="s">
        <v>23</v>
      </c>
      <c r="L518" s="2">
        <v>2.6499999999999999E-2</v>
      </c>
      <c r="M518" t="s">
        <v>4893</v>
      </c>
      <c r="N518" t="s">
        <v>121</v>
      </c>
      <c r="O518" t="s">
        <v>4013</v>
      </c>
      <c r="P518" s="1">
        <v>99305</v>
      </c>
      <c r="Q518" s="1">
        <v>98686</v>
      </c>
      <c r="R518" s="1">
        <v>97905</v>
      </c>
      <c r="S518" t="s">
        <v>559</v>
      </c>
      <c r="T518" s="1">
        <v>94217</v>
      </c>
      <c r="U518" t="s">
        <v>2632</v>
      </c>
      <c r="V518" s="1">
        <v>99493</v>
      </c>
      <c r="W518" s="1">
        <v>99493</v>
      </c>
      <c r="X518" s="1">
        <v>99493</v>
      </c>
      <c r="Y518" s="1">
        <v>99493</v>
      </c>
      <c r="Z518" s="1">
        <v>99493</v>
      </c>
      <c r="AA518" s="1">
        <v>103105</v>
      </c>
      <c r="AB518" s="2">
        <v>2.2000000000000001E-3</v>
      </c>
      <c r="AC518" s="2">
        <v>6.4000000000000003E-3</v>
      </c>
      <c r="AD518" s="2">
        <v>1.52E-2</v>
      </c>
      <c r="AE518" s="2">
        <v>2.29E-2</v>
      </c>
      <c r="AF518" s="2">
        <v>3.8300000000000001E-2</v>
      </c>
      <c r="AG518" s="2">
        <v>-3.4500000000000003E-2</v>
      </c>
      <c r="AH518" t="s">
        <v>4894</v>
      </c>
      <c r="AI518" t="s">
        <v>130</v>
      </c>
      <c r="AJ518" t="s">
        <v>131</v>
      </c>
      <c r="AK518" t="s">
        <v>40</v>
      </c>
      <c r="AL518">
        <v>2</v>
      </c>
      <c r="AM518" t="s">
        <v>41</v>
      </c>
      <c r="AN518" t="s">
        <v>42</v>
      </c>
      <c r="AO518" t="s">
        <v>4013</v>
      </c>
      <c r="AP518" t="s">
        <v>1338</v>
      </c>
      <c r="AQ518" t="s">
        <v>1338</v>
      </c>
      <c r="AR518" t="s">
        <v>133</v>
      </c>
      <c r="AS518" t="s">
        <v>133</v>
      </c>
    </row>
    <row r="519" spans="1:54" x14ac:dyDescent="0.4">
      <c r="A519" t="s">
        <v>361</v>
      </c>
      <c r="B519" t="s">
        <v>10</v>
      </c>
      <c r="C519" t="s">
        <v>362</v>
      </c>
      <c r="D519" t="s">
        <v>11</v>
      </c>
      <c r="E519" s="2">
        <v>0</v>
      </c>
      <c r="F519" t="s">
        <v>363</v>
      </c>
      <c r="G519" s="4" t="s">
        <v>15</v>
      </c>
      <c r="H519" t="s">
        <v>362</v>
      </c>
      <c r="I519" t="s">
        <v>364</v>
      </c>
      <c r="J519" t="s">
        <v>365</v>
      </c>
      <c r="K519" t="s">
        <v>23</v>
      </c>
      <c r="L519" s="2">
        <v>3.5000000000000003E-2</v>
      </c>
      <c r="M519" t="s">
        <v>366</v>
      </c>
      <c r="N519" t="s">
        <v>28</v>
      </c>
      <c r="O519" t="s">
        <v>367</v>
      </c>
      <c r="P519" t="s">
        <v>368</v>
      </c>
      <c r="Q519" t="s">
        <v>368</v>
      </c>
      <c r="R519" t="s">
        <v>368</v>
      </c>
      <c r="S519" t="s">
        <v>368</v>
      </c>
      <c r="T519" t="s">
        <v>368</v>
      </c>
      <c r="U519" t="s">
        <v>368</v>
      </c>
      <c r="V519" t="s">
        <v>217</v>
      </c>
      <c r="W519" t="s">
        <v>369</v>
      </c>
      <c r="X519" t="s">
        <v>369</v>
      </c>
      <c r="Y519" t="s">
        <v>369</v>
      </c>
      <c r="Z519" t="s">
        <v>369</v>
      </c>
      <c r="AA519" t="s">
        <v>369</v>
      </c>
      <c r="AB519" s="2">
        <v>-5.4999999999999997E-3</v>
      </c>
      <c r="AC519" s="2">
        <v>1.2999999999999999E-3</v>
      </c>
      <c r="AD519" s="2">
        <v>1.2999999999999999E-3</v>
      </c>
      <c r="AE519" s="2">
        <v>1.2999999999999999E-3</v>
      </c>
      <c r="AF519" s="2">
        <v>1.2999999999999999E-3</v>
      </c>
      <c r="AG519" s="2">
        <v>1.2999999999999999E-3</v>
      </c>
      <c r="AH519" t="s">
        <v>370</v>
      </c>
      <c r="AI519" t="s">
        <v>130</v>
      </c>
      <c r="AJ519" t="s">
        <v>131</v>
      </c>
      <c r="AK519" t="s">
        <v>40</v>
      </c>
      <c r="AL519">
        <v>100</v>
      </c>
      <c r="AM519" t="s">
        <v>41</v>
      </c>
      <c r="AN519" t="s">
        <v>42</v>
      </c>
      <c r="AO519" t="s">
        <v>367</v>
      </c>
      <c r="AP519" t="s">
        <v>357</v>
      </c>
      <c r="AQ519" t="s">
        <v>357</v>
      </c>
      <c r="AR519" t="s">
        <v>48</v>
      </c>
      <c r="AS519" t="s">
        <v>48</v>
      </c>
    </row>
    <row r="520" spans="1:54" x14ac:dyDescent="0.4">
      <c r="A520" t="s">
        <v>3114</v>
      </c>
      <c r="B520" t="s">
        <v>10</v>
      </c>
      <c r="C520" t="s">
        <v>2189</v>
      </c>
      <c r="D520" t="s">
        <v>11</v>
      </c>
      <c r="E520" s="2">
        <v>0</v>
      </c>
      <c r="F520" t="s">
        <v>1057</v>
      </c>
      <c r="G520" s="4" t="s">
        <v>15</v>
      </c>
      <c r="H520" t="s">
        <v>2189</v>
      </c>
      <c r="I520" t="s">
        <v>3115</v>
      </c>
      <c r="J520" t="s">
        <v>3116</v>
      </c>
      <c r="K520" t="s">
        <v>23</v>
      </c>
      <c r="L520" s="2">
        <v>1.125E-2</v>
      </c>
      <c r="M520" t="s">
        <v>2333</v>
      </c>
      <c r="N520" t="s">
        <v>28</v>
      </c>
      <c r="O520" t="s">
        <v>3117</v>
      </c>
      <c r="P520" t="s">
        <v>1525</v>
      </c>
      <c r="Q520" t="s">
        <v>581</v>
      </c>
      <c r="R520" t="s">
        <v>3118</v>
      </c>
      <c r="S520" t="s">
        <v>3119</v>
      </c>
      <c r="T520" t="s">
        <v>2230</v>
      </c>
      <c r="U520" t="s">
        <v>2230</v>
      </c>
      <c r="V520" t="s">
        <v>2189</v>
      </c>
      <c r="W520" t="s">
        <v>2760</v>
      </c>
      <c r="X520" t="s">
        <v>2760</v>
      </c>
      <c r="Y520" t="s">
        <v>2760</v>
      </c>
      <c r="Z520" t="s">
        <v>2760</v>
      </c>
      <c r="AA520" t="s">
        <v>3120</v>
      </c>
      <c r="AB520" s="2">
        <v>1.9E-3</v>
      </c>
      <c r="AC520" s="2">
        <v>3.2000000000000002E-3</v>
      </c>
      <c r="AD520" s="2">
        <v>1.8599999999999998E-2</v>
      </c>
      <c r="AE520" s="2">
        <v>2.3599999999999999E-2</v>
      </c>
      <c r="AF520" s="2">
        <v>3.4700000000000002E-2</v>
      </c>
      <c r="AG520" s="2">
        <v>-3.6900000000000002E-2</v>
      </c>
      <c r="AH520" t="s">
        <v>3121</v>
      </c>
      <c r="AI520" t="s">
        <v>232</v>
      </c>
      <c r="AJ520" t="s">
        <v>131</v>
      </c>
      <c r="AK520" t="s">
        <v>40</v>
      </c>
      <c r="AL520">
        <v>1</v>
      </c>
      <c r="AM520" t="s">
        <v>41</v>
      </c>
      <c r="AN520" t="s">
        <v>42</v>
      </c>
      <c r="AO520" t="s">
        <v>3117</v>
      </c>
      <c r="AP520" t="s">
        <v>357</v>
      </c>
      <c r="AQ520" t="s">
        <v>357</v>
      </c>
      <c r="AR520" t="s">
        <v>48</v>
      </c>
      <c r="AS520" t="s">
        <v>48</v>
      </c>
    </row>
    <row r="521" spans="1:54" x14ac:dyDescent="0.4">
      <c r="A521" t="s">
        <v>630</v>
      </c>
      <c r="B521" t="s">
        <v>10</v>
      </c>
      <c r="C521" t="s">
        <v>2597</v>
      </c>
      <c r="D521" t="s">
        <v>11</v>
      </c>
      <c r="E521" s="2">
        <v>2.9999999999999997E-4</v>
      </c>
      <c r="F521" t="s">
        <v>12</v>
      </c>
      <c r="G521" s="4" t="s">
        <v>2299</v>
      </c>
      <c r="H521" t="s">
        <v>2597</v>
      </c>
      <c r="I521" t="s">
        <v>5574</v>
      </c>
      <c r="J521" t="s">
        <v>5575</v>
      </c>
      <c r="K521" t="s">
        <v>23</v>
      </c>
      <c r="L521" s="2">
        <v>4.2500000000000003E-2</v>
      </c>
      <c r="M521" t="s">
        <v>3700</v>
      </c>
      <c r="N521" t="s">
        <v>121</v>
      </c>
      <c r="O521" t="s">
        <v>245</v>
      </c>
      <c r="P521" t="s">
        <v>1857</v>
      </c>
      <c r="Q521" s="1">
        <v>91793</v>
      </c>
      <c r="R521" s="1">
        <v>91793</v>
      </c>
      <c r="S521" s="1">
        <v>91793</v>
      </c>
      <c r="T521" t="s">
        <v>5576</v>
      </c>
      <c r="U521" s="1">
        <v>87435</v>
      </c>
      <c r="V521" t="s">
        <v>1186</v>
      </c>
      <c r="W521" t="s">
        <v>1186</v>
      </c>
      <c r="X521" t="s">
        <v>1186</v>
      </c>
      <c r="Y521" t="s">
        <v>1186</v>
      </c>
      <c r="Z521" t="s">
        <v>1186</v>
      </c>
      <c r="AA521" s="1">
        <v>104835</v>
      </c>
      <c r="AB521" s="2">
        <v>5.7000000000000002E-3</v>
      </c>
      <c r="AC521" s="2">
        <v>2.9999999999999997E-4</v>
      </c>
      <c r="AD521" s="2">
        <v>1.17E-2</v>
      </c>
      <c r="AE521" s="2">
        <v>1.46E-2</v>
      </c>
      <c r="AF521" s="2">
        <v>2.81E-2</v>
      </c>
      <c r="AG521" s="2">
        <v>-4.5400000000000003E-2</v>
      </c>
      <c r="AH521" t="s">
        <v>5577</v>
      </c>
      <c r="AI521" t="s">
        <v>130</v>
      </c>
      <c r="AJ521" t="s">
        <v>131</v>
      </c>
      <c r="AK521" t="s">
        <v>40</v>
      </c>
      <c r="AL521">
        <v>2</v>
      </c>
      <c r="AM521" t="s">
        <v>41</v>
      </c>
      <c r="AN521" t="s">
        <v>42</v>
      </c>
      <c r="AO521" t="s">
        <v>245</v>
      </c>
      <c r="AP521" t="s">
        <v>333</v>
      </c>
      <c r="AQ521" t="s">
        <v>333</v>
      </c>
      <c r="AR521" t="s">
        <v>133</v>
      </c>
      <c r="AS521" t="s">
        <v>133</v>
      </c>
    </row>
    <row r="522" spans="1:54" x14ac:dyDescent="0.4">
      <c r="A522" t="s">
        <v>4453</v>
      </c>
      <c r="B522" t="s">
        <v>10</v>
      </c>
      <c r="C522" t="s">
        <v>2240</v>
      </c>
      <c r="D522" t="s">
        <v>11</v>
      </c>
      <c r="E522" s="2">
        <v>-3.7000000000000002E-3</v>
      </c>
      <c r="F522" t="s">
        <v>178</v>
      </c>
      <c r="G522" s="4">
        <f>-0.37 / -0.37%</f>
        <v>100</v>
      </c>
      <c r="H522" t="s">
        <v>2240</v>
      </c>
      <c r="I522" t="s">
        <v>7269</v>
      </c>
      <c r="J522" t="s">
        <v>7270</v>
      </c>
      <c r="K522" t="s">
        <v>23</v>
      </c>
      <c r="L522" s="2">
        <v>0.08</v>
      </c>
      <c r="M522" t="s">
        <v>7271</v>
      </c>
      <c r="N522" t="s">
        <v>121</v>
      </c>
      <c r="O522" t="s">
        <v>6975</v>
      </c>
      <c r="P522" t="s">
        <v>1186</v>
      </c>
      <c r="Q522" t="s">
        <v>1186</v>
      </c>
      <c r="R522" t="s">
        <v>1186</v>
      </c>
      <c r="S522" t="s">
        <v>1186</v>
      </c>
      <c r="T522" t="s">
        <v>799</v>
      </c>
      <c r="U522" t="s">
        <v>799</v>
      </c>
      <c r="V522" t="s">
        <v>1503</v>
      </c>
      <c r="W522" t="s">
        <v>7272</v>
      </c>
      <c r="X522" t="s">
        <v>7273</v>
      </c>
      <c r="Y522" t="s">
        <v>7273</v>
      </c>
      <c r="Z522" t="s">
        <v>7274</v>
      </c>
      <c r="AA522" t="s">
        <v>7274</v>
      </c>
      <c r="AB522" s="2">
        <v>-2.9999999999999997E-4</v>
      </c>
      <c r="AC522" s="2">
        <v>-2.1499999999999998E-2</v>
      </c>
      <c r="AD522" s="2">
        <v>-2.5899999999999999E-2</v>
      </c>
      <c r="AE522" s="2">
        <v>-2.1600000000000001E-2</v>
      </c>
      <c r="AF522" s="2">
        <v>2.7300000000000001E-2</v>
      </c>
      <c r="AG522" s="2">
        <v>2.7300000000000001E-2</v>
      </c>
      <c r="AH522" t="s">
        <v>7275</v>
      </c>
      <c r="AI522" t="s">
        <v>130</v>
      </c>
      <c r="AJ522" t="s">
        <v>131</v>
      </c>
      <c r="AK522" t="s">
        <v>40</v>
      </c>
      <c r="AL522">
        <v>200</v>
      </c>
      <c r="AM522" t="s">
        <v>41</v>
      </c>
      <c r="AN522" t="s">
        <v>42</v>
      </c>
      <c r="AO522" t="s">
        <v>6975</v>
      </c>
      <c r="AP522" t="s">
        <v>7276</v>
      </c>
      <c r="AQ522" t="s">
        <v>7276</v>
      </c>
      <c r="AR522" t="s">
        <v>133</v>
      </c>
      <c r="AS522" t="s">
        <v>133</v>
      </c>
    </row>
    <row r="523" spans="1:54" x14ac:dyDescent="0.4">
      <c r="A523" t="s">
        <v>4453</v>
      </c>
      <c r="B523" t="s">
        <v>10</v>
      </c>
      <c r="C523" t="s">
        <v>1777</v>
      </c>
      <c r="D523" t="s">
        <v>11</v>
      </c>
      <c r="E523" s="2">
        <v>-5.9999999999999995E-4</v>
      </c>
      <c r="F523" t="s">
        <v>178</v>
      </c>
      <c r="G523" s="4">
        <f>-0.06 / -0.06%</f>
        <v>100</v>
      </c>
      <c r="H523" t="s">
        <v>1777</v>
      </c>
      <c r="I523" t="s">
        <v>5126</v>
      </c>
      <c r="J523" t="s">
        <v>5127</v>
      </c>
      <c r="K523" t="s">
        <v>23</v>
      </c>
      <c r="L523" s="2">
        <v>1.4999999999999999E-2</v>
      </c>
      <c r="M523" t="s">
        <v>1744</v>
      </c>
      <c r="N523" t="s">
        <v>28</v>
      </c>
      <c r="O523" t="s">
        <v>5128</v>
      </c>
      <c r="P523" t="s">
        <v>5129</v>
      </c>
      <c r="Q523" t="s">
        <v>5129</v>
      </c>
      <c r="R523" t="s">
        <v>5130</v>
      </c>
      <c r="S523" t="s">
        <v>5131</v>
      </c>
      <c r="T523" t="s">
        <v>3649</v>
      </c>
      <c r="U523" t="s">
        <v>4129</v>
      </c>
      <c r="V523" t="s">
        <v>1620</v>
      </c>
      <c r="W523" t="s">
        <v>4725</v>
      </c>
      <c r="X523" t="s">
        <v>4725</v>
      </c>
      <c r="Y523" t="s">
        <v>4725</v>
      </c>
      <c r="Z523" t="s">
        <v>4725</v>
      </c>
      <c r="AA523" t="s">
        <v>99</v>
      </c>
      <c r="AB523" s="2">
        <v>-5.8999999999999999E-3</v>
      </c>
      <c r="AC523" s="2">
        <v>-8.5000000000000006E-3</v>
      </c>
      <c r="AD523" s="2">
        <v>1.3599999999999999E-2</v>
      </c>
      <c r="AE523" s="2">
        <v>1.4999999999999999E-2</v>
      </c>
      <c r="AF523" s="2">
        <v>3.2599999999999997E-2</v>
      </c>
      <c r="AG523" s="2">
        <v>-2.9600000000000001E-2</v>
      </c>
      <c r="AH523" t="s">
        <v>5132</v>
      </c>
      <c r="AI523" t="s">
        <v>130</v>
      </c>
      <c r="AJ523" t="s">
        <v>131</v>
      </c>
      <c r="AK523" t="s">
        <v>40</v>
      </c>
      <c r="AL523">
        <v>100</v>
      </c>
      <c r="AM523" t="s">
        <v>41</v>
      </c>
      <c r="AN523" t="s">
        <v>42</v>
      </c>
      <c r="AO523" t="s">
        <v>5128</v>
      </c>
      <c r="AP523" t="s">
        <v>407</v>
      </c>
      <c r="AQ523" t="s">
        <v>407</v>
      </c>
      <c r="AR523" t="s">
        <v>48</v>
      </c>
      <c r="AS523" t="s">
        <v>48</v>
      </c>
    </row>
    <row r="524" spans="1:54" x14ac:dyDescent="0.4">
      <c r="A524" t="s">
        <v>630</v>
      </c>
      <c r="B524" t="s">
        <v>10</v>
      </c>
      <c r="C524" t="s">
        <v>1601</v>
      </c>
      <c r="D524" t="s">
        <v>11</v>
      </c>
      <c r="E524" s="2">
        <v>0</v>
      </c>
      <c r="F524" t="s">
        <v>12</v>
      </c>
      <c r="G524" s="4" t="s">
        <v>15</v>
      </c>
      <c r="H524" t="s">
        <v>1601</v>
      </c>
      <c r="I524" t="s">
        <v>2430</v>
      </c>
      <c r="J524" t="s">
        <v>2431</v>
      </c>
      <c r="K524" t="s">
        <v>23</v>
      </c>
      <c r="L524" s="2">
        <v>5.7500000000000002E-2</v>
      </c>
      <c r="M524" t="s">
        <v>2432</v>
      </c>
      <c r="N524" t="s">
        <v>28</v>
      </c>
      <c r="O524" t="s">
        <v>2433</v>
      </c>
      <c r="P524" t="s">
        <v>1488</v>
      </c>
      <c r="Q524" t="s">
        <v>1482</v>
      </c>
      <c r="R524" t="s">
        <v>829</v>
      </c>
      <c r="S524" t="s">
        <v>2434</v>
      </c>
      <c r="T524" t="s">
        <v>1911</v>
      </c>
      <c r="U524" t="s">
        <v>1910</v>
      </c>
      <c r="V524" t="s">
        <v>1601</v>
      </c>
      <c r="W524" t="s">
        <v>1601</v>
      </c>
      <c r="X524" t="s">
        <v>1601</v>
      </c>
      <c r="Y524" t="s">
        <v>1601</v>
      </c>
      <c r="Z524" t="s">
        <v>1601</v>
      </c>
      <c r="AA524" t="s">
        <v>1601</v>
      </c>
      <c r="AB524" s="2">
        <v>1.89E-2</v>
      </c>
      <c r="AC524" s="2">
        <v>2.1899999999999999E-2</v>
      </c>
      <c r="AD524" s="2">
        <v>3.2800000000000003E-2</v>
      </c>
      <c r="AE524" s="2">
        <v>5.8400000000000001E-2</v>
      </c>
      <c r="AF524" s="2">
        <v>0.16420000000000001</v>
      </c>
      <c r="AG524" s="2">
        <v>4.2700000000000002E-2</v>
      </c>
      <c r="AH524" t="s">
        <v>2435</v>
      </c>
      <c r="AI524" t="s">
        <v>130</v>
      </c>
      <c r="AJ524" t="s">
        <v>131</v>
      </c>
      <c r="AK524" t="s">
        <v>40</v>
      </c>
      <c r="AL524">
        <v>5</v>
      </c>
      <c r="AM524" t="s">
        <v>41</v>
      </c>
      <c r="AN524" t="s">
        <v>42</v>
      </c>
      <c r="AO524" t="s">
        <v>2433</v>
      </c>
      <c r="AP524" t="s">
        <v>643</v>
      </c>
      <c r="BA524" t="s">
        <v>136</v>
      </c>
      <c r="BB524" t="s">
        <v>61</v>
      </c>
    </row>
    <row r="525" spans="1:54" x14ac:dyDescent="0.4">
      <c r="A525" t="s">
        <v>296</v>
      </c>
      <c r="B525" t="s">
        <v>10</v>
      </c>
      <c r="C525" t="s">
        <v>3826</v>
      </c>
      <c r="D525" t="s">
        <v>11</v>
      </c>
      <c r="E525" s="2">
        <v>3.5999999999999999E-3</v>
      </c>
      <c r="F525" t="s">
        <v>12</v>
      </c>
      <c r="G525" s="4" t="s">
        <v>3827</v>
      </c>
      <c r="H525" t="s">
        <v>3826</v>
      </c>
      <c r="I525" t="s">
        <v>3828</v>
      </c>
      <c r="J525" t="s">
        <v>3829</v>
      </c>
      <c r="K525" t="s">
        <v>23</v>
      </c>
      <c r="L525" s="2">
        <v>0.05</v>
      </c>
      <c r="M525" t="s">
        <v>3830</v>
      </c>
      <c r="N525" t="s">
        <v>121</v>
      </c>
      <c r="O525" t="s">
        <v>3831</v>
      </c>
      <c r="P525" t="s">
        <v>3832</v>
      </c>
      <c r="Q525" t="s">
        <v>3832</v>
      </c>
      <c r="R525" t="s">
        <v>3832</v>
      </c>
      <c r="S525" t="s">
        <v>3832</v>
      </c>
      <c r="T525" t="s">
        <v>3833</v>
      </c>
      <c r="U525" t="s">
        <v>3833</v>
      </c>
      <c r="V525" t="s">
        <v>917</v>
      </c>
      <c r="W525" t="s">
        <v>3834</v>
      </c>
      <c r="X525" t="s">
        <v>970</v>
      </c>
      <c r="Y525" t="s">
        <v>970</v>
      </c>
      <c r="Z525" t="s">
        <v>970</v>
      </c>
      <c r="AA525" t="s">
        <v>3835</v>
      </c>
      <c r="AB525" s="2">
        <v>-2.8E-3</v>
      </c>
      <c r="AC525" s="2">
        <v>-3.95E-2</v>
      </c>
      <c r="AD525" s="2">
        <v>-2.23E-2</v>
      </c>
      <c r="AE525" s="2">
        <v>-4.6899999999999997E-2</v>
      </c>
      <c r="AF525" s="2">
        <v>-5.7700000000000001E-2</v>
      </c>
      <c r="AG525" s="2">
        <v>-0.215</v>
      </c>
      <c r="AH525" t="s">
        <v>3836</v>
      </c>
      <c r="AI525" t="s">
        <v>130</v>
      </c>
      <c r="AJ525" t="s">
        <v>131</v>
      </c>
      <c r="AK525" t="s">
        <v>40</v>
      </c>
      <c r="AL525">
        <v>2</v>
      </c>
      <c r="AM525" t="s">
        <v>41</v>
      </c>
      <c r="AN525" t="s">
        <v>42</v>
      </c>
      <c r="AO525" t="s">
        <v>3831</v>
      </c>
      <c r="AP525" t="s">
        <v>3837</v>
      </c>
      <c r="AQ525" t="s">
        <v>3837</v>
      </c>
      <c r="AR525" t="s">
        <v>133</v>
      </c>
      <c r="AS525" t="s">
        <v>133</v>
      </c>
    </row>
    <row r="526" spans="1:54" x14ac:dyDescent="0.4">
      <c r="A526" t="s">
        <v>630</v>
      </c>
      <c r="B526" t="s">
        <v>10</v>
      </c>
      <c r="C526" t="s">
        <v>2797</v>
      </c>
      <c r="D526" t="s">
        <v>11</v>
      </c>
      <c r="E526" s="2">
        <v>-2E-3</v>
      </c>
      <c r="F526" t="s">
        <v>12</v>
      </c>
      <c r="G526" s="4">
        <f>-0.17 / -0.2%</f>
        <v>85</v>
      </c>
      <c r="H526" t="s">
        <v>2797</v>
      </c>
      <c r="I526" t="s">
        <v>2798</v>
      </c>
      <c r="J526" t="s">
        <v>2799</v>
      </c>
      <c r="K526" t="s">
        <v>23</v>
      </c>
      <c r="M526" t="s">
        <v>2800</v>
      </c>
      <c r="N526" t="s">
        <v>28</v>
      </c>
      <c r="O526" t="s">
        <v>353</v>
      </c>
      <c r="P526" s="1">
        <v>84855</v>
      </c>
      <c r="Q526" s="1">
        <v>84855</v>
      </c>
      <c r="R526" t="s">
        <v>2801</v>
      </c>
      <c r="S526" t="s">
        <v>2802</v>
      </c>
      <c r="T526" t="s">
        <v>2803</v>
      </c>
      <c r="U526" t="s">
        <v>2803</v>
      </c>
      <c r="V526" t="s">
        <v>2804</v>
      </c>
      <c r="W526" t="s">
        <v>2805</v>
      </c>
      <c r="X526" t="s">
        <v>2805</v>
      </c>
      <c r="Y526" t="s">
        <v>2805</v>
      </c>
      <c r="Z526" t="s">
        <v>2805</v>
      </c>
      <c r="AA526" t="s">
        <v>2806</v>
      </c>
      <c r="AB526" s="2">
        <v>-8.3999999999999995E-3</v>
      </c>
      <c r="AC526" s="2">
        <v>-6.0000000000000001E-3</v>
      </c>
      <c r="AD526" s="2">
        <v>1.7000000000000001E-2</v>
      </c>
      <c r="AE526" s="2">
        <v>3.2099999999999997E-2</v>
      </c>
      <c r="AF526" s="2">
        <v>5.7700000000000001E-2</v>
      </c>
      <c r="AG526" s="2">
        <v>-0.13420000000000001</v>
      </c>
      <c r="AH526" t="s">
        <v>1171</v>
      </c>
      <c r="AI526" t="s">
        <v>224</v>
      </c>
      <c r="AJ526" t="s">
        <v>38</v>
      </c>
      <c r="AK526" t="s">
        <v>40</v>
      </c>
      <c r="AL526">
        <v>1</v>
      </c>
      <c r="AM526" t="s">
        <v>41</v>
      </c>
      <c r="AN526" t="s">
        <v>42</v>
      </c>
      <c r="AO526" t="s">
        <v>353</v>
      </c>
      <c r="AP526" t="s">
        <v>1177</v>
      </c>
      <c r="AQ526" t="s">
        <v>1177</v>
      </c>
      <c r="AR526" t="s">
        <v>48</v>
      </c>
      <c r="AS526" t="s">
        <v>48</v>
      </c>
      <c r="AT526" t="s">
        <v>930</v>
      </c>
    </row>
    <row r="527" spans="1:54" x14ac:dyDescent="0.4">
      <c r="A527" t="s">
        <v>296</v>
      </c>
      <c r="B527" t="s">
        <v>10</v>
      </c>
      <c r="C527" t="s">
        <v>3889</v>
      </c>
      <c r="D527" t="s">
        <v>11</v>
      </c>
      <c r="E527" s="2">
        <v>-5.1000000000000004E-3</v>
      </c>
      <c r="F527" t="s">
        <v>12</v>
      </c>
      <c r="G527" s="4">
        <f>-0.51 / -0.51%</f>
        <v>100</v>
      </c>
      <c r="H527" t="s">
        <v>3889</v>
      </c>
      <c r="I527" t="s">
        <v>3890</v>
      </c>
      <c r="J527" t="s">
        <v>3891</v>
      </c>
      <c r="K527" t="s">
        <v>23</v>
      </c>
      <c r="L527" s="2">
        <v>4.1000000000000002E-2</v>
      </c>
      <c r="M527" t="s">
        <v>226</v>
      </c>
      <c r="N527" t="s">
        <v>121</v>
      </c>
      <c r="O527" t="s">
        <v>3892</v>
      </c>
      <c r="P527" t="s">
        <v>3637</v>
      </c>
      <c r="Q527" t="s">
        <v>1964</v>
      </c>
      <c r="R527" t="s">
        <v>1964</v>
      </c>
      <c r="S527" s="1">
        <v>98999</v>
      </c>
      <c r="T527" t="s">
        <v>799</v>
      </c>
      <c r="U527" t="s">
        <v>799</v>
      </c>
      <c r="V527" t="s">
        <v>222</v>
      </c>
      <c r="W527" t="s">
        <v>222</v>
      </c>
      <c r="X527" t="s">
        <v>2086</v>
      </c>
      <c r="Y527" t="s">
        <v>2086</v>
      </c>
      <c r="Z527" t="s">
        <v>3893</v>
      </c>
      <c r="AA527" t="s">
        <v>3893</v>
      </c>
      <c r="AB527" s="2">
        <v>-4.4999999999999997E-3</v>
      </c>
      <c r="AC527" s="2">
        <v>-2.3999999999999998E-3</v>
      </c>
      <c r="AD527" s="2">
        <v>0</v>
      </c>
      <c r="AE527" s="2">
        <v>5.0000000000000001E-4</v>
      </c>
      <c r="AF527" s="2">
        <v>-1.9599999999999999E-2</v>
      </c>
      <c r="AG527" s="2">
        <v>-1.11E-2</v>
      </c>
      <c r="AH527" t="s">
        <v>1171</v>
      </c>
      <c r="AI527" t="s">
        <v>130</v>
      </c>
      <c r="AJ527" t="s">
        <v>131</v>
      </c>
      <c r="AK527" t="s">
        <v>40</v>
      </c>
      <c r="AL527">
        <v>1</v>
      </c>
      <c r="AM527" t="s">
        <v>41</v>
      </c>
      <c r="AN527" t="s">
        <v>42</v>
      </c>
      <c r="AO527" t="s">
        <v>3892</v>
      </c>
      <c r="AP527" t="s">
        <v>739</v>
      </c>
      <c r="AQ527" t="s">
        <v>739</v>
      </c>
      <c r="AR527" t="s">
        <v>1612</v>
      </c>
      <c r="AS527" t="s">
        <v>1612</v>
      </c>
    </row>
    <row r="528" spans="1:54" x14ac:dyDescent="0.4">
      <c r="A528" t="s">
        <v>296</v>
      </c>
      <c r="B528" t="s">
        <v>10</v>
      </c>
      <c r="C528" s="1">
        <v>98036</v>
      </c>
      <c r="D528" t="s">
        <v>11</v>
      </c>
      <c r="E528" s="2">
        <v>8.0000000000000004E-4</v>
      </c>
      <c r="F528" t="s">
        <v>12</v>
      </c>
      <c r="G528" s="4" t="s">
        <v>3532</v>
      </c>
      <c r="H528" s="1">
        <v>98036</v>
      </c>
      <c r="I528" t="s">
        <v>3533</v>
      </c>
      <c r="J528" t="s">
        <v>3534</v>
      </c>
      <c r="K528" t="s">
        <v>23</v>
      </c>
      <c r="L528" s="2">
        <v>3.2000000000000001E-2</v>
      </c>
      <c r="M528" t="s">
        <v>3535</v>
      </c>
      <c r="N528" t="s">
        <v>121</v>
      </c>
      <c r="O528" t="s">
        <v>3536</v>
      </c>
      <c r="P528" t="s">
        <v>1336</v>
      </c>
      <c r="Q528" t="s">
        <v>3537</v>
      </c>
      <c r="R528" s="1">
        <v>97405</v>
      </c>
      <c r="S528" s="1">
        <v>96665</v>
      </c>
      <c r="T528" t="s">
        <v>297</v>
      </c>
      <c r="U528" s="1">
        <v>94485</v>
      </c>
      <c r="V528" t="s">
        <v>3538</v>
      </c>
      <c r="W528" t="s">
        <v>3538</v>
      </c>
      <c r="X528" t="s">
        <v>3538</v>
      </c>
      <c r="Y528" t="s">
        <v>3538</v>
      </c>
      <c r="Z528" t="s">
        <v>1508</v>
      </c>
      <c r="AA528" t="s">
        <v>3539</v>
      </c>
      <c r="AB528" s="2">
        <v>2E-3</v>
      </c>
      <c r="AC528" s="2">
        <v>1.1000000000000001E-3</v>
      </c>
      <c r="AD528" s="2">
        <v>5.8999999999999999E-3</v>
      </c>
      <c r="AE528" s="2">
        <v>0.01</v>
      </c>
      <c r="AF528" s="2">
        <v>-3.8999999999999998E-3</v>
      </c>
      <c r="AG528" s="2">
        <v>-7.1499999999999994E-2</v>
      </c>
      <c r="AH528" t="s">
        <v>1171</v>
      </c>
      <c r="AI528" t="s">
        <v>130</v>
      </c>
      <c r="AJ528" t="s">
        <v>131</v>
      </c>
      <c r="AK528" t="s">
        <v>40</v>
      </c>
      <c r="AL528">
        <v>1</v>
      </c>
      <c r="AM528" t="s">
        <v>41</v>
      </c>
      <c r="AN528" t="s">
        <v>42</v>
      </c>
      <c r="AO528" t="s">
        <v>3536</v>
      </c>
      <c r="AP528" t="s">
        <v>814</v>
      </c>
      <c r="AQ528" t="s">
        <v>814</v>
      </c>
      <c r="AR528" t="s">
        <v>1612</v>
      </c>
      <c r="AS528" t="s">
        <v>1612</v>
      </c>
    </row>
    <row r="529" spans="1:54" x14ac:dyDescent="0.4">
      <c r="A529" t="s">
        <v>961</v>
      </c>
      <c r="B529" t="s">
        <v>10</v>
      </c>
      <c r="C529" t="s">
        <v>885</v>
      </c>
      <c r="D529" t="s">
        <v>11</v>
      </c>
      <c r="E529" s="2">
        <v>-2.5000000000000001E-3</v>
      </c>
      <c r="F529" t="s">
        <v>12</v>
      </c>
      <c r="G529" s="4">
        <f>-0.25 / -0.25%</f>
        <v>100</v>
      </c>
      <c r="H529" t="s">
        <v>885</v>
      </c>
      <c r="I529" t="s">
        <v>1404</v>
      </c>
      <c r="J529" t="s">
        <v>1405</v>
      </c>
      <c r="K529" t="s">
        <v>23</v>
      </c>
      <c r="L529" s="2">
        <v>2.75E-2</v>
      </c>
      <c r="M529" t="s">
        <v>1406</v>
      </c>
      <c r="N529" t="s">
        <v>28</v>
      </c>
      <c r="O529" t="s">
        <v>1175</v>
      </c>
      <c r="P529" t="s">
        <v>1407</v>
      </c>
      <c r="Q529" t="s">
        <v>1407</v>
      </c>
      <c r="R529" t="s">
        <v>1407</v>
      </c>
      <c r="S529" t="s">
        <v>1407</v>
      </c>
      <c r="T529" t="s">
        <v>1407</v>
      </c>
      <c r="U529" t="s">
        <v>1407</v>
      </c>
      <c r="V529" t="s">
        <v>450</v>
      </c>
      <c r="W529" t="s">
        <v>450</v>
      </c>
      <c r="X529" t="s">
        <v>450</v>
      </c>
      <c r="Y529" t="s">
        <v>450</v>
      </c>
      <c r="Z529" t="s">
        <v>450</v>
      </c>
      <c r="AA529" t="s">
        <v>450</v>
      </c>
      <c r="AB529" s="2">
        <v>1.6999999999999999E-3</v>
      </c>
      <c r="AC529" s="2">
        <v>1.6999999999999999E-3</v>
      </c>
      <c r="AD529" s="2">
        <v>1.6999999999999999E-3</v>
      </c>
      <c r="AE529" s="2">
        <v>1.6999999999999999E-3</v>
      </c>
      <c r="AF529" s="2">
        <v>1.6999999999999999E-3</v>
      </c>
      <c r="AG529" s="2">
        <v>1.6999999999999999E-3</v>
      </c>
      <c r="AH529" t="s">
        <v>1171</v>
      </c>
      <c r="AI529" t="s">
        <v>224</v>
      </c>
      <c r="AJ529" t="s">
        <v>38</v>
      </c>
      <c r="AK529" t="s">
        <v>40</v>
      </c>
      <c r="AL529">
        <v>1</v>
      </c>
      <c r="AM529" t="s">
        <v>41</v>
      </c>
      <c r="AN529" t="s">
        <v>42</v>
      </c>
      <c r="AO529" t="s">
        <v>1175</v>
      </c>
      <c r="AP529" t="s">
        <v>814</v>
      </c>
      <c r="AQ529" t="s">
        <v>814</v>
      </c>
      <c r="AR529" t="s">
        <v>48</v>
      </c>
      <c r="AS529" t="s">
        <v>48</v>
      </c>
    </row>
    <row r="530" spans="1:54" x14ac:dyDescent="0.4">
      <c r="A530" t="s">
        <v>115</v>
      </c>
      <c r="B530" t="s">
        <v>10</v>
      </c>
      <c r="C530" s="1">
        <v>100056</v>
      </c>
      <c r="D530" t="s">
        <v>11</v>
      </c>
      <c r="E530" s="2">
        <v>0</v>
      </c>
      <c r="F530" t="s">
        <v>12</v>
      </c>
      <c r="G530" s="4" t="s">
        <v>1190</v>
      </c>
      <c r="H530" s="1">
        <v>100056</v>
      </c>
      <c r="I530" t="s">
        <v>1191</v>
      </c>
      <c r="J530" t="s">
        <v>1192</v>
      </c>
      <c r="K530" t="s">
        <v>23</v>
      </c>
      <c r="L530" s="2">
        <v>2.5000000000000001E-2</v>
      </c>
      <c r="M530" t="s">
        <v>1193</v>
      </c>
      <c r="N530" t="s">
        <v>28</v>
      </c>
      <c r="O530" t="s">
        <v>1194</v>
      </c>
      <c r="P530" s="1">
        <v>99927</v>
      </c>
      <c r="Q530" s="1">
        <v>99927</v>
      </c>
      <c r="R530" t="s">
        <v>1195</v>
      </c>
      <c r="S530" t="s">
        <v>970</v>
      </c>
      <c r="T530" t="s">
        <v>414</v>
      </c>
      <c r="U530" t="s">
        <v>414</v>
      </c>
      <c r="V530" t="s">
        <v>1196</v>
      </c>
      <c r="W530" t="s">
        <v>1197</v>
      </c>
      <c r="X530" t="s">
        <v>1197</v>
      </c>
      <c r="Y530" t="s">
        <v>1197</v>
      </c>
      <c r="Z530" t="s">
        <v>1197</v>
      </c>
      <c r="AA530" s="1">
        <v>100935</v>
      </c>
      <c r="AB530" s="2">
        <v>0</v>
      </c>
      <c r="AC530" s="2">
        <v>-1.1999999999999999E-3</v>
      </c>
      <c r="AD530" s="2">
        <v>6.8999999999999999E-3</v>
      </c>
      <c r="AE530" s="2">
        <v>7.9000000000000008E-3</v>
      </c>
      <c r="AF530" s="2">
        <v>5.5999999999999999E-3</v>
      </c>
      <c r="AG530" s="2">
        <v>2.7000000000000001E-3</v>
      </c>
      <c r="AH530" t="s">
        <v>1171</v>
      </c>
      <c r="AI530" t="s">
        <v>224</v>
      </c>
      <c r="AJ530" t="s">
        <v>38</v>
      </c>
      <c r="AK530" t="s">
        <v>40</v>
      </c>
      <c r="AL530">
        <v>1</v>
      </c>
      <c r="AM530" t="s">
        <v>41</v>
      </c>
      <c r="AN530" t="s">
        <v>42</v>
      </c>
      <c r="AO530" t="s">
        <v>1194</v>
      </c>
      <c r="AP530" t="s">
        <v>1165</v>
      </c>
      <c r="AQ530" t="s">
        <v>1165</v>
      </c>
      <c r="AR530" t="s">
        <v>48</v>
      </c>
      <c r="AS530" t="s">
        <v>48</v>
      </c>
    </row>
    <row r="531" spans="1:54" x14ac:dyDescent="0.4">
      <c r="A531" t="s">
        <v>115</v>
      </c>
      <c r="B531" t="s">
        <v>10</v>
      </c>
      <c r="C531" t="s">
        <v>976</v>
      </c>
      <c r="D531" t="s">
        <v>11</v>
      </c>
      <c r="E531" s="2">
        <v>-1.1999999999999999E-3</v>
      </c>
      <c r="F531" t="s">
        <v>12</v>
      </c>
      <c r="G531" s="4">
        <f>-0.12 / -0.12%</f>
        <v>100</v>
      </c>
      <c r="H531" t="s">
        <v>976</v>
      </c>
      <c r="I531" t="s">
        <v>1166</v>
      </c>
      <c r="J531" t="s">
        <v>1167</v>
      </c>
      <c r="K531" t="s">
        <v>23</v>
      </c>
      <c r="L531" s="2">
        <v>2.375E-2</v>
      </c>
      <c r="M531" t="s">
        <v>1168</v>
      </c>
      <c r="N531" t="s">
        <v>28</v>
      </c>
      <c r="O531" t="s">
        <v>1072</v>
      </c>
      <c r="P531" t="s">
        <v>1169</v>
      </c>
      <c r="Q531" t="s">
        <v>1169</v>
      </c>
      <c r="R531" t="s">
        <v>1170</v>
      </c>
      <c r="S531" s="1">
        <v>97755</v>
      </c>
      <c r="T531" s="1">
        <v>97755</v>
      </c>
      <c r="U531" s="1">
        <v>97755</v>
      </c>
      <c r="V531" s="1">
        <v>100375</v>
      </c>
      <c r="W531" t="s">
        <v>590</v>
      </c>
      <c r="X531" t="s">
        <v>590</v>
      </c>
      <c r="Y531" t="s">
        <v>590</v>
      </c>
      <c r="Z531" t="s">
        <v>590</v>
      </c>
      <c r="AA531" t="s">
        <v>590</v>
      </c>
      <c r="AB531" s="2">
        <v>-5.1000000000000004E-3</v>
      </c>
      <c r="AC531" s="2">
        <v>-5.0000000000000001E-3</v>
      </c>
      <c r="AD531" s="2">
        <v>8.8000000000000005E-3</v>
      </c>
      <c r="AE531" s="2">
        <v>8.3000000000000001E-3</v>
      </c>
      <c r="AF531" s="2">
        <v>6.1000000000000004E-3</v>
      </c>
      <c r="AG531" s="2">
        <v>6.1000000000000004E-3</v>
      </c>
      <c r="AH531" t="s">
        <v>1171</v>
      </c>
      <c r="AI531" t="s">
        <v>224</v>
      </c>
      <c r="AJ531" t="s">
        <v>38</v>
      </c>
      <c r="AK531" t="s">
        <v>40</v>
      </c>
      <c r="AL531">
        <v>1</v>
      </c>
      <c r="AM531" t="s">
        <v>41</v>
      </c>
      <c r="AN531" t="s">
        <v>42</v>
      </c>
      <c r="AO531" t="s">
        <v>1072</v>
      </c>
      <c r="AP531" t="s">
        <v>1172</v>
      </c>
      <c r="AQ531" t="s">
        <v>1172</v>
      </c>
      <c r="AR531" t="s">
        <v>48</v>
      </c>
      <c r="AS531" t="s">
        <v>48</v>
      </c>
    </row>
    <row r="532" spans="1:54" x14ac:dyDescent="0.4">
      <c r="A532" t="s">
        <v>115</v>
      </c>
      <c r="B532" t="s">
        <v>10</v>
      </c>
      <c r="C532" s="1">
        <v>99265</v>
      </c>
      <c r="D532" t="s">
        <v>11</v>
      </c>
      <c r="E532" s="2">
        <v>-4.4000000000000003E-3</v>
      </c>
      <c r="F532" t="s">
        <v>12</v>
      </c>
      <c r="G532" s="4">
        <f>-0.44 / -0.44%</f>
        <v>100</v>
      </c>
      <c r="H532" s="1">
        <v>99265</v>
      </c>
      <c r="I532" t="s">
        <v>1173</v>
      </c>
      <c r="J532" t="s">
        <v>1174</v>
      </c>
      <c r="K532" t="s">
        <v>23</v>
      </c>
      <c r="L532" s="2">
        <v>2.375E-2</v>
      </c>
      <c r="M532" t="s">
        <v>159</v>
      </c>
      <c r="N532" t="s">
        <v>28</v>
      </c>
      <c r="O532" t="s">
        <v>1175</v>
      </c>
      <c r="P532" t="s">
        <v>246</v>
      </c>
      <c r="Q532" t="s">
        <v>246</v>
      </c>
      <c r="R532" t="s">
        <v>246</v>
      </c>
      <c r="S532" t="s">
        <v>246</v>
      </c>
      <c r="T532" t="s">
        <v>246</v>
      </c>
      <c r="U532" t="s">
        <v>246</v>
      </c>
      <c r="V532" t="s">
        <v>1176</v>
      </c>
      <c r="W532" t="s">
        <v>1176</v>
      </c>
      <c r="X532" t="s">
        <v>1176</v>
      </c>
      <c r="Y532" t="s">
        <v>1176</v>
      </c>
      <c r="Z532" t="s">
        <v>1176</v>
      </c>
      <c r="AA532" t="s">
        <v>1176</v>
      </c>
      <c r="AB532" s="2">
        <v>-2.0999999999999999E-3</v>
      </c>
      <c r="AC532" s="2">
        <v>-2.0999999999999999E-3</v>
      </c>
      <c r="AD532" s="2">
        <v>-2.0999999999999999E-3</v>
      </c>
      <c r="AE532" s="2">
        <v>-2.0999999999999999E-3</v>
      </c>
      <c r="AF532" s="2">
        <v>-2.0999999999999999E-3</v>
      </c>
      <c r="AG532" s="2">
        <v>-2.0999999999999999E-3</v>
      </c>
      <c r="AH532" t="s">
        <v>1171</v>
      </c>
      <c r="AI532" t="s">
        <v>224</v>
      </c>
      <c r="AJ532" t="s">
        <v>38</v>
      </c>
      <c r="AK532" t="s">
        <v>40</v>
      </c>
      <c r="AL532">
        <v>1</v>
      </c>
      <c r="AM532" t="s">
        <v>41</v>
      </c>
      <c r="AN532" t="s">
        <v>42</v>
      </c>
      <c r="AO532" t="s">
        <v>1175</v>
      </c>
      <c r="AP532" t="s">
        <v>1177</v>
      </c>
      <c r="AQ532" t="s">
        <v>1177</v>
      </c>
      <c r="AR532" t="s">
        <v>48</v>
      </c>
      <c r="AS532" t="s">
        <v>48</v>
      </c>
    </row>
    <row r="533" spans="1:54" x14ac:dyDescent="0.4">
      <c r="A533" t="s">
        <v>115</v>
      </c>
      <c r="B533" t="s">
        <v>10</v>
      </c>
      <c r="C533" t="s">
        <v>1185</v>
      </c>
      <c r="D533" t="s">
        <v>11</v>
      </c>
      <c r="E533" s="2">
        <v>-8.0000000000000004E-4</v>
      </c>
      <c r="F533" t="s">
        <v>12</v>
      </c>
      <c r="G533" s="4">
        <f>-0.075 / -0.08%</f>
        <v>93.749999999999986</v>
      </c>
      <c r="H533" t="s">
        <v>1185</v>
      </c>
      <c r="I533" t="s">
        <v>1512</v>
      </c>
      <c r="J533" t="s">
        <v>1513</v>
      </c>
      <c r="K533" t="s">
        <v>23</v>
      </c>
      <c r="L533" s="2">
        <v>6.2500000000000003E-3</v>
      </c>
      <c r="M533" t="s">
        <v>1514</v>
      </c>
      <c r="N533" t="s">
        <v>28</v>
      </c>
      <c r="O533" t="s">
        <v>1515</v>
      </c>
      <c r="P533" t="s">
        <v>507</v>
      </c>
      <c r="Q533" t="s">
        <v>995</v>
      </c>
      <c r="R533" t="s">
        <v>1516</v>
      </c>
      <c r="S533" s="1">
        <v>93335</v>
      </c>
      <c r="T533" t="s">
        <v>1517</v>
      </c>
      <c r="U533" t="s">
        <v>1517</v>
      </c>
      <c r="V533" t="s">
        <v>1518</v>
      </c>
      <c r="W533" t="s">
        <v>1519</v>
      </c>
      <c r="X533" t="s">
        <v>1519</v>
      </c>
      <c r="Y533" t="s">
        <v>1519</v>
      </c>
      <c r="Z533" t="s">
        <v>1519</v>
      </c>
      <c r="AA533" s="1">
        <v>103795</v>
      </c>
      <c r="AB533" s="2">
        <v>-2.5999999999999999E-3</v>
      </c>
      <c r="AC533" s="2">
        <v>8.9999999999999998E-4</v>
      </c>
      <c r="AD533" s="2">
        <v>1.7899999999999999E-2</v>
      </c>
      <c r="AE533" s="2">
        <v>2.5999999999999999E-2</v>
      </c>
      <c r="AF533" s="2">
        <v>4.8800000000000003E-2</v>
      </c>
      <c r="AG533" s="2">
        <v>-7.1499999999999994E-2</v>
      </c>
      <c r="AH533" t="s">
        <v>1171</v>
      </c>
      <c r="AI533" t="s">
        <v>224</v>
      </c>
      <c r="AJ533" t="s">
        <v>38</v>
      </c>
      <c r="AK533" t="s">
        <v>40</v>
      </c>
      <c r="AL533">
        <v>1</v>
      </c>
      <c r="AM533" t="s">
        <v>41</v>
      </c>
      <c r="AN533" t="s">
        <v>42</v>
      </c>
      <c r="AO533" t="s">
        <v>1515</v>
      </c>
      <c r="AP533" t="s">
        <v>1258</v>
      </c>
      <c r="AQ533" t="s">
        <v>1258</v>
      </c>
      <c r="AR533" t="s">
        <v>48</v>
      </c>
      <c r="AS533" t="s">
        <v>48</v>
      </c>
    </row>
    <row r="534" spans="1:54" x14ac:dyDescent="0.4">
      <c r="A534" t="s">
        <v>296</v>
      </c>
      <c r="B534" t="s">
        <v>10</v>
      </c>
      <c r="C534" t="s">
        <v>3605</v>
      </c>
      <c r="D534" t="s">
        <v>11</v>
      </c>
      <c r="E534" s="2">
        <v>-2.9999999999999997E-4</v>
      </c>
      <c r="F534" t="s">
        <v>12</v>
      </c>
      <c r="G534" s="4">
        <f>-0.025 / -0.03%</f>
        <v>83.333333333333343</v>
      </c>
      <c r="H534" t="s">
        <v>3605</v>
      </c>
      <c r="I534" t="s">
        <v>3606</v>
      </c>
      <c r="J534" t="s">
        <v>3607</v>
      </c>
      <c r="K534" t="s">
        <v>23</v>
      </c>
      <c r="L534" s="2">
        <v>3.875E-2</v>
      </c>
      <c r="M534" t="s">
        <v>120</v>
      </c>
      <c r="N534" t="s">
        <v>28</v>
      </c>
      <c r="O534" t="s">
        <v>278</v>
      </c>
      <c r="P534" t="s">
        <v>1822</v>
      </c>
      <c r="Q534" t="s">
        <v>1822</v>
      </c>
      <c r="R534" t="s">
        <v>1822</v>
      </c>
      <c r="S534" s="1">
        <v>98025</v>
      </c>
      <c r="T534" s="1">
        <v>98025</v>
      </c>
      <c r="U534" s="1">
        <v>98025</v>
      </c>
      <c r="V534" t="s">
        <v>680</v>
      </c>
      <c r="W534" t="s">
        <v>2240</v>
      </c>
      <c r="X534" t="s">
        <v>3167</v>
      </c>
      <c r="Y534" t="s">
        <v>3167</v>
      </c>
      <c r="Z534" t="s">
        <v>3167</v>
      </c>
      <c r="AA534" t="s">
        <v>3167</v>
      </c>
      <c r="AB534" s="2">
        <v>-1E-3</v>
      </c>
      <c r="AC534" s="2">
        <v>-7.4999999999999997E-3</v>
      </c>
      <c r="AD534" s="2">
        <v>-1.3100000000000001E-2</v>
      </c>
      <c r="AE534" s="2">
        <v>-9.4999999999999998E-3</v>
      </c>
      <c r="AF534" s="2">
        <v>-9.4999999999999998E-3</v>
      </c>
      <c r="AG534" s="2">
        <v>-9.4999999999999998E-3</v>
      </c>
      <c r="AH534" t="s">
        <v>1171</v>
      </c>
      <c r="AI534" t="s">
        <v>130</v>
      </c>
      <c r="AJ534" t="s">
        <v>131</v>
      </c>
      <c r="AK534" t="s">
        <v>40</v>
      </c>
      <c r="AL534">
        <v>10</v>
      </c>
      <c r="AM534" t="s">
        <v>41</v>
      </c>
      <c r="AN534" t="s">
        <v>42</v>
      </c>
      <c r="AO534" t="s">
        <v>278</v>
      </c>
      <c r="AP534" t="s">
        <v>1825</v>
      </c>
      <c r="AQ534" t="s">
        <v>1825</v>
      </c>
      <c r="AR534" t="s">
        <v>2671</v>
      </c>
      <c r="AS534" t="s">
        <v>2671</v>
      </c>
    </row>
    <row r="535" spans="1:54" x14ac:dyDescent="0.4">
      <c r="A535" t="s">
        <v>1443</v>
      </c>
      <c r="B535" t="s">
        <v>10</v>
      </c>
      <c r="C535" t="s">
        <v>1444</v>
      </c>
      <c r="D535" t="s">
        <v>11</v>
      </c>
      <c r="E535" s="2">
        <v>6.7999999999999996E-3</v>
      </c>
      <c r="F535" t="s">
        <v>1057</v>
      </c>
      <c r="G535" s="4" t="s">
        <v>1445</v>
      </c>
      <c r="H535" t="s">
        <v>1444</v>
      </c>
      <c r="I535" t="s">
        <v>1446</v>
      </c>
      <c r="J535" t="s">
        <v>1447</v>
      </c>
      <c r="K535" t="s">
        <v>23</v>
      </c>
      <c r="L535" s="2">
        <v>4.6249999999999999E-2</v>
      </c>
      <c r="M535" t="s">
        <v>1448</v>
      </c>
      <c r="N535" t="s">
        <v>121</v>
      </c>
      <c r="O535" t="s">
        <v>515</v>
      </c>
      <c r="P535" t="s">
        <v>284</v>
      </c>
      <c r="Q535" t="s">
        <v>284</v>
      </c>
      <c r="R535" t="s">
        <v>284</v>
      </c>
      <c r="S535" t="s">
        <v>284</v>
      </c>
      <c r="T535" t="s">
        <v>284</v>
      </c>
      <c r="U535" t="s">
        <v>284</v>
      </c>
      <c r="V535" t="s">
        <v>1444</v>
      </c>
      <c r="W535" t="s">
        <v>1444</v>
      </c>
      <c r="X535" t="s">
        <v>1444</v>
      </c>
      <c r="Y535" t="s">
        <v>1444</v>
      </c>
      <c r="Z535" t="s">
        <v>1444</v>
      </c>
      <c r="AA535" t="s">
        <v>1444</v>
      </c>
      <c r="AB535" s="2">
        <v>8.6999999999999994E-3</v>
      </c>
      <c r="AC535" s="2">
        <v>8.6999999999999994E-3</v>
      </c>
      <c r="AD535" s="2">
        <v>8.6999999999999994E-3</v>
      </c>
      <c r="AE535" s="2">
        <v>8.6999999999999994E-3</v>
      </c>
      <c r="AF535" s="2">
        <v>8.6999999999999994E-3</v>
      </c>
      <c r="AG535" s="2">
        <v>8.6999999999999994E-3</v>
      </c>
      <c r="AH535" t="s">
        <v>1171</v>
      </c>
      <c r="AI535" t="s">
        <v>130</v>
      </c>
      <c r="AJ535" t="s">
        <v>131</v>
      </c>
      <c r="AK535" t="s">
        <v>40</v>
      </c>
      <c r="AL535">
        <v>1</v>
      </c>
      <c r="AM535" t="s">
        <v>41</v>
      </c>
      <c r="AN535" t="s">
        <v>42</v>
      </c>
      <c r="AO535" t="s">
        <v>515</v>
      </c>
      <c r="AP535" t="s">
        <v>814</v>
      </c>
      <c r="AQ535" t="s">
        <v>814</v>
      </c>
      <c r="AR535" t="s">
        <v>133</v>
      </c>
      <c r="AS535" t="s">
        <v>133</v>
      </c>
    </row>
    <row r="536" spans="1:54" x14ac:dyDescent="0.4">
      <c r="A536" t="s">
        <v>76</v>
      </c>
      <c r="B536" t="s">
        <v>10</v>
      </c>
      <c r="C536" t="s">
        <v>935</v>
      </c>
      <c r="D536" t="s">
        <v>11</v>
      </c>
      <c r="E536" s="2">
        <v>1.2999999999999999E-3</v>
      </c>
      <c r="F536" t="s">
        <v>12</v>
      </c>
      <c r="G536" s="4" t="s">
        <v>1248</v>
      </c>
      <c r="H536" t="s">
        <v>935</v>
      </c>
      <c r="I536" t="s">
        <v>1249</v>
      </c>
      <c r="J536" t="s">
        <v>1250</v>
      </c>
      <c r="K536" t="s">
        <v>23</v>
      </c>
      <c r="L536" s="2">
        <v>0.03</v>
      </c>
      <c r="M536" t="s">
        <v>1251</v>
      </c>
      <c r="N536" t="s">
        <v>121</v>
      </c>
      <c r="O536" t="s">
        <v>1252</v>
      </c>
      <c r="P536" t="s">
        <v>1253</v>
      </c>
      <c r="Q536" t="s">
        <v>1253</v>
      </c>
      <c r="R536" t="s">
        <v>1253</v>
      </c>
      <c r="S536" s="1">
        <v>94345</v>
      </c>
      <c r="T536" t="s">
        <v>1254</v>
      </c>
      <c r="U536" t="s">
        <v>1254</v>
      </c>
      <c r="V536" t="s">
        <v>559</v>
      </c>
      <c r="W536" t="s">
        <v>1255</v>
      </c>
      <c r="X536" t="s">
        <v>1256</v>
      </c>
      <c r="Y536" t="s">
        <v>1256</v>
      </c>
      <c r="Z536" t="s">
        <v>1256</v>
      </c>
      <c r="AA536" t="s">
        <v>1257</v>
      </c>
      <c r="AB536" s="2">
        <v>2.7000000000000001E-3</v>
      </c>
      <c r="AC536" s="2">
        <v>-2.8E-3</v>
      </c>
      <c r="AD536" s="2">
        <v>6.3E-3</v>
      </c>
      <c r="AE536" s="2">
        <v>0.01</v>
      </c>
      <c r="AF536" s="2">
        <v>2.3E-3</v>
      </c>
      <c r="AG536" s="2">
        <v>-3.4700000000000002E-2</v>
      </c>
      <c r="AH536" t="s">
        <v>1171</v>
      </c>
      <c r="AI536" t="s">
        <v>130</v>
      </c>
      <c r="AJ536" t="s">
        <v>131</v>
      </c>
      <c r="AK536" t="s">
        <v>40</v>
      </c>
      <c r="AL536">
        <v>1</v>
      </c>
      <c r="AM536" t="s">
        <v>41</v>
      </c>
      <c r="AN536" t="s">
        <v>42</v>
      </c>
      <c r="AO536" t="s">
        <v>1252</v>
      </c>
      <c r="AP536" t="s">
        <v>1258</v>
      </c>
      <c r="AQ536" t="s">
        <v>1258</v>
      </c>
      <c r="AR536" t="s">
        <v>133</v>
      </c>
      <c r="AS536" t="s">
        <v>133</v>
      </c>
    </row>
    <row r="537" spans="1:54" x14ac:dyDescent="0.4">
      <c r="A537" t="s">
        <v>4418</v>
      </c>
      <c r="B537" t="s">
        <v>10</v>
      </c>
      <c r="C537" t="s">
        <v>4419</v>
      </c>
      <c r="D537" t="s">
        <v>11</v>
      </c>
      <c r="E537" s="2">
        <v>-0.05</v>
      </c>
      <c r="F537" t="s">
        <v>12</v>
      </c>
      <c r="G537" s="4">
        <f>-0.45 / -5%</f>
        <v>9</v>
      </c>
      <c r="H537" t="s">
        <v>4419</v>
      </c>
      <c r="I537" t="s">
        <v>4420</v>
      </c>
      <c r="J537" t="s">
        <v>4421</v>
      </c>
      <c r="K537" t="s">
        <v>23</v>
      </c>
      <c r="L537" s="2">
        <v>7.4999999999999997E-2</v>
      </c>
      <c r="M537" t="s">
        <v>4422</v>
      </c>
      <c r="N537" t="s">
        <v>121</v>
      </c>
      <c r="O537" t="s">
        <v>4423</v>
      </c>
      <c r="P537" t="s">
        <v>4424</v>
      </c>
      <c r="Q537" t="s">
        <v>4424</v>
      </c>
      <c r="R537" t="s">
        <v>4425</v>
      </c>
      <c r="S537" t="s">
        <v>4191</v>
      </c>
      <c r="T537" t="s">
        <v>4426</v>
      </c>
      <c r="U537" t="s">
        <v>4426</v>
      </c>
      <c r="V537" t="s">
        <v>4427</v>
      </c>
      <c r="W537" s="1">
        <v>10999</v>
      </c>
      <c r="X537" t="s">
        <v>4428</v>
      </c>
      <c r="Y537" t="s">
        <v>4429</v>
      </c>
      <c r="Z537" t="s">
        <v>4430</v>
      </c>
      <c r="AA537" t="s">
        <v>1543</v>
      </c>
      <c r="AB537" s="2">
        <v>0.67649999999999999</v>
      </c>
      <c r="AC537" s="2">
        <v>-0.22270000000000001</v>
      </c>
      <c r="AD537" s="2">
        <v>-0.25650000000000001</v>
      </c>
      <c r="AE537" s="2">
        <v>0.71</v>
      </c>
      <c r="AF537" s="2">
        <v>-0.89139999999999997</v>
      </c>
      <c r="AG537" s="2">
        <v>-0.91159999999999997</v>
      </c>
      <c r="AH537" t="s">
        <v>4431</v>
      </c>
      <c r="AI537" t="s">
        <v>232</v>
      </c>
      <c r="AJ537" t="s">
        <v>131</v>
      </c>
      <c r="AK537" t="s">
        <v>40</v>
      </c>
      <c r="AL537">
        <v>1</v>
      </c>
      <c r="AM537" t="s">
        <v>41</v>
      </c>
      <c r="AN537" t="s">
        <v>42</v>
      </c>
      <c r="AO537" t="s">
        <v>4423</v>
      </c>
      <c r="AP537" t="s">
        <v>3080</v>
      </c>
      <c r="AQ537">
        <v>1</v>
      </c>
      <c r="BA537" t="s">
        <v>360</v>
      </c>
      <c r="BB537" t="s">
        <v>61</v>
      </c>
    </row>
    <row r="538" spans="1:54" x14ac:dyDescent="0.4">
      <c r="A538" t="s">
        <v>4453</v>
      </c>
      <c r="B538" t="s">
        <v>10</v>
      </c>
      <c r="C538" t="s">
        <v>697</v>
      </c>
      <c r="D538" t="s">
        <v>11</v>
      </c>
      <c r="E538" s="2">
        <v>-2.9999999999999997E-4</v>
      </c>
      <c r="F538" t="s">
        <v>178</v>
      </c>
      <c r="G538" s="4">
        <f>-0.03 / -0.03%</f>
        <v>100</v>
      </c>
      <c r="H538" t="s">
        <v>697</v>
      </c>
      <c r="I538" t="s">
        <v>6080</v>
      </c>
      <c r="J538" t="s">
        <v>6081</v>
      </c>
      <c r="K538" t="s">
        <v>23</v>
      </c>
      <c r="L538" s="2">
        <v>7.4999999999999997E-3</v>
      </c>
      <c r="M538" t="s">
        <v>6082</v>
      </c>
      <c r="N538" t="s">
        <v>28</v>
      </c>
      <c r="O538" t="s">
        <v>6083</v>
      </c>
      <c r="P538" t="s">
        <v>6068</v>
      </c>
      <c r="Q538" t="s">
        <v>721</v>
      </c>
      <c r="R538" t="s">
        <v>4490</v>
      </c>
      <c r="S538" t="s">
        <v>2233</v>
      </c>
      <c r="T538" t="s">
        <v>6084</v>
      </c>
      <c r="U538" t="s">
        <v>6085</v>
      </c>
      <c r="V538" t="s">
        <v>6086</v>
      </c>
      <c r="W538" t="s">
        <v>6087</v>
      </c>
      <c r="X538" t="s">
        <v>6087</v>
      </c>
      <c r="Y538" t="s">
        <v>6087</v>
      </c>
      <c r="Z538" t="s">
        <v>6087</v>
      </c>
      <c r="AA538" t="s">
        <v>2446</v>
      </c>
      <c r="AB538" s="2">
        <v>3.0999999999999999E-3</v>
      </c>
      <c r="AC538" s="2">
        <v>5.7999999999999996E-3</v>
      </c>
      <c r="AD538" s="2">
        <v>3.6700000000000003E-2</v>
      </c>
      <c r="AE538" s="2">
        <v>6.9099999999999995E-2</v>
      </c>
      <c r="AF538" s="2">
        <v>0.1426</v>
      </c>
      <c r="AG538" s="2">
        <v>-2.4799999999999999E-2</v>
      </c>
      <c r="AH538" t="s">
        <v>6088</v>
      </c>
      <c r="AI538" t="s">
        <v>130</v>
      </c>
      <c r="AJ538" t="s">
        <v>131</v>
      </c>
      <c r="AK538" t="s">
        <v>40</v>
      </c>
      <c r="AL538">
        <v>100</v>
      </c>
      <c r="AM538" t="s">
        <v>41</v>
      </c>
      <c r="AN538" t="s">
        <v>42</v>
      </c>
      <c r="AO538" t="s">
        <v>6083</v>
      </c>
      <c r="AP538" t="s">
        <v>357</v>
      </c>
      <c r="AZ538">
        <v>100</v>
      </c>
      <c r="BA538" t="s">
        <v>197</v>
      </c>
    </row>
    <row r="539" spans="1:54" x14ac:dyDescent="0.4">
      <c r="A539" t="s">
        <v>161</v>
      </c>
      <c r="B539" t="s">
        <v>10</v>
      </c>
      <c r="C539" t="s">
        <v>4036</v>
      </c>
      <c r="D539" t="s">
        <v>11</v>
      </c>
      <c r="E539" s="2">
        <v>-0.1027</v>
      </c>
      <c r="F539" t="s">
        <v>12</v>
      </c>
      <c r="G539" s="4">
        <f>-4.93 / -10.27%</f>
        <v>48.003894839337875</v>
      </c>
      <c r="H539" t="s">
        <v>4036</v>
      </c>
      <c r="I539" t="s">
        <v>4037</v>
      </c>
      <c r="J539" t="s">
        <v>4038</v>
      </c>
      <c r="K539" t="s">
        <v>23</v>
      </c>
      <c r="L539" s="2">
        <v>8.5000000000000006E-2</v>
      </c>
      <c r="M539" t="s">
        <v>4039</v>
      </c>
      <c r="N539" t="s">
        <v>121</v>
      </c>
      <c r="O539" t="s">
        <v>4040</v>
      </c>
      <c r="P539" t="s">
        <v>4041</v>
      </c>
      <c r="Q539" t="s">
        <v>4042</v>
      </c>
      <c r="R539" t="s">
        <v>4043</v>
      </c>
      <c r="S539" t="s">
        <v>4043</v>
      </c>
      <c r="T539" t="s">
        <v>4043</v>
      </c>
      <c r="U539" t="s">
        <v>4043</v>
      </c>
      <c r="V539" t="s">
        <v>2400</v>
      </c>
      <c r="W539" t="s">
        <v>4044</v>
      </c>
      <c r="X539" t="s">
        <v>4045</v>
      </c>
      <c r="Y539" t="s">
        <v>4046</v>
      </c>
      <c r="Z539" t="s">
        <v>4046</v>
      </c>
      <c r="AA539" t="s">
        <v>4046</v>
      </c>
      <c r="AB539" s="2">
        <v>-9.1499999999999998E-2</v>
      </c>
      <c r="AC539" s="2">
        <v>2.23E-2</v>
      </c>
      <c r="AD539" s="2">
        <v>-0.26340000000000002</v>
      </c>
      <c r="AE539" s="2">
        <v>-0.36659999999999998</v>
      </c>
      <c r="AF539" s="2">
        <v>-0.36659999999999998</v>
      </c>
      <c r="AG539" s="2">
        <v>-0.36659999999999998</v>
      </c>
      <c r="AH539" t="s">
        <v>4047</v>
      </c>
      <c r="AI539" t="s">
        <v>130</v>
      </c>
      <c r="AJ539" t="s">
        <v>131</v>
      </c>
      <c r="AK539" t="s">
        <v>40</v>
      </c>
      <c r="AL539">
        <v>1</v>
      </c>
      <c r="AM539" t="s">
        <v>41</v>
      </c>
      <c r="AN539" t="s">
        <v>42</v>
      </c>
      <c r="AO539" t="s">
        <v>4040</v>
      </c>
      <c r="AP539" t="s">
        <v>4048</v>
      </c>
      <c r="AQ539" t="s">
        <v>4048</v>
      </c>
      <c r="AR539" t="s">
        <v>48</v>
      </c>
      <c r="AS539" t="s">
        <v>48</v>
      </c>
    </row>
    <row r="540" spans="1:54" x14ac:dyDescent="0.4">
      <c r="A540" t="s">
        <v>630</v>
      </c>
      <c r="B540" t="s">
        <v>10</v>
      </c>
      <c r="C540" t="s">
        <v>654</v>
      </c>
      <c r="D540" t="s">
        <v>11</v>
      </c>
      <c r="E540" s="2">
        <v>-2.0999999999999999E-3</v>
      </c>
      <c r="F540" t="s">
        <v>12</v>
      </c>
      <c r="G540" s="4">
        <f>-0.18 / -0.21%</f>
        <v>85.714285714285722</v>
      </c>
      <c r="H540" t="s">
        <v>654</v>
      </c>
      <c r="I540" t="s">
        <v>4726</v>
      </c>
      <c r="J540" t="s">
        <v>4727</v>
      </c>
      <c r="K540" t="s">
        <v>23</v>
      </c>
      <c r="L540" s="2">
        <v>1.4E-2</v>
      </c>
      <c r="M540" t="s">
        <v>4728</v>
      </c>
      <c r="N540" t="s">
        <v>28</v>
      </c>
      <c r="O540" t="s">
        <v>4729</v>
      </c>
      <c r="P540" t="s">
        <v>4730</v>
      </c>
      <c r="Q540" t="s">
        <v>4730</v>
      </c>
      <c r="R540" t="s">
        <v>2814</v>
      </c>
      <c r="S540" t="s">
        <v>2789</v>
      </c>
      <c r="T540" t="s">
        <v>3764</v>
      </c>
      <c r="U540" t="s">
        <v>2785</v>
      </c>
      <c r="V540" t="s">
        <v>4731</v>
      </c>
      <c r="W540" t="s">
        <v>3569</v>
      </c>
      <c r="X540" t="s">
        <v>3569</v>
      </c>
      <c r="Y540" t="s">
        <v>3569</v>
      </c>
      <c r="Z540" t="s">
        <v>3569</v>
      </c>
      <c r="AA540" t="s">
        <v>4732</v>
      </c>
      <c r="AB540" s="2">
        <v>-1.09E-2</v>
      </c>
      <c r="AC540" s="2">
        <v>-1.52E-2</v>
      </c>
      <c r="AD540" s="2">
        <v>1.5800000000000002E-2</v>
      </c>
      <c r="AE540" s="2">
        <v>4.0300000000000002E-2</v>
      </c>
      <c r="AF540" s="2">
        <v>5.9900000000000002E-2</v>
      </c>
      <c r="AG540" s="2">
        <v>-0.17599999999999999</v>
      </c>
      <c r="AH540" t="s">
        <v>2620</v>
      </c>
      <c r="AI540" t="s">
        <v>620</v>
      </c>
      <c r="AJ540" t="s">
        <v>131</v>
      </c>
      <c r="AK540" t="s">
        <v>40</v>
      </c>
      <c r="AL540">
        <v>1</v>
      </c>
      <c r="AM540" t="s">
        <v>41</v>
      </c>
      <c r="AN540" t="s">
        <v>42</v>
      </c>
      <c r="AO540" t="s">
        <v>4729</v>
      </c>
      <c r="AP540" t="s">
        <v>2621</v>
      </c>
      <c r="AQ540">
        <v>1</v>
      </c>
      <c r="BA540" t="s">
        <v>136</v>
      </c>
      <c r="BB540" t="s">
        <v>61</v>
      </c>
    </row>
    <row r="541" spans="1:54" x14ac:dyDescent="0.4">
      <c r="A541" t="s">
        <v>115</v>
      </c>
      <c r="B541" t="s">
        <v>10</v>
      </c>
      <c r="C541" t="s">
        <v>5442</v>
      </c>
      <c r="D541" t="s">
        <v>11</v>
      </c>
      <c r="E541" s="2">
        <v>-1.5E-3</v>
      </c>
      <c r="F541" t="s">
        <v>12</v>
      </c>
      <c r="G541" s="4">
        <f>-0.14 / -0.15%</f>
        <v>93.333333333333343</v>
      </c>
      <c r="H541" t="s">
        <v>5442</v>
      </c>
      <c r="I541" t="s">
        <v>5443</v>
      </c>
      <c r="J541" t="s">
        <v>5444</v>
      </c>
      <c r="K541" t="s">
        <v>23</v>
      </c>
      <c r="L541" s="2">
        <v>1.2500000000000001E-2</v>
      </c>
      <c r="M541" t="s">
        <v>5445</v>
      </c>
      <c r="N541" t="s">
        <v>28</v>
      </c>
      <c r="O541" t="s">
        <v>4716</v>
      </c>
      <c r="P541" t="s">
        <v>2231</v>
      </c>
      <c r="Q541" t="s">
        <v>2231</v>
      </c>
      <c r="R541" t="s">
        <v>5446</v>
      </c>
      <c r="S541" t="s">
        <v>5447</v>
      </c>
      <c r="T541" t="s">
        <v>5448</v>
      </c>
      <c r="U541" t="s">
        <v>2083</v>
      </c>
      <c r="V541" t="s">
        <v>2629</v>
      </c>
      <c r="W541" t="s">
        <v>2031</v>
      </c>
      <c r="X541" t="s">
        <v>2031</v>
      </c>
      <c r="Y541" t="s">
        <v>2031</v>
      </c>
      <c r="Z541" t="s">
        <v>2031</v>
      </c>
      <c r="AA541" t="s">
        <v>5001</v>
      </c>
      <c r="AB541" s="2">
        <v>-5.8999999999999999E-3</v>
      </c>
      <c r="AC541" s="2">
        <v>-7.4999999999999997E-3</v>
      </c>
      <c r="AD541" s="2">
        <v>1.89E-2</v>
      </c>
      <c r="AE541" s="2">
        <v>4.6399999999999997E-2</v>
      </c>
      <c r="AF541" s="2">
        <v>7.5700000000000003E-2</v>
      </c>
      <c r="AG541" s="2">
        <v>-0.1032</v>
      </c>
      <c r="AH541" t="s">
        <v>2620</v>
      </c>
      <c r="AI541" t="s">
        <v>620</v>
      </c>
      <c r="AJ541" t="s">
        <v>131</v>
      </c>
      <c r="AK541" t="s">
        <v>40</v>
      </c>
      <c r="AL541">
        <v>1</v>
      </c>
      <c r="AM541" t="s">
        <v>41</v>
      </c>
      <c r="AN541" t="s">
        <v>42</v>
      </c>
      <c r="AO541" t="s">
        <v>4716</v>
      </c>
      <c r="AP541" t="s">
        <v>2621</v>
      </c>
      <c r="AQ541">
        <v>1</v>
      </c>
      <c r="BA541" t="s">
        <v>136</v>
      </c>
      <c r="BB541" t="s">
        <v>61</v>
      </c>
    </row>
    <row r="542" spans="1:54" x14ac:dyDescent="0.4">
      <c r="A542" t="s">
        <v>630</v>
      </c>
      <c r="B542" t="s">
        <v>10</v>
      </c>
      <c r="C542" t="s">
        <v>2670</v>
      </c>
      <c r="D542" t="s">
        <v>11</v>
      </c>
      <c r="E542" s="2">
        <v>-8.0000000000000004E-4</v>
      </c>
      <c r="F542" t="s">
        <v>12</v>
      </c>
      <c r="G542" s="4">
        <f>-0.08 / -0.08%</f>
        <v>100</v>
      </c>
      <c r="H542" t="s">
        <v>2670</v>
      </c>
      <c r="I542" t="s">
        <v>4720</v>
      </c>
      <c r="J542" t="s">
        <v>4721</v>
      </c>
      <c r="K542" t="s">
        <v>23</v>
      </c>
      <c r="L542" s="2">
        <v>1.15E-2</v>
      </c>
      <c r="M542" t="s">
        <v>712</v>
      </c>
      <c r="N542" t="s">
        <v>28</v>
      </c>
      <c r="O542" t="s">
        <v>4716</v>
      </c>
      <c r="P542" t="s">
        <v>4722</v>
      </c>
      <c r="Q542" t="s">
        <v>4722</v>
      </c>
      <c r="R542" t="s">
        <v>3133</v>
      </c>
      <c r="S542" t="s">
        <v>867</v>
      </c>
      <c r="T542" t="s">
        <v>4723</v>
      </c>
      <c r="U542" t="s">
        <v>2926</v>
      </c>
      <c r="V542" t="s">
        <v>4724</v>
      </c>
      <c r="W542" t="s">
        <v>4725</v>
      </c>
      <c r="X542" t="s">
        <v>4725</v>
      </c>
      <c r="Y542" t="s">
        <v>4725</v>
      </c>
      <c r="Z542" t="s">
        <v>4725</v>
      </c>
      <c r="AA542" t="s">
        <v>169</v>
      </c>
      <c r="AB542" s="2">
        <v>-1.8E-3</v>
      </c>
      <c r="AC542" s="2">
        <v>-2.9999999999999997E-4</v>
      </c>
      <c r="AD542" s="2">
        <v>0.02</v>
      </c>
      <c r="AE542" s="2">
        <v>3.5999999999999997E-2</v>
      </c>
      <c r="AF542" s="2">
        <v>7.0000000000000007E-2</v>
      </c>
      <c r="AG542" s="2">
        <v>-5.67E-2</v>
      </c>
      <c r="AH542" t="s">
        <v>2620</v>
      </c>
      <c r="AI542" t="s">
        <v>620</v>
      </c>
      <c r="AJ542" t="s">
        <v>131</v>
      </c>
      <c r="AK542" t="s">
        <v>40</v>
      </c>
      <c r="AL542">
        <v>1</v>
      </c>
      <c r="AM542" t="s">
        <v>41</v>
      </c>
      <c r="AN542" t="s">
        <v>42</v>
      </c>
      <c r="AO542" t="s">
        <v>4716</v>
      </c>
      <c r="AP542" t="s">
        <v>2621</v>
      </c>
      <c r="AQ542">
        <v>1</v>
      </c>
      <c r="BA542" t="s">
        <v>136</v>
      </c>
      <c r="BB542" t="s">
        <v>61</v>
      </c>
    </row>
    <row r="543" spans="1:54" x14ac:dyDescent="0.4">
      <c r="A543" t="s">
        <v>115</v>
      </c>
      <c r="B543" t="s">
        <v>10</v>
      </c>
      <c r="C543" t="s">
        <v>3450</v>
      </c>
      <c r="D543" t="s">
        <v>11</v>
      </c>
      <c r="E543" s="2">
        <v>-2.0000000000000001E-4</v>
      </c>
      <c r="F543" t="s">
        <v>12</v>
      </c>
      <c r="G543" s="4">
        <f>-0.02 / -0.02%</f>
        <v>100</v>
      </c>
      <c r="H543" t="s">
        <v>3450</v>
      </c>
      <c r="I543" t="s">
        <v>4714</v>
      </c>
      <c r="J543" t="s">
        <v>4715</v>
      </c>
      <c r="K543" t="s">
        <v>23</v>
      </c>
      <c r="L543" s="2">
        <v>0.01</v>
      </c>
      <c r="M543" t="s">
        <v>712</v>
      </c>
      <c r="N543" t="s">
        <v>28</v>
      </c>
      <c r="O543" t="s">
        <v>4716</v>
      </c>
      <c r="P543" t="s">
        <v>1810</v>
      </c>
      <c r="Q543" t="s">
        <v>935</v>
      </c>
      <c r="R543" t="s">
        <v>1253</v>
      </c>
      <c r="S543" t="s">
        <v>1595</v>
      </c>
      <c r="T543" t="s">
        <v>4717</v>
      </c>
      <c r="U543" t="s">
        <v>4717</v>
      </c>
      <c r="V543" t="s">
        <v>4718</v>
      </c>
      <c r="W543" t="s">
        <v>4718</v>
      </c>
      <c r="X543" t="s">
        <v>4718</v>
      </c>
      <c r="Y543" t="s">
        <v>4718</v>
      </c>
      <c r="Z543" t="s">
        <v>4718</v>
      </c>
      <c r="AA543" t="s">
        <v>4719</v>
      </c>
      <c r="AB543" s="2">
        <v>5.0000000000000001E-4</v>
      </c>
      <c r="AC543" s="2">
        <v>4.1999999999999997E-3</v>
      </c>
      <c r="AD543" s="2">
        <v>1.8100000000000002E-2</v>
      </c>
      <c r="AE543" s="2">
        <v>3.3500000000000002E-2</v>
      </c>
      <c r="AF543" s="2">
        <v>6.3E-2</v>
      </c>
      <c r="AG543" s="2">
        <v>-3.39E-2</v>
      </c>
      <c r="AH543" t="s">
        <v>2620</v>
      </c>
      <c r="AI543" t="s">
        <v>620</v>
      </c>
      <c r="AJ543" t="s">
        <v>131</v>
      </c>
      <c r="AK543" t="s">
        <v>40</v>
      </c>
      <c r="AL543">
        <v>1</v>
      </c>
      <c r="AM543" t="s">
        <v>41</v>
      </c>
      <c r="AN543" t="s">
        <v>42</v>
      </c>
      <c r="AO543" t="s">
        <v>4716</v>
      </c>
      <c r="AP543" t="s">
        <v>2621</v>
      </c>
      <c r="AQ543">
        <v>1</v>
      </c>
      <c r="BA543" t="s">
        <v>136</v>
      </c>
      <c r="BB543" t="s">
        <v>61</v>
      </c>
    </row>
    <row r="544" spans="1:54" x14ac:dyDescent="0.4">
      <c r="A544" t="s">
        <v>630</v>
      </c>
      <c r="B544" t="s">
        <v>10</v>
      </c>
      <c r="C544" t="s">
        <v>4705</v>
      </c>
      <c r="D544" t="s">
        <v>11</v>
      </c>
      <c r="E544" s="2">
        <v>-4.0000000000000002E-4</v>
      </c>
      <c r="F544" t="s">
        <v>12</v>
      </c>
      <c r="G544" s="4">
        <f>-0.04 / -0.04%</f>
        <v>100</v>
      </c>
      <c r="H544" t="s">
        <v>4705</v>
      </c>
      <c r="I544" t="s">
        <v>4706</v>
      </c>
      <c r="J544" t="s">
        <v>4707</v>
      </c>
      <c r="K544" t="s">
        <v>23</v>
      </c>
      <c r="L544" s="2">
        <v>1.4999999999999999E-2</v>
      </c>
      <c r="M544" t="s">
        <v>4708</v>
      </c>
      <c r="N544" t="s">
        <v>28</v>
      </c>
      <c r="O544" t="s">
        <v>4709</v>
      </c>
      <c r="P544" t="s">
        <v>4403</v>
      </c>
      <c r="Q544" t="s">
        <v>913</v>
      </c>
      <c r="R544" t="s">
        <v>4710</v>
      </c>
      <c r="S544" t="s">
        <v>4711</v>
      </c>
      <c r="T544" t="s">
        <v>4712</v>
      </c>
      <c r="U544" t="s">
        <v>2870</v>
      </c>
      <c r="V544" t="s">
        <v>1975</v>
      </c>
      <c r="W544" t="s">
        <v>1975</v>
      </c>
      <c r="X544" t="s">
        <v>1975</v>
      </c>
      <c r="Y544" t="s">
        <v>1975</v>
      </c>
      <c r="Z544" t="s">
        <v>1975</v>
      </c>
      <c r="AA544" t="s">
        <v>4713</v>
      </c>
      <c r="AB544" s="2">
        <v>5.0000000000000001E-4</v>
      </c>
      <c r="AC544" s="2">
        <v>4.1999999999999997E-3</v>
      </c>
      <c r="AD544" s="2">
        <v>2.23E-2</v>
      </c>
      <c r="AE544" s="2">
        <v>3.9800000000000002E-2</v>
      </c>
      <c r="AF544" s="2">
        <v>7.3499999999999996E-2</v>
      </c>
      <c r="AG544" s="2">
        <v>-4.0899999999999999E-2</v>
      </c>
      <c r="AH544" t="s">
        <v>2620</v>
      </c>
      <c r="AI544" t="s">
        <v>620</v>
      </c>
      <c r="AJ544" t="s">
        <v>131</v>
      </c>
      <c r="AK544" t="s">
        <v>40</v>
      </c>
      <c r="AL544">
        <v>10</v>
      </c>
      <c r="AM544" t="s">
        <v>41</v>
      </c>
      <c r="AN544" t="s">
        <v>42</v>
      </c>
      <c r="AO544" t="s">
        <v>4709</v>
      </c>
      <c r="AP544" t="s">
        <v>1138</v>
      </c>
      <c r="BA544" t="s">
        <v>136</v>
      </c>
      <c r="BB544" t="s">
        <v>61</v>
      </c>
    </row>
    <row r="545" spans="1:54" x14ac:dyDescent="0.4">
      <c r="A545" t="s">
        <v>630</v>
      </c>
      <c r="B545" t="s">
        <v>10</v>
      </c>
      <c r="C545" t="s">
        <v>581</v>
      </c>
      <c r="D545" t="s">
        <v>11</v>
      </c>
      <c r="E545" s="2">
        <v>0</v>
      </c>
      <c r="F545" t="s">
        <v>12</v>
      </c>
      <c r="G545" s="4" t="s">
        <v>15</v>
      </c>
      <c r="H545" t="s">
        <v>581</v>
      </c>
      <c r="I545" t="s">
        <v>2613</v>
      </c>
      <c r="J545" t="s">
        <v>2614</v>
      </c>
      <c r="K545" t="s">
        <v>23</v>
      </c>
      <c r="L545" s="2">
        <v>0.01</v>
      </c>
      <c r="M545" t="s">
        <v>2615</v>
      </c>
      <c r="N545" t="s">
        <v>28</v>
      </c>
      <c r="O545" t="s">
        <v>691</v>
      </c>
      <c r="P545" t="s">
        <v>2616</v>
      </c>
      <c r="Q545" t="s">
        <v>2617</v>
      </c>
      <c r="R545" t="s">
        <v>1297</v>
      </c>
      <c r="S545" t="s">
        <v>2212</v>
      </c>
      <c r="T545" t="s">
        <v>2618</v>
      </c>
      <c r="U545" t="s">
        <v>2618</v>
      </c>
      <c r="V545" t="s">
        <v>83</v>
      </c>
      <c r="W545" t="s">
        <v>83</v>
      </c>
      <c r="X545" t="s">
        <v>83</v>
      </c>
      <c r="Y545" t="s">
        <v>83</v>
      </c>
      <c r="Z545" t="s">
        <v>83</v>
      </c>
      <c r="AA545" t="s">
        <v>2619</v>
      </c>
      <c r="AB545" s="2">
        <v>1.1000000000000001E-3</v>
      </c>
      <c r="AC545" s="2">
        <v>4.5999999999999999E-3</v>
      </c>
      <c r="AD545" s="2">
        <v>1.6E-2</v>
      </c>
      <c r="AE545" s="2">
        <v>2.9499999999999998E-2</v>
      </c>
      <c r="AF545" s="2">
        <v>5.79E-2</v>
      </c>
      <c r="AG545" s="2">
        <v>-3.1E-2</v>
      </c>
      <c r="AH545" t="s">
        <v>2620</v>
      </c>
      <c r="AI545" t="s">
        <v>620</v>
      </c>
      <c r="AJ545" t="s">
        <v>131</v>
      </c>
      <c r="AK545" t="s">
        <v>40</v>
      </c>
      <c r="AL545">
        <v>1</v>
      </c>
      <c r="AM545" t="s">
        <v>41</v>
      </c>
      <c r="AN545" t="s">
        <v>42</v>
      </c>
      <c r="AO545" t="s">
        <v>691</v>
      </c>
      <c r="AP545" t="s">
        <v>2621</v>
      </c>
      <c r="BA545" t="s">
        <v>136</v>
      </c>
      <c r="BB545" t="s">
        <v>61</v>
      </c>
    </row>
    <row r="546" spans="1:54" x14ac:dyDescent="0.4">
      <c r="A546" t="s">
        <v>961</v>
      </c>
      <c r="B546" t="s">
        <v>10</v>
      </c>
      <c r="C546" t="s">
        <v>414</v>
      </c>
      <c r="D546" t="s">
        <v>11</v>
      </c>
      <c r="E546" s="2">
        <v>-4.0000000000000002E-4</v>
      </c>
      <c r="F546" t="s">
        <v>12</v>
      </c>
      <c r="G546" s="4">
        <f>-0.04 / -0.04%</f>
        <v>100</v>
      </c>
      <c r="H546" t="s">
        <v>414</v>
      </c>
      <c r="I546" t="s">
        <v>6679</v>
      </c>
      <c r="J546" t="s">
        <v>6680</v>
      </c>
      <c r="K546" t="s">
        <v>23</v>
      </c>
      <c r="L546" s="2">
        <v>0.01</v>
      </c>
      <c r="M546" t="s">
        <v>4739</v>
      </c>
      <c r="N546" t="s">
        <v>28</v>
      </c>
      <c r="O546" t="s">
        <v>3949</v>
      </c>
      <c r="P546" t="s">
        <v>1519</v>
      </c>
      <c r="Q546" t="s">
        <v>626</v>
      </c>
      <c r="R546" t="s">
        <v>1296</v>
      </c>
      <c r="S546" t="s">
        <v>5380</v>
      </c>
      <c r="T546" t="s">
        <v>6681</v>
      </c>
      <c r="U546" t="s">
        <v>6681</v>
      </c>
      <c r="V546" t="s">
        <v>2387</v>
      </c>
      <c r="W546" t="s">
        <v>2387</v>
      </c>
      <c r="X546" t="s">
        <v>2387</v>
      </c>
      <c r="Y546" t="s">
        <v>2387</v>
      </c>
      <c r="Z546" t="s">
        <v>2387</v>
      </c>
      <c r="AA546" t="s">
        <v>465</v>
      </c>
      <c r="AB546" s="2">
        <v>1E-4</v>
      </c>
      <c r="AC546" s="2">
        <v>3.5000000000000001E-3</v>
      </c>
      <c r="AD546" s="2">
        <v>1.95E-2</v>
      </c>
      <c r="AE546" s="2">
        <v>3.5299999999999998E-2</v>
      </c>
      <c r="AF546" s="2">
        <v>6.4500000000000002E-2</v>
      </c>
      <c r="AG546" s="2">
        <v>-3.9300000000000002E-2</v>
      </c>
      <c r="AH546" t="s">
        <v>2620</v>
      </c>
      <c r="AI546" t="s">
        <v>620</v>
      </c>
      <c r="AJ546" t="s">
        <v>131</v>
      </c>
      <c r="AK546" t="s">
        <v>40</v>
      </c>
      <c r="AL546">
        <v>1</v>
      </c>
      <c r="AM546" t="s">
        <v>41</v>
      </c>
      <c r="AN546" t="s">
        <v>42</v>
      </c>
      <c r="AO546" t="s">
        <v>3949</v>
      </c>
      <c r="AP546" t="s">
        <v>2621</v>
      </c>
      <c r="BA546" t="s">
        <v>136</v>
      </c>
      <c r="BB546" t="s">
        <v>61</v>
      </c>
    </row>
    <row r="547" spans="1:54" x14ac:dyDescent="0.4">
      <c r="A547" t="s">
        <v>961</v>
      </c>
      <c r="B547" t="s">
        <v>10</v>
      </c>
      <c r="C547" t="s">
        <v>2833</v>
      </c>
      <c r="D547" t="s">
        <v>11</v>
      </c>
      <c r="E547" s="2">
        <v>1E-4</v>
      </c>
      <c r="F547" t="s">
        <v>12</v>
      </c>
      <c r="G547" s="4" t="s">
        <v>148</v>
      </c>
      <c r="H547" t="s">
        <v>2833</v>
      </c>
      <c r="I547" t="s">
        <v>4737</v>
      </c>
      <c r="J547" t="s">
        <v>4738</v>
      </c>
      <c r="K547" t="s">
        <v>23</v>
      </c>
      <c r="L547" s="2">
        <v>8.5000000000000006E-3</v>
      </c>
      <c r="M547" t="s">
        <v>4739</v>
      </c>
      <c r="N547" t="s">
        <v>28</v>
      </c>
      <c r="O547" t="s">
        <v>3949</v>
      </c>
      <c r="P547" t="s">
        <v>2650</v>
      </c>
      <c r="Q547" t="s">
        <v>2214</v>
      </c>
      <c r="R547" t="s">
        <v>4080</v>
      </c>
      <c r="S547" t="s">
        <v>3309</v>
      </c>
      <c r="T547" t="s">
        <v>4740</v>
      </c>
      <c r="U547" t="s">
        <v>4740</v>
      </c>
      <c r="V547" t="s">
        <v>1751</v>
      </c>
      <c r="W547" t="s">
        <v>1751</v>
      </c>
      <c r="X547" t="s">
        <v>1751</v>
      </c>
      <c r="Y547" t="s">
        <v>1751</v>
      </c>
      <c r="Z547" t="s">
        <v>1751</v>
      </c>
      <c r="AA547" t="s">
        <v>451</v>
      </c>
      <c r="AB547" s="2">
        <v>3.2000000000000002E-3</v>
      </c>
      <c r="AC547" s="2">
        <v>9.9000000000000008E-3</v>
      </c>
      <c r="AD547" s="2">
        <v>2.18E-2</v>
      </c>
      <c r="AE547" s="2">
        <v>3.6499999999999998E-2</v>
      </c>
      <c r="AF547" s="2">
        <v>6.2700000000000006E-2</v>
      </c>
      <c r="AG547" s="2">
        <v>-1.12E-2</v>
      </c>
      <c r="AH547" t="s">
        <v>2620</v>
      </c>
      <c r="AI547" t="s">
        <v>620</v>
      </c>
      <c r="AJ547" t="s">
        <v>131</v>
      </c>
      <c r="AK547" t="s">
        <v>40</v>
      </c>
      <c r="AL547">
        <v>1</v>
      </c>
      <c r="AM547" t="s">
        <v>41</v>
      </c>
      <c r="AN547" t="s">
        <v>42</v>
      </c>
      <c r="AO547" t="s">
        <v>3949</v>
      </c>
      <c r="AP547" t="s">
        <v>2621</v>
      </c>
      <c r="BA547" t="s">
        <v>136</v>
      </c>
      <c r="BB547" t="s">
        <v>61</v>
      </c>
    </row>
    <row r="548" spans="1:54" x14ac:dyDescent="0.4">
      <c r="A548" t="s">
        <v>630</v>
      </c>
      <c r="B548" t="s">
        <v>10</v>
      </c>
      <c r="C548" t="s">
        <v>4554</v>
      </c>
      <c r="D548" t="s">
        <v>11</v>
      </c>
      <c r="E548" s="2">
        <v>2.0000000000000001E-4</v>
      </c>
      <c r="F548" t="s">
        <v>12</v>
      </c>
      <c r="G548" s="4" t="s">
        <v>3463</v>
      </c>
      <c r="H548" t="s">
        <v>4554</v>
      </c>
      <c r="I548" t="s">
        <v>4733</v>
      </c>
      <c r="J548" t="s">
        <v>4734</v>
      </c>
      <c r="K548" t="s">
        <v>23</v>
      </c>
      <c r="L548" s="2">
        <v>7.0000000000000001E-3</v>
      </c>
      <c r="M548" t="s">
        <v>960</v>
      </c>
      <c r="N548" t="s">
        <v>28</v>
      </c>
      <c r="O548" t="s">
        <v>4735</v>
      </c>
      <c r="P548" t="s">
        <v>155</v>
      </c>
      <c r="Q548" t="s">
        <v>3066</v>
      </c>
      <c r="R548" t="s">
        <v>4736</v>
      </c>
      <c r="S548" t="s">
        <v>3041</v>
      </c>
      <c r="T548" t="s">
        <v>714</v>
      </c>
      <c r="U548" t="s">
        <v>714</v>
      </c>
      <c r="V548" t="s">
        <v>1170</v>
      </c>
      <c r="W548" t="s">
        <v>1170</v>
      </c>
      <c r="X548" t="s">
        <v>1170</v>
      </c>
      <c r="Y548" t="s">
        <v>1170</v>
      </c>
      <c r="Z548" t="s">
        <v>1170</v>
      </c>
      <c r="AA548" t="s">
        <v>90</v>
      </c>
      <c r="AB548" s="2">
        <v>3.3999999999999998E-3</v>
      </c>
      <c r="AC548" s="2">
        <v>8.8000000000000005E-3</v>
      </c>
      <c r="AD548" s="2">
        <v>1.9400000000000001E-2</v>
      </c>
      <c r="AE548" s="2">
        <v>3.5200000000000002E-2</v>
      </c>
      <c r="AF548" s="2">
        <v>6.6900000000000001E-2</v>
      </c>
      <c r="AG548" s="2">
        <v>-1.54E-2</v>
      </c>
      <c r="AH548" t="s">
        <v>2620</v>
      </c>
      <c r="AI548" t="s">
        <v>620</v>
      </c>
      <c r="AJ548" t="s">
        <v>131</v>
      </c>
      <c r="AK548" t="s">
        <v>40</v>
      </c>
      <c r="AL548">
        <v>1</v>
      </c>
      <c r="AM548" t="s">
        <v>41</v>
      </c>
      <c r="AN548" t="s">
        <v>42</v>
      </c>
      <c r="AO548" t="s">
        <v>4735</v>
      </c>
      <c r="AP548" t="s">
        <v>2621</v>
      </c>
      <c r="BA548" t="s">
        <v>136</v>
      </c>
      <c r="BB548" t="s">
        <v>61</v>
      </c>
    </row>
    <row r="549" spans="1:54" x14ac:dyDescent="0.4">
      <c r="A549" t="s">
        <v>4453</v>
      </c>
      <c r="B549" t="s">
        <v>10</v>
      </c>
      <c r="C549" t="s">
        <v>168</v>
      </c>
      <c r="D549" t="s">
        <v>11</v>
      </c>
      <c r="E549" s="2">
        <v>-8.9999999999999998E-4</v>
      </c>
      <c r="F549" t="s">
        <v>310</v>
      </c>
      <c r="G549" s="4">
        <f>-0.09 / -0.09%</f>
        <v>100</v>
      </c>
      <c r="H549" t="s">
        <v>168</v>
      </c>
      <c r="I549" t="s">
        <v>6682</v>
      </c>
      <c r="J549" t="s">
        <v>6683</v>
      </c>
      <c r="K549" t="s">
        <v>23</v>
      </c>
      <c r="L549" s="2">
        <v>0.03</v>
      </c>
      <c r="M549" t="s">
        <v>6684</v>
      </c>
      <c r="N549" t="s">
        <v>28</v>
      </c>
      <c r="O549" t="s">
        <v>2308</v>
      </c>
      <c r="P549" t="s">
        <v>1551</v>
      </c>
      <c r="Q549" t="s">
        <v>1551</v>
      </c>
      <c r="R549" t="s">
        <v>1551</v>
      </c>
      <c r="S549" t="s">
        <v>294</v>
      </c>
      <c r="T549" t="s">
        <v>294</v>
      </c>
      <c r="U549" t="s">
        <v>294</v>
      </c>
      <c r="V549" t="s">
        <v>6685</v>
      </c>
      <c r="W549" t="s">
        <v>5329</v>
      </c>
      <c r="X549" t="s">
        <v>5329</v>
      </c>
      <c r="Y549" t="s">
        <v>5329</v>
      </c>
      <c r="Z549" t="s">
        <v>5329</v>
      </c>
      <c r="AA549" t="s">
        <v>5329</v>
      </c>
      <c r="AB549" s="2">
        <v>-1.0699999999999999E-2</v>
      </c>
      <c r="AC549" s="2">
        <v>-1.49E-2</v>
      </c>
      <c r="AD549" s="2">
        <v>7.0000000000000001E-3</v>
      </c>
      <c r="AE549" s="2">
        <v>2.47E-2</v>
      </c>
      <c r="AF549" s="2">
        <v>2.47E-2</v>
      </c>
      <c r="AG549" s="2">
        <v>2.47E-2</v>
      </c>
      <c r="AH549" t="s">
        <v>2620</v>
      </c>
      <c r="AI549" t="s">
        <v>620</v>
      </c>
      <c r="AJ549" t="s">
        <v>131</v>
      </c>
      <c r="AK549" t="s">
        <v>40</v>
      </c>
      <c r="AL549">
        <v>1</v>
      </c>
      <c r="AM549" t="s">
        <v>41</v>
      </c>
      <c r="AN549" t="s">
        <v>42</v>
      </c>
      <c r="AO549" t="s">
        <v>2308</v>
      </c>
      <c r="AP549" t="s">
        <v>602</v>
      </c>
      <c r="AQ549" t="s">
        <v>602</v>
      </c>
      <c r="AR549" t="s">
        <v>48</v>
      </c>
      <c r="AS549" t="s">
        <v>48</v>
      </c>
    </row>
    <row r="550" spans="1:54" x14ac:dyDescent="0.4">
      <c r="A550" t="s">
        <v>76</v>
      </c>
      <c r="B550" t="s">
        <v>10</v>
      </c>
      <c r="C550" t="s">
        <v>897</v>
      </c>
      <c r="D550" t="s">
        <v>11</v>
      </c>
      <c r="E550" s="2">
        <v>-1E-3</v>
      </c>
      <c r="F550" t="s">
        <v>12</v>
      </c>
      <c r="G550" s="4">
        <f>-0.1 / -0.1%</f>
        <v>100</v>
      </c>
      <c r="H550" t="s">
        <v>897</v>
      </c>
      <c r="I550" t="s">
        <v>7145</v>
      </c>
      <c r="J550" t="s">
        <v>7146</v>
      </c>
      <c r="K550" t="s">
        <v>23</v>
      </c>
      <c r="L550" s="2">
        <v>0.03</v>
      </c>
      <c r="M550" t="s">
        <v>7147</v>
      </c>
      <c r="N550" t="s">
        <v>28</v>
      </c>
      <c r="O550" t="s">
        <v>5841</v>
      </c>
      <c r="P550" t="s">
        <v>639</v>
      </c>
      <c r="Q550" t="s">
        <v>639</v>
      </c>
      <c r="R550" t="s">
        <v>639</v>
      </c>
      <c r="S550" t="s">
        <v>639</v>
      </c>
      <c r="T550" t="s">
        <v>639</v>
      </c>
      <c r="U550" t="s">
        <v>639</v>
      </c>
      <c r="V550" t="s">
        <v>5137</v>
      </c>
      <c r="W550" t="s">
        <v>362</v>
      </c>
      <c r="X550" t="s">
        <v>2427</v>
      </c>
      <c r="Y550" t="s">
        <v>2427</v>
      </c>
      <c r="Z550" t="s">
        <v>2427</v>
      </c>
      <c r="AA550" t="s">
        <v>2427</v>
      </c>
      <c r="AB550" s="2">
        <v>-9.2999999999999992E-3</v>
      </c>
      <c r="AC550" s="2">
        <v>-3.8199999999999998E-2</v>
      </c>
      <c r="AD550" s="2">
        <v>-3.9199999999999999E-2</v>
      </c>
      <c r="AE550" s="2">
        <v>-3.9199999999999999E-2</v>
      </c>
      <c r="AF550" s="2">
        <v>-3.9199999999999999E-2</v>
      </c>
      <c r="AG550" s="2">
        <v>-3.9199999999999999E-2</v>
      </c>
      <c r="AH550" t="s">
        <v>977</v>
      </c>
      <c r="AI550" t="s">
        <v>620</v>
      </c>
      <c r="AJ550" t="s">
        <v>131</v>
      </c>
      <c r="AK550" t="s">
        <v>40</v>
      </c>
      <c r="AL550">
        <v>1</v>
      </c>
      <c r="AM550" t="s">
        <v>41</v>
      </c>
      <c r="AN550" t="s">
        <v>42</v>
      </c>
      <c r="AO550" t="s">
        <v>5841</v>
      </c>
      <c r="AP550" t="s">
        <v>978</v>
      </c>
      <c r="AQ550">
        <v>1</v>
      </c>
      <c r="BA550" t="s">
        <v>59</v>
      </c>
      <c r="BB550" t="s">
        <v>61</v>
      </c>
    </row>
    <row r="551" spans="1:54" x14ac:dyDescent="0.4">
      <c r="A551" t="s">
        <v>76</v>
      </c>
      <c r="B551" t="s">
        <v>10</v>
      </c>
      <c r="C551" t="s">
        <v>905</v>
      </c>
      <c r="D551" t="s">
        <v>11</v>
      </c>
      <c r="E551" s="2">
        <v>-1E-3</v>
      </c>
      <c r="F551" t="s">
        <v>12</v>
      </c>
      <c r="G551" s="4">
        <f>-0.1 / -0.1%</f>
        <v>100</v>
      </c>
      <c r="H551" t="s">
        <v>905</v>
      </c>
      <c r="I551" t="s">
        <v>6675</v>
      </c>
      <c r="J551" t="s">
        <v>6676</v>
      </c>
      <c r="K551" t="s">
        <v>23</v>
      </c>
      <c r="L551" s="2">
        <v>0.02</v>
      </c>
      <c r="M551" t="s">
        <v>2029</v>
      </c>
      <c r="N551" t="s">
        <v>28</v>
      </c>
      <c r="O551" t="s">
        <v>2030</v>
      </c>
      <c r="P551" t="s">
        <v>2877</v>
      </c>
      <c r="Q551" t="s">
        <v>897</v>
      </c>
      <c r="R551" t="s">
        <v>6677</v>
      </c>
      <c r="S551" t="s">
        <v>3530</v>
      </c>
      <c r="T551" t="s">
        <v>6678</v>
      </c>
      <c r="U551" t="s">
        <v>6139</v>
      </c>
      <c r="V551" t="s">
        <v>1299</v>
      </c>
      <c r="W551" t="s">
        <v>2009</v>
      </c>
      <c r="X551" t="s">
        <v>2009</v>
      </c>
      <c r="Y551" t="s">
        <v>2009</v>
      </c>
      <c r="Z551" t="s">
        <v>2009</v>
      </c>
      <c r="AA551" t="s">
        <v>3256</v>
      </c>
      <c r="AB551" s="2">
        <v>-6.7000000000000002E-3</v>
      </c>
      <c r="AC551" s="2">
        <v>-2.0999999999999999E-3</v>
      </c>
      <c r="AD551" s="2">
        <v>2.3400000000000001E-2</v>
      </c>
      <c r="AE551" s="2">
        <v>3.39E-2</v>
      </c>
      <c r="AF551" s="2">
        <v>5.3199999999999997E-2</v>
      </c>
      <c r="AG551" s="2">
        <v>-3.5200000000000002E-2</v>
      </c>
      <c r="AH551" t="s">
        <v>977</v>
      </c>
      <c r="AI551" t="s">
        <v>620</v>
      </c>
      <c r="AJ551" t="s">
        <v>131</v>
      </c>
      <c r="AK551" t="s">
        <v>40</v>
      </c>
      <c r="AL551">
        <v>1</v>
      </c>
      <c r="AM551" t="s">
        <v>41</v>
      </c>
      <c r="AN551" t="s">
        <v>42</v>
      </c>
      <c r="AO551" t="s">
        <v>2030</v>
      </c>
      <c r="AP551" t="s">
        <v>978</v>
      </c>
      <c r="AQ551">
        <v>1</v>
      </c>
      <c r="BA551" t="s">
        <v>59</v>
      </c>
      <c r="BB551" t="s">
        <v>61</v>
      </c>
    </row>
    <row r="552" spans="1:54" x14ac:dyDescent="0.4">
      <c r="A552" t="s">
        <v>9</v>
      </c>
      <c r="B552" t="s">
        <v>10</v>
      </c>
      <c r="C552" t="s">
        <v>1425</v>
      </c>
      <c r="D552" t="s">
        <v>11</v>
      </c>
      <c r="E552" s="2">
        <v>-5.0000000000000001E-4</v>
      </c>
      <c r="F552" t="s">
        <v>12</v>
      </c>
      <c r="G552" s="4">
        <f>-0.05 / -0.05%</f>
        <v>100</v>
      </c>
      <c r="H552" t="s">
        <v>1425</v>
      </c>
      <c r="I552" t="s">
        <v>1426</v>
      </c>
      <c r="J552" t="s">
        <v>1427</v>
      </c>
      <c r="K552" t="s">
        <v>23</v>
      </c>
      <c r="L552" s="2">
        <v>1.4999999999999999E-2</v>
      </c>
      <c r="M552" t="s">
        <v>1428</v>
      </c>
      <c r="N552" t="s">
        <v>28</v>
      </c>
      <c r="O552" t="s">
        <v>734</v>
      </c>
      <c r="P552" t="s">
        <v>1074</v>
      </c>
      <c r="Q552" t="s">
        <v>403</v>
      </c>
      <c r="R552" t="s">
        <v>177</v>
      </c>
      <c r="S552" t="s">
        <v>1429</v>
      </c>
      <c r="T552" t="s">
        <v>1430</v>
      </c>
      <c r="U552" t="s">
        <v>1430</v>
      </c>
      <c r="V552" t="s">
        <v>1054</v>
      </c>
      <c r="W552" t="s">
        <v>1336</v>
      </c>
      <c r="X552" t="s">
        <v>1336</v>
      </c>
      <c r="Y552" t="s">
        <v>1336</v>
      </c>
      <c r="Z552" t="s">
        <v>1336</v>
      </c>
      <c r="AA552" t="s">
        <v>167</v>
      </c>
      <c r="AB552" s="2">
        <v>-3.5999999999999999E-3</v>
      </c>
      <c r="AC552" s="2">
        <v>5.0000000000000001E-4</v>
      </c>
      <c r="AD552" s="2">
        <v>2.3199999999999998E-2</v>
      </c>
      <c r="AE552" s="2">
        <v>3.5200000000000002E-2</v>
      </c>
      <c r="AF552" s="2">
        <v>0.06</v>
      </c>
      <c r="AG552" s="2">
        <v>-9.7000000000000003E-3</v>
      </c>
      <c r="AH552" t="s">
        <v>977</v>
      </c>
      <c r="AI552" t="s">
        <v>620</v>
      </c>
      <c r="AJ552" t="s">
        <v>131</v>
      </c>
      <c r="AK552" t="s">
        <v>40</v>
      </c>
      <c r="AL552">
        <v>1</v>
      </c>
      <c r="AM552" t="s">
        <v>41</v>
      </c>
      <c r="AN552" t="s">
        <v>42</v>
      </c>
      <c r="AO552" t="s">
        <v>734</v>
      </c>
      <c r="AP552" t="s">
        <v>978</v>
      </c>
      <c r="AQ552">
        <v>1</v>
      </c>
      <c r="BA552" t="s">
        <v>59</v>
      </c>
      <c r="BB552" t="s">
        <v>61</v>
      </c>
    </row>
    <row r="553" spans="1:54" x14ac:dyDescent="0.4">
      <c r="A553" t="s">
        <v>9</v>
      </c>
      <c r="B553" t="s">
        <v>10</v>
      </c>
      <c r="C553" t="s">
        <v>1183</v>
      </c>
      <c r="D553" t="s">
        <v>11</v>
      </c>
      <c r="E553" s="2">
        <v>0</v>
      </c>
      <c r="F553" t="s">
        <v>12</v>
      </c>
      <c r="G553" s="4" t="s">
        <v>15</v>
      </c>
      <c r="H553" t="s">
        <v>1183</v>
      </c>
      <c r="I553" t="s">
        <v>2027</v>
      </c>
      <c r="J553" t="s">
        <v>2028</v>
      </c>
      <c r="K553" t="s">
        <v>23</v>
      </c>
      <c r="L553" s="2">
        <v>1.4999999999999999E-2</v>
      </c>
      <c r="M553" t="s">
        <v>2029</v>
      </c>
      <c r="N553" t="s">
        <v>28</v>
      </c>
      <c r="O553" t="s">
        <v>2030</v>
      </c>
      <c r="P553" t="s">
        <v>625</v>
      </c>
      <c r="Q553" t="s">
        <v>1543</v>
      </c>
      <c r="R553" t="s">
        <v>1232</v>
      </c>
      <c r="S553" t="s">
        <v>2031</v>
      </c>
      <c r="T553" t="s">
        <v>2032</v>
      </c>
      <c r="U553" t="s">
        <v>2032</v>
      </c>
      <c r="V553" t="s">
        <v>2008</v>
      </c>
      <c r="W553" t="s">
        <v>167</v>
      </c>
      <c r="X553" t="s">
        <v>167</v>
      </c>
      <c r="Y553" t="s">
        <v>167</v>
      </c>
      <c r="Z553" t="s">
        <v>167</v>
      </c>
      <c r="AA553" t="s">
        <v>919</v>
      </c>
      <c r="AB553" s="2">
        <v>-2E-3</v>
      </c>
      <c r="AC553" s="2">
        <v>2E-3</v>
      </c>
      <c r="AD553" s="2">
        <v>2.29E-2</v>
      </c>
      <c r="AE553" s="2">
        <v>3.3700000000000001E-2</v>
      </c>
      <c r="AF553" s="2">
        <v>5.6500000000000002E-2</v>
      </c>
      <c r="AG553" s="2">
        <v>-1.55E-2</v>
      </c>
      <c r="AH553" t="s">
        <v>977</v>
      </c>
      <c r="AI553" t="s">
        <v>620</v>
      </c>
      <c r="AJ553" t="s">
        <v>131</v>
      </c>
      <c r="AK553" t="s">
        <v>40</v>
      </c>
      <c r="AL553">
        <v>1</v>
      </c>
      <c r="AM553" t="s">
        <v>41</v>
      </c>
      <c r="AN553" t="s">
        <v>42</v>
      </c>
      <c r="AO553" t="s">
        <v>2030</v>
      </c>
      <c r="AP553" t="s">
        <v>978</v>
      </c>
      <c r="AQ553">
        <v>1</v>
      </c>
      <c r="BA553" t="s">
        <v>59</v>
      </c>
      <c r="BB553" t="s">
        <v>61</v>
      </c>
    </row>
    <row r="554" spans="1:54" x14ac:dyDescent="0.4">
      <c r="A554" t="s">
        <v>76</v>
      </c>
      <c r="B554" t="s">
        <v>10</v>
      </c>
      <c r="C554" t="s">
        <v>5232</v>
      </c>
      <c r="D554" t="s">
        <v>11</v>
      </c>
      <c r="E554" s="2">
        <v>-5.0000000000000001E-4</v>
      </c>
      <c r="F554" t="s">
        <v>12</v>
      </c>
      <c r="G554" s="4">
        <f>-0.05 / -0.05%</f>
        <v>100</v>
      </c>
      <c r="H554" t="s">
        <v>5232</v>
      </c>
      <c r="I554" t="s">
        <v>5995</v>
      </c>
      <c r="J554" t="s">
        <v>5996</v>
      </c>
      <c r="K554" t="s">
        <v>23</v>
      </c>
      <c r="L554" s="2">
        <v>1.4999999999999999E-2</v>
      </c>
      <c r="M554" t="s">
        <v>81</v>
      </c>
      <c r="N554" t="s">
        <v>28</v>
      </c>
      <c r="O554" t="s">
        <v>2810</v>
      </c>
      <c r="P554" t="s">
        <v>695</v>
      </c>
      <c r="Q554" t="s">
        <v>3717</v>
      </c>
      <c r="R554" t="s">
        <v>5426</v>
      </c>
      <c r="S554" t="s">
        <v>5997</v>
      </c>
      <c r="T554" t="s">
        <v>844</v>
      </c>
      <c r="U554" t="s">
        <v>5377</v>
      </c>
      <c r="V554" t="s">
        <v>3042</v>
      </c>
      <c r="W554" t="s">
        <v>2679</v>
      </c>
      <c r="X554" t="s">
        <v>2679</v>
      </c>
      <c r="Y554" t="s">
        <v>2679</v>
      </c>
      <c r="Z554" t="s">
        <v>2679</v>
      </c>
      <c r="AA554" t="s">
        <v>2466</v>
      </c>
      <c r="AB554" s="2">
        <v>-6.3E-3</v>
      </c>
      <c r="AC554" s="2">
        <v>-1.6000000000000001E-3</v>
      </c>
      <c r="AD554" s="2">
        <v>2.4500000000000001E-2</v>
      </c>
      <c r="AE554" s="2">
        <v>3.6400000000000002E-2</v>
      </c>
      <c r="AF554" s="2">
        <v>6.2199999999999998E-2</v>
      </c>
      <c r="AG554" s="2">
        <v>-5.6300000000000003E-2</v>
      </c>
      <c r="AH554" t="s">
        <v>977</v>
      </c>
      <c r="AI554" t="s">
        <v>620</v>
      </c>
      <c r="AJ554" t="s">
        <v>131</v>
      </c>
      <c r="AK554" t="s">
        <v>40</v>
      </c>
      <c r="AL554">
        <v>1</v>
      </c>
      <c r="AM554" t="s">
        <v>41</v>
      </c>
      <c r="AN554" t="s">
        <v>42</v>
      </c>
      <c r="AO554" t="s">
        <v>2810</v>
      </c>
      <c r="AP554" t="s">
        <v>978</v>
      </c>
      <c r="AQ554">
        <v>1</v>
      </c>
      <c r="BA554" t="s">
        <v>59</v>
      </c>
      <c r="BB554" t="s">
        <v>61</v>
      </c>
    </row>
    <row r="555" spans="1:54" x14ac:dyDescent="0.4">
      <c r="A555" t="s">
        <v>76</v>
      </c>
      <c r="B555" t="s">
        <v>10</v>
      </c>
      <c r="C555" t="s">
        <v>2588</v>
      </c>
      <c r="D555" t="s">
        <v>11</v>
      </c>
      <c r="E555" s="2">
        <v>-1.1000000000000001E-3</v>
      </c>
      <c r="F555" t="s">
        <v>12</v>
      </c>
      <c r="G555" s="4">
        <f>-0.1 / -0.11%</f>
        <v>90.909090909090907</v>
      </c>
      <c r="H555" t="s">
        <v>2588</v>
      </c>
      <c r="I555" t="s">
        <v>5998</v>
      </c>
      <c r="J555" t="s">
        <v>5999</v>
      </c>
      <c r="K555" t="s">
        <v>23</v>
      </c>
      <c r="L555" s="2">
        <v>1.4999999999999999E-2</v>
      </c>
      <c r="M555" t="s">
        <v>81</v>
      </c>
      <c r="N555" t="s">
        <v>28</v>
      </c>
      <c r="O555" t="s">
        <v>2810</v>
      </c>
      <c r="P555" t="s">
        <v>4145</v>
      </c>
      <c r="Q555" t="s">
        <v>4145</v>
      </c>
      <c r="R555" t="s">
        <v>2821</v>
      </c>
      <c r="S555" t="s">
        <v>756</v>
      </c>
      <c r="T555" t="s">
        <v>967</v>
      </c>
      <c r="U555" t="s">
        <v>2279</v>
      </c>
      <c r="V555" t="s">
        <v>4694</v>
      </c>
      <c r="W555" t="s">
        <v>6000</v>
      </c>
      <c r="X555" t="s">
        <v>6000</v>
      </c>
      <c r="Y555" t="s">
        <v>6000</v>
      </c>
      <c r="Z555" t="s">
        <v>6000</v>
      </c>
      <c r="AA555" t="s">
        <v>2427</v>
      </c>
      <c r="AB555" s="2">
        <v>-9.9000000000000008E-3</v>
      </c>
      <c r="AC555" s="2">
        <v>-2.8E-3</v>
      </c>
      <c r="AD555" s="2">
        <v>2.9100000000000001E-2</v>
      </c>
      <c r="AE555" s="2">
        <v>4.3999999999999997E-2</v>
      </c>
      <c r="AF555" s="2">
        <v>6.4899999999999999E-2</v>
      </c>
      <c r="AG555" s="2">
        <v>-9.3899999999999997E-2</v>
      </c>
      <c r="AH555" t="s">
        <v>977</v>
      </c>
      <c r="AI555" t="s">
        <v>620</v>
      </c>
      <c r="AJ555" t="s">
        <v>131</v>
      </c>
      <c r="AK555" t="s">
        <v>40</v>
      </c>
      <c r="AL555">
        <v>1</v>
      </c>
      <c r="AM555" t="s">
        <v>41</v>
      </c>
      <c r="AN555" t="s">
        <v>42</v>
      </c>
      <c r="AO555" t="s">
        <v>2810</v>
      </c>
      <c r="AP555" t="s">
        <v>978</v>
      </c>
      <c r="AQ555">
        <v>1</v>
      </c>
      <c r="BA555" t="s">
        <v>59</v>
      </c>
      <c r="BB555" t="s">
        <v>61</v>
      </c>
    </row>
    <row r="556" spans="1:54" x14ac:dyDescent="0.4">
      <c r="A556" t="s">
        <v>9</v>
      </c>
      <c r="B556" t="s">
        <v>10</v>
      </c>
      <c r="C556" t="s">
        <v>3109</v>
      </c>
      <c r="D556" t="s">
        <v>11</v>
      </c>
      <c r="E556" s="2">
        <v>-5.0000000000000001E-4</v>
      </c>
      <c r="F556" t="s">
        <v>12</v>
      </c>
      <c r="G556" s="4">
        <f>-0.05 / -0.05%</f>
        <v>100</v>
      </c>
      <c r="H556" t="s">
        <v>3109</v>
      </c>
      <c r="I556" t="s">
        <v>6670</v>
      </c>
      <c r="J556" t="s">
        <v>6671</v>
      </c>
      <c r="K556" t="s">
        <v>23</v>
      </c>
      <c r="L556" s="2">
        <v>1.4999999999999999E-2</v>
      </c>
      <c r="M556" t="s">
        <v>6672</v>
      </c>
      <c r="N556" t="s">
        <v>28</v>
      </c>
      <c r="O556" t="s">
        <v>6673</v>
      </c>
      <c r="P556" t="s">
        <v>1255</v>
      </c>
      <c r="Q556" t="s">
        <v>1074</v>
      </c>
      <c r="R556" t="s">
        <v>2679</v>
      </c>
      <c r="S556" t="s">
        <v>4752</v>
      </c>
      <c r="T556" t="s">
        <v>6674</v>
      </c>
      <c r="U556" t="s">
        <v>6674</v>
      </c>
      <c r="V556" t="s">
        <v>2417</v>
      </c>
      <c r="W556" t="s">
        <v>1386</v>
      </c>
      <c r="X556" t="s">
        <v>1386</v>
      </c>
      <c r="Y556" t="s">
        <v>1386</v>
      </c>
      <c r="Z556" t="s">
        <v>1386</v>
      </c>
      <c r="AA556" t="s">
        <v>1065</v>
      </c>
      <c r="AB556" s="2">
        <v>-3.0999999999999999E-3</v>
      </c>
      <c r="AC556" s="2">
        <v>1.5E-3</v>
      </c>
      <c r="AD556" s="2">
        <v>2.52E-2</v>
      </c>
      <c r="AE556" s="2">
        <v>3.6600000000000001E-2</v>
      </c>
      <c r="AF556" s="2">
        <v>5.8000000000000003E-2</v>
      </c>
      <c r="AG556" s="2">
        <v>-6.6E-3</v>
      </c>
      <c r="AH556" t="s">
        <v>977</v>
      </c>
      <c r="AI556" t="s">
        <v>620</v>
      </c>
      <c r="AJ556" t="s">
        <v>131</v>
      </c>
      <c r="AK556" t="s">
        <v>40</v>
      </c>
      <c r="AL556">
        <v>1</v>
      </c>
      <c r="AM556" t="s">
        <v>41</v>
      </c>
      <c r="AN556" t="s">
        <v>42</v>
      </c>
      <c r="AO556" t="s">
        <v>6673</v>
      </c>
      <c r="AP556" t="s">
        <v>978</v>
      </c>
      <c r="AQ556">
        <v>1</v>
      </c>
      <c r="BA556" t="s">
        <v>59</v>
      </c>
      <c r="BB556" t="s">
        <v>61</v>
      </c>
    </row>
    <row r="557" spans="1:54" x14ac:dyDescent="0.4">
      <c r="A557" t="s">
        <v>76</v>
      </c>
      <c r="B557" t="s">
        <v>10</v>
      </c>
      <c r="C557" t="s">
        <v>4112</v>
      </c>
      <c r="D557" t="s">
        <v>11</v>
      </c>
      <c r="E557" s="2">
        <v>-1.1000000000000001E-3</v>
      </c>
      <c r="F557" t="s">
        <v>12</v>
      </c>
      <c r="G557" s="4">
        <f>-0.1 / -0.11%</f>
        <v>90.909090909090907</v>
      </c>
      <c r="H557" t="s">
        <v>4112</v>
      </c>
      <c r="I557" t="s">
        <v>4688</v>
      </c>
      <c r="J557" t="s">
        <v>4689</v>
      </c>
      <c r="K557" t="s">
        <v>23</v>
      </c>
      <c r="L557" s="2">
        <v>1.4500000000000001E-2</v>
      </c>
      <c r="M557" t="s">
        <v>3011</v>
      </c>
      <c r="N557" t="s">
        <v>28</v>
      </c>
      <c r="O557" t="s">
        <v>1252</v>
      </c>
      <c r="P557" t="s">
        <v>4690</v>
      </c>
      <c r="Q557" t="s">
        <v>4690</v>
      </c>
      <c r="R557" t="s">
        <v>3820</v>
      </c>
      <c r="S557" t="s">
        <v>4691</v>
      </c>
      <c r="T557" t="s">
        <v>4692</v>
      </c>
      <c r="U557" t="s">
        <v>4693</v>
      </c>
      <c r="V557" t="s">
        <v>2032</v>
      </c>
      <c r="W557" t="s">
        <v>4694</v>
      </c>
      <c r="X557" t="s">
        <v>4694</v>
      </c>
      <c r="Y557" t="s">
        <v>4694</v>
      </c>
      <c r="Z557" t="s">
        <v>4694</v>
      </c>
      <c r="AA557" t="s">
        <v>241</v>
      </c>
      <c r="AB557" s="2">
        <v>-9.4000000000000004E-3</v>
      </c>
      <c r="AC557" s="2">
        <v>-3.8999999999999998E-3</v>
      </c>
      <c r="AD557" s="2">
        <v>2.52E-2</v>
      </c>
      <c r="AE557" s="2">
        <v>3.9E-2</v>
      </c>
      <c r="AF557" s="2">
        <v>5.8599999999999999E-2</v>
      </c>
      <c r="AG557" s="2">
        <v>-9.3799999999999994E-2</v>
      </c>
      <c r="AH557" t="s">
        <v>977</v>
      </c>
      <c r="AI557" t="s">
        <v>620</v>
      </c>
      <c r="AJ557" t="s">
        <v>131</v>
      </c>
      <c r="AK557" t="s">
        <v>40</v>
      </c>
      <c r="AL557">
        <v>1</v>
      </c>
      <c r="AM557" t="s">
        <v>41</v>
      </c>
      <c r="AN557" t="s">
        <v>42</v>
      </c>
      <c r="AO557" t="s">
        <v>1252</v>
      </c>
      <c r="AP557" t="s">
        <v>978</v>
      </c>
      <c r="AQ557">
        <v>1</v>
      </c>
      <c r="BA557" t="s">
        <v>59</v>
      </c>
      <c r="BB557" t="s">
        <v>61</v>
      </c>
    </row>
    <row r="558" spans="1:54" x14ac:dyDescent="0.4">
      <c r="A558" t="s">
        <v>76</v>
      </c>
      <c r="B558" t="s">
        <v>10</v>
      </c>
      <c r="C558" t="s">
        <v>2196</v>
      </c>
      <c r="D558" t="s">
        <v>11</v>
      </c>
      <c r="E558" s="2">
        <v>-1.2999999999999999E-3</v>
      </c>
      <c r="F558" t="s">
        <v>12</v>
      </c>
      <c r="G558" s="4">
        <f>-0.1 / -0.13%</f>
        <v>76.923076923076934</v>
      </c>
      <c r="H558" t="s">
        <v>2196</v>
      </c>
      <c r="I558" t="s">
        <v>2197</v>
      </c>
      <c r="J558" t="s">
        <v>2198</v>
      </c>
      <c r="K558" t="s">
        <v>23</v>
      </c>
      <c r="L558" s="2">
        <v>1.15E-2</v>
      </c>
      <c r="M558" t="s">
        <v>2199</v>
      </c>
      <c r="N558" t="s">
        <v>28</v>
      </c>
      <c r="O558" t="s">
        <v>2200</v>
      </c>
      <c r="P558" t="s">
        <v>1311</v>
      </c>
      <c r="Q558" t="s">
        <v>1311</v>
      </c>
      <c r="R558" t="s">
        <v>2201</v>
      </c>
      <c r="S558" t="s">
        <v>2202</v>
      </c>
      <c r="T558" t="s">
        <v>2203</v>
      </c>
      <c r="U558" t="s">
        <v>2204</v>
      </c>
      <c r="V558" t="s">
        <v>2205</v>
      </c>
      <c r="W558" t="s">
        <v>2206</v>
      </c>
      <c r="X558" t="s">
        <v>2206</v>
      </c>
      <c r="Y558" t="s">
        <v>2206</v>
      </c>
      <c r="Z558" t="s">
        <v>2206</v>
      </c>
      <c r="AA558" t="s">
        <v>640</v>
      </c>
      <c r="AB558" s="2">
        <v>-1.7600000000000001E-2</v>
      </c>
      <c r="AC558" s="2">
        <v>-2.5999999999999999E-3</v>
      </c>
      <c r="AD558" s="2">
        <v>3.4299999999999997E-2</v>
      </c>
      <c r="AE558" s="2">
        <v>5.3900000000000003E-2</v>
      </c>
      <c r="AF558" s="2">
        <v>6.4299999999999996E-2</v>
      </c>
      <c r="AG558" s="2">
        <v>-0.21809999999999999</v>
      </c>
      <c r="AH558" t="s">
        <v>977</v>
      </c>
      <c r="AI558" t="s">
        <v>620</v>
      </c>
      <c r="AJ558" t="s">
        <v>131</v>
      </c>
      <c r="AK558" t="s">
        <v>40</v>
      </c>
      <c r="AL558">
        <v>1</v>
      </c>
      <c r="AM558" t="s">
        <v>41</v>
      </c>
      <c r="AN558" t="s">
        <v>42</v>
      </c>
      <c r="AO558" t="s">
        <v>2200</v>
      </c>
      <c r="AP558" t="s">
        <v>978</v>
      </c>
      <c r="AQ558">
        <v>1</v>
      </c>
      <c r="BA558" t="s">
        <v>59</v>
      </c>
      <c r="BB558" t="s">
        <v>61</v>
      </c>
    </row>
    <row r="559" spans="1:54" x14ac:dyDescent="0.4">
      <c r="A559" t="s">
        <v>76</v>
      </c>
      <c r="B559" t="s">
        <v>10</v>
      </c>
      <c r="C559" t="s">
        <v>3469</v>
      </c>
      <c r="D559" t="s">
        <v>11</v>
      </c>
      <c r="E559" s="2">
        <v>-1.1999999999999999E-3</v>
      </c>
      <c r="F559" t="s">
        <v>12</v>
      </c>
      <c r="G559" s="4">
        <f>-0.1 / -0.12%</f>
        <v>83.333333333333343</v>
      </c>
      <c r="H559" t="s">
        <v>3469</v>
      </c>
      <c r="I559" t="s">
        <v>3470</v>
      </c>
      <c r="J559" t="s">
        <v>3471</v>
      </c>
      <c r="K559" t="s">
        <v>23</v>
      </c>
      <c r="L559" s="2">
        <v>0.01</v>
      </c>
      <c r="M559" t="s">
        <v>3472</v>
      </c>
      <c r="N559" t="s">
        <v>28</v>
      </c>
      <c r="O559" t="s">
        <v>3473</v>
      </c>
      <c r="P559" t="s">
        <v>3474</v>
      </c>
      <c r="Q559" t="s">
        <v>3474</v>
      </c>
      <c r="R559" t="s">
        <v>784</v>
      </c>
      <c r="S559" t="s">
        <v>3475</v>
      </c>
      <c r="T559" t="s">
        <v>3476</v>
      </c>
      <c r="U559" t="s">
        <v>3477</v>
      </c>
      <c r="V559" t="s">
        <v>1570</v>
      </c>
      <c r="W559" t="s">
        <v>3478</v>
      </c>
      <c r="X559" t="s">
        <v>3478</v>
      </c>
      <c r="Y559" t="s">
        <v>3478</v>
      </c>
      <c r="Z559" t="s">
        <v>3478</v>
      </c>
      <c r="AA559" t="s">
        <v>640</v>
      </c>
      <c r="AB559" s="2">
        <v>-1.35E-2</v>
      </c>
      <c r="AC559" s="2">
        <v>-2.5000000000000001E-3</v>
      </c>
      <c r="AD559" s="2">
        <v>3.3300000000000003E-2</v>
      </c>
      <c r="AE559" s="2">
        <v>5.57E-2</v>
      </c>
      <c r="AF559" s="2">
        <v>8.6300000000000002E-2</v>
      </c>
      <c r="AG559" s="2">
        <v>-0.16300000000000001</v>
      </c>
      <c r="AH559" t="s">
        <v>977</v>
      </c>
      <c r="AI559" t="s">
        <v>620</v>
      </c>
      <c r="AJ559" t="s">
        <v>131</v>
      </c>
      <c r="AK559" t="s">
        <v>40</v>
      </c>
      <c r="AL559">
        <v>1</v>
      </c>
      <c r="AM559" t="s">
        <v>41</v>
      </c>
      <c r="AN559" t="s">
        <v>42</v>
      </c>
      <c r="AO559" t="s">
        <v>3473</v>
      </c>
      <c r="AP559" t="s">
        <v>978</v>
      </c>
      <c r="AQ559">
        <v>1</v>
      </c>
      <c r="BA559" t="s">
        <v>59</v>
      </c>
      <c r="BB559" t="s">
        <v>61</v>
      </c>
    </row>
    <row r="560" spans="1:54" x14ac:dyDescent="0.4">
      <c r="A560" t="s">
        <v>9</v>
      </c>
      <c r="B560" t="s">
        <v>10</v>
      </c>
      <c r="C560" t="s">
        <v>403</v>
      </c>
      <c r="D560" t="s">
        <v>11</v>
      </c>
      <c r="E560" s="2">
        <v>-5.0000000000000001E-4</v>
      </c>
      <c r="F560" t="s">
        <v>12</v>
      </c>
      <c r="G560" s="4">
        <f>-0.05 / -0.05%</f>
        <v>100</v>
      </c>
      <c r="H560" t="s">
        <v>403</v>
      </c>
      <c r="I560" t="s">
        <v>6643</v>
      </c>
      <c r="J560" t="s">
        <v>6644</v>
      </c>
      <c r="K560" t="s">
        <v>23</v>
      </c>
      <c r="L560" s="2">
        <v>0.01</v>
      </c>
      <c r="M560" t="s">
        <v>3011</v>
      </c>
      <c r="N560" t="s">
        <v>28</v>
      </c>
      <c r="O560" t="s">
        <v>1252</v>
      </c>
      <c r="P560" t="s">
        <v>1185</v>
      </c>
      <c r="Q560" t="s">
        <v>5322</v>
      </c>
      <c r="R560" t="s">
        <v>5232</v>
      </c>
      <c r="S560" t="s">
        <v>2010</v>
      </c>
      <c r="T560" t="s">
        <v>3487</v>
      </c>
      <c r="U560" t="s">
        <v>6645</v>
      </c>
      <c r="V560" t="s">
        <v>1425</v>
      </c>
      <c r="W560" t="s">
        <v>1255</v>
      </c>
      <c r="X560" t="s">
        <v>1255</v>
      </c>
      <c r="Y560" t="s">
        <v>1255</v>
      </c>
      <c r="Z560" t="s">
        <v>1255</v>
      </c>
      <c r="AA560" t="s">
        <v>153</v>
      </c>
      <c r="AB560" s="2">
        <v>-4.1000000000000003E-3</v>
      </c>
      <c r="AC560" s="2">
        <v>1E-3</v>
      </c>
      <c r="AD560" s="2">
        <v>2.7099999999999999E-2</v>
      </c>
      <c r="AE560" s="2">
        <v>4.1000000000000002E-2</v>
      </c>
      <c r="AF560" s="2">
        <v>6.7400000000000002E-2</v>
      </c>
      <c r="AG560" s="2">
        <v>-2.3800000000000002E-2</v>
      </c>
      <c r="AH560" t="s">
        <v>977</v>
      </c>
      <c r="AI560" t="s">
        <v>620</v>
      </c>
      <c r="AJ560" t="s">
        <v>131</v>
      </c>
      <c r="AK560" t="s">
        <v>40</v>
      </c>
      <c r="AL560">
        <v>1</v>
      </c>
      <c r="AM560" t="s">
        <v>41</v>
      </c>
      <c r="AN560" t="s">
        <v>42</v>
      </c>
      <c r="AO560" t="s">
        <v>1252</v>
      </c>
      <c r="AP560" t="s">
        <v>978</v>
      </c>
      <c r="AQ560">
        <v>1</v>
      </c>
      <c r="BA560" t="s">
        <v>59</v>
      </c>
      <c r="BB560" t="s">
        <v>61</v>
      </c>
    </row>
    <row r="561" spans="1:54" x14ac:dyDescent="0.4">
      <c r="A561" t="s">
        <v>76</v>
      </c>
      <c r="B561" t="s">
        <v>10</v>
      </c>
      <c r="C561" t="s">
        <v>3737</v>
      </c>
      <c r="D561" t="s">
        <v>11</v>
      </c>
      <c r="E561" s="2">
        <v>-1.4E-3</v>
      </c>
      <c r="F561" t="s">
        <v>12</v>
      </c>
      <c r="G561" s="4">
        <f>-0.1 / -0.14%</f>
        <v>71.428571428571416</v>
      </c>
      <c r="H561" t="s">
        <v>3737</v>
      </c>
      <c r="I561" t="s">
        <v>3738</v>
      </c>
      <c r="J561" t="s">
        <v>3739</v>
      </c>
      <c r="K561" t="s">
        <v>23</v>
      </c>
      <c r="L561" s="2">
        <v>8.0000000000000002E-3</v>
      </c>
      <c r="M561" t="s">
        <v>3740</v>
      </c>
      <c r="N561" t="s">
        <v>28</v>
      </c>
      <c r="O561" t="s">
        <v>3741</v>
      </c>
      <c r="P561" t="s">
        <v>3742</v>
      </c>
      <c r="Q561" t="s">
        <v>3742</v>
      </c>
      <c r="R561" t="s">
        <v>3743</v>
      </c>
      <c r="S561" t="s">
        <v>3744</v>
      </c>
      <c r="T561" t="s">
        <v>1307</v>
      </c>
      <c r="U561" t="s">
        <v>3745</v>
      </c>
      <c r="V561" t="s">
        <v>3746</v>
      </c>
      <c r="W561" t="s">
        <v>3747</v>
      </c>
      <c r="X561" t="s">
        <v>3747</v>
      </c>
      <c r="Y561" t="s">
        <v>3747</v>
      </c>
      <c r="Z561" t="s">
        <v>3747</v>
      </c>
      <c r="AA561" t="s">
        <v>3748</v>
      </c>
      <c r="AB561" s="2">
        <v>-1.7399999999999999E-2</v>
      </c>
      <c r="AC561" s="2">
        <v>-2E-3</v>
      </c>
      <c r="AD561" s="2">
        <v>3.6700000000000003E-2</v>
      </c>
      <c r="AE561" s="2">
        <v>6.0699999999999997E-2</v>
      </c>
      <c r="AF561" s="2">
        <v>7.5499999999999998E-2</v>
      </c>
      <c r="AG561" s="2">
        <v>-0.2213</v>
      </c>
      <c r="AH561" t="s">
        <v>977</v>
      </c>
      <c r="AI561" t="s">
        <v>620</v>
      </c>
      <c r="AJ561" t="s">
        <v>131</v>
      </c>
      <c r="AK561" t="s">
        <v>40</v>
      </c>
      <c r="AL561">
        <v>1</v>
      </c>
      <c r="AM561" t="s">
        <v>41</v>
      </c>
      <c r="AN561" t="s">
        <v>42</v>
      </c>
      <c r="AO561" t="s">
        <v>3741</v>
      </c>
      <c r="AP561" t="s">
        <v>978</v>
      </c>
      <c r="AQ561">
        <v>1</v>
      </c>
      <c r="BA561" t="s">
        <v>59</v>
      </c>
      <c r="BB561" t="s">
        <v>61</v>
      </c>
    </row>
    <row r="562" spans="1:54" x14ac:dyDescent="0.4">
      <c r="A562" t="s">
        <v>76</v>
      </c>
      <c r="B562" t="s">
        <v>10</v>
      </c>
      <c r="C562" t="s">
        <v>2043</v>
      </c>
      <c r="D562" t="s">
        <v>11</v>
      </c>
      <c r="E562" s="2">
        <v>-1.2999999999999999E-3</v>
      </c>
      <c r="F562" t="s">
        <v>12</v>
      </c>
      <c r="G562" s="4">
        <f>-0.1 / -0.13%</f>
        <v>76.923076923076934</v>
      </c>
      <c r="H562" t="s">
        <v>2043</v>
      </c>
      <c r="I562" t="s">
        <v>2044</v>
      </c>
      <c r="J562" t="s">
        <v>2045</v>
      </c>
      <c r="K562" t="s">
        <v>23</v>
      </c>
      <c r="L562" s="2">
        <v>0.01</v>
      </c>
      <c r="M562" t="s">
        <v>2046</v>
      </c>
      <c r="N562" t="s">
        <v>28</v>
      </c>
      <c r="O562" t="s">
        <v>2047</v>
      </c>
      <c r="P562" t="s">
        <v>2048</v>
      </c>
      <c r="Q562" t="s">
        <v>2049</v>
      </c>
      <c r="R562" t="s">
        <v>2050</v>
      </c>
      <c r="S562" t="s">
        <v>2051</v>
      </c>
      <c r="T562" t="s">
        <v>1307</v>
      </c>
      <c r="U562" t="s">
        <v>2052</v>
      </c>
      <c r="V562" t="s">
        <v>2053</v>
      </c>
      <c r="W562" t="s">
        <v>2054</v>
      </c>
      <c r="X562" t="s">
        <v>2054</v>
      </c>
      <c r="Y562" t="s">
        <v>2054</v>
      </c>
      <c r="Z562" t="s">
        <v>2054</v>
      </c>
      <c r="AA562" t="s">
        <v>1553</v>
      </c>
      <c r="AB562" s="2">
        <v>-1.55E-2</v>
      </c>
      <c r="AC562" s="2">
        <v>-5.1999999999999998E-3</v>
      </c>
      <c r="AD562" s="2">
        <v>2.9600000000000001E-2</v>
      </c>
      <c r="AE562" s="2">
        <v>6.2600000000000003E-2</v>
      </c>
      <c r="AF562" s="2">
        <v>0.13189999999999999</v>
      </c>
      <c r="AG562" s="2">
        <v>-0.1983</v>
      </c>
      <c r="AH562" t="s">
        <v>977</v>
      </c>
      <c r="AI562" t="s">
        <v>620</v>
      </c>
      <c r="AJ562" t="s">
        <v>131</v>
      </c>
      <c r="AK562" t="s">
        <v>40</v>
      </c>
      <c r="AL562">
        <v>1</v>
      </c>
      <c r="AM562" t="s">
        <v>41</v>
      </c>
      <c r="AN562" t="s">
        <v>42</v>
      </c>
      <c r="AO562" t="s">
        <v>2047</v>
      </c>
      <c r="AP562" t="s">
        <v>2055</v>
      </c>
      <c r="AZ562">
        <v>1</v>
      </c>
      <c r="BA562" t="s">
        <v>59</v>
      </c>
    </row>
    <row r="563" spans="1:54" x14ac:dyDescent="0.4">
      <c r="A563" t="s">
        <v>9</v>
      </c>
      <c r="B563" t="s">
        <v>10</v>
      </c>
      <c r="C563" t="s">
        <v>6021</v>
      </c>
      <c r="D563" t="s">
        <v>11</v>
      </c>
      <c r="E563" s="2">
        <v>-3.3999999999999998E-3</v>
      </c>
      <c r="F563" t="s">
        <v>12</v>
      </c>
      <c r="G563" s="4">
        <f>-0.3 / -0.34%</f>
        <v>88.235294117647044</v>
      </c>
      <c r="H563" t="s">
        <v>6021</v>
      </c>
      <c r="I563" t="s">
        <v>6636</v>
      </c>
      <c r="J563" t="s">
        <v>6637</v>
      </c>
      <c r="K563" t="s">
        <v>23</v>
      </c>
      <c r="M563" t="s">
        <v>4364</v>
      </c>
      <c r="N563" t="s">
        <v>28</v>
      </c>
      <c r="O563" t="s">
        <v>6638</v>
      </c>
      <c r="P563" t="s">
        <v>5652</v>
      </c>
      <c r="Q563" t="s">
        <v>5652</v>
      </c>
      <c r="R563" t="s">
        <v>6639</v>
      </c>
      <c r="S563" t="s">
        <v>6640</v>
      </c>
      <c r="T563" t="s">
        <v>6641</v>
      </c>
      <c r="U563" t="s">
        <v>2049</v>
      </c>
      <c r="V563" t="s">
        <v>4113</v>
      </c>
      <c r="W563" t="s">
        <v>6642</v>
      </c>
      <c r="X563" t="s">
        <v>1027</v>
      </c>
      <c r="Y563" t="s">
        <v>1027</v>
      </c>
      <c r="Z563" t="s">
        <v>1027</v>
      </c>
      <c r="AA563" t="s">
        <v>473</v>
      </c>
      <c r="AB563" s="2">
        <v>-1.0200000000000001E-2</v>
      </c>
      <c r="AC563" s="2">
        <v>-2.1299999999999999E-2</v>
      </c>
      <c r="AD563" s="2">
        <v>1.2800000000000001E-2</v>
      </c>
      <c r="AE563" s="2">
        <v>1.2800000000000001E-2</v>
      </c>
      <c r="AF563" s="2">
        <v>8.8700000000000001E-2</v>
      </c>
      <c r="AG563" s="2">
        <v>-0.1166</v>
      </c>
      <c r="AH563" t="s">
        <v>977</v>
      </c>
      <c r="AI563" t="s">
        <v>620</v>
      </c>
      <c r="AJ563" t="s">
        <v>131</v>
      </c>
      <c r="AK563" t="s">
        <v>40</v>
      </c>
      <c r="AL563">
        <v>1</v>
      </c>
      <c r="AM563" t="s">
        <v>41</v>
      </c>
      <c r="AN563" t="s">
        <v>42</v>
      </c>
      <c r="AO563" t="s">
        <v>6638</v>
      </c>
      <c r="AP563" t="s">
        <v>2055</v>
      </c>
      <c r="AQ563" t="s">
        <v>2055</v>
      </c>
      <c r="AR563" t="s">
        <v>48</v>
      </c>
      <c r="AS563" t="s">
        <v>48</v>
      </c>
      <c r="AT563" t="s">
        <v>6638</v>
      </c>
    </row>
    <row r="564" spans="1:54" x14ac:dyDescent="0.4">
      <c r="A564" t="s">
        <v>9</v>
      </c>
      <c r="B564" t="s">
        <v>10</v>
      </c>
      <c r="C564" t="s">
        <v>4495</v>
      </c>
      <c r="D564" t="s">
        <v>11</v>
      </c>
      <c r="E564" s="2">
        <v>-3.3999999999999998E-3</v>
      </c>
      <c r="F564" t="s">
        <v>12</v>
      </c>
      <c r="G564" s="4">
        <f>-0.3 / -0.34%</f>
        <v>88.235294117647044</v>
      </c>
      <c r="H564" t="s">
        <v>4495</v>
      </c>
      <c r="I564" t="s">
        <v>7154</v>
      </c>
      <c r="J564" t="s">
        <v>7155</v>
      </c>
      <c r="K564" t="s">
        <v>23</v>
      </c>
      <c r="M564" t="s">
        <v>7053</v>
      </c>
      <c r="N564" t="s">
        <v>28</v>
      </c>
      <c r="O564" t="s">
        <v>249</v>
      </c>
      <c r="P564" t="s">
        <v>3255</v>
      </c>
      <c r="Q564" t="s">
        <v>3255</v>
      </c>
      <c r="R564" t="s">
        <v>2429</v>
      </c>
      <c r="S564" t="s">
        <v>687</v>
      </c>
      <c r="T564" t="s">
        <v>7156</v>
      </c>
      <c r="U564" t="s">
        <v>7157</v>
      </c>
      <c r="V564" t="s">
        <v>2113</v>
      </c>
      <c r="W564" t="s">
        <v>1089</v>
      </c>
      <c r="X564" t="s">
        <v>1897</v>
      </c>
      <c r="Y564" t="s">
        <v>1897</v>
      </c>
      <c r="Z564" t="s">
        <v>1897</v>
      </c>
      <c r="AA564" t="s">
        <v>153</v>
      </c>
      <c r="AB564" s="2">
        <v>-1.01E-2</v>
      </c>
      <c r="AC564" s="2">
        <v>-1.89E-2</v>
      </c>
      <c r="AD564" s="2">
        <v>1.38E-2</v>
      </c>
      <c r="AE564" s="2">
        <v>9.1000000000000004E-3</v>
      </c>
      <c r="AF564" s="2">
        <v>8.3400000000000002E-2</v>
      </c>
      <c r="AG564" s="2">
        <v>-0.1108</v>
      </c>
      <c r="AH564" t="s">
        <v>977</v>
      </c>
      <c r="AI564" t="s">
        <v>620</v>
      </c>
      <c r="AJ564" t="s">
        <v>131</v>
      </c>
      <c r="AK564" t="s">
        <v>40</v>
      </c>
      <c r="AL564">
        <v>1</v>
      </c>
      <c r="AM564" t="s">
        <v>41</v>
      </c>
      <c r="AN564" t="s">
        <v>42</v>
      </c>
      <c r="AO564" t="s">
        <v>249</v>
      </c>
      <c r="AP564" t="s">
        <v>2055</v>
      </c>
      <c r="AQ564" t="s">
        <v>7158</v>
      </c>
      <c r="AR564" t="s">
        <v>48</v>
      </c>
      <c r="AS564" t="s">
        <v>48</v>
      </c>
      <c r="AT564" t="s">
        <v>249</v>
      </c>
    </row>
    <row r="565" spans="1:54" x14ac:dyDescent="0.4">
      <c r="A565" t="s">
        <v>76</v>
      </c>
      <c r="B565" t="s">
        <v>10</v>
      </c>
      <c r="C565" t="s">
        <v>2103</v>
      </c>
      <c r="D565" t="s">
        <v>11</v>
      </c>
      <c r="E565" s="2">
        <v>-4.5999999999999999E-3</v>
      </c>
      <c r="F565" t="s">
        <v>12</v>
      </c>
      <c r="G565" s="4">
        <f>-0.4 / -0.46%</f>
        <v>86.956521739130437</v>
      </c>
      <c r="H565" t="s">
        <v>2103</v>
      </c>
      <c r="I565" t="s">
        <v>2104</v>
      </c>
      <c r="J565" t="s">
        <v>2105</v>
      </c>
      <c r="K565" t="s">
        <v>23</v>
      </c>
      <c r="M565" t="s">
        <v>2106</v>
      </c>
      <c r="N565" t="s">
        <v>28</v>
      </c>
      <c r="O565" t="s">
        <v>2107</v>
      </c>
      <c r="P565" t="s">
        <v>751</v>
      </c>
      <c r="Q565" t="s">
        <v>751</v>
      </c>
      <c r="R565" t="s">
        <v>756</v>
      </c>
      <c r="S565" t="s">
        <v>2108</v>
      </c>
      <c r="T565" t="s">
        <v>2109</v>
      </c>
      <c r="U565" t="s">
        <v>2110</v>
      </c>
      <c r="V565" t="s">
        <v>2111</v>
      </c>
      <c r="W565" t="s">
        <v>2112</v>
      </c>
      <c r="X565" t="s">
        <v>2113</v>
      </c>
      <c r="Y565" t="s">
        <v>2113</v>
      </c>
      <c r="Z565" t="s">
        <v>2113</v>
      </c>
      <c r="AA565" t="s">
        <v>2114</v>
      </c>
      <c r="AB565" s="2">
        <v>-1.14E-2</v>
      </c>
      <c r="AC565" s="2">
        <v>-2.2499999999999999E-2</v>
      </c>
      <c r="AD565" s="2">
        <v>1.0500000000000001E-2</v>
      </c>
      <c r="AE565" s="2">
        <v>8.0999999999999996E-3</v>
      </c>
      <c r="AF565" s="2">
        <v>9.1899999999999996E-2</v>
      </c>
      <c r="AG565" s="2">
        <v>-0.11260000000000001</v>
      </c>
      <c r="AH565" t="s">
        <v>977</v>
      </c>
      <c r="AI565" t="s">
        <v>620</v>
      </c>
      <c r="AJ565" t="s">
        <v>131</v>
      </c>
      <c r="AK565" t="s">
        <v>40</v>
      </c>
      <c r="AL565">
        <v>1</v>
      </c>
      <c r="AM565" t="s">
        <v>41</v>
      </c>
      <c r="AN565" t="s">
        <v>42</v>
      </c>
      <c r="AO565" t="s">
        <v>2107</v>
      </c>
      <c r="AP565" t="s">
        <v>2055</v>
      </c>
      <c r="AQ565" t="s">
        <v>2055</v>
      </c>
      <c r="AR565" t="s">
        <v>48</v>
      </c>
      <c r="AS565" t="s">
        <v>48</v>
      </c>
      <c r="AT565" t="s">
        <v>2107</v>
      </c>
    </row>
    <row r="566" spans="1:54" x14ac:dyDescent="0.4">
      <c r="A566" t="s">
        <v>76</v>
      </c>
      <c r="B566" t="s">
        <v>10</v>
      </c>
      <c r="C566" t="s">
        <v>824</v>
      </c>
      <c r="D566" t="s">
        <v>11</v>
      </c>
      <c r="E566" s="2">
        <v>5.0000000000000001E-4</v>
      </c>
      <c r="F566" t="s">
        <v>12</v>
      </c>
      <c r="G566" s="4" t="s">
        <v>565</v>
      </c>
      <c r="H566" t="s">
        <v>824</v>
      </c>
      <c r="I566" t="s">
        <v>6663</v>
      </c>
      <c r="J566" t="s">
        <v>6664</v>
      </c>
      <c r="K566" t="s">
        <v>23</v>
      </c>
      <c r="L566" s="2">
        <v>6.1000000000000004E-3</v>
      </c>
      <c r="M566" t="s">
        <v>1466</v>
      </c>
      <c r="N566" t="s">
        <v>28</v>
      </c>
      <c r="O566" t="s">
        <v>6665</v>
      </c>
      <c r="P566" t="s">
        <v>1386</v>
      </c>
      <c r="Q566" t="s">
        <v>1502</v>
      </c>
      <c r="R566" t="s">
        <v>2410</v>
      </c>
      <c r="S566" t="s">
        <v>842</v>
      </c>
      <c r="T566" t="s">
        <v>4752</v>
      </c>
      <c r="U566" t="s">
        <v>4752</v>
      </c>
      <c r="V566" t="s">
        <v>824</v>
      </c>
      <c r="W566" t="s">
        <v>824</v>
      </c>
      <c r="X566" t="s">
        <v>824</v>
      </c>
      <c r="Y566" t="s">
        <v>824</v>
      </c>
      <c r="Z566" t="s">
        <v>824</v>
      </c>
      <c r="AA566" t="s">
        <v>2413</v>
      </c>
      <c r="AB566" s="2">
        <v>1E-3</v>
      </c>
      <c r="AC566" s="2">
        <v>5.5999999999999999E-3</v>
      </c>
      <c r="AD566" s="2">
        <v>2.0199999999999999E-2</v>
      </c>
      <c r="AE566" s="2">
        <v>2.07E-2</v>
      </c>
      <c r="AF566" s="2">
        <v>3.1399999999999997E-2</v>
      </c>
      <c r="AG566" s="2">
        <v>-7.6E-3</v>
      </c>
      <c r="AH566" t="s">
        <v>977</v>
      </c>
      <c r="AI566" t="s">
        <v>620</v>
      </c>
      <c r="AJ566" t="s">
        <v>131</v>
      </c>
      <c r="AK566" t="s">
        <v>40</v>
      </c>
      <c r="AL566">
        <v>500</v>
      </c>
      <c r="AM566" t="s">
        <v>41</v>
      </c>
      <c r="AN566" t="s">
        <v>42</v>
      </c>
      <c r="AO566" t="s">
        <v>6665</v>
      </c>
      <c r="AP566" t="s">
        <v>835</v>
      </c>
      <c r="AQ566" t="s">
        <v>6666</v>
      </c>
      <c r="AR566" t="s">
        <v>48</v>
      </c>
      <c r="AS566" t="s">
        <v>48</v>
      </c>
    </row>
    <row r="567" spans="1:54" x14ac:dyDescent="0.4">
      <c r="A567" t="s">
        <v>76</v>
      </c>
      <c r="B567" t="s">
        <v>10</v>
      </c>
      <c r="C567" t="s">
        <v>294</v>
      </c>
      <c r="D567" t="s">
        <v>11</v>
      </c>
      <c r="E567" s="2">
        <v>5.0000000000000001E-4</v>
      </c>
      <c r="F567" t="s">
        <v>12</v>
      </c>
      <c r="G567" s="4" t="s">
        <v>565</v>
      </c>
      <c r="H567" t="s">
        <v>294</v>
      </c>
      <c r="I567" t="s">
        <v>4670</v>
      </c>
      <c r="J567" t="s">
        <v>4671</v>
      </c>
      <c r="K567" t="s">
        <v>23</v>
      </c>
      <c r="L567" s="2">
        <v>3.0519999999999999E-2</v>
      </c>
      <c r="M567" t="s">
        <v>4672</v>
      </c>
      <c r="N567" t="s">
        <v>636</v>
      </c>
      <c r="O567" t="s">
        <v>4673</v>
      </c>
      <c r="P567" t="s">
        <v>829</v>
      </c>
      <c r="Q567" t="s">
        <v>829</v>
      </c>
      <c r="R567" t="s">
        <v>829</v>
      </c>
      <c r="S567" t="s">
        <v>829</v>
      </c>
      <c r="T567" t="s">
        <v>829</v>
      </c>
      <c r="U567" t="s">
        <v>829</v>
      </c>
      <c r="V567" t="s">
        <v>294</v>
      </c>
      <c r="W567" t="s">
        <v>2413</v>
      </c>
      <c r="X567" t="s">
        <v>2413</v>
      </c>
      <c r="Y567" t="s">
        <v>2413</v>
      </c>
      <c r="Z567" t="s">
        <v>2413</v>
      </c>
      <c r="AA567" t="s">
        <v>2413</v>
      </c>
      <c r="AB567" s="2">
        <v>-5.0000000000000001E-4</v>
      </c>
      <c r="AC567" s="2">
        <v>-9.5999999999999992E-3</v>
      </c>
      <c r="AD567" s="2">
        <v>-9.5999999999999992E-3</v>
      </c>
      <c r="AE567" s="2">
        <v>-9.5999999999999992E-3</v>
      </c>
      <c r="AF567" s="2">
        <v>-9.5999999999999992E-3</v>
      </c>
      <c r="AG567" s="2">
        <v>-9.5999999999999992E-3</v>
      </c>
      <c r="AH567" t="s">
        <v>977</v>
      </c>
      <c r="AI567" t="s">
        <v>620</v>
      </c>
      <c r="AJ567" t="s">
        <v>131</v>
      </c>
      <c r="AK567" t="s">
        <v>40</v>
      </c>
      <c r="AL567">
        <v>50</v>
      </c>
      <c r="AM567" t="s">
        <v>41</v>
      </c>
      <c r="AN567" t="s">
        <v>42</v>
      </c>
      <c r="AO567" t="s">
        <v>4673</v>
      </c>
      <c r="AP567" t="s">
        <v>978</v>
      </c>
      <c r="AQ567" t="s">
        <v>978</v>
      </c>
      <c r="AR567" t="s">
        <v>48</v>
      </c>
      <c r="AS567" t="s">
        <v>48</v>
      </c>
    </row>
    <row r="568" spans="1:54" x14ac:dyDescent="0.4">
      <c r="A568" t="s">
        <v>76</v>
      </c>
      <c r="B568" t="s">
        <v>10</v>
      </c>
      <c r="C568" t="s">
        <v>2060</v>
      </c>
      <c r="D568" t="s">
        <v>11</v>
      </c>
      <c r="E568" s="2">
        <v>-2.0999999999999999E-3</v>
      </c>
      <c r="F568" t="s">
        <v>12</v>
      </c>
      <c r="G568" s="4">
        <f>-0.2 / -0.21%</f>
        <v>95.238095238095255</v>
      </c>
      <c r="H568" t="s">
        <v>2060</v>
      </c>
      <c r="I568" t="s">
        <v>7142</v>
      </c>
      <c r="J568" t="s">
        <v>7143</v>
      </c>
      <c r="K568" t="s">
        <v>23</v>
      </c>
      <c r="L568" s="2">
        <v>0.03</v>
      </c>
      <c r="M568" t="s">
        <v>7144</v>
      </c>
      <c r="N568" t="s">
        <v>28</v>
      </c>
      <c r="O568" t="s">
        <v>6187</v>
      </c>
      <c r="P568" t="s">
        <v>5286</v>
      </c>
      <c r="Q568" t="s">
        <v>5286</v>
      </c>
      <c r="R568" t="s">
        <v>5286</v>
      </c>
      <c r="S568" t="s">
        <v>5286</v>
      </c>
      <c r="T568" t="s">
        <v>5286</v>
      </c>
      <c r="U568" t="s">
        <v>5286</v>
      </c>
      <c r="V568" t="s">
        <v>507</v>
      </c>
      <c r="W568" t="s">
        <v>167</v>
      </c>
      <c r="X568" t="s">
        <v>167</v>
      </c>
      <c r="Y568" t="s">
        <v>167</v>
      </c>
      <c r="Z568" t="s">
        <v>167</v>
      </c>
      <c r="AA568" t="s">
        <v>167</v>
      </c>
      <c r="AB568" s="2">
        <v>-1.41E-2</v>
      </c>
      <c r="AC568" s="2">
        <v>-4.0099999999999997E-2</v>
      </c>
      <c r="AD568" s="2">
        <v>-3.7600000000000001E-2</v>
      </c>
      <c r="AE568" s="2">
        <v>-3.7600000000000001E-2</v>
      </c>
      <c r="AF568" s="2">
        <v>-3.7600000000000001E-2</v>
      </c>
      <c r="AG568" s="2">
        <v>-3.7600000000000001E-2</v>
      </c>
      <c r="AH568" t="s">
        <v>977</v>
      </c>
      <c r="AI568" t="s">
        <v>620</v>
      </c>
      <c r="AJ568" t="s">
        <v>131</v>
      </c>
      <c r="AK568" t="s">
        <v>40</v>
      </c>
      <c r="AL568">
        <v>50</v>
      </c>
      <c r="AM568" t="s">
        <v>41</v>
      </c>
      <c r="AN568" t="s">
        <v>42</v>
      </c>
      <c r="AO568" t="s">
        <v>6187</v>
      </c>
      <c r="AP568" t="s">
        <v>978</v>
      </c>
      <c r="AQ568" t="s">
        <v>978</v>
      </c>
      <c r="AR568" t="s">
        <v>48</v>
      </c>
      <c r="AS568" t="s">
        <v>48</v>
      </c>
    </row>
    <row r="569" spans="1:54" x14ac:dyDescent="0.4">
      <c r="A569" t="s">
        <v>9</v>
      </c>
      <c r="B569" t="s">
        <v>10</v>
      </c>
      <c r="C569" t="s">
        <v>403</v>
      </c>
      <c r="D569" t="s">
        <v>11</v>
      </c>
      <c r="E569" s="2">
        <v>-1.6000000000000001E-3</v>
      </c>
      <c r="F569" t="s">
        <v>12</v>
      </c>
      <c r="G569" s="4">
        <f>-0.15 / -0.16%</f>
        <v>93.749999999999986</v>
      </c>
      <c r="H569" t="s">
        <v>403</v>
      </c>
      <c r="I569" t="s">
        <v>7139</v>
      </c>
      <c r="J569" t="s">
        <v>7140</v>
      </c>
      <c r="K569" t="s">
        <v>23</v>
      </c>
      <c r="L569" s="2">
        <v>2.75E-2</v>
      </c>
      <c r="M569" t="s">
        <v>7141</v>
      </c>
      <c r="N569" t="s">
        <v>28</v>
      </c>
      <c r="O569" t="s">
        <v>6849</v>
      </c>
      <c r="P569" t="s">
        <v>958</v>
      </c>
      <c r="Q569" t="s">
        <v>958</v>
      </c>
      <c r="R569" t="s">
        <v>958</v>
      </c>
      <c r="S569" t="s">
        <v>958</v>
      </c>
      <c r="T569" t="s">
        <v>958</v>
      </c>
      <c r="U569" t="s">
        <v>958</v>
      </c>
      <c r="V569" t="s">
        <v>1054</v>
      </c>
      <c r="W569" t="s">
        <v>2413</v>
      </c>
      <c r="X569" t="s">
        <v>2466</v>
      </c>
      <c r="Y569" t="s">
        <v>2466</v>
      </c>
      <c r="Z569" t="s">
        <v>2466</v>
      </c>
      <c r="AA569" t="s">
        <v>2466</v>
      </c>
      <c r="AB569" s="2">
        <v>-8.6999999999999994E-3</v>
      </c>
      <c r="AC569" s="2">
        <v>-2.6200000000000001E-2</v>
      </c>
      <c r="AD569" s="2">
        <v>-2.7199999999999998E-2</v>
      </c>
      <c r="AE569" s="2">
        <v>-2.7199999999999998E-2</v>
      </c>
      <c r="AF569" s="2">
        <v>-2.7199999999999998E-2</v>
      </c>
      <c r="AG569" s="2">
        <v>-2.7199999999999998E-2</v>
      </c>
      <c r="AH569" t="s">
        <v>977</v>
      </c>
      <c r="AI569" t="s">
        <v>620</v>
      </c>
      <c r="AJ569" t="s">
        <v>131</v>
      </c>
      <c r="AK569" t="s">
        <v>40</v>
      </c>
      <c r="AL569">
        <v>50</v>
      </c>
      <c r="AM569" t="s">
        <v>41</v>
      </c>
      <c r="AN569" t="s">
        <v>42</v>
      </c>
      <c r="AO569" t="s">
        <v>6849</v>
      </c>
      <c r="AP569" t="s">
        <v>978</v>
      </c>
      <c r="AQ569" t="s">
        <v>978</v>
      </c>
      <c r="AR569" t="s">
        <v>48</v>
      </c>
      <c r="AS569" t="s">
        <v>48</v>
      </c>
    </row>
    <row r="570" spans="1:54" x14ac:dyDescent="0.4">
      <c r="A570" t="s">
        <v>9</v>
      </c>
      <c r="B570" t="s">
        <v>10</v>
      </c>
      <c r="C570" t="s">
        <v>2125</v>
      </c>
      <c r="D570" t="s">
        <v>11</v>
      </c>
      <c r="E570" s="2">
        <v>-5.0000000000000001E-4</v>
      </c>
      <c r="F570" t="s">
        <v>12</v>
      </c>
      <c r="G570" s="4">
        <f>-0.05 / -0.05%</f>
        <v>100</v>
      </c>
      <c r="H570" t="s">
        <v>2125</v>
      </c>
      <c r="I570" t="s">
        <v>6012</v>
      </c>
      <c r="J570" t="s">
        <v>6013</v>
      </c>
      <c r="K570" t="s">
        <v>23</v>
      </c>
      <c r="L570" s="2">
        <v>1.7500000000000002E-2</v>
      </c>
      <c r="M570" t="s">
        <v>2907</v>
      </c>
      <c r="N570" t="s">
        <v>28</v>
      </c>
      <c r="O570" t="s">
        <v>5133</v>
      </c>
      <c r="P570" t="s">
        <v>177</v>
      </c>
      <c r="Q570" t="s">
        <v>6014</v>
      </c>
      <c r="R570" t="s">
        <v>2839</v>
      </c>
      <c r="S570" t="s">
        <v>390</v>
      </c>
      <c r="T570" t="s">
        <v>6015</v>
      </c>
      <c r="U570" t="s">
        <v>6015</v>
      </c>
      <c r="V570" t="s">
        <v>6016</v>
      </c>
      <c r="W570" t="s">
        <v>4235</v>
      </c>
      <c r="X570" t="s">
        <v>4235</v>
      </c>
      <c r="Y570" t="s">
        <v>4235</v>
      </c>
      <c r="Z570" t="s">
        <v>4235</v>
      </c>
      <c r="AA570" t="s">
        <v>581</v>
      </c>
      <c r="AB570" s="2">
        <v>-5.1999999999999998E-3</v>
      </c>
      <c r="AC570" s="2">
        <v>-1.1000000000000001E-3</v>
      </c>
      <c r="AD570" s="2">
        <v>2.76E-2</v>
      </c>
      <c r="AE570" s="2">
        <v>3.7600000000000001E-2</v>
      </c>
      <c r="AF570" s="2">
        <v>5.96E-2</v>
      </c>
      <c r="AG570" s="2">
        <v>-2.9100000000000001E-2</v>
      </c>
      <c r="AH570" t="s">
        <v>977</v>
      </c>
      <c r="AI570" t="s">
        <v>620</v>
      </c>
      <c r="AJ570" t="s">
        <v>131</v>
      </c>
      <c r="AK570" t="s">
        <v>40</v>
      </c>
      <c r="AL570">
        <v>50</v>
      </c>
      <c r="AM570" t="s">
        <v>41</v>
      </c>
      <c r="AN570" t="s">
        <v>42</v>
      </c>
      <c r="AO570" t="s">
        <v>5133</v>
      </c>
      <c r="AP570" t="s">
        <v>978</v>
      </c>
      <c r="AQ570" t="s">
        <v>978</v>
      </c>
      <c r="AR570" t="s">
        <v>48</v>
      </c>
      <c r="AS570" t="s">
        <v>48</v>
      </c>
    </row>
    <row r="571" spans="1:54" x14ac:dyDescent="0.4">
      <c r="A571" t="s">
        <v>3410</v>
      </c>
      <c r="B571" t="s">
        <v>10</v>
      </c>
      <c r="C571" t="s">
        <v>3411</v>
      </c>
      <c r="D571" t="s">
        <v>11</v>
      </c>
      <c r="E571" s="2">
        <v>0.01</v>
      </c>
      <c r="F571" t="s">
        <v>12</v>
      </c>
      <c r="G571" s="4" t="s">
        <v>2363</v>
      </c>
      <c r="H571" t="s">
        <v>3411</v>
      </c>
      <c r="I571" t="s">
        <v>3412</v>
      </c>
      <c r="J571" t="s">
        <v>3413</v>
      </c>
      <c r="K571" t="s">
        <v>23</v>
      </c>
      <c r="L571" s="2">
        <v>0.04</v>
      </c>
      <c r="M571" t="s">
        <v>1403</v>
      </c>
      <c r="N571" t="s">
        <v>28</v>
      </c>
      <c r="O571" t="s">
        <v>3414</v>
      </c>
      <c r="P571" t="s">
        <v>1551</v>
      </c>
      <c r="Q571" t="s">
        <v>1551</v>
      </c>
      <c r="R571" t="s">
        <v>2008</v>
      </c>
      <c r="S571" t="s">
        <v>3415</v>
      </c>
      <c r="T571" t="s">
        <v>2060</v>
      </c>
      <c r="U571" t="s">
        <v>2060</v>
      </c>
      <c r="V571" t="s">
        <v>674</v>
      </c>
      <c r="W571" t="s">
        <v>2042</v>
      </c>
      <c r="X571" t="s">
        <v>2042</v>
      </c>
      <c r="Y571" t="s">
        <v>2001</v>
      </c>
      <c r="Z571" t="s">
        <v>2001</v>
      </c>
      <c r="AA571" t="s">
        <v>2001</v>
      </c>
      <c r="AB571" s="2">
        <v>6.4999999999999997E-3</v>
      </c>
      <c r="AC571" s="2">
        <v>5.4999999999999997E-3</v>
      </c>
      <c r="AD571" s="2">
        <v>2.23E-2</v>
      </c>
      <c r="AE571" s="2">
        <v>8.0000000000000002E-3</v>
      </c>
      <c r="AF571" s="2">
        <v>2.0199999999999999E-2</v>
      </c>
      <c r="AG571" s="2">
        <v>2.0199999999999999E-2</v>
      </c>
      <c r="AH571" t="s">
        <v>977</v>
      </c>
      <c r="AI571" t="s">
        <v>620</v>
      </c>
      <c r="AJ571" t="s">
        <v>131</v>
      </c>
      <c r="AK571" t="s">
        <v>40</v>
      </c>
      <c r="AL571">
        <v>1</v>
      </c>
      <c r="AM571" t="s">
        <v>41</v>
      </c>
      <c r="AN571" t="s">
        <v>42</v>
      </c>
      <c r="AO571" t="s">
        <v>3414</v>
      </c>
      <c r="AP571" t="s">
        <v>978</v>
      </c>
      <c r="AQ571" t="s">
        <v>3416</v>
      </c>
      <c r="AR571" t="s">
        <v>48</v>
      </c>
      <c r="AS571" t="s">
        <v>48</v>
      </c>
    </row>
    <row r="572" spans="1:54" x14ac:dyDescent="0.4">
      <c r="A572" t="s">
        <v>76</v>
      </c>
      <c r="B572" t="s">
        <v>10</v>
      </c>
      <c r="C572" t="s">
        <v>394</v>
      </c>
      <c r="D572" t="s">
        <v>11</v>
      </c>
      <c r="E572" s="2">
        <v>0</v>
      </c>
      <c r="F572" t="s">
        <v>12</v>
      </c>
      <c r="G572" s="4" t="s">
        <v>15</v>
      </c>
      <c r="H572" t="s">
        <v>394</v>
      </c>
      <c r="I572" t="s">
        <v>7148</v>
      </c>
      <c r="J572" t="s">
        <v>7149</v>
      </c>
      <c r="K572" t="s">
        <v>23</v>
      </c>
      <c r="L572" s="2">
        <v>3.5000000000000003E-2</v>
      </c>
      <c r="M572" t="s">
        <v>7147</v>
      </c>
      <c r="N572" t="s">
        <v>28</v>
      </c>
      <c r="O572" t="s">
        <v>5841</v>
      </c>
      <c r="P572" t="s">
        <v>6000</v>
      </c>
      <c r="Q572" t="s">
        <v>6000</v>
      </c>
      <c r="R572" t="s">
        <v>6000</v>
      </c>
      <c r="S572" t="s">
        <v>6000</v>
      </c>
      <c r="T572" t="s">
        <v>6000</v>
      </c>
      <c r="U572" t="s">
        <v>6000</v>
      </c>
      <c r="V572" t="s">
        <v>297</v>
      </c>
      <c r="W572" t="s">
        <v>257</v>
      </c>
      <c r="X572" t="s">
        <v>110</v>
      </c>
      <c r="Y572" t="s">
        <v>110</v>
      </c>
      <c r="Z572" t="s">
        <v>110</v>
      </c>
      <c r="AA572" t="s">
        <v>110</v>
      </c>
      <c r="AB572" s="2">
        <v>2.7000000000000001E-3</v>
      </c>
      <c r="AC572" s="2">
        <v>-4.5499999999999999E-2</v>
      </c>
      <c r="AD572" s="2">
        <v>-4.9299999999999997E-2</v>
      </c>
      <c r="AE572" s="2">
        <v>-4.9299999999999997E-2</v>
      </c>
      <c r="AF572" s="2">
        <v>-4.9299999999999997E-2</v>
      </c>
      <c r="AG572" s="2">
        <v>-4.9299999999999997E-2</v>
      </c>
      <c r="AH572" t="s">
        <v>977</v>
      </c>
      <c r="AI572" t="s">
        <v>620</v>
      </c>
      <c r="AJ572" t="s">
        <v>131</v>
      </c>
      <c r="AK572" t="s">
        <v>40</v>
      </c>
      <c r="AL572">
        <v>1</v>
      </c>
      <c r="AM572" t="s">
        <v>41</v>
      </c>
      <c r="AN572" t="s">
        <v>42</v>
      </c>
      <c r="AO572" t="s">
        <v>5841</v>
      </c>
      <c r="AP572" t="s">
        <v>835</v>
      </c>
      <c r="AQ572" t="s">
        <v>7150</v>
      </c>
      <c r="AR572" t="s">
        <v>48</v>
      </c>
      <c r="AS572" t="s">
        <v>48</v>
      </c>
    </row>
    <row r="573" spans="1:54" x14ac:dyDescent="0.4">
      <c r="A573" t="s">
        <v>4665</v>
      </c>
      <c r="B573" t="s">
        <v>10</v>
      </c>
      <c r="C573" t="s">
        <v>1552</v>
      </c>
      <c r="D573" t="s">
        <v>11</v>
      </c>
      <c r="E573" s="2">
        <v>7.1999999999999998E-3</v>
      </c>
      <c r="F573" t="s">
        <v>12</v>
      </c>
      <c r="G573" s="4" t="s">
        <v>4666</v>
      </c>
      <c r="H573" t="s">
        <v>1552</v>
      </c>
      <c r="I573" t="s">
        <v>2872</v>
      </c>
      <c r="J573" t="s">
        <v>4667</v>
      </c>
      <c r="K573" t="s">
        <v>23</v>
      </c>
      <c r="L573" s="2">
        <v>3.056E-2</v>
      </c>
      <c r="M573" t="s">
        <v>4668</v>
      </c>
      <c r="N573" t="s">
        <v>636</v>
      </c>
      <c r="O573" t="s">
        <v>2165</v>
      </c>
      <c r="P573" t="s">
        <v>1121</v>
      </c>
      <c r="Q573" t="s">
        <v>1121</v>
      </c>
      <c r="R573" t="s">
        <v>1121</v>
      </c>
      <c r="S573" t="s">
        <v>1121</v>
      </c>
      <c r="T573" t="s">
        <v>1121</v>
      </c>
      <c r="U573" t="s">
        <v>1121</v>
      </c>
      <c r="V573" t="s">
        <v>1552</v>
      </c>
      <c r="W573" t="s">
        <v>641</v>
      </c>
      <c r="X573" t="s">
        <v>641</v>
      </c>
      <c r="Y573" t="s">
        <v>641</v>
      </c>
      <c r="Z573" t="s">
        <v>641</v>
      </c>
      <c r="AA573" t="s">
        <v>641</v>
      </c>
      <c r="AB573" s="2">
        <v>1.24E-2</v>
      </c>
      <c r="AC573" s="2">
        <v>-1.06E-2</v>
      </c>
      <c r="AD573" s="2">
        <v>-1.06E-2</v>
      </c>
      <c r="AE573" s="2">
        <v>-1.06E-2</v>
      </c>
      <c r="AF573" s="2">
        <v>-1.06E-2</v>
      </c>
      <c r="AG573" s="2">
        <v>-1.06E-2</v>
      </c>
      <c r="AH573" t="s">
        <v>977</v>
      </c>
      <c r="AI573" t="s">
        <v>620</v>
      </c>
      <c r="AJ573" t="s">
        <v>131</v>
      </c>
      <c r="AK573" t="s">
        <v>40</v>
      </c>
      <c r="AL573">
        <v>1</v>
      </c>
      <c r="AM573" t="s">
        <v>41</v>
      </c>
      <c r="AN573" t="s">
        <v>42</v>
      </c>
      <c r="AO573" t="s">
        <v>2165</v>
      </c>
      <c r="AP573" t="s">
        <v>978</v>
      </c>
      <c r="AQ573" t="s">
        <v>4669</v>
      </c>
      <c r="AR573" t="s">
        <v>48</v>
      </c>
      <c r="AS573" t="s">
        <v>48</v>
      </c>
    </row>
    <row r="574" spans="1:54" x14ac:dyDescent="0.4">
      <c r="A574" t="s">
        <v>76</v>
      </c>
      <c r="B574" t="s">
        <v>10</v>
      </c>
      <c r="C574" t="s">
        <v>970</v>
      </c>
      <c r="D574" t="s">
        <v>11</v>
      </c>
      <c r="E574" s="2">
        <v>-5.0000000000000001E-4</v>
      </c>
      <c r="F574" t="s">
        <v>12</v>
      </c>
      <c r="G574" s="4">
        <f>-0.05 / -0.05%</f>
        <v>100</v>
      </c>
      <c r="H574" t="s">
        <v>970</v>
      </c>
      <c r="I574" t="s">
        <v>971</v>
      </c>
      <c r="J574" t="s">
        <v>972</v>
      </c>
      <c r="K574" t="s">
        <v>23</v>
      </c>
      <c r="L574" s="2">
        <v>0.03</v>
      </c>
      <c r="M574" t="s">
        <v>973</v>
      </c>
      <c r="N574" t="s">
        <v>28</v>
      </c>
      <c r="O574" t="s">
        <v>974</v>
      </c>
      <c r="P574" t="s">
        <v>167</v>
      </c>
      <c r="Q574" t="s">
        <v>824</v>
      </c>
      <c r="R574" t="s">
        <v>975</v>
      </c>
      <c r="S574" t="s">
        <v>666</v>
      </c>
      <c r="T574" t="s">
        <v>666</v>
      </c>
      <c r="U574" t="s">
        <v>666</v>
      </c>
      <c r="V574" t="s">
        <v>976</v>
      </c>
      <c r="W574" t="s">
        <v>976</v>
      </c>
      <c r="X574" t="s">
        <v>976</v>
      </c>
      <c r="Y574" t="s">
        <v>110</v>
      </c>
      <c r="Z574" t="s">
        <v>110</v>
      </c>
      <c r="AA574" t="s">
        <v>110</v>
      </c>
      <c r="AB574" s="2">
        <v>-4.0000000000000001E-3</v>
      </c>
      <c r="AC574" s="2">
        <v>-5.0000000000000001E-4</v>
      </c>
      <c r="AD574" s="2">
        <v>1.7500000000000002E-2</v>
      </c>
      <c r="AE574" s="2">
        <v>-1.2E-2</v>
      </c>
      <c r="AF574" s="2">
        <v>-5.0000000000000001E-4</v>
      </c>
      <c r="AG574" s="2">
        <v>-5.0000000000000001E-4</v>
      </c>
      <c r="AH574" t="s">
        <v>977</v>
      </c>
      <c r="AI574" t="s">
        <v>620</v>
      </c>
      <c r="AJ574" t="s">
        <v>131</v>
      </c>
      <c r="AK574" t="s">
        <v>40</v>
      </c>
      <c r="AL574">
        <v>1</v>
      </c>
      <c r="AM574" t="s">
        <v>41</v>
      </c>
      <c r="AN574" t="s">
        <v>42</v>
      </c>
      <c r="AO574" t="s">
        <v>974</v>
      </c>
      <c r="AP574" t="s">
        <v>978</v>
      </c>
      <c r="AQ574" t="s">
        <v>979</v>
      </c>
      <c r="AR574" t="s">
        <v>48</v>
      </c>
      <c r="AS574" t="s">
        <v>48</v>
      </c>
    </row>
    <row r="575" spans="1:54" x14ac:dyDescent="0.4">
      <c r="A575" t="s">
        <v>76</v>
      </c>
      <c r="B575" t="s">
        <v>10</v>
      </c>
      <c r="C575" t="s">
        <v>1719</v>
      </c>
      <c r="D575" t="s">
        <v>11</v>
      </c>
      <c r="E575" s="2">
        <v>5.0000000000000001E-4</v>
      </c>
      <c r="F575" t="s">
        <v>12</v>
      </c>
      <c r="G575" s="4" t="s">
        <v>565</v>
      </c>
      <c r="H575" t="s">
        <v>1719</v>
      </c>
      <c r="I575" t="s">
        <v>2602</v>
      </c>
      <c r="J575" t="s">
        <v>2603</v>
      </c>
      <c r="K575" t="s">
        <v>23</v>
      </c>
      <c r="L575" s="2">
        <v>0.03</v>
      </c>
      <c r="M575" t="s">
        <v>88</v>
      </c>
      <c r="N575" t="s">
        <v>28</v>
      </c>
      <c r="O575" t="s">
        <v>80</v>
      </c>
      <c r="P575" t="s">
        <v>1751</v>
      </c>
      <c r="Q575" t="s">
        <v>217</v>
      </c>
      <c r="R575" t="s">
        <v>256</v>
      </c>
      <c r="S575" t="s">
        <v>256</v>
      </c>
      <c r="T575" t="s">
        <v>256</v>
      </c>
      <c r="U575" t="s">
        <v>256</v>
      </c>
      <c r="V575" t="s">
        <v>2556</v>
      </c>
      <c r="W575" t="s">
        <v>2556</v>
      </c>
      <c r="X575" t="s">
        <v>1834</v>
      </c>
      <c r="Y575" t="s">
        <v>1834</v>
      </c>
      <c r="Z575" t="s">
        <v>1834</v>
      </c>
      <c r="AA575" t="s">
        <v>1834</v>
      </c>
      <c r="AB575" s="2">
        <v>0</v>
      </c>
      <c r="AC575" s="2">
        <v>5.0000000000000001E-4</v>
      </c>
      <c r="AD575" s="2">
        <v>5.4999999999999997E-3</v>
      </c>
      <c r="AE575" s="2">
        <v>8.0999999999999996E-3</v>
      </c>
      <c r="AF575" s="2">
        <v>8.0999999999999996E-3</v>
      </c>
      <c r="AG575" s="2">
        <v>8.0999999999999996E-3</v>
      </c>
      <c r="AH575" t="s">
        <v>977</v>
      </c>
      <c r="AI575" t="s">
        <v>620</v>
      </c>
      <c r="AJ575" t="s">
        <v>131</v>
      </c>
      <c r="AK575" t="s">
        <v>40</v>
      </c>
      <c r="AL575">
        <v>1</v>
      </c>
      <c r="AM575" t="s">
        <v>41</v>
      </c>
      <c r="AN575" t="s">
        <v>42</v>
      </c>
      <c r="AO575" t="s">
        <v>80</v>
      </c>
      <c r="AP575" t="s">
        <v>2604</v>
      </c>
      <c r="AQ575" t="s">
        <v>2605</v>
      </c>
      <c r="AR575" t="s">
        <v>48</v>
      </c>
      <c r="AS575" t="s">
        <v>48</v>
      </c>
    </row>
    <row r="576" spans="1:54" x14ac:dyDescent="0.4">
      <c r="A576" t="s">
        <v>76</v>
      </c>
      <c r="B576" t="s">
        <v>10</v>
      </c>
      <c r="C576" t="s">
        <v>1420</v>
      </c>
      <c r="D576" t="s">
        <v>11</v>
      </c>
      <c r="E576" s="2">
        <v>0</v>
      </c>
      <c r="F576" t="s">
        <v>12</v>
      </c>
      <c r="G576" s="4" t="s">
        <v>15</v>
      </c>
      <c r="H576" t="s">
        <v>1420</v>
      </c>
      <c r="I576" t="s">
        <v>5992</v>
      </c>
      <c r="J576" t="s">
        <v>5993</v>
      </c>
      <c r="K576" t="s">
        <v>23</v>
      </c>
      <c r="L576" s="2">
        <v>0.03</v>
      </c>
      <c r="M576" t="s">
        <v>5990</v>
      </c>
      <c r="N576" t="s">
        <v>28</v>
      </c>
      <c r="O576" t="s">
        <v>5986</v>
      </c>
      <c r="P576" t="s">
        <v>3042</v>
      </c>
      <c r="Q576" t="s">
        <v>3042</v>
      </c>
      <c r="R576" t="s">
        <v>3042</v>
      </c>
      <c r="S576" t="s">
        <v>3042</v>
      </c>
      <c r="T576" t="s">
        <v>3042</v>
      </c>
      <c r="U576" t="s">
        <v>3042</v>
      </c>
      <c r="V576" t="s">
        <v>970</v>
      </c>
      <c r="W576" t="s">
        <v>5400</v>
      </c>
      <c r="X576" t="s">
        <v>5400</v>
      </c>
      <c r="Y576" t="s">
        <v>5400</v>
      </c>
      <c r="Z576" t="s">
        <v>5400</v>
      </c>
      <c r="AA576" t="s">
        <v>5400</v>
      </c>
      <c r="AB576" s="2">
        <v>-3.3399999999999999E-2</v>
      </c>
      <c r="AC576" s="2">
        <v>-3.6799999999999999E-2</v>
      </c>
      <c r="AD576" s="2">
        <v>-3.6799999999999999E-2</v>
      </c>
      <c r="AE576" s="2">
        <v>-3.6799999999999999E-2</v>
      </c>
      <c r="AF576" s="2">
        <v>-3.6799999999999999E-2</v>
      </c>
      <c r="AG576" s="2">
        <v>-3.6799999999999999E-2</v>
      </c>
      <c r="AH576" t="s">
        <v>977</v>
      </c>
      <c r="AI576" t="s">
        <v>620</v>
      </c>
      <c r="AJ576" t="s">
        <v>131</v>
      </c>
      <c r="AK576" t="s">
        <v>40</v>
      </c>
      <c r="AL576">
        <v>1</v>
      </c>
      <c r="AM576" t="s">
        <v>41</v>
      </c>
      <c r="AN576" t="s">
        <v>42</v>
      </c>
      <c r="AO576" t="s">
        <v>5986</v>
      </c>
      <c r="AP576" t="s">
        <v>978</v>
      </c>
      <c r="AQ576" t="s">
        <v>5994</v>
      </c>
      <c r="AR576" t="s">
        <v>48</v>
      </c>
      <c r="AS576" t="s">
        <v>48</v>
      </c>
    </row>
    <row r="577" spans="1:45" x14ac:dyDescent="0.4">
      <c r="A577" t="s">
        <v>9</v>
      </c>
      <c r="B577" t="s">
        <v>10</v>
      </c>
      <c r="C577" t="s">
        <v>970</v>
      </c>
      <c r="D577" t="s">
        <v>11</v>
      </c>
      <c r="E577" s="2">
        <v>0</v>
      </c>
      <c r="F577" t="s">
        <v>12</v>
      </c>
      <c r="G577" s="4" t="s">
        <v>15</v>
      </c>
      <c r="H577" t="s">
        <v>970</v>
      </c>
      <c r="I577" t="s">
        <v>5410</v>
      </c>
      <c r="J577" t="s">
        <v>5411</v>
      </c>
      <c r="K577" t="s">
        <v>23</v>
      </c>
      <c r="L577" s="2">
        <v>2.8629999999999999E-2</v>
      </c>
      <c r="M577" t="s">
        <v>1448</v>
      </c>
      <c r="N577" t="s">
        <v>636</v>
      </c>
      <c r="O577" t="s">
        <v>1481</v>
      </c>
      <c r="P577" t="s">
        <v>4080</v>
      </c>
      <c r="Q577" t="s">
        <v>4080</v>
      </c>
      <c r="R577" t="s">
        <v>4080</v>
      </c>
      <c r="S577" t="s">
        <v>4080</v>
      </c>
      <c r="T577" t="s">
        <v>4080</v>
      </c>
      <c r="U577" t="s">
        <v>4080</v>
      </c>
      <c r="V577" t="s">
        <v>217</v>
      </c>
      <c r="W577" t="s">
        <v>217</v>
      </c>
      <c r="X577" t="s">
        <v>217</v>
      </c>
      <c r="Y577" t="s">
        <v>217</v>
      </c>
      <c r="Z577" t="s">
        <v>217</v>
      </c>
      <c r="AA577" t="s">
        <v>217</v>
      </c>
      <c r="AB577" s="2">
        <v>0</v>
      </c>
      <c r="AC577" s="2">
        <v>-3.0000000000000001E-3</v>
      </c>
      <c r="AD577" s="2">
        <v>-3.0000000000000001E-3</v>
      </c>
      <c r="AE577" s="2">
        <v>-3.0000000000000001E-3</v>
      </c>
      <c r="AF577" s="2">
        <v>-3.0000000000000001E-3</v>
      </c>
      <c r="AG577" s="2">
        <v>-3.0000000000000001E-3</v>
      </c>
      <c r="AH577" t="s">
        <v>977</v>
      </c>
      <c r="AI577" t="s">
        <v>620</v>
      </c>
      <c r="AJ577" t="s">
        <v>131</v>
      </c>
      <c r="AK577" t="s">
        <v>40</v>
      </c>
      <c r="AL577">
        <v>1</v>
      </c>
      <c r="AM577" t="s">
        <v>41</v>
      </c>
      <c r="AN577" t="s">
        <v>42</v>
      </c>
      <c r="AO577" t="s">
        <v>1481</v>
      </c>
      <c r="AP577" t="s">
        <v>978</v>
      </c>
      <c r="AQ577" t="s">
        <v>5412</v>
      </c>
      <c r="AR577" t="s">
        <v>48</v>
      </c>
      <c r="AS577" t="s">
        <v>48</v>
      </c>
    </row>
    <row r="578" spans="1:45" x14ac:dyDescent="0.4">
      <c r="A578" t="s">
        <v>76</v>
      </c>
      <c r="B578" t="s">
        <v>10</v>
      </c>
      <c r="C578" t="s">
        <v>1518</v>
      </c>
      <c r="D578" t="s">
        <v>11</v>
      </c>
      <c r="E578" s="2">
        <v>-1.5E-3</v>
      </c>
      <c r="F578" t="s">
        <v>12</v>
      </c>
      <c r="G578" s="4">
        <f>-0.15 / -0.15%</f>
        <v>100</v>
      </c>
      <c r="H578" t="s">
        <v>1518</v>
      </c>
      <c r="I578" t="s">
        <v>5988</v>
      </c>
      <c r="J578" t="s">
        <v>5989</v>
      </c>
      <c r="K578" t="s">
        <v>23</v>
      </c>
      <c r="L578" s="2">
        <v>2.8500000000000001E-2</v>
      </c>
      <c r="M578" t="s">
        <v>5990</v>
      </c>
      <c r="N578" t="s">
        <v>28</v>
      </c>
      <c r="O578" t="s">
        <v>5986</v>
      </c>
      <c r="P578" t="s">
        <v>1185</v>
      </c>
      <c r="Q578" t="s">
        <v>1185</v>
      </c>
      <c r="R578" t="s">
        <v>1185</v>
      </c>
      <c r="S578" t="s">
        <v>1185</v>
      </c>
      <c r="T578" t="s">
        <v>1185</v>
      </c>
      <c r="U578" t="s">
        <v>1185</v>
      </c>
      <c r="V578" t="s">
        <v>1183</v>
      </c>
      <c r="W578" t="s">
        <v>362</v>
      </c>
      <c r="X578" t="s">
        <v>362</v>
      </c>
      <c r="Y578" t="s">
        <v>362</v>
      </c>
      <c r="Z578" t="s">
        <v>362</v>
      </c>
      <c r="AA578" t="s">
        <v>362</v>
      </c>
      <c r="AB578" s="2">
        <v>-1.17E-2</v>
      </c>
      <c r="AC578" s="2">
        <v>-2.47E-2</v>
      </c>
      <c r="AD578" s="2">
        <v>-2.47E-2</v>
      </c>
      <c r="AE578" s="2">
        <v>-2.47E-2</v>
      </c>
      <c r="AF578" s="2">
        <v>-2.47E-2</v>
      </c>
      <c r="AG578" s="2">
        <v>-2.47E-2</v>
      </c>
      <c r="AH578" t="s">
        <v>977</v>
      </c>
      <c r="AI578" t="s">
        <v>620</v>
      </c>
      <c r="AJ578" t="s">
        <v>131</v>
      </c>
      <c r="AK578" t="s">
        <v>40</v>
      </c>
      <c r="AL578">
        <v>1</v>
      </c>
      <c r="AM578" t="s">
        <v>41</v>
      </c>
      <c r="AN578" t="s">
        <v>42</v>
      </c>
      <c r="AO578" t="s">
        <v>5986</v>
      </c>
      <c r="AP578" t="s">
        <v>978</v>
      </c>
      <c r="AQ578" t="s">
        <v>5991</v>
      </c>
      <c r="AR578" t="s">
        <v>48</v>
      </c>
      <c r="AS578" t="s">
        <v>48</v>
      </c>
    </row>
    <row r="579" spans="1:45" x14ac:dyDescent="0.4">
      <c r="A579" t="s">
        <v>9</v>
      </c>
      <c r="B579" t="s">
        <v>10</v>
      </c>
      <c r="C579" t="s">
        <v>2373</v>
      </c>
      <c r="D579" t="s">
        <v>11</v>
      </c>
      <c r="E579" s="2">
        <v>0</v>
      </c>
      <c r="F579" t="s">
        <v>12</v>
      </c>
      <c r="G579" s="4" t="s">
        <v>15</v>
      </c>
      <c r="H579" t="s">
        <v>2373</v>
      </c>
      <c r="I579" t="s">
        <v>3639</v>
      </c>
      <c r="J579" t="s">
        <v>2603</v>
      </c>
      <c r="K579" t="s">
        <v>23</v>
      </c>
      <c r="L579" s="2">
        <v>2.8000000000000001E-2</v>
      </c>
      <c r="M579" t="s">
        <v>3640</v>
      </c>
      <c r="N579" t="s">
        <v>28</v>
      </c>
      <c r="O579" t="s">
        <v>3641</v>
      </c>
      <c r="P579" t="s">
        <v>1482</v>
      </c>
      <c r="Q579" t="s">
        <v>110</v>
      </c>
      <c r="R579" t="s">
        <v>256</v>
      </c>
      <c r="S579" t="s">
        <v>256</v>
      </c>
      <c r="T579" t="s">
        <v>256</v>
      </c>
      <c r="U579" t="s">
        <v>256</v>
      </c>
      <c r="V579" t="s">
        <v>259</v>
      </c>
      <c r="W579" t="s">
        <v>1834</v>
      </c>
      <c r="X579" t="s">
        <v>1834</v>
      </c>
      <c r="Y579" t="s">
        <v>1834</v>
      </c>
      <c r="Z579" t="s">
        <v>1834</v>
      </c>
      <c r="AA579" t="s">
        <v>1834</v>
      </c>
      <c r="AB579" s="2">
        <v>-2.5000000000000001E-3</v>
      </c>
      <c r="AC579" s="2">
        <v>-1E-3</v>
      </c>
      <c r="AD579" s="2">
        <v>8.0999999999999996E-3</v>
      </c>
      <c r="AE579" s="2">
        <v>8.0999999999999996E-3</v>
      </c>
      <c r="AF579" s="2">
        <v>8.0999999999999996E-3</v>
      </c>
      <c r="AG579" s="2">
        <v>8.0999999999999996E-3</v>
      </c>
      <c r="AH579" t="s">
        <v>977</v>
      </c>
      <c r="AI579" t="s">
        <v>620</v>
      </c>
      <c r="AJ579" t="s">
        <v>131</v>
      </c>
      <c r="AK579" t="s">
        <v>40</v>
      </c>
      <c r="AL579">
        <v>1</v>
      </c>
      <c r="AM579" t="s">
        <v>41</v>
      </c>
      <c r="AN579" t="s">
        <v>42</v>
      </c>
      <c r="AO579" t="s">
        <v>3641</v>
      </c>
      <c r="AP579" t="s">
        <v>2604</v>
      </c>
      <c r="AQ579" t="s">
        <v>3642</v>
      </c>
      <c r="AR579" t="s">
        <v>48</v>
      </c>
      <c r="AS579" t="s">
        <v>48</v>
      </c>
    </row>
    <row r="580" spans="1:45" x14ac:dyDescent="0.4">
      <c r="A580" t="s">
        <v>76</v>
      </c>
      <c r="B580" t="s">
        <v>10</v>
      </c>
      <c r="C580" t="s">
        <v>217</v>
      </c>
      <c r="D580" t="s">
        <v>11</v>
      </c>
      <c r="E580" s="2">
        <v>5.0000000000000001E-4</v>
      </c>
      <c r="F580" t="s">
        <v>12</v>
      </c>
      <c r="G580" s="4" t="s">
        <v>565</v>
      </c>
      <c r="H580" t="s">
        <v>217</v>
      </c>
      <c r="I580" t="s">
        <v>5382</v>
      </c>
      <c r="J580" t="s">
        <v>5383</v>
      </c>
      <c r="K580" t="s">
        <v>23</v>
      </c>
      <c r="L580" s="2">
        <v>2.75E-2</v>
      </c>
      <c r="M580" t="s">
        <v>5384</v>
      </c>
      <c r="N580" t="s">
        <v>28</v>
      </c>
      <c r="O580" t="s">
        <v>4780</v>
      </c>
      <c r="P580" t="s">
        <v>976</v>
      </c>
      <c r="Q580" t="s">
        <v>2427</v>
      </c>
      <c r="R580" t="s">
        <v>2427</v>
      </c>
      <c r="S580" t="s">
        <v>2427</v>
      </c>
      <c r="T580" t="s">
        <v>2427</v>
      </c>
      <c r="U580" t="s">
        <v>2427</v>
      </c>
      <c r="V580" t="s">
        <v>217</v>
      </c>
      <c r="W580" t="s">
        <v>1488</v>
      </c>
      <c r="X580" t="s">
        <v>1488</v>
      </c>
      <c r="Y580" t="s">
        <v>1488</v>
      </c>
      <c r="Z580" t="s">
        <v>1488</v>
      </c>
      <c r="AA580" t="s">
        <v>1488</v>
      </c>
      <c r="AB580" s="2">
        <v>5.0000000000000001E-4</v>
      </c>
      <c r="AC580" s="2">
        <v>1.5E-3</v>
      </c>
      <c r="AD580" s="2">
        <v>1.5E-3</v>
      </c>
      <c r="AE580" s="2">
        <v>1.5E-3</v>
      </c>
      <c r="AF580" s="2">
        <v>1.5E-3</v>
      </c>
      <c r="AG580" s="2">
        <v>1.5E-3</v>
      </c>
      <c r="AH580" t="s">
        <v>977</v>
      </c>
      <c r="AI580" t="s">
        <v>620</v>
      </c>
      <c r="AJ580" t="s">
        <v>131</v>
      </c>
      <c r="AK580" t="s">
        <v>40</v>
      </c>
      <c r="AL580">
        <v>1</v>
      </c>
      <c r="AM580" t="s">
        <v>41</v>
      </c>
      <c r="AN580" t="s">
        <v>42</v>
      </c>
      <c r="AO580" t="s">
        <v>4780</v>
      </c>
      <c r="AP580" t="s">
        <v>978</v>
      </c>
      <c r="AQ580" t="s">
        <v>5385</v>
      </c>
      <c r="AR580" t="s">
        <v>48</v>
      </c>
      <c r="AS580" t="s">
        <v>48</v>
      </c>
    </row>
    <row r="581" spans="1:45" x14ac:dyDescent="0.4">
      <c r="A581" t="s">
        <v>9</v>
      </c>
      <c r="B581" t="s">
        <v>10</v>
      </c>
      <c r="C581" t="s">
        <v>2009</v>
      </c>
      <c r="D581" t="s">
        <v>11</v>
      </c>
      <c r="E581" s="2">
        <v>-2.0999999999999999E-3</v>
      </c>
      <c r="F581" t="s">
        <v>12</v>
      </c>
      <c r="G581" s="4">
        <f>-0.2 / -0.21%</f>
        <v>95.238095238095255</v>
      </c>
      <c r="H581" t="s">
        <v>2009</v>
      </c>
      <c r="I581" t="s">
        <v>5983</v>
      </c>
      <c r="J581" t="s">
        <v>5984</v>
      </c>
      <c r="K581" t="s">
        <v>23</v>
      </c>
      <c r="L581" s="2">
        <v>2.75E-2</v>
      </c>
      <c r="M581" t="s">
        <v>5985</v>
      </c>
      <c r="N581" t="s">
        <v>28</v>
      </c>
      <c r="O581" t="s">
        <v>5986</v>
      </c>
      <c r="P581" t="s">
        <v>3036</v>
      </c>
      <c r="Q581" t="s">
        <v>3036</v>
      </c>
      <c r="R581" t="s">
        <v>3036</v>
      </c>
      <c r="S581" t="s">
        <v>3036</v>
      </c>
      <c r="T581" t="s">
        <v>3036</v>
      </c>
      <c r="U581" t="s">
        <v>3036</v>
      </c>
      <c r="V581" t="s">
        <v>464</v>
      </c>
      <c r="W581" t="s">
        <v>464</v>
      </c>
      <c r="X581" t="s">
        <v>464</v>
      </c>
      <c r="Y581" t="s">
        <v>464</v>
      </c>
      <c r="Z581" t="s">
        <v>464</v>
      </c>
      <c r="AA581" t="s">
        <v>464</v>
      </c>
      <c r="AB581" s="2">
        <v>-2.9399999999999999E-2</v>
      </c>
      <c r="AC581" s="2">
        <v>-1.9599999999999999E-2</v>
      </c>
      <c r="AD581" s="2">
        <v>-1.9599999999999999E-2</v>
      </c>
      <c r="AE581" s="2">
        <v>-1.9599999999999999E-2</v>
      </c>
      <c r="AF581" s="2">
        <v>-1.9599999999999999E-2</v>
      </c>
      <c r="AG581" s="2">
        <v>-1.9599999999999999E-2</v>
      </c>
      <c r="AH581" t="s">
        <v>977</v>
      </c>
      <c r="AI581" t="s">
        <v>620</v>
      </c>
      <c r="AJ581" t="s">
        <v>131</v>
      </c>
      <c r="AK581" t="s">
        <v>40</v>
      </c>
      <c r="AL581">
        <v>1</v>
      </c>
      <c r="AM581" t="s">
        <v>41</v>
      </c>
      <c r="AN581" t="s">
        <v>42</v>
      </c>
      <c r="AO581" t="s">
        <v>5986</v>
      </c>
      <c r="AP581" t="s">
        <v>978</v>
      </c>
      <c r="AQ581" t="s">
        <v>5987</v>
      </c>
      <c r="AR581" t="s">
        <v>48</v>
      </c>
      <c r="AS581" t="s">
        <v>48</v>
      </c>
    </row>
    <row r="582" spans="1:45" x14ac:dyDescent="0.4">
      <c r="A582" t="s">
        <v>9</v>
      </c>
      <c r="B582" t="s">
        <v>10</v>
      </c>
      <c r="C582" t="s">
        <v>1518</v>
      </c>
      <c r="D582" t="s">
        <v>11</v>
      </c>
      <c r="E582" s="2">
        <v>-1.5E-3</v>
      </c>
      <c r="F582" t="s">
        <v>12</v>
      </c>
      <c r="G582" s="4">
        <f>-0.15 / -0.15%</f>
        <v>100</v>
      </c>
      <c r="H582" t="s">
        <v>1518</v>
      </c>
      <c r="I582" t="s">
        <v>5413</v>
      </c>
      <c r="J582" t="s">
        <v>5414</v>
      </c>
      <c r="K582" t="s">
        <v>23</v>
      </c>
      <c r="L582" s="2">
        <v>2.5999999999999999E-2</v>
      </c>
      <c r="M582" t="s">
        <v>5415</v>
      </c>
      <c r="N582" t="s">
        <v>28</v>
      </c>
      <c r="O582" t="s">
        <v>5416</v>
      </c>
      <c r="P582" t="s">
        <v>5417</v>
      </c>
      <c r="Q582" t="s">
        <v>5417</v>
      </c>
      <c r="R582" t="s">
        <v>5417</v>
      </c>
      <c r="S582" t="s">
        <v>5417</v>
      </c>
      <c r="T582" t="s">
        <v>5417</v>
      </c>
      <c r="U582" t="s">
        <v>5417</v>
      </c>
      <c r="V582" t="s">
        <v>824</v>
      </c>
      <c r="W582" t="s">
        <v>1256</v>
      </c>
      <c r="X582" t="s">
        <v>1256</v>
      </c>
      <c r="Y582" t="s">
        <v>1256</v>
      </c>
      <c r="Z582" t="s">
        <v>1256</v>
      </c>
      <c r="AA582" t="s">
        <v>1256</v>
      </c>
      <c r="AB582" s="2">
        <v>-1.7299999999999999E-2</v>
      </c>
      <c r="AC582" s="2">
        <v>-1.8200000000000001E-2</v>
      </c>
      <c r="AD582" s="2">
        <v>-1.8200000000000001E-2</v>
      </c>
      <c r="AE582" s="2">
        <v>-1.8200000000000001E-2</v>
      </c>
      <c r="AF582" s="2">
        <v>-1.8200000000000001E-2</v>
      </c>
      <c r="AG582" s="2">
        <v>-1.8200000000000001E-2</v>
      </c>
      <c r="AH582" t="s">
        <v>977</v>
      </c>
      <c r="AI582" t="s">
        <v>620</v>
      </c>
      <c r="AJ582" t="s">
        <v>131</v>
      </c>
      <c r="AK582" t="s">
        <v>40</v>
      </c>
      <c r="AL582">
        <v>1</v>
      </c>
      <c r="AM582" t="s">
        <v>41</v>
      </c>
      <c r="AN582" t="s">
        <v>42</v>
      </c>
      <c r="AO582" t="s">
        <v>5416</v>
      </c>
      <c r="AP582" t="s">
        <v>835</v>
      </c>
      <c r="AQ582" t="s">
        <v>5418</v>
      </c>
      <c r="AR582" t="s">
        <v>48</v>
      </c>
      <c r="AS582" t="s">
        <v>48</v>
      </c>
    </row>
    <row r="583" spans="1:45" x14ac:dyDescent="0.4">
      <c r="A583" t="s">
        <v>76</v>
      </c>
      <c r="B583" t="s">
        <v>10</v>
      </c>
      <c r="C583" t="s">
        <v>976</v>
      </c>
      <c r="D583" t="s">
        <v>11</v>
      </c>
      <c r="E583" s="2">
        <v>0</v>
      </c>
      <c r="F583" t="s">
        <v>12</v>
      </c>
      <c r="G583" s="4" t="s">
        <v>15</v>
      </c>
      <c r="H583" t="s">
        <v>976</v>
      </c>
      <c r="I583" t="s">
        <v>4785</v>
      </c>
      <c r="J583" t="s">
        <v>7151</v>
      </c>
      <c r="K583" t="s">
        <v>23</v>
      </c>
      <c r="L583" s="2">
        <v>2.5999999999999999E-2</v>
      </c>
      <c r="M583" t="s">
        <v>7152</v>
      </c>
      <c r="N583" t="s">
        <v>28</v>
      </c>
      <c r="O583" t="s">
        <v>5962</v>
      </c>
      <c r="P583" t="s">
        <v>1065</v>
      </c>
      <c r="Q583" t="s">
        <v>1551</v>
      </c>
      <c r="R583" t="s">
        <v>2466</v>
      </c>
      <c r="S583" t="s">
        <v>2466</v>
      </c>
      <c r="T583" t="s">
        <v>2466</v>
      </c>
      <c r="U583" t="s">
        <v>2466</v>
      </c>
      <c r="V583" t="s">
        <v>217</v>
      </c>
      <c r="W583" t="s">
        <v>641</v>
      </c>
      <c r="X583" t="s">
        <v>641</v>
      </c>
      <c r="Y583" t="s">
        <v>641</v>
      </c>
      <c r="Z583" t="s">
        <v>641</v>
      </c>
      <c r="AA583" t="s">
        <v>641</v>
      </c>
      <c r="AB583" s="2">
        <v>0</v>
      </c>
      <c r="AC583" s="2">
        <v>1E-3</v>
      </c>
      <c r="AD583" s="2">
        <v>2E-3</v>
      </c>
      <c r="AE583" s="2">
        <v>2E-3</v>
      </c>
      <c r="AF583" s="2">
        <v>2E-3</v>
      </c>
      <c r="AG583" s="2">
        <v>2E-3</v>
      </c>
      <c r="AH583" t="s">
        <v>977</v>
      </c>
      <c r="AI583" t="s">
        <v>620</v>
      </c>
      <c r="AJ583" t="s">
        <v>131</v>
      </c>
      <c r="AK583" t="s">
        <v>40</v>
      </c>
      <c r="AL583">
        <v>1</v>
      </c>
      <c r="AM583" t="s">
        <v>41</v>
      </c>
      <c r="AN583" t="s">
        <v>42</v>
      </c>
      <c r="AO583" t="s">
        <v>5962</v>
      </c>
      <c r="AP583" t="s">
        <v>2604</v>
      </c>
      <c r="AQ583" t="s">
        <v>7153</v>
      </c>
      <c r="AR583" t="s">
        <v>48</v>
      </c>
      <c r="AS583" t="s">
        <v>48</v>
      </c>
    </row>
    <row r="584" spans="1:45" x14ac:dyDescent="0.4">
      <c r="A584" t="s">
        <v>76</v>
      </c>
      <c r="B584" t="s">
        <v>10</v>
      </c>
      <c r="C584" t="s">
        <v>976</v>
      </c>
      <c r="D584" t="s">
        <v>11</v>
      </c>
      <c r="E584" s="2">
        <v>5.0000000000000001E-4</v>
      </c>
      <c r="F584" t="s">
        <v>12</v>
      </c>
      <c r="G584" s="4" t="s">
        <v>565</v>
      </c>
      <c r="H584" t="s">
        <v>976</v>
      </c>
      <c r="I584" t="s">
        <v>5386</v>
      </c>
      <c r="J584" t="s">
        <v>5387</v>
      </c>
      <c r="K584" t="s">
        <v>23</v>
      </c>
      <c r="L584" s="2">
        <v>2.5000000000000001E-2</v>
      </c>
      <c r="M584" t="s">
        <v>3128</v>
      </c>
      <c r="N584" t="s">
        <v>28</v>
      </c>
      <c r="O584" t="s">
        <v>4780</v>
      </c>
      <c r="P584" t="s">
        <v>1065</v>
      </c>
      <c r="Q584" t="s">
        <v>1551</v>
      </c>
      <c r="R584" t="s">
        <v>1551</v>
      </c>
      <c r="S584" t="s">
        <v>1551</v>
      </c>
      <c r="T584" t="s">
        <v>1551</v>
      </c>
      <c r="U584" t="s">
        <v>1551</v>
      </c>
      <c r="V584" t="s">
        <v>976</v>
      </c>
      <c r="W584" t="s">
        <v>217</v>
      </c>
      <c r="X584" t="s">
        <v>217</v>
      </c>
      <c r="Y584" t="s">
        <v>217</v>
      </c>
      <c r="Z584" t="s">
        <v>217</v>
      </c>
      <c r="AA584" t="s">
        <v>217</v>
      </c>
      <c r="AB584" s="2">
        <v>0</v>
      </c>
      <c r="AC584" s="2">
        <v>1.5E-3</v>
      </c>
      <c r="AD584" s="2">
        <v>1.5E-3</v>
      </c>
      <c r="AE584" s="2">
        <v>1.5E-3</v>
      </c>
      <c r="AF584" s="2">
        <v>1.5E-3</v>
      </c>
      <c r="AG584" s="2">
        <v>1.5E-3</v>
      </c>
      <c r="AH584" t="s">
        <v>977</v>
      </c>
      <c r="AI584" t="s">
        <v>620</v>
      </c>
      <c r="AJ584" t="s">
        <v>131</v>
      </c>
      <c r="AK584" t="s">
        <v>40</v>
      </c>
      <c r="AL584">
        <v>1</v>
      </c>
      <c r="AM584" t="s">
        <v>41</v>
      </c>
      <c r="AN584" t="s">
        <v>42</v>
      </c>
      <c r="AO584" t="s">
        <v>4780</v>
      </c>
      <c r="AP584" t="s">
        <v>978</v>
      </c>
      <c r="AQ584" t="s">
        <v>5388</v>
      </c>
      <c r="AR584" t="s">
        <v>48</v>
      </c>
      <c r="AS584" t="s">
        <v>48</v>
      </c>
    </row>
    <row r="585" spans="1:45" x14ac:dyDescent="0.4">
      <c r="A585" t="s">
        <v>76</v>
      </c>
      <c r="B585" t="s">
        <v>10</v>
      </c>
      <c r="C585" t="s">
        <v>976</v>
      </c>
      <c r="D585" t="s">
        <v>11</v>
      </c>
      <c r="E585" s="2">
        <v>5.0000000000000001E-4</v>
      </c>
      <c r="F585" t="s">
        <v>12</v>
      </c>
      <c r="G585" s="4" t="s">
        <v>565</v>
      </c>
      <c r="H585" t="s">
        <v>976</v>
      </c>
      <c r="I585" t="s">
        <v>5386</v>
      </c>
      <c r="J585" t="s">
        <v>5386</v>
      </c>
      <c r="K585" t="s">
        <v>23</v>
      </c>
      <c r="L585" s="2">
        <v>2.5000000000000001E-2</v>
      </c>
      <c r="M585" t="s">
        <v>1851</v>
      </c>
      <c r="N585" t="s">
        <v>28</v>
      </c>
      <c r="O585" t="s">
        <v>449</v>
      </c>
      <c r="P585" t="s">
        <v>1065</v>
      </c>
      <c r="Q585" t="s">
        <v>1065</v>
      </c>
      <c r="R585" t="s">
        <v>1065</v>
      </c>
      <c r="S585" t="s">
        <v>1065</v>
      </c>
      <c r="T585" t="s">
        <v>1065</v>
      </c>
      <c r="U585" t="s">
        <v>1065</v>
      </c>
      <c r="V585" t="s">
        <v>976</v>
      </c>
      <c r="W585" t="s">
        <v>976</v>
      </c>
      <c r="X585" t="s">
        <v>976</v>
      </c>
      <c r="Y585" t="s">
        <v>976</v>
      </c>
      <c r="Z585" t="s">
        <v>976</v>
      </c>
      <c r="AA585" t="s">
        <v>976</v>
      </c>
      <c r="AB585" s="2">
        <v>5.0000000000000001E-4</v>
      </c>
      <c r="AC585" s="2">
        <v>5.0000000000000001E-4</v>
      </c>
      <c r="AD585" s="2">
        <v>5.0000000000000001E-4</v>
      </c>
      <c r="AE585" s="2">
        <v>5.0000000000000001E-4</v>
      </c>
      <c r="AF585" s="2">
        <v>5.0000000000000001E-4</v>
      </c>
      <c r="AG585" s="2">
        <v>5.0000000000000001E-4</v>
      </c>
      <c r="AH585" t="s">
        <v>977</v>
      </c>
      <c r="AI585" t="s">
        <v>620</v>
      </c>
      <c r="AJ585" t="s">
        <v>131</v>
      </c>
      <c r="AK585" t="s">
        <v>40</v>
      </c>
      <c r="AL585">
        <v>1</v>
      </c>
      <c r="AM585" t="s">
        <v>41</v>
      </c>
      <c r="AN585" t="s">
        <v>42</v>
      </c>
      <c r="AO585" t="s">
        <v>449</v>
      </c>
      <c r="AP585" t="s">
        <v>2604</v>
      </c>
      <c r="AQ585" t="s">
        <v>2604</v>
      </c>
      <c r="AR585" t="s">
        <v>48</v>
      </c>
      <c r="AS585" t="s">
        <v>48</v>
      </c>
    </row>
    <row r="586" spans="1:45" x14ac:dyDescent="0.4">
      <c r="A586" t="s">
        <v>76</v>
      </c>
      <c r="B586" t="s">
        <v>10</v>
      </c>
      <c r="C586" t="s">
        <v>718</v>
      </c>
      <c r="D586" t="s">
        <v>11</v>
      </c>
      <c r="E586" s="2">
        <v>-1.6000000000000001E-3</v>
      </c>
      <c r="F586" t="s">
        <v>12</v>
      </c>
      <c r="G586" s="4">
        <f>-0.15 / -0.16%</f>
        <v>93.749999999999986</v>
      </c>
      <c r="H586" t="s">
        <v>718</v>
      </c>
      <c r="I586" t="s">
        <v>5974</v>
      </c>
      <c r="J586" t="s">
        <v>5975</v>
      </c>
      <c r="K586" t="s">
        <v>23</v>
      </c>
      <c r="L586" s="2">
        <v>2.5000000000000001E-2</v>
      </c>
      <c r="M586" t="s">
        <v>5391</v>
      </c>
      <c r="N586" t="s">
        <v>28</v>
      </c>
      <c r="O586" t="s">
        <v>4780</v>
      </c>
      <c r="P586" t="s">
        <v>5976</v>
      </c>
      <c r="Q586" t="s">
        <v>5976</v>
      </c>
      <c r="R586" t="s">
        <v>5976</v>
      </c>
      <c r="S586" t="s">
        <v>5976</v>
      </c>
      <c r="T586" t="s">
        <v>5976</v>
      </c>
      <c r="U586" t="s">
        <v>5976</v>
      </c>
      <c r="V586" t="s">
        <v>2410</v>
      </c>
      <c r="W586" t="s">
        <v>976</v>
      </c>
      <c r="X586" t="s">
        <v>976</v>
      </c>
      <c r="Y586" t="s">
        <v>976</v>
      </c>
      <c r="Z586" t="s">
        <v>976</v>
      </c>
      <c r="AA586" t="s">
        <v>976</v>
      </c>
      <c r="AB586" s="2">
        <v>-2.07E-2</v>
      </c>
      <c r="AC586" s="2">
        <v>-4.48E-2</v>
      </c>
      <c r="AD586" s="2">
        <v>-4.48E-2</v>
      </c>
      <c r="AE586" s="2">
        <v>-4.48E-2</v>
      </c>
      <c r="AF586" s="2">
        <v>-4.48E-2</v>
      </c>
      <c r="AG586" s="2">
        <v>-4.48E-2</v>
      </c>
      <c r="AH586" t="s">
        <v>977</v>
      </c>
      <c r="AI586" t="s">
        <v>620</v>
      </c>
      <c r="AJ586" t="s">
        <v>131</v>
      </c>
      <c r="AK586" t="s">
        <v>40</v>
      </c>
      <c r="AL586">
        <v>1</v>
      </c>
      <c r="AM586" t="s">
        <v>41</v>
      </c>
      <c r="AN586" t="s">
        <v>42</v>
      </c>
      <c r="AO586" t="s">
        <v>4780</v>
      </c>
      <c r="AP586" t="s">
        <v>978</v>
      </c>
      <c r="AQ586" t="s">
        <v>5977</v>
      </c>
      <c r="AR586" t="s">
        <v>48</v>
      </c>
      <c r="AS586" t="s">
        <v>48</v>
      </c>
    </row>
    <row r="587" spans="1:45" x14ac:dyDescent="0.4">
      <c r="A587" t="s">
        <v>76</v>
      </c>
      <c r="B587" t="s">
        <v>10</v>
      </c>
      <c r="C587" t="s">
        <v>1386</v>
      </c>
      <c r="D587" t="s">
        <v>11</v>
      </c>
      <c r="E587" s="2">
        <v>-1.5E-3</v>
      </c>
      <c r="F587" t="s">
        <v>12</v>
      </c>
      <c r="G587" s="4">
        <f>-0.15 / -0.15%</f>
        <v>100</v>
      </c>
      <c r="H587" t="s">
        <v>1386</v>
      </c>
      <c r="I587" t="s">
        <v>5978</v>
      </c>
      <c r="J587" t="s">
        <v>5979</v>
      </c>
      <c r="K587" t="s">
        <v>23</v>
      </c>
      <c r="L587" s="2">
        <v>2.5000000000000001E-2</v>
      </c>
      <c r="M587" t="s">
        <v>5980</v>
      </c>
      <c r="N587" t="s">
        <v>28</v>
      </c>
      <c r="O587" t="s">
        <v>5981</v>
      </c>
      <c r="P587" t="s">
        <v>2417</v>
      </c>
      <c r="Q587" t="s">
        <v>2417</v>
      </c>
      <c r="R587" t="s">
        <v>2417</v>
      </c>
      <c r="S587" t="s">
        <v>2417</v>
      </c>
      <c r="T587" t="s">
        <v>2417</v>
      </c>
      <c r="U587" t="s">
        <v>2417</v>
      </c>
      <c r="V587" t="s">
        <v>5400</v>
      </c>
      <c r="W587" t="s">
        <v>5400</v>
      </c>
      <c r="X587" t="s">
        <v>5400</v>
      </c>
      <c r="Y587" t="s">
        <v>5400</v>
      </c>
      <c r="Z587" t="s">
        <v>5400</v>
      </c>
      <c r="AA587" t="s">
        <v>5400</v>
      </c>
      <c r="AB587" s="2">
        <v>-1.1599999999999999E-2</v>
      </c>
      <c r="AC587" s="2">
        <v>-9.5999999999999992E-3</v>
      </c>
      <c r="AD587" s="2">
        <v>-9.5999999999999992E-3</v>
      </c>
      <c r="AE587" s="2">
        <v>-9.5999999999999992E-3</v>
      </c>
      <c r="AF587" s="2">
        <v>-9.5999999999999992E-3</v>
      </c>
      <c r="AG587" s="2">
        <v>-9.5999999999999992E-3</v>
      </c>
      <c r="AH587" t="s">
        <v>977</v>
      </c>
      <c r="AI587" t="s">
        <v>620</v>
      </c>
      <c r="AJ587" t="s">
        <v>131</v>
      </c>
      <c r="AK587" t="s">
        <v>40</v>
      </c>
      <c r="AL587">
        <v>1</v>
      </c>
      <c r="AM587" t="s">
        <v>41</v>
      </c>
      <c r="AN587" t="s">
        <v>42</v>
      </c>
      <c r="AO587" t="s">
        <v>5981</v>
      </c>
      <c r="AP587" t="s">
        <v>978</v>
      </c>
      <c r="AQ587" t="s">
        <v>5982</v>
      </c>
      <c r="AR587" t="s">
        <v>48</v>
      </c>
      <c r="AS587" t="s">
        <v>48</v>
      </c>
    </row>
    <row r="588" spans="1:45" x14ac:dyDescent="0.4">
      <c r="A588" t="s">
        <v>76</v>
      </c>
      <c r="B588" t="s">
        <v>10</v>
      </c>
      <c r="C588" t="s">
        <v>1065</v>
      </c>
      <c r="D588" t="s">
        <v>11</v>
      </c>
      <c r="E588" s="2">
        <v>0</v>
      </c>
      <c r="F588" t="s">
        <v>12</v>
      </c>
      <c r="G588" s="4" t="s">
        <v>15</v>
      </c>
      <c r="H588" t="s">
        <v>1065</v>
      </c>
      <c r="I588" t="s">
        <v>2606</v>
      </c>
      <c r="J588" t="s">
        <v>5402</v>
      </c>
      <c r="K588" t="s">
        <v>23</v>
      </c>
      <c r="L588" s="2">
        <v>2.4E-2</v>
      </c>
      <c r="M588" t="s">
        <v>5403</v>
      </c>
      <c r="N588" t="s">
        <v>28</v>
      </c>
      <c r="O588" t="s">
        <v>5404</v>
      </c>
      <c r="P588" t="s">
        <v>2427</v>
      </c>
      <c r="Q588" t="s">
        <v>362</v>
      </c>
      <c r="R588" t="s">
        <v>5400</v>
      </c>
      <c r="S588" t="s">
        <v>5400</v>
      </c>
      <c r="T588" t="s">
        <v>5400</v>
      </c>
      <c r="U588" t="s">
        <v>5400</v>
      </c>
      <c r="V588" t="s">
        <v>1065</v>
      </c>
      <c r="W588" t="s">
        <v>1065</v>
      </c>
      <c r="X588" t="s">
        <v>1065</v>
      </c>
      <c r="Y588" t="s">
        <v>1065</v>
      </c>
      <c r="Z588" t="s">
        <v>1065</v>
      </c>
      <c r="AA588" t="s">
        <v>1065</v>
      </c>
      <c r="AB588" s="2">
        <v>5.0000000000000001E-4</v>
      </c>
      <c r="AC588" s="2">
        <v>2E-3</v>
      </c>
      <c r="AD588" s="2">
        <v>2.5000000000000001E-3</v>
      </c>
      <c r="AE588" s="2">
        <v>2.5000000000000001E-3</v>
      </c>
      <c r="AF588" s="2">
        <v>2.5000000000000001E-3</v>
      </c>
      <c r="AG588" s="2">
        <v>2.5000000000000001E-3</v>
      </c>
      <c r="AH588" t="s">
        <v>977</v>
      </c>
      <c r="AI588" t="s">
        <v>620</v>
      </c>
      <c r="AJ588" t="s">
        <v>131</v>
      </c>
      <c r="AK588" t="s">
        <v>40</v>
      </c>
      <c r="AL588">
        <v>1</v>
      </c>
      <c r="AM588" t="s">
        <v>41</v>
      </c>
      <c r="AN588" t="s">
        <v>42</v>
      </c>
      <c r="AO588" t="s">
        <v>5404</v>
      </c>
      <c r="AP588" t="s">
        <v>978</v>
      </c>
      <c r="AQ588" t="s">
        <v>5405</v>
      </c>
      <c r="AR588" t="s">
        <v>48</v>
      </c>
      <c r="AS588" t="s">
        <v>48</v>
      </c>
    </row>
    <row r="589" spans="1:45" x14ac:dyDescent="0.4">
      <c r="A589" t="s">
        <v>9</v>
      </c>
      <c r="B589" t="s">
        <v>10</v>
      </c>
      <c r="C589" t="s">
        <v>2427</v>
      </c>
      <c r="D589" t="s">
        <v>11</v>
      </c>
      <c r="E589" s="2">
        <v>0</v>
      </c>
      <c r="F589" t="s">
        <v>12</v>
      </c>
      <c r="G589" s="4" t="s">
        <v>15</v>
      </c>
      <c r="H589" t="s">
        <v>2427</v>
      </c>
      <c r="I589" t="s">
        <v>5960</v>
      </c>
      <c r="J589" t="s">
        <v>5961</v>
      </c>
      <c r="K589" t="s">
        <v>23</v>
      </c>
      <c r="L589" s="2">
        <v>2.4E-2</v>
      </c>
      <c r="M589" t="s">
        <v>432</v>
      </c>
      <c r="N589" t="s">
        <v>28</v>
      </c>
      <c r="O589" t="s">
        <v>5962</v>
      </c>
      <c r="P589" t="s">
        <v>2427</v>
      </c>
      <c r="Q589" t="s">
        <v>2466</v>
      </c>
      <c r="R589" t="s">
        <v>4303</v>
      </c>
      <c r="S589" t="s">
        <v>4303</v>
      </c>
      <c r="T589" t="s">
        <v>4303</v>
      </c>
      <c r="U589" t="s">
        <v>4303</v>
      </c>
      <c r="V589" t="s">
        <v>976</v>
      </c>
      <c r="W589" t="s">
        <v>217</v>
      </c>
      <c r="X589" t="s">
        <v>217</v>
      </c>
      <c r="Y589" t="s">
        <v>217</v>
      </c>
      <c r="Z589" t="s">
        <v>217</v>
      </c>
      <c r="AA589" t="s">
        <v>217</v>
      </c>
      <c r="AB589" s="2">
        <v>-5.0000000000000001E-4</v>
      </c>
      <c r="AC589" s="2">
        <v>1E-3</v>
      </c>
      <c r="AD589" s="2">
        <v>2E-3</v>
      </c>
      <c r="AE589" s="2">
        <v>2E-3</v>
      </c>
      <c r="AF589" s="2">
        <v>2E-3</v>
      </c>
      <c r="AG589" s="2">
        <v>2E-3</v>
      </c>
      <c r="AH589" t="s">
        <v>977</v>
      </c>
      <c r="AI589" t="s">
        <v>620</v>
      </c>
      <c r="AJ589" t="s">
        <v>131</v>
      </c>
      <c r="AK589" t="s">
        <v>40</v>
      </c>
      <c r="AL589">
        <v>1</v>
      </c>
      <c r="AM589" t="s">
        <v>41</v>
      </c>
      <c r="AN589" t="s">
        <v>42</v>
      </c>
      <c r="AO589" t="s">
        <v>5962</v>
      </c>
      <c r="AP589" t="s">
        <v>2604</v>
      </c>
      <c r="AQ589" t="s">
        <v>5963</v>
      </c>
      <c r="AR589" t="s">
        <v>48</v>
      </c>
      <c r="AS589" t="s">
        <v>48</v>
      </c>
    </row>
    <row r="590" spans="1:45" x14ac:dyDescent="0.4">
      <c r="A590" t="s">
        <v>9</v>
      </c>
      <c r="B590" t="s">
        <v>10</v>
      </c>
      <c r="C590" t="s">
        <v>958</v>
      </c>
      <c r="D590" t="s">
        <v>11</v>
      </c>
      <c r="E590" s="2">
        <v>-2.0999999999999999E-3</v>
      </c>
      <c r="F590" t="s">
        <v>12</v>
      </c>
      <c r="G590" s="4">
        <f>-0.2 / -0.21%</f>
        <v>95.238095238095255</v>
      </c>
      <c r="H590" t="s">
        <v>958</v>
      </c>
      <c r="I590" t="s">
        <v>5971</v>
      </c>
      <c r="J590" t="s">
        <v>5972</v>
      </c>
      <c r="K590" t="s">
        <v>23</v>
      </c>
      <c r="L590" s="2">
        <v>2.4E-2</v>
      </c>
      <c r="M590" t="s">
        <v>5391</v>
      </c>
      <c r="N590" t="s">
        <v>28</v>
      </c>
      <c r="O590" t="s">
        <v>4780</v>
      </c>
      <c r="P590" t="s">
        <v>651</v>
      </c>
      <c r="Q590" t="s">
        <v>651</v>
      </c>
      <c r="R590" t="s">
        <v>651</v>
      </c>
      <c r="S590" t="s">
        <v>651</v>
      </c>
      <c r="T590" t="s">
        <v>651</v>
      </c>
      <c r="U590" t="s">
        <v>651</v>
      </c>
      <c r="V590" t="s">
        <v>5393</v>
      </c>
      <c r="W590" t="s">
        <v>1065</v>
      </c>
      <c r="X590" t="s">
        <v>1065</v>
      </c>
      <c r="Y590" t="s">
        <v>1065</v>
      </c>
      <c r="Z590" t="s">
        <v>1065</v>
      </c>
      <c r="AA590" t="s">
        <v>1065</v>
      </c>
      <c r="AB590" s="2">
        <v>-1.4800000000000001E-2</v>
      </c>
      <c r="AC590" s="2">
        <v>-3.0700000000000002E-2</v>
      </c>
      <c r="AD590" s="2">
        <v>-3.0700000000000002E-2</v>
      </c>
      <c r="AE590" s="2">
        <v>-3.0700000000000002E-2</v>
      </c>
      <c r="AF590" s="2">
        <v>-3.0700000000000002E-2</v>
      </c>
      <c r="AG590" s="2">
        <v>-3.0700000000000002E-2</v>
      </c>
      <c r="AH590" t="s">
        <v>977</v>
      </c>
      <c r="AI590" t="s">
        <v>620</v>
      </c>
      <c r="AJ590" t="s">
        <v>131</v>
      </c>
      <c r="AK590" t="s">
        <v>40</v>
      </c>
      <c r="AL590">
        <v>1</v>
      </c>
      <c r="AM590" t="s">
        <v>41</v>
      </c>
      <c r="AN590" t="s">
        <v>42</v>
      </c>
      <c r="AO590" t="s">
        <v>4780</v>
      </c>
      <c r="AP590" t="s">
        <v>978</v>
      </c>
      <c r="AQ590" t="s">
        <v>5973</v>
      </c>
      <c r="AR590" t="s">
        <v>48</v>
      </c>
      <c r="AS590" t="s">
        <v>48</v>
      </c>
    </row>
    <row r="591" spans="1:45" x14ac:dyDescent="0.4">
      <c r="A591" t="s">
        <v>9</v>
      </c>
      <c r="B591" t="s">
        <v>10</v>
      </c>
      <c r="C591" t="s">
        <v>1425</v>
      </c>
      <c r="D591" t="s">
        <v>11</v>
      </c>
      <c r="E591" s="2">
        <v>-1E-3</v>
      </c>
      <c r="F591" t="s">
        <v>12</v>
      </c>
      <c r="G591" s="4">
        <f>-0.1 / -0.1%</f>
        <v>100</v>
      </c>
      <c r="H591" t="s">
        <v>1425</v>
      </c>
      <c r="I591" t="s">
        <v>5968</v>
      </c>
      <c r="J591" t="s">
        <v>5969</v>
      </c>
      <c r="K591" t="s">
        <v>23</v>
      </c>
      <c r="L591" s="2">
        <v>2.3E-2</v>
      </c>
      <c r="M591" t="s">
        <v>5391</v>
      </c>
      <c r="N591" t="s">
        <v>28</v>
      </c>
      <c r="O591" t="s">
        <v>4780</v>
      </c>
      <c r="P591" t="s">
        <v>1518</v>
      </c>
      <c r="Q591" t="s">
        <v>1518</v>
      </c>
      <c r="R591" t="s">
        <v>1518</v>
      </c>
      <c r="S591" t="s">
        <v>1518</v>
      </c>
      <c r="T591" t="s">
        <v>1518</v>
      </c>
      <c r="U591" t="s">
        <v>1518</v>
      </c>
      <c r="V591" t="s">
        <v>167</v>
      </c>
      <c r="W591" t="s">
        <v>110</v>
      </c>
      <c r="X591" t="s">
        <v>110</v>
      </c>
      <c r="Y591" t="s">
        <v>110</v>
      </c>
      <c r="Z591" t="s">
        <v>110</v>
      </c>
      <c r="AA591" t="s">
        <v>110</v>
      </c>
      <c r="AB591" s="2">
        <v>-1.12E-2</v>
      </c>
      <c r="AC591" s="2">
        <v>-2.2200000000000001E-2</v>
      </c>
      <c r="AD591" s="2">
        <v>-2.2200000000000001E-2</v>
      </c>
      <c r="AE591" s="2">
        <v>-2.2200000000000001E-2</v>
      </c>
      <c r="AF591" s="2">
        <v>-2.2200000000000001E-2</v>
      </c>
      <c r="AG591" s="2">
        <v>-2.2200000000000001E-2</v>
      </c>
      <c r="AH591" t="s">
        <v>977</v>
      </c>
      <c r="AI591" t="s">
        <v>620</v>
      </c>
      <c r="AJ591" t="s">
        <v>131</v>
      </c>
      <c r="AK591" t="s">
        <v>40</v>
      </c>
      <c r="AL591">
        <v>1</v>
      </c>
      <c r="AM591" t="s">
        <v>41</v>
      </c>
      <c r="AN591" t="s">
        <v>42</v>
      </c>
      <c r="AO591" t="s">
        <v>4780</v>
      </c>
      <c r="AP591" t="s">
        <v>978</v>
      </c>
      <c r="AQ591" t="s">
        <v>5970</v>
      </c>
      <c r="AR591" t="s">
        <v>48</v>
      </c>
      <c r="AS591" t="s">
        <v>48</v>
      </c>
    </row>
    <row r="592" spans="1:45" x14ac:dyDescent="0.4">
      <c r="A592" t="s">
        <v>76</v>
      </c>
      <c r="B592" t="s">
        <v>10</v>
      </c>
      <c r="C592" t="s">
        <v>1551</v>
      </c>
      <c r="D592" t="s">
        <v>11</v>
      </c>
      <c r="E592" s="2">
        <v>1E-3</v>
      </c>
      <c r="F592" t="s">
        <v>12</v>
      </c>
      <c r="G592" s="4" t="s">
        <v>4075</v>
      </c>
      <c r="H592" t="s">
        <v>1551</v>
      </c>
      <c r="I592" t="s">
        <v>4076</v>
      </c>
      <c r="J592" t="s">
        <v>4077</v>
      </c>
      <c r="K592" t="s">
        <v>23</v>
      </c>
      <c r="L592" s="2">
        <v>2.2499999999999999E-2</v>
      </c>
      <c r="M592" t="s">
        <v>4078</v>
      </c>
      <c r="N592" t="s">
        <v>28</v>
      </c>
      <c r="O592" t="s">
        <v>4079</v>
      </c>
      <c r="P592" t="s">
        <v>362</v>
      </c>
      <c r="Q592" t="s">
        <v>2177</v>
      </c>
      <c r="R592" t="s">
        <v>581</v>
      </c>
      <c r="S592" t="s">
        <v>4080</v>
      </c>
      <c r="T592" t="s">
        <v>297</v>
      </c>
      <c r="U592" t="s">
        <v>297</v>
      </c>
      <c r="V592" t="s">
        <v>2427</v>
      </c>
      <c r="W592" t="s">
        <v>1065</v>
      </c>
      <c r="X592" t="s">
        <v>1065</v>
      </c>
      <c r="Y592" t="s">
        <v>1065</v>
      </c>
      <c r="Z592" t="s">
        <v>1065</v>
      </c>
      <c r="AA592" t="s">
        <v>445</v>
      </c>
      <c r="AB592" s="2">
        <v>-5.0000000000000001E-4</v>
      </c>
      <c r="AC592" s="2">
        <v>1.5E-3</v>
      </c>
      <c r="AD592" s="2">
        <v>1.2200000000000001E-2</v>
      </c>
      <c r="AE592" s="2">
        <v>1.7399999999999999E-2</v>
      </c>
      <c r="AF592" s="2">
        <v>2.5700000000000001E-2</v>
      </c>
      <c r="AG592" s="2">
        <v>7.6E-3</v>
      </c>
      <c r="AH592" t="s">
        <v>977</v>
      </c>
      <c r="AI592" t="s">
        <v>620</v>
      </c>
      <c r="AJ592" t="s">
        <v>131</v>
      </c>
      <c r="AK592" t="s">
        <v>40</v>
      </c>
      <c r="AL592">
        <v>1</v>
      </c>
      <c r="AM592" t="s">
        <v>41</v>
      </c>
      <c r="AN592" t="s">
        <v>42</v>
      </c>
      <c r="AO592" t="s">
        <v>4079</v>
      </c>
      <c r="AP592" t="s">
        <v>978</v>
      </c>
      <c r="AQ592" t="s">
        <v>4081</v>
      </c>
      <c r="AR592" t="s">
        <v>48</v>
      </c>
      <c r="AS592" t="s">
        <v>48</v>
      </c>
    </row>
    <row r="593" spans="1:45" x14ac:dyDescent="0.4">
      <c r="A593" t="s">
        <v>76</v>
      </c>
      <c r="B593" t="s">
        <v>10</v>
      </c>
      <c r="C593" t="s">
        <v>2466</v>
      </c>
      <c r="D593" t="s">
        <v>11</v>
      </c>
      <c r="E593" s="2">
        <v>0</v>
      </c>
      <c r="F593" t="s">
        <v>12</v>
      </c>
      <c r="G593" s="4" t="s">
        <v>15</v>
      </c>
      <c r="H593" t="s">
        <v>2466</v>
      </c>
      <c r="I593" t="s">
        <v>5389</v>
      </c>
      <c r="J593" t="s">
        <v>5390</v>
      </c>
      <c r="K593" t="s">
        <v>23</v>
      </c>
      <c r="L593" s="2">
        <v>2.2499999999999999E-2</v>
      </c>
      <c r="M593" t="s">
        <v>5391</v>
      </c>
      <c r="N593" t="s">
        <v>28</v>
      </c>
      <c r="O593" t="s">
        <v>4780</v>
      </c>
      <c r="P593" t="s">
        <v>362</v>
      </c>
      <c r="Q593" t="s">
        <v>4303</v>
      </c>
      <c r="R593" t="s">
        <v>4303</v>
      </c>
      <c r="S593" t="s">
        <v>4303</v>
      </c>
      <c r="T593" t="s">
        <v>4303</v>
      </c>
      <c r="U593" t="s">
        <v>4303</v>
      </c>
      <c r="V593" t="s">
        <v>2427</v>
      </c>
      <c r="W593" t="s">
        <v>1065</v>
      </c>
      <c r="X593" t="s">
        <v>1065</v>
      </c>
      <c r="Y593" t="s">
        <v>1065</v>
      </c>
      <c r="Z593" t="s">
        <v>1065</v>
      </c>
      <c r="AA593" t="s">
        <v>1065</v>
      </c>
      <c r="AB593" s="2">
        <v>-5.0000000000000001E-4</v>
      </c>
      <c r="AC593" s="2">
        <v>1.5E-3</v>
      </c>
      <c r="AD593" s="2">
        <v>1.5E-3</v>
      </c>
      <c r="AE593" s="2">
        <v>1.5E-3</v>
      </c>
      <c r="AF593" s="2">
        <v>1.5E-3</v>
      </c>
      <c r="AG593" s="2">
        <v>1.5E-3</v>
      </c>
      <c r="AH593" t="s">
        <v>977</v>
      </c>
      <c r="AI593" t="s">
        <v>620</v>
      </c>
      <c r="AJ593" t="s">
        <v>131</v>
      </c>
      <c r="AK593" t="s">
        <v>40</v>
      </c>
      <c r="AL593">
        <v>1</v>
      </c>
      <c r="AM593" t="s">
        <v>41</v>
      </c>
      <c r="AN593" t="s">
        <v>42</v>
      </c>
      <c r="AO593" t="s">
        <v>4780</v>
      </c>
      <c r="AP593" t="s">
        <v>978</v>
      </c>
      <c r="AQ593" t="s">
        <v>5392</v>
      </c>
      <c r="AR593" t="s">
        <v>48</v>
      </c>
      <c r="AS593" t="s">
        <v>48</v>
      </c>
    </row>
    <row r="594" spans="1:45" x14ac:dyDescent="0.4">
      <c r="A594" t="s">
        <v>104</v>
      </c>
      <c r="B594" t="s">
        <v>10</v>
      </c>
      <c r="C594" t="s">
        <v>241</v>
      </c>
      <c r="D594" t="s">
        <v>11</v>
      </c>
      <c r="E594" s="2">
        <v>-5.0000000000000001E-4</v>
      </c>
      <c r="F594" t="s">
        <v>12</v>
      </c>
      <c r="G594" s="4">
        <f>-0.05 / -0.05%</f>
        <v>100</v>
      </c>
      <c r="H594" t="s">
        <v>241</v>
      </c>
      <c r="I594" t="s">
        <v>2004</v>
      </c>
      <c r="J594" t="s">
        <v>5964</v>
      </c>
      <c r="K594" t="s">
        <v>23</v>
      </c>
      <c r="L594" s="2">
        <v>2.2499999999999999E-2</v>
      </c>
      <c r="M594" t="s">
        <v>5965</v>
      </c>
      <c r="N594" t="s">
        <v>28</v>
      </c>
      <c r="O594" t="s">
        <v>5966</v>
      </c>
      <c r="P594" t="s">
        <v>2413</v>
      </c>
      <c r="Q594" t="s">
        <v>2413</v>
      </c>
      <c r="R594" t="s">
        <v>1964</v>
      </c>
      <c r="S594" t="s">
        <v>1964</v>
      </c>
      <c r="T594" t="s">
        <v>1964</v>
      </c>
      <c r="U594" t="s">
        <v>1964</v>
      </c>
      <c r="V594" t="s">
        <v>2466</v>
      </c>
      <c r="W594" t="s">
        <v>1065</v>
      </c>
      <c r="X594" t="s">
        <v>1065</v>
      </c>
      <c r="Y594" t="s">
        <v>1065</v>
      </c>
      <c r="Z594" t="s">
        <v>1065</v>
      </c>
      <c r="AA594" t="s">
        <v>1065</v>
      </c>
      <c r="AB594" s="2">
        <v>-2.5000000000000001E-3</v>
      </c>
      <c r="AC594" s="2">
        <v>-2.5000000000000001E-3</v>
      </c>
      <c r="AD594" s="2">
        <v>5.0000000000000001E-4</v>
      </c>
      <c r="AE594" s="2">
        <v>5.0000000000000001E-4</v>
      </c>
      <c r="AF594" s="2">
        <v>5.0000000000000001E-4</v>
      </c>
      <c r="AG594" s="2">
        <v>5.0000000000000001E-4</v>
      </c>
      <c r="AH594" t="s">
        <v>977</v>
      </c>
      <c r="AI594" t="s">
        <v>620</v>
      </c>
      <c r="AJ594" t="s">
        <v>131</v>
      </c>
      <c r="AK594" t="s">
        <v>40</v>
      </c>
      <c r="AL594">
        <v>1</v>
      </c>
      <c r="AM594" t="s">
        <v>41</v>
      </c>
      <c r="AN594" t="s">
        <v>42</v>
      </c>
      <c r="AO594" t="s">
        <v>5966</v>
      </c>
      <c r="AP594" t="s">
        <v>978</v>
      </c>
      <c r="AQ594" t="s">
        <v>5967</v>
      </c>
      <c r="AR594" t="s">
        <v>48</v>
      </c>
      <c r="AS594" t="s">
        <v>48</v>
      </c>
    </row>
    <row r="595" spans="1:45" x14ac:dyDescent="0.4">
      <c r="A595" t="s">
        <v>76</v>
      </c>
      <c r="B595" t="s">
        <v>10</v>
      </c>
      <c r="C595" t="s">
        <v>2417</v>
      </c>
      <c r="D595" t="s">
        <v>11</v>
      </c>
      <c r="E595" s="2">
        <v>-1E-3</v>
      </c>
      <c r="F595" t="s">
        <v>12</v>
      </c>
      <c r="G595" s="4">
        <f>-0.1 / -0.1%</f>
        <v>100</v>
      </c>
      <c r="H595" t="s">
        <v>2417</v>
      </c>
      <c r="I595" t="s">
        <v>6632</v>
      </c>
      <c r="J595" t="s">
        <v>6633</v>
      </c>
      <c r="K595" t="s">
        <v>23</v>
      </c>
      <c r="L595" s="2">
        <v>2.1999999999999999E-2</v>
      </c>
      <c r="M595" t="s">
        <v>6634</v>
      </c>
      <c r="N595" t="s">
        <v>28</v>
      </c>
      <c r="O595" t="s">
        <v>1541</v>
      </c>
      <c r="P595" t="s">
        <v>625</v>
      </c>
      <c r="Q595" t="s">
        <v>625</v>
      </c>
      <c r="R595" t="s">
        <v>625</v>
      </c>
      <c r="S595" t="s">
        <v>625</v>
      </c>
      <c r="T595" t="s">
        <v>625</v>
      </c>
      <c r="U595" t="s">
        <v>625</v>
      </c>
      <c r="V595" t="s">
        <v>970</v>
      </c>
      <c r="W595" t="s">
        <v>1065</v>
      </c>
      <c r="X595" t="s">
        <v>1065</v>
      </c>
      <c r="Y595" t="s">
        <v>1065</v>
      </c>
      <c r="Z595" t="s">
        <v>1065</v>
      </c>
      <c r="AA595" t="s">
        <v>1065</v>
      </c>
      <c r="AB595" s="2">
        <v>-8.0999999999999996E-3</v>
      </c>
      <c r="AC595" s="2">
        <v>-1.26E-2</v>
      </c>
      <c r="AD595" s="2">
        <v>-1.26E-2</v>
      </c>
      <c r="AE595" s="2">
        <v>-1.26E-2</v>
      </c>
      <c r="AF595" s="2">
        <v>-1.26E-2</v>
      </c>
      <c r="AG595" s="2">
        <v>-1.26E-2</v>
      </c>
      <c r="AH595" t="s">
        <v>977</v>
      </c>
      <c r="AI595" t="s">
        <v>620</v>
      </c>
      <c r="AJ595" t="s">
        <v>131</v>
      </c>
      <c r="AK595" t="s">
        <v>40</v>
      </c>
      <c r="AL595">
        <v>1</v>
      </c>
      <c r="AM595" t="s">
        <v>41</v>
      </c>
      <c r="AN595" t="s">
        <v>42</v>
      </c>
      <c r="AO595" t="s">
        <v>1541</v>
      </c>
      <c r="AP595" t="s">
        <v>978</v>
      </c>
      <c r="AQ595" t="s">
        <v>6635</v>
      </c>
      <c r="AR595" t="s">
        <v>48</v>
      </c>
      <c r="AS595" t="s">
        <v>48</v>
      </c>
    </row>
    <row r="596" spans="1:45" x14ac:dyDescent="0.4">
      <c r="A596" t="s">
        <v>9</v>
      </c>
      <c r="B596" t="s">
        <v>10</v>
      </c>
      <c r="C596" t="s">
        <v>362</v>
      </c>
      <c r="D596" t="s">
        <v>11</v>
      </c>
      <c r="E596" s="2">
        <v>5.0000000000000001E-4</v>
      </c>
      <c r="F596" t="s">
        <v>12</v>
      </c>
      <c r="G596" s="4" t="s">
        <v>565</v>
      </c>
      <c r="H596" t="s">
        <v>362</v>
      </c>
      <c r="I596" t="s">
        <v>5398</v>
      </c>
      <c r="J596" t="s">
        <v>5399</v>
      </c>
      <c r="K596" t="s">
        <v>23</v>
      </c>
      <c r="L596" s="2">
        <v>2.1499999999999998E-2</v>
      </c>
      <c r="M596" t="s">
        <v>5391</v>
      </c>
      <c r="N596" t="s">
        <v>28</v>
      </c>
      <c r="O596" t="s">
        <v>4780</v>
      </c>
      <c r="P596" t="s">
        <v>5400</v>
      </c>
      <c r="Q596" t="s">
        <v>153</v>
      </c>
      <c r="R596" t="s">
        <v>153</v>
      </c>
      <c r="S596" t="s">
        <v>153</v>
      </c>
      <c r="T596" t="s">
        <v>153</v>
      </c>
      <c r="U596" t="s">
        <v>153</v>
      </c>
      <c r="V596" t="s">
        <v>2466</v>
      </c>
      <c r="W596" t="s">
        <v>1551</v>
      </c>
      <c r="X596" t="s">
        <v>1551</v>
      </c>
      <c r="Y596" t="s">
        <v>1551</v>
      </c>
      <c r="Z596" t="s">
        <v>1551</v>
      </c>
      <c r="AA596" t="s">
        <v>1551</v>
      </c>
      <c r="AB596" s="2">
        <v>-5.0000000000000001E-4</v>
      </c>
      <c r="AC596" s="2">
        <v>2E-3</v>
      </c>
      <c r="AD596" s="2">
        <v>2E-3</v>
      </c>
      <c r="AE596" s="2">
        <v>2E-3</v>
      </c>
      <c r="AF596" s="2">
        <v>2E-3</v>
      </c>
      <c r="AG596" s="2">
        <v>2E-3</v>
      </c>
      <c r="AH596" t="s">
        <v>977</v>
      </c>
      <c r="AI596" t="s">
        <v>620</v>
      </c>
      <c r="AJ596" t="s">
        <v>131</v>
      </c>
      <c r="AK596" t="s">
        <v>40</v>
      </c>
      <c r="AL596">
        <v>1</v>
      </c>
      <c r="AM596" t="s">
        <v>41</v>
      </c>
      <c r="AN596" t="s">
        <v>42</v>
      </c>
      <c r="AO596" t="s">
        <v>4780</v>
      </c>
      <c r="AP596" t="s">
        <v>978</v>
      </c>
      <c r="AQ596" t="s">
        <v>5401</v>
      </c>
      <c r="AR596" t="s">
        <v>48</v>
      </c>
      <c r="AS596" t="s">
        <v>48</v>
      </c>
    </row>
    <row r="597" spans="1:45" x14ac:dyDescent="0.4">
      <c r="A597" t="s">
        <v>104</v>
      </c>
      <c r="B597" t="s">
        <v>10</v>
      </c>
      <c r="C597" t="s">
        <v>1186</v>
      </c>
      <c r="D597" t="s">
        <v>11</v>
      </c>
      <c r="E597" s="2">
        <v>-5.0000000000000001E-4</v>
      </c>
      <c r="F597" t="s">
        <v>12</v>
      </c>
      <c r="G597" s="4">
        <f>-0.05 / -0.05%</f>
        <v>100</v>
      </c>
      <c r="H597" t="s">
        <v>1186</v>
      </c>
      <c r="I597" t="s">
        <v>6629</v>
      </c>
      <c r="J597" t="s">
        <v>6630</v>
      </c>
      <c r="K597" t="s">
        <v>23</v>
      </c>
      <c r="L597" s="2">
        <v>2.1000000000000001E-2</v>
      </c>
      <c r="M597" t="s">
        <v>5391</v>
      </c>
      <c r="N597" t="s">
        <v>28</v>
      </c>
      <c r="O597" t="s">
        <v>4780</v>
      </c>
      <c r="P597" t="s">
        <v>970</v>
      </c>
      <c r="Q597" t="s">
        <v>970</v>
      </c>
      <c r="R597" t="s">
        <v>970</v>
      </c>
      <c r="S597" t="s">
        <v>970</v>
      </c>
      <c r="T597" t="s">
        <v>970</v>
      </c>
      <c r="U597" t="s">
        <v>970</v>
      </c>
      <c r="V597" t="s">
        <v>153</v>
      </c>
      <c r="W597" t="s">
        <v>590</v>
      </c>
      <c r="X597" t="s">
        <v>590</v>
      </c>
      <c r="Y597" t="s">
        <v>590</v>
      </c>
      <c r="Z597" t="s">
        <v>590</v>
      </c>
      <c r="AA597" t="s">
        <v>590</v>
      </c>
      <c r="AB597" s="2">
        <v>-4.0000000000000001E-3</v>
      </c>
      <c r="AC597" s="2">
        <v>-5.4999999999999997E-3</v>
      </c>
      <c r="AD597" s="2">
        <v>-5.4999999999999997E-3</v>
      </c>
      <c r="AE597" s="2">
        <v>-5.4999999999999997E-3</v>
      </c>
      <c r="AF597" s="2">
        <v>-5.4999999999999997E-3</v>
      </c>
      <c r="AG597" s="2">
        <v>-5.4999999999999997E-3</v>
      </c>
      <c r="AH597" t="s">
        <v>977</v>
      </c>
      <c r="AI597" t="s">
        <v>620</v>
      </c>
      <c r="AJ597" t="s">
        <v>131</v>
      </c>
      <c r="AK597" t="s">
        <v>40</v>
      </c>
      <c r="AL597">
        <v>1</v>
      </c>
      <c r="AM597" t="s">
        <v>41</v>
      </c>
      <c r="AN597" t="s">
        <v>42</v>
      </c>
      <c r="AO597" t="s">
        <v>4780</v>
      </c>
      <c r="AP597" t="s">
        <v>978</v>
      </c>
      <c r="AQ597" t="s">
        <v>6631</v>
      </c>
      <c r="AR597" t="s">
        <v>48</v>
      </c>
      <c r="AS597" t="s">
        <v>48</v>
      </c>
    </row>
    <row r="598" spans="1:45" x14ac:dyDescent="0.4">
      <c r="A598" t="s">
        <v>9</v>
      </c>
      <c r="B598" t="s">
        <v>10</v>
      </c>
      <c r="C598" t="s">
        <v>1052</v>
      </c>
      <c r="D598" t="s">
        <v>11</v>
      </c>
      <c r="E598" s="2">
        <v>-1.1999999999999999E-3</v>
      </c>
      <c r="F598" t="s">
        <v>12</v>
      </c>
      <c r="G598" s="4">
        <f>-0.1 / -0.12%</f>
        <v>83.333333333333343</v>
      </c>
      <c r="H598" t="s">
        <v>1052</v>
      </c>
      <c r="I598" t="s">
        <v>6655</v>
      </c>
      <c r="J598" t="s">
        <v>6656</v>
      </c>
      <c r="K598" t="s">
        <v>23</v>
      </c>
      <c r="L598" s="2">
        <v>1.8200000000000001E-2</v>
      </c>
      <c r="M598" t="s">
        <v>1809</v>
      </c>
      <c r="N598" t="s">
        <v>28</v>
      </c>
      <c r="O598" t="s">
        <v>6657</v>
      </c>
      <c r="P598" t="s">
        <v>6658</v>
      </c>
      <c r="Q598" t="s">
        <v>6658</v>
      </c>
      <c r="R598" t="s">
        <v>6659</v>
      </c>
      <c r="S598" t="s">
        <v>6660</v>
      </c>
      <c r="T598" t="s">
        <v>6661</v>
      </c>
      <c r="U598" t="s">
        <v>6662</v>
      </c>
      <c r="V598" t="s">
        <v>2814</v>
      </c>
      <c r="W598" t="s">
        <v>2931</v>
      </c>
      <c r="X598" t="s">
        <v>2931</v>
      </c>
      <c r="Y598" t="s">
        <v>2931</v>
      </c>
      <c r="Z598" t="s">
        <v>2931</v>
      </c>
      <c r="AA598" t="s">
        <v>3109</v>
      </c>
      <c r="AB598" s="2">
        <v>-1.52E-2</v>
      </c>
      <c r="AC598" s="2">
        <v>-4.1999999999999997E-3</v>
      </c>
      <c r="AD598" s="2">
        <v>2.9399999999999999E-2</v>
      </c>
      <c r="AE598" s="2">
        <v>4.5499999999999999E-2</v>
      </c>
      <c r="AF598" s="2">
        <v>5.9299999999999999E-2</v>
      </c>
      <c r="AG598" s="2">
        <v>-0.13850000000000001</v>
      </c>
      <c r="AH598" t="s">
        <v>977</v>
      </c>
      <c r="AI598" t="s">
        <v>620</v>
      </c>
      <c r="AJ598" t="s">
        <v>131</v>
      </c>
      <c r="AK598" t="s">
        <v>40</v>
      </c>
      <c r="AL598">
        <v>1</v>
      </c>
      <c r="AM598" t="s">
        <v>41</v>
      </c>
      <c r="AN598" t="s">
        <v>42</v>
      </c>
      <c r="AO598" t="s">
        <v>6657</v>
      </c>
      <c r="AP598" t="s">
        <v>978</v>
      </c>
      <c r="AQ598" t="s">
        <v>6301</v>
      </c>
      <c r="AR598" t="s">
        <v>48</v>
      </c>
      <c r="AS598" t="s">
        <v>48</v>
      </c>
    </row>
    <row r="599" spans="1:45" x14ac:dyDescent="0.4">
      <c r="A599" t="s">
        <v>76</v>
      </c>
      <c r="B599" t="s">
        <v>10</v>
      </c>
      <c r="C599" t="s">
        <v>1317</v>
      </c>
      <c r="D599" t="s">
        <v>11</v>
      </c>
      <c r="E599" s="2">
        <v>-1.6999999999999999E-3</v>
      </c>
      <c r="F599" t="s">
        <v>12</v>
      </c>
      <c r="G599" s="4">
        <f>-0.15 / -0.17%</f>
        <v>88.235294117647044</v>
      </c>
      <c r="H599" t="s">
        <v>1317</v>
      </c>
      <c r="I599" t="s">
        <v>7159</v>
      </c>
      <c r="J599" t="s">
        <v>7160</v>
      </c>
      <c r="K599" t="s">
        <v>23</v>
      </c>
      <c r="L599" s="2">
        <v>1.78E-2</v>
      </c>
      <c r="M599" t="s">
        <v>1809</v>
      </c>
      <c r="N599" t="s">
        <v>28</v>
      </c>
      <c r="O599" t="s">
        <v>6657</v>
      </c>
      <c r="P599" t="s">
        <v>6021</v>
      </c>
      <c r="Q599" t="s">
        <v>6021</v>
      </c>
      <c r="R599" t="s">
        <v>1323</v>
      </c>
      <c r="S599" t="s">
        <v>1324</v>
      </c>
      <c r="T599" t="s">
        <v>5432</v>
      </c>
      <c r="U599" t="s">
        <v>7161</v>
      </c>
      <c r="V599" t="s">
        <v>7162</v>
      </c>
      <c r="W599" t="s">
        <v>2032</v>
      </c>
      <c r="X599" t="s">
        <v>2032</v>
      </c>
      <c r="Y599" t="s">
        <v>2032</v>
      </c>
      <c r="Z599" t="s">
        <v>2032</v>
      </c>
      <c r="AA599" t="s">
        <v>219</v>
      </c>
      <c r="AB599" s="2">
        <v>-1.35E-2</v>
      </c>
      <c r="AC599" s="2">
        <v>-5.7000000000000002E-3</v>
      </c>
      <c r="AD599" s="2">
        <v>2.4500000000000001E-2</v>
      </c>
      <c r="AE599" s="2">
        <v>3.9100000000000003E-2</v>
      </c>
      <c r="AF599" s="2">
        <v>5.91E-2</v>
      </c>
      <c r="AG599" s="2">
        <v>-0.1018</v>
      </c>
      <c r="AH599" t="s">
        <v>977</v>
      </c>
      <c r="AI599" t="s">
        <v>620</v>
      </c>
      <c r="AJ599" t="s">
        <v>131</v>
      </c>
      <c r="AK599" t="s">
        <v>40</v>
      </c>
      <c r="AL599">
        <v>1</v>
      </c>
      <c r="AM599" t="s">
        <v>41</v>
      </c>
      <c r="AN599" t="s">
        <v>42</v>
      </c>
      <c r="AO599" t="s">
        <v>6657</v>
      </c>
      <c r="AP599" t="s">
        <v>978</v>
      </c>
      <c r="AQ599" t="s">
        <v>3127</v>
      </c>
      <c r="AR599" t="s">
        <v>48</v>
      </c>
      <c r="AS599" t="s">
        <v>48</v>
      </c>
    </row>
    <row r="600" spans="1:45" x14ac:dyDescent="0.4">
      <c r="A600" t="s">
        <v>76</v>
      </c>
      <c r="B600" t="s">
        <v>10</v>
      </c>
      <c r="C600" t="s">
        <v>2352</v>
      </c>
      <c r="D600" t="s">
        <v>11</v>
      </c>
      <c r="E600" s="2">
        <v>-1.1000000000000001E-3</v>
      </c>
      <c r="F600" t="s">
        <v>12</v>
      </c>
      <c r="G600" s="4">
        <f>-0.1 / -0.11%</f>
        <v>90.909090909090907</v>
      </c>
      <c r="H600" t="s">
        <v>2352</v>
      </c>
      <c r="I600" t="s">
        <v>5429</v>
      </c>
      <c r="J600" t="s">
        <v>5430</v>
      </c>
      <c r="K600" t="s">
        <v>23</v>
      </c>
      <c r="L600" s="2">
        <v>1.6500000000000001E-2</v>
      </c>
      <c r="M600" t="s">
        <v>5422</v>
      </c>
      <c r="N600" t="s">
        <v>28</v>
      </c>
      <c r="O600" t="s">
        <v>5423</v>
      </c>
      <c r="P600" t="s">
        <v>2841</v>
      </c>
      <c r="Q600" t="s">
        <v>2841</v>
      </c>
      <c r="R600" t="s">
        <v>5431</v>
      </c>
      <c r="S600" t="s">
        <v>2120</v>
      </c>
      <c r="T600" t="s">
        <v>4701</v>
      </c>
      <c r="U600" t="s">
        <v>5432</v>
      </c>
      <c r="V600" t="s">
        <v>4145</v>
      </c>
      <c r="W600" t="s">
        <v>1729</v>
      </c>
      <c r="X600" t="s">
        <v>1729</v>
      </c>
      <c r="Y600" t="s">
        <v>1729</v>
      </c>
      <c r="Z600" t="s">
        <v>1729</v>
      </c>
      <c r="AA600" t="s">
        <v>1552</v>
      </c>
      <c r="AB600" s="2">
        <v>-1.06E-2</v>
      </c>
      <c r="AC600" s="2">
        <v>-3.3999999999999998E-3</v>
      </c>
      <c r="AD600" s="2">
        <v>2.7199999999999998E-2</v>
      </c>
      <c r="AE600" s="2">
        <v>4.1700000000000001E-2</v>
      </c>
      <c r="AF600" s="2">
        <v>5.9200000000000003E-2</v>
      </c>
      <c r="AG600" s="2">
        <v>-9.5899999999999999E-2</v>
      </c>
      <c r="AH600" t="s">
        <v>977</v>
      </c>
      <c r="AI600" t="s">
        <v>620</v>
      </c>
      <c r="AJ600" t="s">
        <v>131</v>
      </c>
      <c r="AK600" t="s">
        <v>40</v>
      </c>
      <c r="AL600">
        <v>1</v>
      </c>
      <c r="AM600" t="s">
        <v>41</v>
      </c>
      <c r="AN600" t="s">
        <v>42</v>
      </c>
      <c r="AO600" t="s">
        <v>5423</v>
      </c>
      <c r="AP600" t="s">
        <v>978</v>
      </c>
      <c r="AQ600" t="s">
        <v>5433</v>
      </c>
      <c r="AR600" t="s">
        <v>48</v>
      </c>
      <c r="AS600" t="s">
        <v>48</v>
      </c>
    </row>
    <row r="601" spans="1:45" x14ac:dyDescent="0.4">
      <c r="A601" t="s">
        <v>9</v>
      </c>
      <c r="B601" t="s">
        <v>10</v>
      </c>
      <c r="C601" t="s">
        <v>4695</v>
      </c>
      <c r="D601" t="s">
        <v>11</v>
      </c>
      <c r="E601" s="2">
        <v>-1.1999999999999999E-3</v>
      </c>
      <c r="F601" t="s">
        <v>12</v>
      </c>
      <c r="G601" s="4">
        <f>-0.1 / -0.12%</f>
        <v>83.333333333333343</v>
      </c>
      <c r="H601" t="s">
        <v>4695</v>
      </c>
      <c r="I601" t="s">
        <v>4696</v>
      </c>
      <c r="J601" t="s">
        <v>4697</v>
      </c>
      <c r="K601" t="s">
        <v>23</v>
      </c>
      <c r="L601" s="2">
        <v>1.6E-2</v>
      </c>
      <c r="M601" t="s">
        <v>4698</v>
      </c>
      <c r="N601" t="s">
        <v>28</v>
      </c>
      <c r="O601" t="s">
        <v>4699</v>
      </c>
      <c r="P601" t="s">
        <v>1052</v>
      </c>
      <c r="Q601" t="s">
        <v>1052</v>
      </c>
      <c r="R601" t="s">
        <v>4700</v>
      </c>
      <c r="S601" t="s">
        <v>4701</v>
      </c>
      <c r="T601" t="s">
        <v>4702</v>
      </c>
      <c r="U601" t="s">
        <v>4703</v>
      </c>
      <c r="V601" t="s">
        <v>957</v>
      </c>
      <c r="W601" t="s">
        <v>4704</v>
      </c>
      <c r="X601" t="s">
        <v>4704</v>
      </c>
      <c r="Y601" t="s">
        <v>4704</v>
      </c>
      <c r="Z601" t="s">
        <v>4704</v>
      </c>
      <c r="AA601" t="s">
        <v>2008</v>
      </c>
      <c r="AB601" s="2">
        <v>-1.4E-2</v>
      </c>
      <c r="AC601" s="2">
        <v>-2.8999999999999998E-3</v>
      </c>
      <c r="AD601" s="2">
        <v>3.1E-2</v>
      </c>
      <c r="AE601" s="2">
        <v>4.8899999999999999E-2</v>
      </c>
      <c r="AF601" s="2">
        <v>6.54E-2</v>
      </c>
      <c r="AG601" s="2">
        <v>-0.13789999999999999</v>
      </c>
      <c r="AH601" t="s">
        <v>977</v>
      </c>
      <c r="AI601" t="s">
        <v>620</v>
      </c>
      <c r="AJ601" t="s">
        <v>131</v>
      </c>
      <c r="AK601" t="s">
        <v>40</v>
      </c>
      <c r="AL601">
        <v>1</v>
      </c>
      <c r="AM601" t="s">
        <v>41</v>
      </c>
      <c r="AN601" t="s">
        <v>42</v>
      </c>
      <c r="AO601" t="s">
        <v>4699</v>
      </c>
      <c r="AP601" t="s">
        <v>978</v>
      </c>
      <c r="AQ601" t="s">
        <v>3127</v>
      </c>
      <c r="AR601" t="s">
        <v>48</v>
      </c>
      <c r="AS601" t="s">
        <v>48</v>
      </c>
    </row>
    <row r="602" spans="1:45" x14ac:dyDescent="0.4">
      <c r="A602" t="s">
        <v>76</v>
      </c>
      <c r="B602" t="s">
        <v>10</v>
      </c>
      <c r="C602" t="s">
        <v>3945</v>
      </c>
      <c r="D602" t="s">
        <v>11</v>
      </c>
      <c r="E602" s="2">
        <v>-1.1000000000000001E-3</v>
      </c>
      <c r="F602" t="s">
        <v>12</v>
      </c>
      <c r="G602" s="4">
        <f>-0.1 / -0.11%</f>
        <v>90.909090909090907</v>
      </c>
      <c r="H602" t="s">
        <v>3945</v>
      </c>
      <c r="I602" t="s">
        <v>5434</v>
      </c>
      <c r="J602" t="s">
        <v>5435</v>
      </c>
      <c r="K602" t="s">
        <v>23</v>
      </c>
      <c r="L602" s="2">
        <v>1.55E-2</v>
      </c>
      <c r="M602" t="s">
        <v>81</v>
      </c>
      <c r="N602" t="s">
        <v>28</v>
      </c>
      <c r="O602" t="s">
        <v>2810</v>
      </c>
      <c r="P602" t="s">
        <v>2821</v>
      </c>
      <c r="Q602" t="s">
        <v>2821</v>
      </c>
      <c r="R602" t="s">
        <v>756</v>
      </c>
      <c r="S602" t="s">
        <v>5436</v>
      </c>
      <c r="T602" t="s">
        <v>5437</v>
      </c>
      <c r="U602" t="s">
        <v>5438</v>
      </c>
      <c r="V602" t="s">
        <v>5439</v>
      </c>
      <c r="W602" t="s">
        <v>5440</v>
      </c>
      <c r="X602" t="s">
        <v>5440</v>
      </c>
      <c r="Y602" t="s">
        <v>5440</v>
      </c>
      <c r="Z602" t="s">
        <v>5440</v>
      </c>
      <c r="AA602" t="s">
        <v>2427</v>
      </c>
      <c r="AB602" s="2">
        <v>-1.12E-2</v>
      </c>
      <c r="AC602" s="2">
        <v>-3.3999999999999998E-3</v>
      </c>
      <c r="AD602" s="2">
        <v>2.8000000000000001E-2</v>
      </c>
      <c r="AE602" s="2">
        <v>4.2599999999999999E-2</v>
      </c>
      <c r="AF602" s="2">
        <v>6.0100000000000001E-2</v>
      </c>
      <c r="AG602" s="2">
        <v>-0.115</v>
      </c>
      <c r="AH602" t="s">
        <v>977</v>
      </c>
      <c r="AI602" t="s">
        <v>620</v>
      </c>
      <c r="AJ602" t="s">
        <v>131</v>
      </c>
      <c r="AK602" t="s">
        <v>40</v>
      </c>
      <c r="AL602">
        <v>1</v>
      </c>
      <c r="AM602" t="s">
        <v>41</v>
      </c>
      <c r="AN602" t="s">
        <v>42</v>
      </c>
      <c r="AO602" t="s">
        <v>2810</v>
      </c>
      <c r="AP602" t="s">
        <v>978</v>
      </c>
      <c r="AQ602" t="s">
        <v>5441</v>
      </c>
      <c r="AR602" t="s">
        <v>48</v>
      </c>
      <c r="AS602" t="s">
        <v>48</v>
      </c>
    </row>
    <row r="603" spans="1:45" x14ac:dyDescent="0.4">
      <c r="A603" t="s">
        <v>9</v>
      </c>
      <c r="B603" t="s">
        <v>10</v>
      </c>
      <c r="C603" t="s">
        <v>5419</v>
      </c>
      <c r="D603" t="s">
        <v>11</v>
      </c>
      <c r="E603" s="2">
        <v>-1.1000000000000001E-3</v>
      </c>
      <c r="F603" t="s">
        <v>12</v>
      </c>
      <c r="G603" s="4">
        <f>-0.1 / -0.11%</f>
        <v>90.909090909090907</v>
      </c>
      <c r="H603" t="s">
        <v>5419</v>
      </c>
      <c r="I603" t="s">
        <v>5420</v>
      </c>
      <c r="J603" t="s">
        <v>5421</v>
      </c>
      <c r="K603" t="s">
        <v>23</v>
      </c>
      <c r="L603" s="2">
        <v>1.35E-2</v>
      </c>
      <c r="M603" t="s">
        <v>5422</v>
      </c>
      <c r="N603" t="s">
        <v>28</v>
      </c>
      <c r="O603" t="s">
        <v>5423</v>
      </c>
      <c r="P603" t="s">
        <v>3774</v>
      </c>
      <c r="Q603" t="s">
        <v>2588</v>
      </c>
      <c r="R603" t="s">
        <v>4151</v>
      </c>
      <c r="S603" t="s">
        <v>2103</v>
      </c>
      <c r="T603" t="s">
        <v>5424</v>
      </c>
      <c r="U603" t="s">
        <v>5425</v>
      </c>
      <c r="V603" t="s">
        <v>5426</v>
      </c>
      <c r="W603" t="s">
        <v>5427</v>
      </c>
      <c r="X603" t="s">
        <v>5427</v>
      </c>
      <c r="Y603" t="s">
        <v>5427</v>
      </c>
      <c r="Z603" t="s">
        <v>5427</v>
      </c>
      <c r="AA603" t="s">
        <v>1183</v>
      </c>
      <c r="AB603" s="2">
        <v>-8.2000000000000007E-3</v>
      </c>
      <c r="AC603" s="2">
        <v>-3.3E-3</v>
      </c>
      <c r="AD603" s="2">
        <v>2.4899999999999999E-2</v>
      </c>
      <c r="AE603" s="2">
        <v>3.5999999999999997E-2</v>
      </c>
      <c r="AF603" s="2">
        <v>5.7099999999999998E-2</v>
      </c>
      <c r="AG603" s="2">
        <v>-7.5899999999999995E-2</v>
      </c>
      <c r="AH603" t="s">
        <v>977</v>
      </c>
      <c r="AI603" t="s">
        <v>620</v>
      </c>
      <c r="AJ603" t="s">
        <v>131</v>
      </c>
      <c r="AK603" t="s">
        <v>40</v>
      </c>
      <c r="AL603">
        <v>1</v>
      </c>
      <c r="AM603" t="s">
        <v>41</v>
      </c>
      <c r="AN603" t="s">
        <v>42</v>
      </c>
      <c r="AO603" t="s">
        <v>5423</v>
      </c>
      <c r="AP603" t="s">
        <v>978</v>
      </c>
      <c r="AQ603" t="s">
        <v>5428</v>
      </c>
      <c r="AR603" t="s">
        <v>48</v>
      </c>
      <c r="AS603" t="s">
        <v>48</v>
      </c>
    </row>
    <row r="604" spans="1:45" x14ac:dyDescent="0.4">
      <c r="A604" t="s">
        <v>76</v>
      </c>
      <c r="B604" t="s">
        <v>10</v>
      </c>
      <c r="C604" t="s">
        <v>5417</v>
      </c>
      <c r="D604" t="s">
        <v>11</v>
      </c>
      <c r="E604" s="2">
        <v>-5.0000000000000001E-4</v>
      </c>
      <c r="F604" t="s">
        <v>12</v>
      </c>
      <c r="G604" s="4">
        <f>-0.05 / -0.05%</f>
        <v>100</v>
      </c>
      <c r="H604" t="s">
        <v>5417</v>
      </c>
      <c r="I604" t="s">
        <v>6009</v>
      </c>
      <c r="J604" t="s">
        <v>6010</v>
      </c>
      <c r="K604" t="s">
        <v>23</v>
      </c>
      <c r="L604" s="2">
        <v>1.35E-2</v>
      </c>
      <c r="M604" t="s">
        <v>6003</v>
      </c>
      <c r="N604" t="s">
        <v>28</v>
      </c>
      <c r="O604" t="s">
        <v>6004</v>
      </c>
      <c r="P604" t="s">
        <v>403</v>
      </c>
      <c r="Q604" t="s">
        <v>4235</v>
      </c>
      <c r="R604" t="s">
        <v>394</v>
      </c>
      <c r="S604" t="s">
        <v>4360</v>
      </c>
      <c r="T604" t="s">
        <v>1430</v>
      </c>
      <c r="U604" t="s">
        <v>1430</v>
      </c>
      <c r="V604" t="s">
        <v>1810</v>
      </c>
      <c r="W604" t="s">
        <v>2009</v>
      </c>
      <c r="X604" t="s">
        <v>2009</v>
      </c>
      <c r="Y604" t="s">
        <v>2009</v>
      </c>
      <c r="Z604" t="s">
        <v>2009</v>
      </c>
      <c r="AA604" t="s">
        <v>1386</v>
      </c>
      <c r="AB604" s="2">
        <v>-3.5999999999999999E-3</v>
      </c>
      <c r="AC604" s="2">
        <v>0</v>
      </c>
      <c r="AD604" s="2">
        <v>2.2700000000000001E-2</v>
      </c>
      <c r="AE604" s="2">
        <v>3.2599999999999997E-2</v>
      </c>
      <c r="AF604" s="2">
        <v>5.5100000000000003E-2</v>
      </c>
      <c r="AG604" s="2">
        <v>-1.5299999999999999E-2</v>
      </c>
      <c r="AH604" t="s">
        <v>977</v>
      </c>
      <c r="AI604" t="s">
        <v>620</v>
      </c>
      <c r="AJ604" t="s">
        <v>131</v>
      </c>
      <c r="AK604" t="s">
        <v>40</v>
      </c>
      <c r="AL604">
        <v>1</v>
      </c>
      <c r="AM604" t="s">
        <v>41</v>
      </c>
      <c r="AN604" t="s">
        <v>42</v>
      </c>
      <c r="AO604" t="s">
        <v>6004</v>
      </c>
      <c r="AP604" t="s">
        <v>978</v>
      </c>
      <c r="AQ604" t="s">
        <v>6011</v>
      </c>
      <c r="AR604" t="s">
        <v>48</v>
      </c>
      <c r="AS604" t="s">
        <v>48</v>
      </c>
    </row>
    <row r="605" spans="1:45" x14ac:dyDescent="0.4">
      <c r="A605" t="s">
        <v>104</v>
      </c>
      <c r="B605" t="s">
        <v>10</v>
      </c>
      <c r="C605" t="s">
        <v>4681</v>
      </c>
      <c r="D605" t="s">
        <v>11</v>
      </c>
      <c r="E605" s="2">
        <v>-1.1000000000000001E-3</v>
      </c>
      <c r="F605" t="s">
        <v>12</v>
      </c>
      <c r="G605" s="4">
        <f>-0.1 / -0.11%</f>
        <v>90.909090909090907</v>
      </c>
      <c r="H605" t="s">
        <v>4681</v>
      </c>
      <c r="I605" t="s">
        <v>4682</v>
      </c>
      <c r="J605" t="s">
        <v>4683</v>
      </c>
      <c r="K605" t="s">
        <v>23</v>
      </c>
      <c r="L605" s="2">
        <v>1.15E-2</v>
      </c>
      <c r="M605" t="s">
        <v>81</v>
      </c>
      <c r="N605" t="s">
        <v>28</v>
      </c>
      <c r="O605" t="s">
        <v>2810</v>
      </c>
      <c r="P605" t="s">
        <v>4684</v>
      </c>
      <c r="Q605" t="s">
        <v>1348</v>
      </c>
      <c r="R605" t="s">
        <v>4685</v>
      </c>
      <c r="S605" t="s">
        <v>4478</v>
      </c>
      <c r="T605" t="s">
        <v>4686</v>
      </c>
      <c r="U605" t="s">
        <v>2842</v>
      </c>
      <c r="V605" t="s">
        <v>2835</v>
      </c>
      <c r="W605" t="s">
        <v>2811</v>
      </c>
      <c r="X605" t="s">
        <v>2811</v>
      </c>
      <c r="Y605" t="s">
        <v>2811</v>
      </c>
      <c r="Z605" t="s">
        <v>2811</v>
      </c>
      <c r="AA605" t="s">
        <v>2466</v>
      </c>
      <c r="AB605" s="2">
        <v>-6.4999999999999997E-3</v>
      </c>
      <c r="AC605" s="2">
        <v>-1.6000000000000001E-3</v>
      </c>
      <c r="AD605" s="2">
        <v>2.5700000000000001E-2</v>
      </c>
      <c r="AE605" s="2">
        <v>3.78E-2</v>
      </c>
      <c r="AF605" s="2">
        <v>5.9900000000000002E-2</v>
      </c>
      <c r="AG605" s="2">
        <v>-7.5899999999999995E-2</v>
      </c>
      <c r="AH605" t="s">
        <v>977</v>
      </c>
      <c r="AI605" t="s">
        <v>620</v>
      </c>
      <c r="AJ605" t="s">
        <v>131</v>
      </c>
      <c r="AK605" t="s">
        <v>40</v>
      </c>
      <c r="AL605">
        <v>1</v>
      </c>
      <c r="AM605" t="s">
        <v>41</v>
      </c>
      <c r="AN605" t="s">
        <v>42</v>
      </c>
      <c r="AO605" t="s">
        <v>2810</v>
      </c>
      <c r="AP605" t="s">
        <v>978</v>
      </c>
      <c r="AQ605" t="s">
        <v>4687</v>
      </c>
      <c r="AR605" t="s">
        <v>48</v>
      </c>
      <c r="AS605" t="s">
        <v>48</v>
      </c>
    </row>
    <row r="606" spans="1:45" x14ac:dyDescent="0.4">
      <c r="A606" t="s">
        <v>76</v>
      </c>
      <c r="B606" t="s">
        <v>10</v>
      </c>
      <c r="C606" t="s">
        <v>2835</v>
      </c>
      <c r="D606" t="s">
        <v>11</v>
      </c>
      <c r="E606" s="2">
        <v>0</v>
      </c>
      <c r="F606" t="s">
        <v>12</v>
      </c>
      <c r="G606" s="4" t="s">
        <v>15</v>
      </c>
      <c r="H606" t="s">
        <v>2835</v>
      </c>
      <c r="I606" t="s">
        <v>2836</v>
      </c>
      <c r="J606" t="s">
        <v>2837</v>
      </c>
      <c r="K606" t="s">
        <v>23</v>
      </c>
      <c r="L606" s="2">
        <v>1.0999999999999999E-2</v>
      </c>
      <c r="M606" t="s">
        <v>2838</v>
      </c>
      <c r="N606" t="s">
        <v>28</v>
      </c>
      <c r="O606" t="s">
        <v>2062</v>
      </c>
      <c r="P606" t="s">
        <v>2839</v>
      </c>
      <c r="Q606" t="s">
        <v>1912</v>
      </c>
      <c r="R606" t="s">
        <v>2840</v>
      </c>
      <c r="S606" t="s">
        <v>2841</v>
      </c>
      <c r="T606" t="s">
        <v>2842</v>
      </c>
      <c r="U606" t="s">
        <v>2843</v>
      </c>
      <c r="V606" t="s">
        <v>2844</v>
      </c>
      <c r="W606" t="s">
        <v>1436</v>
      </c>
      <c r="X606" t="s">
        <v>1436</v>
      </c>
      <c r="Y606" t="s">
        <v>1436</v>
      </c>
      <c r="Z606" t="s">
        <v>1436</v>
      </c>
      <c r="AA606" t="s">
        <v>2845</v>
      </c>
      <c r="AB606" s="2">
        <v>-4.7999999999999996E-3</v>
      </c>
      <c r="AC606" s="2">
        <v>5.0000000000000001E-4</v>
      </c>
      <c r="AD606" s="2">
        <v>2.1499999999999998E-2</v>
      </c>
      <c r="AE606" s="2">
        <v>4.5699999999999998E-2</v>
      </c>
      <c r="AF606" s="2">
        <v>7.4099999999999999E-2</v>
      </c>
      <c r="AG606" s="2">
        <v>-9.64E-2</v>
      </c>
      <c r="AH606" t="s">
        <v>977</v>
      </c>
      <c r="AI606" t="s">
        <v>620</v>
      </c>
      <c r="AJ606" t="s">
        <v>131</v>
      </c>
      <c r="AK606" t="s">
        <v>40</v>
      </c>
      <c r="AL606">
        <v>1</v>
      </c>
      <c r="AM606" t="s">
        <v>41</v>
      </c>
      <c r="AN606" t="s">
        <v>42</v>
      </c>
      <c r="AO606" t="s">
        <v>2062</v>
      </c>
      <c r="AP606" t="s">
        <v>978</v>
      </c>
      <c r="AQ606" t="s">
        <v>978</v>
      </c>
      <c r="AR606" t="s">
        <v>48</v>
      </c>
      <c r="AS606" t="s">
        <v>48</v>
      </c>
    </row>
    <row r="607" spans="1:45" x14ac:dyDescent="0.4">
      <c r="A607" t="s">
        <v>76</v>
      </c>
      <c r="B607" t="s">
        <v>10</v>
      </c>
      <c r="C607" t="s">
        <v>1552</v>
      </c>
      <c r="D607" t="s">
        <v>11</v>
      </c>
      <c r="E607" s="2">
        <v>1E-3</v>
      </c>
      <c r="F607" t="s">
        <v>12</v>
      </c>
      <c r="G607" s="4" t="s">
        <v>4075</v>
      </c>
      <c r="H607" t="s">
        <v>1552</v>
      </c>
      <c r="I607" t="s">
        <v>6006</v>
      </c>
      <c r="J607" t="s">
        <v>6007</v>
      </c>
      <c r="K607" t="s">
        <v>23</v>
      </c>
      <c r="L607" s="2">
        <v>1.0999999999999999E-2</v>
      </c>
      <c r="M607" t="s">
        <v>6003</v>
      </c>
      <c r="N607" t="s">
        <v>28</v>
      </c>
      <c r="O607" t="s">
        <v>6004</v>
      </c>
      <c r="P607" t="s">
        <v>4555</v>
      </c>
      <c r="Q607" t="s">
        <v>1255</v>
      </c>
      <c r="R607" t="s">
        <v>5322</v>
      </c>
      <c r="S607" t="s">
        <v>1516</v>
      </c>
      <c r="T607" t="s">
        <v>1729</v>
      </c>
      <c r="U607" t="s">
        <v>1729</v>
      </c>
      <c r="V607" t="s">
        <v>1183</v>
      </c>
      <c r="W607" t="s">
        <v>294</v>
      </c>
      <c r="X607" t="s">
        <v>294</v>
      </c>
      <c r="Y607" t="s">
        <v>294</v>
      </c>
      <c r="Z607" t="s">
        <v>294</v>
      </c>
      <c r="AA607" t="s">
        <v>1256</v>
      </c>
      <c r="AB607" s="2">
        <v>-5.0000000000000001E-4</v>
      </c>
      <c r="AC607" s="2">
        <v>3.5999999999999999E-3</v>
      </c>
      <c r="AD607" s="2">
        <v>2.1899999999999999E-2</v>
      </c>
      <c r="AE607" s="2">
        <v>3.1600000000000003E-2</v>
      </c>
      <c r="AF607" s="2">
        <v>5.4300000000000001E-2</v>
      </c>
      <c r="AG607" s="2">
        <v>-4.1000000000000003E-3</v>
      </c>
      <c r="AH607" t="s">
        <v>977</v>
      </c>
      <c r="AI607" t="s">
        <v>620</v>
      </c>
      <c r="AJ607" t="s">
        <v>131</v>
      </c>
      <c r="AK607" t="s">
        <v>40</v>
      </c>
      <c r="AL607">
        <v>1</v>
      </c>
      <c r="AM607" t="s">
        <v>41</v>
      </c>
      <c r="AN607" t="s">
        <v>42</v>
      </c>
      <c r="AO607" t="s">
        <v>6004</v>
      </c>
      <c r="AP607" t="s">
        <v>978</v>
      </c>
      <c r="AQ607" t="s">
        <v>6008</v>
      </c>
      <c r="AR607" t="s">
        <v>48</v>
      </c>
      <c r="AS607" t="s">
        <v>48</v>
      </c>
    </row>
    <row r="608" spans="1:45" x14ac:dyDescent="0.4">
      <c r="A608" t="s">
        <v>104</v>
      </c>
      <c r="B608" t="s">
        <v>10</v>
      </c>
      <c r="C608" t="s">
        <v>1317</v>
      </c>
      <c r="D608" t="s">
        <v>11</v>
      </c>
      <c r="E608" s="2">
        <v>-1.6999999999999999E-3</v>
      </c>
      <c r="F608" t="s">
        <v>12</v>
      </c>
      <c r="G608" s="4">
        <f>-0.15 / -0.17%</f>
        <v>88.235294117647044</v>
      </c>
      <c r="H608" t="s">
        <v>1317</v>
      </c>
      <c r="I608" t="s">
        <v>1318</v>
      </c>
      <c r="J608" t="s">
        <v>1319</v>
      </c>
      <c r="K608" t="s">
        <v>23</v>
      </c>
      <c r="L608" s="2">
        <v>0.01</v>
      </c>
      <c r="M608" t="s">
        <v>1320</v>
      </c>
      <c r="N608" t="s">
        <v>28</v>
      </c>
      <c r="O608" t="s">
        <v>1321</v>
      </c>
      <c r="P608" t="s">
        <v>1322</v>
      </c>
      <c r="Q608" t="s">
        <v>1322</v>
      </c>
      <c r="R608" t="s">
        <v>1323</v>
      </c>
      <c r="S608" t="s">
        <v>1324</v>
      </c>
      <c r="T608" t="s">
        <v>1325</v>
      </c>
      <c r="U608" t="s">
        <v>1326</v>
      </c>
      <c r="V608" t="s">
        <v>1327</v>
      </c>
      <c r="W608" t="s">
        <v>1328</v>
      </c>
      <c r="X608" t="s">
        <v>1328</v>
      </c>
      <c r="Y608" t="s">
        <v>1328</v>
      </c>
      <c r="Z608" t="s">
        <v>1328</v>
      </c>
      <c r="AA608" t="s">
        <v>617</v>
      </c>
      <c r="AB608" s="2">
        <v>-9.5999999999999992E-3</v>
      </c>
      <c r="AC608" s="2">
        <v>-3.3999999999999998E-3</v>
      </c>
      <c r="AD608" s="2">
        <v>2.63E-2</v>
      </c>
      <c r="AE608" s="2">
        <v>4.0899999999999999E-2</v>
      </c>
      <c r="AF608" s="2">
        <v>6.8199999999999997E-2</v>
      </c>
      <c r="AG608" s="2">
        <v>-0.1123</v>
      </c>
      <c r="AH608" t="s">
        <v>977</v>
      </c>
      <c r="AI608" t="s">
        <v>620</v>
      </c>
      <c r="AJ608" t="s">
        <v>131</v>
      </c>
      <c r="AK608" t="s">
        <v>40</v>
      </c>
      <c r="AL608">
        <v>1</v>
      </c>
      <c r="AM608" t="s">
        <v>41</v>
      </c>
      <c r="AN608" t="s">
        <v>42</v>
      </c>
      <c r="AO608" t="s">
        <v>1321</v>
      </c>
      <c r="AP608" t="s">
        <v>978</v>
      </c>
      <c r="AQ608" t="s">
        <v>1329</v>
      </c>
      <c r="AR608" t="s">
        <v>48</v>
      </c>
      <c r="AS608" t="s">
        <v>48</v>
      </c>
    </row>
    <row r="609" spans="1:46" x14ac:dyDescent="0.4">
      <c r="A609" t="s">
        <v>76</v>
      </c>
      <c r="B609" t="s">
        <v>10</v>
      </c>
      <c r="C609" t="s">
        <v>219</v>
      </c>
      <c r="D609" t="s">
        <v>11</v>
      </c>
      <c r="E609" s="2">
        <v>5.0000000000000001E-4</v>
      </c>
      <c r="F609" t="s">
        <v>12</v>
      </c>
      <c r="G609" s="4" t="s">
        <v>565</v>
      </c>
      <c r="H609" t="s">
        <v>219</v>
      </c>
      <c r="I609" t="s">
        <v>1597</v>
      </c>
      <c r="J609" t="s">
        <v>1598</v>
      </c>
      <c r="K609" t="s">
        <v>23</v>
      </c>
      <c r="L609" s="2">
        <v>0.01</v>
      </c>
      <c r="M609" t="s">
        <v>1599</v>
      </c>
      <c r="N609" t="s">
        <v>28</v>
      </c>
      <c r="O609" t="s">
        <v>1600</v>
      </c>
      <c r="P609" t="s">
        <v>1336</v>
      </c>
      <c r="Q609" t="s">
        <v>994</v>
      </c>
      <c r="R609" t="s">
        <v>1110</v>
      </c>
      <c r="S609" t="s">
        <v>628</v>
      </c>
      <c r="T609" t="s">
        <v>1328</v>
      </c>
      <c r="U609" t="s">
        <v>1328</v>
      </c>
      <c r="V609" t="s">
        <v>829</v>
      </c>
      <c r="W609" t="s">
        <v>829</v>
      </c>
      <c r="X609" t="s">
        <v>829</v>
      </c>
      <c r="Y609" t="s">
        <v>829</v>
      </c>
      <c r="Z609" t="s">
        <v>829</v>
      </c>
      <c r="AA609" t="s">
        <v>1601</v>
      </c>
      <c r="AB609" s="2">
        <v>0</v>
      </c>
      <c r="AC609" s="2">
        <v>5.1000000000000004E-3</v>
      </c>
      <c r="AD609" s="2">
        <v>2.6700000000000002E-2</v>
      </c>
      <c r="AE609" s="2">
        <v>4.0899999999999999E-2</v>
      </c>
      <c r="AF609" s="2">
        <v>7.2300000000000003E-2</v>
      </c>
      <c r="AG609" s="2">
        <v>-4.4400000000000002E-2</v>
      </c>
      <c r="AH609" t="s">
        <v>977</v>
      </c>
      <c r="AI609" t="s">
        <v>620</v>
      </c>
      <c r="AJ609" t="s">
        <v>131</v>
      </c>
      <c r="AK609" t="s">
        <v>40</v>
      </c>
      <c r="AL609">
        <v>1</v>
      </c>
      <c r="AM609" t="s">
        <v>41</v>
      </c>
      <c r="AN609" t="s">
        <v>42</v>
      </c>
      <c r="AO609" t="s">
        <v>1600</v>
      </c>
      <c r="AP609" t="s">
        <v>978</v>
      </c>
      <c r="AQ609" t="s">
        <v>978</v>
      </c>
      <c r="AR609" t="s">
        <v>48</v>
      </c>
      <c r="AS609" t="s">
        <v>48</v>
      </c>
    </row>
    <row r="610" spans="1:46" x14ac:dyDescent="0.4">
      <c r="A610" t="s">
        <v>104</v>
      </c>
      <c r="B610" t="s">
        <v>10</v>
      </c>
      <c r="C610" t="s">
        <v>2807</v>
      </c>
      <c r="D610" t="s">
        <v>11</v>
      </c>
      <c r="E610" s="2">
        <v>-5.0000000000000001E-4</v>
      </c>
      <c r="F610" t="s">
        <v>12</v>
      </c>
      <c r="G610" s="4">
        <f>-0.05 / -0.05%</f>
        <v>100</v>
      </c>
      <c r="H610" t="s">
        <v>2807</v>
      </c>
      <c r="I610" t="s">
        <v>2808</v>
      </c>
      <c r="J610" t="s">
        <v>2809</v>
      </c>
      <c r="K610" t="s">
        <v>23</v>
      </c>
      <c r="L610" s="2">
        <v>0.01</v>
      </c>
      <c r="M610" t="s">
        <v>81</v>
      </c>
      <c r="N610" t="s">
        <v>28</v>
      </c>
      <c r="O610" t="s">
        <v>2810</v>
      </c>
      <c r="P610" t="s">
        <v>695</v>
      </c>
      <c r="Q610" t="s">
        <v>2811</v>
      </c>
      <c r="R610" t="s">
        <v>2812</v>
      </c>
      <c r="S610" t="s">
        <v>2813</v>
      </c>
      <c r="T610" t="s">
        <v>2814</v>
      </c>
      <c r="U610" t="s">
        <v>2814</v>
      </c>
      <c r="V610" t="s">
        <v>2031</v>
      </c>
      <c r="W610" t="s">
        <v>2815</v>
      </c>
      <c r="X610" t="s">
        <v>2815</v>
      </c>
      <c r="Y610" t="s">
        <v>2815</v>
      </c>
      <c r="Z610" t="s">
        <v>2815</v>
      </c>
      <c r="AA610" t="s">
        <v>362</v>
      </c>
      <c r="AB610" s="2">
        <v>-4.7999999999999996E-3</v>
      </c>
      <c r="AC610" s="2">
        <v>5.0000000000000001E-4</v>
      </c>
      <c r="AD610" s="2">
        <v>2.7400000000000001E-2</v>
      </c>
      <c r="AE610" s="2">
        <v>3.9899999999999998E-2</v>
      </c>
      <c r="AF610" s="2">
        <v>6.5299999999999997E-2</v>
      </c>
      <c r="AG610" s="2">
        <v>-5.6300000000000003E-2</v>
      </c>
      <c r="AH610" t="s">
        <v>977</v>
      </c>
      <c r="AI610" t="s">
        <v>620</v>
      </c>
      <c r="AJ610" t="s">
        <v>131</v>
      </c>
      <c r="AK610" t="s">
        <v>40</v>
      </c>
      <c r="AL610">
        <v>1</v>
      </c>
      <c r="AM610" t="s">
        <v>41</v>
      </c>
      <c r="AN610" t="s">
        <v>42</v>
      </c>
      <c r="AO610" t="s">
        <v>2810</v>
      </c>
      <c r="AP610" t="s">
        <v>978</v>
      </c>
      <c r="AQ610" t="s">
        <v>2816</v>
      </c>
      <c r="AR610" t="s">
        <v>48</v>
      </c>
      <c r="AS610" t="s">
        <v>48</v>
      </c>
    </row>
    <row r="611" spans="1:46" x14ac:dyDescent="0.4">
      <c r="A611" t="s">
        <v>104</v>
      </c>
      <c r="B611" t="s">
        <v>10</v>
      </c>
      <c r="C611" t="s">
        <v>507</v>
      </c>
      <c r="D611" t="s">
        <v>11</v>
      </c>
      <c r="E611" s="2">
        <v>0</v>
      </c>
      <c r="F611" t="s">
        <v>12</v>
      </c>
      <c r="G611" s="4" t="s">
        <v>15</v>
      </c>
      <c r="H611" t="s">
        <v>507</v>
      </c>
      <c r="I611" t="s">
        <v>6646</v>
      </c>
      <c r="J611" t="s">
        <v>6647</v>
      </c>
      <c r="K611" t="s">
        <v>23</v>
      </c>
      <c r="L611" s="2">
        <v>9.4999999999999998E-3</v>
      </c>
      <c r="M611" t="s">
        <v>1223</v>
      </c>
      <c r="N611" t="s">
        <v>28</v>
      </c>
      <c r="O611" t="s">
        <v>6648</v>
      </c>
      <c r="P611" t="s">
        <v>1232</v>
      </c>
      <c r="Q611" t="s">
        <v>876</v>
      </c>
      <c r="R611" t="s">
        <v>628</v>
      </c>
      <c r="S611" t="s">
        <v>2010</v>
      </c>
      <c r="T611" t="s">
        <v>6649</v>
      </c>
      <c r="U611" t="s">
        <v>6649</v>
      </c>
      <c r="V611" t="s">
        <v>1553</v>
      </c>
      <c r="W611" t="s">
        <v>1297</v>
      </c>
      <c r="X611" t="s">
        <v>1297</v>
      </c>
      <c r="Y611" t="s">
        <v>1297</v>
      </c>
      <c r="Z611" t="s">
        <v>1297</v>
      </c>
      <c r="AA611" t="s">
        <v>473</v>
      </c>
      <c r="AB611" s="2">
        <v>-2.5999999999999999E-3</v>
      </c>
      <c r="AC611" s="2">
        <v>1.6000000000000001E-3</v>
      </c>
      <c r="AD611" s="2">
        <v>2.4500000000000001E-2</v>
      </c>
      <c r="AE611" s="2">
        <v>3.61E-2</v>
      </c>
      <c r="AF611" s="2">
        <v>6.3600000000000004E-2</v>
      </c>
      <c r="AG611" s="2">
        <v>-2.63E-2</v>
      </c>
      <c r="AH611" t="s">
        <v>977</v>
      </c>
      <c r="AI611" t="s">
        <v>620</v>
      </c>
      <c r="AJ611" t="s">
        <v>131</v>
      </c>
      <c r="AK611" t="s">
        <v>40</v>
      </c>
      <c r="AL611">
        <v>1</v>
      </c>
      <c r="AM611" t="s">
        <v>41</v>
      </c>
      <c r="AN611" t="s">
        <v>42</v>
      </c>
      <c r="AO611" t="s">
        <v>6648</v>
      </c>
      <c r="AP611" t="s">
        <v>978</v>
      </c>
      <c r="AQ611" t="s">
        <v>6650</v>
      </c>
      <c r="AR611" t="s">
        <v>48</v>
      </c>
      <c r="AS611" t="s">
        <v>48</v>
      </c>
    </row>
    <row r="612" spans="1:46" x14ac:dyDescent="0.4">
      <c r="A612" t="s">
        <v>9</v>
      </c>
      <c r="B612" t="s">
        <v>10</v>
      </c>
      <c r="C612" t="s">
        <v>2003</v>
      </c>
      <c r="D612" t="s">
        <v>11</v>
      </c>
      <c r="E612" s="2">
        <v>5.0000000000000001E-4</v>
      </c>
      <c r="F612" t="s">
        <v>12</v>
      </c>
      <c r="G612" s="4" t="s">
        <v>565</v>
      </c>
      <c r="H612" t="s">
        <v>2003</v>
      </c>
      <c r="I612" t="s">
        <v>2004</v>
      </c>
      <c r="J612" t="s">
        <v>6667</v>
      </c>
      <c r="K612" t="s">
        <v>23</v>
      </c>
      <c r="L612" s="2">
        <v>8.8999999999999999E-3</v>
      </c>
      <c r="M612" t="s">
        <v>6668</v>
      </c>
      <c r="N612" t="s">
        <v>28</v>
      </c>
      <c r="O612" t="s">
        <v>2636</v>
      </c>
      <c r="P612" t="s">
        <v>256</v>
      </c>
      <c r="Q612" t="s">
        <v>167</v>
      </c>
      <c r="R612" t="s">
        <v>1054</v>
      </c>
      <c r="S612" t="s">
        <v>1553</v>
      </c>
      <c r="T612" t="s">
        <v>6669</v>
      </c>
      <c r="U612" t="s">
        <v>6669</v>
      </c>
      <c r="V612" t="s">
        <v>2003</v>
      </c>
      <c r="W612" t="s">
        <v>2003</v>
      </c>
      <c r="X612" t="s">
        <v>2003</v>
      </c>
      <c r="Y612" t="s">
        <v>2003</v>
      </c>
      <c r="Z612" t="s">
        <v>2003</v>
      </c>
      <c r="AA612" t="s">
        <v>2003</v>
      </c>
      <c r="AB612" s="2">
        <v>2E-3</v>
      </c>
      <c r="AC612" s="2">
        <v>6.1000000000000004E-3</v>
      </c>
      <c r="AD612" s="2">
        <v>1.5900000000000001E-2</v>
      </c>
      <c r="AE612" s="2">
        <v>2.8500000000000001E-2</v>
      </c>
      <c r="AF612" s="2">
        <v>5.0799999999999998E-2</v>
      </c>
      <c r="AG612" s="2">
        <v>5.5999999999999999E-3</v>
      </c>
      <c r="AH612" t="s">
        <v>977</v>
      </c>
      <c r="AI612" t="s">
        <v>620</v>
      </c>
      <c r="AJ612" t="s">
        <v>131</v>
      </c>
      <c r="AK612" t="s">
        <v>40</v>
      </c>
      <c r="AL612">
        <v>1</v>
      </c>
      <c r="AM612" t="s">
        <v>41</v>
      </c>
      <c r="AN612" t="s">
        <v>42</v>
      </c>
      <c r="AO612" t="s">
        <v>2636</v>
      </c>
      <c r="AP612" t="s">
        <v>978</v>
      </c>
      <c r="AQ612" t="s">
        <v>6301</v>
      </c>
      <c r="AR612" t="s">
        <v>48</v>
      </c>
      <c r="AS612" t="s">
        <v>48</v>
      </c>
    </row>
    <row r="613" spans="1:46" x14ac:dyDescent="0.4">
      <c r="A613" t="s">
        <v>9</v>
      </c>
      <c r="B613" t="s">
        <v>10</v>
      </c>
      <c r="C613" t="s">
        <v>666</v>
      </c>
      <c r="D613" t="s">
        <v>11</v>
      </c>
      <c r="E613" s="2">
        <v>0</v>
      </c>
      <c r="F613" t="s">
        <v>12</v>
      </c>
      <c r="G613" s="4" t="s">
        <v>15</v>
      </c>
      <c r="H613" t="s">
        <v>666</v>
      </c>
      <c r="I613" t="s">
        <v>4674</v>
      </c>
      <c r="J613" t="s">
        <v>4675</v>
      </c>
      <c r="K613" t="s">
        <v>23</v>
      </c>
      <c r="L613" s="2">
        <v>8.5000000000000006E-3</v>
      </c>
      <c r="M613" t="s">
        <v>4676</v>
      </c>
      <c r="N613" t="s">
        <v>28</v>
      </c>
      <c r="O613" t="s">
        <v>4677</v>
      </c>
      <c r="P613" t="s">
        <v>1296</v>
      </c>
      <c r="Q613" t="s">
        <v>297</v>
      </c>
      <c r="R613" t="s">
        <v>3717</v>
      </c>
      <c r="S613" t="s">
        <v>4678</v>
      </c>
      <c r="T613" t="s">
        <v>1653</v>
      </c>
      <c r="U613" t="s">
        <v>1653</v>
      </c>
      <c r="V613" t="s">
        <v>4679</v>
      </c>
      <c r="W613" t="s">
        <v>1185</v>
      </c>
      <c r="X613" t="s">
        <v>1185</v>
      </c>
      <c r="Y613" t="s">
        <v>1185</v>
      </c>
      <c r="Z613" t="s">
        <v>1185</v>
      </c>
      <c r="AA613" t="s">
        <v>1256</v>
      </c>
      <c r="AB613" s="2">
        <v>-2.5999999999999999E-3</v>
      </c>
      <c r="AC613" s="2">
        <v>1.6000000000000001E-3</v>
      </c>
      <c r="AD613" s="2">
        <v>2.5100000000000001E-2</v>
      </c>
      <c r="AE613" s="2">
        <v>3.7900000000000003E-2</v>
      </c>
      <c r="AF613" s="2">
        <v>6.6799999999999998E-2</v>
      </c>
      <c r="AG613" s="2">
        <v>-2.7400000000000001E-2</v>
      </c>
      <c r="AH613" t="s">
        <v>977</v>
      </c>
      <c r="AI613" t="s">
        <v>620</v>
      </c>
      <c r="AJ613" t="s">
        <v>131</v>
      </c>
      <c r="AK613" t="s">
        <v>40</v>
      </c>
      <c r="AL613">
        <v>1</v>
      </c>
      <c r="AM613" t="s">
        <v>41</v>
      </c>
      <c r="AN613" t="s">
        <v>42</v>
      </c>
      <c r="AO613" t="s">
        <v>4677</v>
      </c>
      <c r="AP613" t="s">
        <v>978</v>
      </c>
      <c r="AQ613" t="s">
        <v>4680</v>
      </c>
      <c r="AR613" t="s">
        <v>48</v>
      </c>
      <c r="AS613" t="s">
        <v>48</v>
      </c>
    </row>
    <row r="614" spans="1:46" x14ac:dyDescent="0.4">
      <c r="A614" t="s">
        <v>9</v>
      </c>
      <c r="B614" t="s">
        <v>10</v>
      </c>
      <c r="C614" t="s">
        <v>2413</v>
      </c>
      <c r="D614" t="s">
        <v>11</v>
      </c>
      <c r="E614" s="2">
        <v>5.0000000000000001E-4</v>
      </c>
      <c r="F614" t="s">
        <v>12</v>
      </c>
      <c r="G614" s="4" t="s">
        <v>565</v>
      </c>
      <c r="H614" t="s">
        <v>2413</v>
      </c>
      <c r="I614" t="s">
        <v>6001</v>
      </c>
      <c r="J614" t="s">
        <v>6002</v>
      </c>
      <c r="K614" t="s">
        <v>23</v>
      </c>
      <c r="L614" s="2">
        <v>7.4999999999999997E-3</v>
      </c>
      <c r="M614" t="s">
        <v>6003</v>
      </c>
      <c r="N614" t="s">
        <v>28</v>
      </c>
      <c r="O614" t="s">
        <v>6004</v>
      </c>
      <c r="P614" t="s">
        <v>2218</v>
      </c>
      <c r="Q614" t="s">
        <v>2214</v>
      </c>
      <c r="R614" t="s">
        <v>1255</v>
      </c>
      <c r="S614" t="s">
        <v>958</v>
      </c>
      <c r="T614" t="s">
        <v>4072</v>
      </c>
      <c r="U614" t="s">
        <v>4072</v>
      </c>
      <c r="V614" t="s">
        <v>1751</v>
      </c>
      <c r="W614" t="s">
        <v>1751</v>
      </c>
      <c r="X614" t="s">
        <v>1751</v>
      </c>
      <c r="Y614" t="s">
        <v>1751</v>
      </c>
      <c r="Z614" t="s">
        <v>1751</v>
      </c>
      <c r="AA614" t="s">
        <v>1751</v>
      </c>
      <c r="AB614" s="2">
        <v>2E-3</v>
      </c>
      <c r="AC614" s="2">
        <v>6.1000000000000004E-3</v>
      </c>
      <c r="AD614" s="2">
        <v>1.6899999999999998E-2</v>
      </c>
      <c r="AE614" s="2">
        <v>2.9600000000000001E-2</v>
      </c>
      <c r="AF614" s="2">
        <v>5.3699999999999998E-2</v>
      </c>
      <c r="AG614" s="2">
        <v>5.5999999999999999E-3</v>
      </c>
      <c r="AH614" t="s">
        <v>977</v>
      </c>
      <c r="AI614" t="s">
        <v>620</v>
      </c>
      <c r="AJ614" t="s">
        <v>131</v>
      </c>
      <c r="AK614" t="s">
        <v>40</v>
      </c>
      <c r="AL614">
        <v>1</v>
      </c>
      <c r="AM614" t="s">
        <v>41</v>
      </c>
      <c r="AN614" t="s">
        <v>42</v>
      </c>
      <c r="AO614" t="s">
        <v>6004</v>
      </c>
      <c r="AP614" t="s">
        <v>978</v>
      </c>
      <c r="AQ614" t="s">
        <v>6005</v>
      </c>
      <c r="AR614" t="s">
        <v>48</v>
      </c>
      <c r="AS614" t="s">
        <v>48</v>
      </c>
    </row>
    <row r="615" spans="1:46" x14ac:dyDescent="0.4">
      <c r="A615" t="s">
        <v>76</v>
      </c>
      <c r="B615" t="s">
        <v>10</v>
      </c>
      <c r="C615" t="s">
        <v>2003</v>
      </c>
      <c r="D615" t="s">
        <v>11</v>
      </c>
      <c r="E615" s="2">
        <v>5.0000000000000001E-4</v>
      </c>
      <c r="F615" t="s">
        <v>12</v>
      </c>
      <c r="G615" s="4" t="s">
        <v>565</v>
      </c>
      <c r="H615" t="s">
        <v>2003</v>
      </c>
      <c r="I615" t="s">
        <v>2004</v>
      </c>
      <c r="J615" t="s">
        <v>7163</v>
      </c>
      <c r="K615" t="s">
        <v>23</v>
      </c>
      <c r="L615" s="2">
        <v>7.4999999999999997E-3</v>
      </c>
      <c r="M615" t="s">
        <v>7164</v>
      </c>
      <c r="N615" t="s">
        <v>28</v>
      </c>
      <c r="O615" t="s">
        <v>6516</v>
      </c>
      <c r="P615" t="s">
        <v>257</v>
      </c>
      <c r="Q615" t="s">
        <v>4781</v>
      </c>
      <c r="R615" t="s">
        <v>1543</v>
      </c>
      <c r="S615" t="s">
        <v>1185</v>
      </c>
      <c r="T615" t="s">
        <v>3150</v>
      </c>
      <c r="U615" t="s">
        <v>3150</v>
      </c>
      <c r="V615" t="s">
        <v>2003</v>
      </c>
      <c r="W615" t="s">
        <v>2003</v>
      </c>
      <c r="X615" t="s">
        <v>2003</v>
      </c>
      <c r="Y615" t="s">
        <v>2003</v>
      </c>
      <c r="Z615" t="s">
        <v>2003</v>
      </c>
      <c r="AA615" t="s">
        <v>1751</v>
      </c>
      <c r="AB615" s="2">
        <v>2E-3</v>
      </c>
      <c r="AC615" s="2">
        <v>6.6E-3</v>
      </c>
      <c r="AD615" s="2">
        <v>1.6899999999999998E-2</v>
      </c>
      <c r="AE615" s="2">
        <v>2.9600000000000001E-2</v>
      </c>
      <c r="AF615" s="2">
        <v>5.3600000000000002E-2</v>
      </c>
      <c r="AG615" s="2">
        <v>-4.4999999999999997E-3</v>
      </c>
      <c r="AH615" t="s">
        <v>977</v>
      </c>
      <c r="AI615" t="s">
        <v>620</v>
      </c>
      <c r="AJ615" t="s">
        <v>131</v>
      </c>
      <c r="AK615" t="s">
        <v>40</v>
      </c>
      <c r="AL615">
        <v>1</v>
      </c>
      <c r="AM615" t="s">
        <v>41</v>
      </c>
      <c r="AN615" t="s">
        <v>42</v>
      </c>
      <c r="AO615" t="s">
        <v>6516</v>
      </c>
      <c r="AP615" t="s">
        <v>978</v>
      </c>
      <c r="AQ615" t="s">
        <v>7165</v>
      </c>
      <c r="AR615" t="s">
        <v>48</v>
      </c>
      <c r="AS615" t="s">
        <v>48</v>
      </c>
    </row>
    <row r="616" spans="1:46" x14ac:dyDescent="0.4">
      <c r="A616" t="s">
        <v>76</v>
      </c>
      <c r="B616" t="s">
        <v>10</v>
      </c>
      <c r="C616" t="s">
        <v>4303</v>
      </c>
      <c r="D616" t="s">
        <v>11</v>
      </c>
      <c r="E616" s="2">
        <v>5.0000000000000001E-4</v>
      </c>
      <c r="F616" t="s">
        <v>12</v>
      </c>
      <c r="G616" s="4" t="s">
        <v>565</v>
      </c>
      <c r="H616" t="s">
        <v>4303</v>
      </c>
      <c r="I616" t="s">
        <v>6651</v>
      </c>
      <c r="J616" t="s">
        <v>6652</v>
      </c>
      <c r="K616" t="s">
        <v>23</v>
      </c>
      <c r="L616" s="2">
        <v>6.4999999999999997E-3</v>
      </c>
      <c r="M616" t="s">
        <v>6653</v>
      </c>
      <c r="N616" t="s">
        <v>28</v>
      </c>
      <c r="O616" t="s">
        <v>6395</v>
      </c>
      <c r="P616" t="s">
        <v>2413</v>
      </c>
      <c r="Q616" t="s">
        <v>473</v>
      </c>
      <c r="R616" t="s">
        <v>3109</v>
      </c>
      <c r="S616" t="s">
        <v>5137</v>
      </c>
      <c r="T616" t="s">
        <v>631</v>
      </c>
      <c r="U616" t="s">
        <v>631</v>
      </c>
      <c r="V616" t="s">
        <v>4303</v>
      </c>
      <c r="W616" t="s">
        <v>4303</v>
      </c>
      <c r="X616" t="s">
        <v>4303</v>
      </c>
      <c r="Y616" t="s">
        <v>4303</v>
      </c>
      <c r="Z616" t="s">
        <v>4303</v>
      </c>
      <c r="AA616" t="s">
        <v>4303</v>
      </c>
      <c r="AB616" s="2">
        <v>2.5000000000000001E-3</v>
      </c>
      <c r="AC616" s="2">
        <v>6.6E-3</v>
      </c>
      <c r="AD616" s="2">
        <v>1.6899999999999998E-2</v>
      </c>
      <c r="AE616" s="2">
        <v>3.0599999999999999E-2</v>
      </c>
      <c r="AF616" s="2">
        <v>5.5199999999999999E-2</v>
      </c>
      <c r="AG616" s="2">
        <v>5.5999999999999999E-3</v>
      </c>
      <c r="AH616" t="s">
        <v>977</v>
      </c>
      <c r="AI616" t="s">
        <v>620</v>
      </c>
      <c r="AJ616" t="s">
        <v>131</v>
      </c>
      <c r="AK616" t="s">
        <v>40</v>
      </c>
      <c r="AL616">
        <v>1</v>
      </c>
      <c r="AM616" t="s">
        <v>41</v>
      </c>
      <c r="AN616" t="s">
        <v>42</v>
      </c>
      <c r="AO616" t="s">
        <v>6395</v>
      </c>
      <c r="AP616" t="s">
        <v>978</v>
      </c>
      <c r="AQ616" t="s">
        <v>6654</v>
      </c>
      <c r="AR616" t="s">
        <v>48</v>
      </c>
      <c r="AS616" t="s">
        <v>48</v>
      </c>
    </row>
    <row r="617" spans="1:46" x14ac:dyDescent="0.4">
      <c r="A617" t="s">
        <v>9</v>
      </c>
      <c r="B617" t="s">
        <v>10</v>
      </c>
      <c r="C617" t="s">
        <v>2003</v>
      </c>
      <c r="D617" t="s">
        <v>11</v>
      </c>
      <c r="E617" s="2">
        <v>5.0000000000000001E-4</v>
      </c>
      <c r="F617" t="s">
        <v>12</v>
      </c>
      <c r="G617" s="4" t="s">
        <v>565</v>
      </c>
      <c r="H617" t="s">
        <v>2003</v>
      </c>
      <c r="I617" t="s">
        <v>2004</v>
      </c>
      <c r="J617" t="s">
        <v>2005</v>
      </c>
      <c r="K617" t="s">
        <v>23</v>
      </c>
      <c r="L617" s="2">
        <v>3.5000000000000001E-3</v>
      </c>
      <c r="M617" t="s">
        <v>2006</v>
      </c>
      <c r="N617" t="s">
        <v>28</v>
      </c>
      <c r="O617" t="s">
        <v>2007</v>
      </c>
      <c r="P617" t="s">
        <v>257</v>
      </c>
      <c r="Q617" t="s">
        <v>2008</v>
      </c>
      <c r="R617" t="s">
        <v>2009</v>
      </c>
      <c r="S617" t="s">
        <v>1121</v>
      </c>
      <c r="T617" t="s">
        <v>2010</v>
      </c>
      <c r="U617" t="s">
        <v>2010</v>
      </c>
      <c r="V617" t="s">
        <v>2003</v>
      </c>
      <c r="W617" t="s">
        <v>2003</v>
      </c>
      <c r="X617" t="s">
        <v>2003</v>
      </c>
      <c r="Y617" t="s">
        <v>2003</v>
      </c>
      <c r="Z617" t="s">
        <v>2003</v>
      </c>
      <c r="AA617" t="s">
        <v>2003</v>
      </c>
      <c r="AB617" s="2">
        <v>2.5000000000000001E-3</v>
      </c>
      <c r="AC617" s="2">
        <v>7.6E-3</v>
      </c>
      <c r="AD617" s="2">
        <v>1.8499999999999999E-2</v>
      </c>
      <c r="AE617" s="2">
        <v>3.39E-2</v>
      </c>
      <c r="AF617" s="2">
        <v>6.1499999999999999E-2</v>
      </c>
      <c r="AG617" s="2">
        <v>4.0000000000000001E-3</v>
      </c>
      <c r="AH617" t="s">
        <v>977</v>
      </c>
      <c r="AI617" t="s">
        <v>620</v>
      </c>
      <c r="AJ617" t="s">
        <v>131</v>
      </c>
      <c r="AK617" t="s">
        <v>40</v>
      </c>
      <c r="AL617">
        <v>1</v>
      </c>
      <c r="AM617" t="s">
        <v>41</v>
      </c>
      <c r="AN617" t="s">
        <v>42</v>
      </c>
      <c r="AO617" t="s">
        <v>2007</v>
      </c>
      <c r="AP617" t="s">
        <v>978</v>
      </c>
      <c r="AQ617" t="s">
        <v>2011</v>
      </c>
      <c r="AR617" t="s">
        <v>48</v>
      </c>
      <c r="AS617" t="s">
        <v>48</v>
      </c>
    </row>
    <row r="618" spans="1:46" x14ac:dyDescent="0.4">
      <c r="A618" t="s">
        <v>76</v>
      </c>
      <c r="B618" t="s">
        <v>10</v>
      </c>
      <c r="C618" t="s">
        <v>2955</v>
      </c>
      <c r="D618" t="s">
        <v>11</v>
      </c>
      <c r="E618" s="2">
        <v>-8.0000000000000002E-3</v>
      </c>
      <c r="F618" t="s">
        <v>12</v>
      </c>
      <c r="G618" s="4">
        <f>-0.7 / -0.8%</f>
        <v>87.499999999999986</v>
      </c>
      <c r="H618" t="s">
        <v>2955</v>
      </c>
      <c r="I618" t="s">
        <v>2956</v>
      </c>
      <c r="J618" t="s">
        <v>2957</v>
      </c>
      <c r="K618" t="s">
        <v>23</v>
      </c>
      <c r="L618" s="2">
        <v>3.5000000000000001E-3</v>
      </c>
      <c r="M618" t="s">
        <v>2958</v>
      </c>
      <c r="N618" t="s">
        <v>28</v>
      </c>
      <c r="O618" t="s">
        <v>2590</v>
      </c>
      <c r="P618" t="s">
        <v>2959</v>
      </c>
      <c r="Q618" t="s">
        <v>2870</v>
      </c>
      <c r="R618" t="s">
        <v>2960</v>
      </c>
      <c r="S618" t="s">
        <v>2961</v>
      </c>
      <c r="T618" t="s">
        <v>2962</v>
      </c>
      <c r="U618" t="s">
        <v>771</v>
      </c>
      <c r="V618" t="s">
        <v>2841</v>
      </c>
      <c r="W618" t="s">
        <v>2926</v>
      </c>
      <c r="X618" t="s">
        <v>2926</v>
      </c>
      <c r="Y618" t="s">
        <v>2926</v>
      </c>
      <c r="Z618" t="s">
        <v>2926</v>
      </c>
      <c r="AA618" t="s">
        <v>1502</v>
      </c>
      <c r="AB618" s="2">
        <v>-7.4000000000000003E-3</v>
      </c>
      <c r="AC618" s="2">
        <v>-1.1999999999999999E-3</v>
      </c>
      <c r="AD618" s="2">
        <v>2.9700000000000001E-2</v>
      </c>
      <c r="AE618" s="2">
        <v>4.58E-2</v>
      </c>
      <c r="AF618" s="2">
        <v>7.6899999999999996E-2</v>
      </c>
      <c r="AG618" s="2">
        <v>-0.1125</v>
      </c>
      <c r="AH618" t="s">
        <v>977</v>
      </c>
      <c r="AI618" t="s">
        <v>620</v>
      </c>
      <c r="AJ618" t="s">
        <v>131</v>
      </c>
      <c r="AK618" t="s">
        <v>40</v>
      </c>
      <c r="AL618">
        <v>1</v>
      </c>
      <c r="AM618" t="s">
        <v>41</v>
      </c>
      <c r="AN618" t="s">
        <v>42</v>
      </c>
      <c r="AO618" t="s">
        <v>2590</v>
      </c>
      <c r="AP618" t="s">
        <v>978</v>
      </c>
      <c r="AQ618">
        <v>400</v>
      </c>
      <c r="AR618" t="s">
        <v>48</v>
      </c>
      <c r="AS618" t="s">
        <v>48</v>
      </c>
    </row>
    <row r="619" spans="1:46" x14ac:dyDescent="0.4">
      <c r="A619" t="s">
        <v>9</v>
      </c>
      <c r="B619" t="s">
        <v>10</v>
      </c>
      <c r="C619" t="s">
        <v>110</v>
      </c>
      <c r="D619" t="s">
        <v>11</v>
      </c>
      <c r="E619" s="2">
        <v>0</v>
      </c>
      <c r="F619" t="s">
        <v>12</v>
      </c>
      <c r="G619" s="4" t="s">
        <v>15</v>
      </c>
      <c r="H619" t="s">
        <v>110</v>
      </c>
      <c r="I619" t="s">
        <v>2163</v>
      </c>
      <c r="J619" t="s">
        <v>5406</v>
      </c>
      <c r="K619" t="s">
        <v>23</v>
      </c>
      <c r="L619" s="2">
        <v>0.04</v>
      </c>
      <c r="M619" t="s">
        <v>5407</v>
      </c>
      <c r="N619" t="s">
        <v>28</v>
      </c>
      <c r="O619" t="s">
        <v>5408</v>
      </c>
      <c r="P619" t="s">
        <v>3538</v>
      </c>
      <c r="Q619" t="s">
        <v>3538</v>
      </c>
      <c r="R619" t="s">
        <v>3538</v>
      </c>
      <c r="S619" t="s">
        <v>3538</v>
      </c>
      <c r="T619" t="s">
        <v>3538</v>
      </c>
      <c r="U619" t="s">
        <v>3538</v>
      </c>
      <c r="V619" t="s">
        <v>445</v>
      </c>
      <c r="W619" t="s">
        <v>445</v>
      </c>
      <c r="X619" t="s">
        <v>445</v>
      </c>
      <c r="Y619" t="s">
        <v>445</v>
      </c>
      <c r="Z619" t="s">
        <v>445</v>
      </c>
      <c r="AA619" t="s">
        <v>445</v>
      </c>
      <c r="AB619" s="2">
        <v>9.1000000000000004E-3</v>
      </c>
      <c r="AC619" s="2">
        <v>9.1000000000000004E-3</v>
      </c>
      <c r="AD619" s="2">
        <v>9.1000000000000004E-3</v>
      </c>
      <c r="AE619" s="2">
        <v>9.1000000000000004E-3</v>
      </c>
      <c r="AF619" s="2">
        <v>9.1000000000000004E-3</v>
      </c>
      <c r="AG619" s="2">
        <v>9.1000000000000004E-3</v>
      </c>
      <c r="AH619" t="s">
        <v>977</v>
      </c>
      <c r="AI619" t="s">
        <v>130</v>
      </c>
      <c r="AJ619" t="s">
        <v>131</v>
      </c>
      <c r="AK619" t="s">
        <v>40</v>
      </c>
      <c r="AL619">
        <v>1</v>
      </c>
      <c r="AM619" t="s">
        <v>41</v>
      </c>
      <c r="AN619" t="s">
        <v>42</v>
      </c>
      <c r="AO619" t="s">
        <v>5408</v>
      </c>
      <c r="AP619" t="s">
        <v>978</v>
      </c>
      <c r="AQ619" t="s">
        <v>5409</v>
      </c>
      <c r="AR619" t="s">
        <v>133</v>
      </c>
      <c r="AS619" t="s">
        <v>133</v>
      </c>
    </row>
    <row r="620" spans="1:46" x14ac:dyDescent="0.4">
      <c r="A620" t="s">
        <v>9</v>
      </c>
      <c r="B620" t="s">
        <v>10</v>
      </c>
      <c r="C620" t="s">
        <v>5393</v>
      </c>
      <c r="D620" t="s">
        <v>11</v>
      </c>
      <c r="E620" s="2">
        <v>1E-3</v>
      </c>
      <c r="F620" t="s">
        <v>12</v>
      </c>
      <c r="G620" s="4" t="s">
        <v>4075</v>
      </c>
      <c r="H620" t="s">
        <v>5393</v>
      </c>
      <c r="I620" t="s">
        <v>5394</v>
      </c>
      <c r="J620" t="s">
        <v>5395</v>
      </c>
      <c r="K620" t="s">
        <v>23</v>
      </c>
      <c r="L620" s="2">
        <v>3.2000000000000001E-2</v>
      </c>
      <c r="M620" t="s">
        <v>4082</v>
      </c>
      <c r="N620" t="s">
        <v>28</v>
      </c>
      <c r="O620" t="s">
        <v>5396</v>
      </c>
      <c r="P620" t="s">
        <v>994</v>
      </c>
      <c r="Q620" t="s">
        <v>994</v>
      </c>
      <c r="R620" t="s">
        <v>994</v>
      </c>
      <c r="S620" t="s">
        <v>994</v>
      </c>
      <c r="T620" t="s">
        <v>994</v>
      </c>
      <c r="U620" t="s">
        <v>994</v>
      </c>
      <c r="V620" t="s">
        <v>1543</v>
      </c>
      <c r="W620" t="s">
        <v>257</v>
      </c>
      <c r="X620" t="s">
        <v>257</v>
      </c>
      <c r="Y620" t="s">
        <v>257</v>
      </c>
      <c r="Z620" t="s">
        <v>257</v>
      </c>
      <c r="AA620" t="s">
        <v>257</v>
      </c>
      <c r="AB620" s="2">
        <v>-1E-3</v>
      </c>
      <c r="AC620" s="2">
        <v>-1.5699999999999999E-2</v>
      </c>
      <c r="AD620" s="2">
        <v>-1.5699999999999999E-2</v>
      </c>
      <c r="AE620" s="2">
        <v>-1.5699999999999999E-2</v>
      </c>
      <c r="AF620" s="2">
        <v>-1.5699999999999999E-2</v>
      </c>
      <c r="AG620" s="2">
        <v>-1.5699999999999999E-2</v>
      </c>
      <c r="AH620" t="s">
        <v>977</v>
      </c>
      <c r="AI620" t="s">
        <v>130</v>
      </c>
      <c r="AJ620" t="s">
        <v>131</v>
      </c>
      <c r="AK620" t="s">
        <v>40</v>
      </c>
      <c r="AL620">
        <v>1</v>
      </c>
      <c r="AM620" t="s">
        <v>41</v>
      </c>
      <c r="AN620" t="s">
        <v>42</v>
      </c>
      <c r="AO620" t="s">
        <v>5396</v>
      </c>
      <c r="AP620" t="s">
        <v>978</v>
      </c>
      <c r="AQ620" t="s">
        <v>5397</v>
      </c>
      <c r="AR620" t="s">
        <v>133</v>
      </c>
      <c r="AS620" t="s">
        <v>133</v>
      </c>
    </row>
    <row r="621" spans="1:46" x14ac:dyDescent="0.4">
      <c r="A621" t="s">
        <v>76</v>
      </c>
      <c r="B621" t="s">
        <v>10</v>
      </c>
      <c r="C621" t="s">
        <v>241</v>
      </c>
      <c r="D621" t="s">
        <v>11</v>
      </c>
      <c r="E621" s="2">
        <v>5.0000000000000001E-4</v>
      </c>
      <c r="F621" t="s">
        <v>12</v>
      </c>
      <c r="G621" s="4" t="s">
        <v>565</v>
      </c>
      <c r="H621" t="s">
        <v>241</v>
      </c>
      <c r="I621" t="s">
        <v>2192</v>
      </c>
      <c r="J621" t="s">
        <v>2193</v>
      </c>
      <c r="K621" t="s">
        <v>23</v>
      </c>
      <c r="L621" s="2">
        <v>3.15E-2</v>
      </c>
      <c r="M621" t="s">
        <v>2194</v>
      </c>
      <c r="N621" t="s">
        <v>28</v>
      </c>
      <c r="O621" t="s">
        <v>2195</v>
      </c>
      <c r="P621" t="s">
        <v>257</v>
      </c>
      <c r="Q621" t="s">
        <v>473</v>
      </c>
      <c r="R621" t="s">
        <v>625</v>
      </c>
      <c r="S621" t="s">
        <v>1074</v>
      </c>
      <c r="T621" t="s">
        <v>842</v>
      </c>
      <c r="U621" t="s">
        <v>842</v>
      </c>
      <c r="V621" t="s">
        <v>241</v>
      </c>
      <c r="W621" t="s">
        <v>241</v>
      </c>
      <c r="X621" t="s">
        <v>241</v>
      </c>
      <c r="Y621" t="s">
        <v>241</v>
      </c>
      <c r="Z621" t="s">
        <v>241</v>
      </c>
      <c r="AA621" t="s">
        <v>241</v>
      </c>
      <c r="AB621" s="2">
        <v>1.5E-3</v>
      </c>
      <c r="AC621" s="2">
        <v>4.5999999999999999E-3</v>
      </c>
      <c r="AD621" s="2">
        <v>1.2200000000000001E-2</v>
      </c>
      <c r="AE621" s="2">
        <v>2.01E-2</v>
      </c>
      <c r="AF621" s="2">
        <v>7.1000000000000004E-3</v>
      </c>
      <c r="AG621" s="2">
        <v>7.1000000000000004E-3</v>
      </c>
      <c r="AH621" t="s">
        <v>977</v>
      </c>
      <c r="AI621" t="s">
        <v>130</v>
      </c>
      <c r="AJ621" t="s">
        <v>131</v>
      </c>
      <c r="AK621" t="s">
        <v>40</v>
      </c>
      <c r="AL621">
        <v>1</v>
      </c>
      <c r="AM621" t="s">
        <v>41</v>
      </c>
      <c r="AN621" t="s">
        <v>42</v>
      </c>
      <c r="AO621" t="s">
        <v>2195</v>
      </c>
      <c r="AP621" t="s">
        <v>978</v>
      </c>
      <c r="AQ621">
        <v>257</v>
      </c>
      <c r="AR621" t="s">
        <v>133</v>
      </c>
      <c r="AS621" t="s">
        <v>133</v>
      </c>
    </row>
    <row r="622" spans="1:46" x14ac:dyDescent="0.4">
      <c r="A622" t="s">
        <v>4596</v>
      </c>
      <c r="B622" t="s">
        <v>10</v>
      </c>
      <c r="C622" t="s">
        <v>4679</v>
      </c>
      <c r="D622" t="s">
        <v>11</v>
      </c>
      <c r="E622" s="2">
        <v>-1E-3</v>
      </c>
      <c r="F622" t="s">
        <v>4596</v>
      </c>
      <c r="G622" s="4">
        <f>-0.1 / -0.1%</f>
        <v>100</v>
      </c>
      <c r="H622" t="s">
        <v>4679</v>
      </c>
      <c r="I622" t="s">
        <v>6690</v>
      </c>
      <c r="J622" t="s">
        <v>6691</v>
      </c>
      <c r="K622" t="s">
        <v>214</v>
      </c>
      <c r="L622" s="2">
        <v>1.2500000000000001E-2</v>
      </c>
      <c r="M622" t="s">
        <v>6692</v>
      </c>
      <c r="N622" t="s">
        <v>28</v>
      </c>
      <c r="O622" t="s">
        <v>6628</v>
      </c>
      <c r="P622" t="s">
        <v>905</v>
      </c>
      <c r="Q622" t="s">
        <v>1232</v>
      </c>
      <c r="R622" t="s">
        <v>2807</v>
      </c>
      <c r="S622" t="s">
        <v>6000</v>
      </c>
      <c r="T622" t="s">
        <v>4723</v>
      </c>
      <c r="U622" t="s">
        <v>4723</v>
      </c>
      <c r="V622" t="s">
        <v>5137</v>
      </c>
      <c r="W622" t="s">
        <v>1297</v>
      </c>
      <c r="X622" t="s">
        <v>1297</v>
      </c>
      <c r="Y622" t="s">
        <v>1297</v>
      </c>
      <c r="Z622" t="s">
        <v>1297</v>
      </c>
      <c r="AA622" t="s">
        <v>1371</v>
      </c>
      <c r="AB622" s="2">
        <v>-2.0999999999999999E-3</v>
      </c>
      <c r="AC622" s="2">
        <v>5.0000000000000001E-4</v>
      </c>
      <c r="AD622" s="2">
        <v>2.5000000000000001E-2</v>
      </c>
      <c r="AE622" s="2">
        <v>3.78E-2</v>
      </c>
      <c r="AF622" s="2">
        <v>6.4199999999999993E-2</v>
      </c>
      <c r="AG622" s="2">
        <v>-6.4699999999999994E-2</v>
      </c>
      <c r="AH622" t="s">
        <v>6023</v>
      </c>
      <c r="AI622" t="s">
        <v>620</v>
      </c>
      <c r="AJ622" t="s">
        <v>38</v>
      </c>
      <c r="AK622" t="s">
        <v>40</v>
      </c>
      <c r="AM622" t="s">
        <v>41</v>
      </c>
      <c r="AN622" t="s">
        <v>42</v>
      </c>
      <c r="AO622" t="s">
        <v>6628</v>
      </c>
      <c r="AP622" t="s">
        <v>2055</v>
      </c>
      <c r="AQ622" t="s">
        <v>2055</v>
      </c>
      <c r="AR622" t="s">
        <v>48</v>
      </c>
      <c r="AS622" t="s">
        <v>48</v>
      </c>
      <c r="AT622" t="s">
        <v>6628</v>
      </c>
    </row>
    <row r="623" spans="1:46" x14ac:dyDescent="0.4">
      <c r="A623" t="s">
        <v>6017</v>
      </c>
      <c r="B623" t="s">
        <v>10</v>
      </c>
      <c r="C623" t="s">
        <v>2857</v>
      </c>
      <c r="D623" t="s">
        <v>11</v>
      </c>
      <c r="E623" s="2">
        <v>0</v>
      </c>
      <c r="F623" t="s">
        <v>6017</v>
      </c>
      <c r="G623" s="4" t="s">
        <v>15</v>
      </c>
      <c r="H623" t="s">
        <v>2857</v>
      </c>
      <c r="I623" t="s">
        <v>4764</v>
      </c>
      <c r="J623" t="s">
        <v>6018</v>
      </c>
      <c r="K623" t="s">
        <v>214</v>
      </c>
      <c r="L623" s="2">
        <v>1.4E-2</v>
      </c>
      <c r="M623" t="s">
        <v>6019</v>
      </c>
      <c r="N623" t="s">
        <v>28</v>
      </c>
      <c r="O623" t="s">
        <v>6020</v>
      </c>
      <c r="P623" t="s">
        <v>2857</v>
      </c>
      <c r="Q623" t="s">
        <v>1328</v>
      </c>
      <c r="R623" t="s">
        <v>6021</v>
      </c>
      <c r="S623" t="s">
        <v>6022</v>
      </c>
      <c r="T623" t="s">
        <v>2867</v>
      </c>
      <c r="U623" t="s">
        <v>2867</v>
      </c>
      <c r="V623" t="s">
        <v>2857</v>
      </c>
      <c r="W623" t="s">
        <v>2857</v>
      </c>
      <c r="X623" t="s">
        <v>2857</v>
      </c>
      <c r="Y623" t="s">
        <v>2857</v>
      </c>
      <c r="Z623" t="s">
        <v>2857</v>
      </c>
      <c r="AA623" t="s">
        <v>1554</v>
      </c>
      <c r="AB623" s="2">
        <v>0</v>
      </c>
      <c r="AC623" s="2">
        <v>1.83E-2</v>
      </c>
      <c r="AD623" s="2">
        <v>5.2200000000000003E-2</v>
      </c>
      <c r="AE623" s="2">
        <v>6.88E-2</v>
      </c>
      <c r="AF623" s="2">
        <v>8.2600000000000007E-2</v>
      </c>
      <c r="AG623" s="2">
        <v>-0.114</v>
      </c>
      <c r="AH623" t="s">
        <v>6023</v>
      </c>
      <c r="AI623" t="s">
        <v>620</v>
      </c>
      <c r="AJ623" t="s">
        <v>38</v>
      </c>
      <c r="AK623" t="s">
        <v>40</v>
      </c>
      <c r="AM623" t="s">
        <v>41</v>
      </c>
      <c r="AN623" t="s">
        <v>42</v>
      </c>
      <c r="AO623" t="s">
        <v>6020</v>
      </c>
      <c r="AP623" t="s">
        <v>2055</v>
      </c>
      <c r="AQ623" t="s">
        <v>2055</v>
      </c>
      <c r="AR623" t="s">
        <v>48</v>
      </c>
      <c r="AS623" t="s">
        <v>48</v>
      </c>
      <c r="AT623" t="s">
        <v>6020</v>
      </c>
    </row>
    <row r="624" spans="1:46" x14ac:dyDescent="0.4">
      <c r="A624" t="s">
        <v>4448</v>
      </c>
      <c r="B624" t="s">
        <v>10</v>
      </c>
      <c r="C624" t="s">
        <v>110</v>
      </c>
      <c r="D624" t="s">
        <v>11</v>
      </c>
      <c r="E624" s="2">
        <v>0</v>
      </c>
      <c r="F624" t="s">
        <v>4448</v>
      </c>
      <c r="G624" s="4" t="s">
        <v>15</v>
      </c>
      <c r="H624" t="s">
        <v>110</v>
      </c>
      <c r="I624" t="s">
        <v>2163</v>
      </c>
      <c r="J624" t="s">
        <v>6024</v>
      </c>
      <c r="K624" t="s">
        <v>214</v>
      </c>
      <c r="L624" s="2">
        <v>1.2500000000000001E-2</v>
      </c>
      <c r="M624" t="s">
        <v>1864</v>
      </c>
      <c r="N624" t="s">
        <v>28</v>
      </c>
      <c r="O624" t="s">
        <v>6025</v>
      </c>
      <c r="P624" t="s">
        <v>976</v>
      </c>
      <c r="Q624" t="s">
        <v>257</v>
      </c>
      <c r="R624" t="s">
        <v>167</v>
      </c>
      <c r="S624" t="s">
        <v>4724</v>
      </c>
      <c r="T624" t="s">
        <v>5521</v>
      </c>
      <c r="U624" t="s">
        <v>5521</v>
      </c>
      <c r="V624" t="s">
        <v>110</v>
      </c>
      <c r="W624" t="s">
        <v>110</v>
      </c>
      <c r="X624" t="s">
        <v>110</v>
      </c>
      <c r="Y624" t="s">
        <v>110</v>
      </c>
      <c r="Z624" t="s">
        <v>110</v>
      </c>
      <c r="AA624" t="s">
        <v>1033</v>
      </c>
      <c r="AB624" s="2">
        <v>3.0000000000000001E-3</v>
      </c>
      <c r="AC624" s="2">
        <v>6.0000000000000001E-3</v>
      </c>
      <c r="AD624" s="2">
        <v>1.4200000000000001E-2</v>
      </c>
      <c r="AE624" s="2">
        <v>3.5200000000000002E-2</v>
      </c>
      <c r="AF624" s="2">
        <v>5.9900000000000002E-2</v>
      </c>
      <c r="AG624" s="2">
        <v>-2.4899999999999999E-2</v>
      </c>
      <c r="AH624" t="s">
        <v>6023</v>
      </c>
      <c r="AI624" t="s">
        <v>620</v>
      </c>
      <c r="AJ624" t="s">
        <v>38</v>
      </c>
      <c r="AK624" t="s">
        <v>40</v>
      </c>
      <c r="AM624" t="s">
        <v>41</v>
      </c>
      <c r="AN624" t="s">
        <v>42</v>
      </c>
      <c r="AO624" t="s">
        <v>6025</v>
      </c>
      <c r="AP624" t="s">
        <v>835</v>
      </c>
      <c r="AQ624" t="s">
        <v>835</v>
      </c>
      <c r="AR624" t="s">
        <v>48</v>
      </c>
      <c r="AS624" t="s">
        <v>48</v>
      </c>
      <c r="AT624" t="s">
        <v>6025</v>
      </c>
    </row>
    <row r="625" spans="1:54" x14ac:dyDescent="0.4">
      <c r="A625" t="s">
        <v>4453</v>
      </c>
      <c r="B625" t="s">
        <v>10</v>
      </c>
      <c r="C625" t="s">
        <v>4530</v>
      </c>
      <c r="D625" t="s">
        <v>11</v>
      </c>
      <c r="E625" s="2">
        <v>-1.1000000000000001E-3</v>
      </c>
      <c r="F625" t="s">
        <v>310</v>
      </c>
      <c r="G625" s="4">
        <f>-0.09 / -0.11%</f>
        <v>81.818181818181813</v>
      </c>
      <c r="H625" t="s">
        <v>4530</v>
      </c>
      <c r="I625" t="s">
        <v>4531</v>
      </c>
      <c r="J625" t="s">
        <v>4532</v>
      </c>
      <c r="K625" t="s">
        <v>23</v>
      </c>
      <c r="L625" s="2">
        <v>1E-4</v>
      </c>
      <c r="M625" t="s">
        <v>4533</v>
      </c>
      <c r="N625" t="s">
        <v>28</v>
      </c>
      <c r="O625" t="s">
        <v>4534</v>
      </c>
      <c r="P625" t="s">
        <v>4535</v>
      </c>
      <c r="Q625" t="s">
        <v>4535</v>
      </c>
      <c r="R625" t="s">
        <v>4536</v>
      </c>
      <c r="S625" t="s">
        <v>4537</v>
      </c>
      <c r="T625" t="s">
        <v>4538</v>
      </c>
      <c r="U625" t="s">
        <v>4539</v>
      </c>
      <c r="V625" t="s">
        <v>957</v>
      </c>
      <c r="W625" t="s">
        <v>4540</v>
      </c>
      <c r="X625" t="s">
        <v>4540</v>
      </c>
      <c r="Y625" t="s">
        <v>4540</v>
      </c>
      <c r="Z625" t="s">
        <v>4540</v>
      </c>
      <c r="AA625" t="s">
        <v>3109</v>
      </c>
      <c r="AB625" s="2">
        <v>-4.1999999999999997E-3</v>
      </c>
      <c r="AC625" s="2">
        <v>-6.8999999999999999E-3</v>
      </c>
      <c r="AD625" s="2">
        <v>2.23E-2</v>
      </c>
      <c r="AE625" s="2">
        <v>3.1899999999999998E-2</v>
      </c>
      <c r="AF625" s="2">
        <v>6.2600000000000003E-2</v>
      </c>
      <c r="AG625" s="2">
        <v>-0.12540000000000001</v>
      </c>
      <c r="AH625" t="s">
        <v>3697</v>
      </c>
      <c r="AI625" t="s">
        <v>224</v>
      </c>
      <c r="AJ625" t="s">
        <v>131</v>
      </c>
      <c r="AK625" t="s">
        <v>40</v>
      </c>
      <c r="AL625">
        <v>1</v>
      </c>
      <c r="AM625" t="s">
        <v>41</v>
      </c>
      <c r="AN625" t="s">
        <v>42</v>
      </c>
      <c r="AO625" t="s">
        <v>4534</v>
      </c>
      <c r="AP625" t="s">
        <v>407</v>
      </c>
      <c r="AQ625" t="s">
        <v>407</v>
      </c>
      <c r="AR625" t="s">
        <v>48</v>
      </c>
      <c r="AS625" t="s">
        <v>48</v>
      </c>
    </row>
    <row r="626" spans="1:54" x14ac:dyDescent="0.4">
      <c r="A626" t="s">
        <v>630</v>
      </c>
      <c r="B626" t="s">
        <v>10</v>
      </c>
      <c r="C626" s="1">
        <v>99665</v>
      </c>
      <c r="D626" t="s">
        <v>11</v>
      </c>
      <c r="E626" s="2">
        <v>1.4E-3</v>
      </c>
      <c r="F626" t="s">
        <v>12</v>
      </c>
      <c r="G626" s="4" t="s">
        <v>3693</v>
      </c>
      <c r="H626" s="1">
        <v>99665</v>
      </c>
      <c r="I626" t="s">
        <v>3694</v>
      </c>
      <c r="J626" t="s">
        <v>3695</v>
      </c>
      <c r="K626" t="s">
        <v>23</v>
      </c>
      <c r="L626" s="2">
        <v>4.3749999999999997E-2</v>
      </c>
      <c r="M626" t="s">
        <v>53</v>
      </c>
      <c r="N626" t="s">
        <v>28</v>
      </c>
      <c r="O626" t="s">
        <v>3696</v>
      </c>
      <c r="P626" s="1">
        <v>99055</v>
      </c>
      <c r="Q626" s="1">
        <v>99055</v>
      </c>
      <c r="R626" s="1">
        <v>99055</v>
      </c>
      <c r="S626" s="1">
        <v>99055</v>
      </c>
      <c r="T626" s="1">
        <v>99055</v>
      </c>
      <c r="U626" s="1">
        <v>99055</v>
      </c>
      <c r="V626" t="s">
        <v>110</v>
      </c>
      <c r="W626" t="s">
        <v>445</v>
      </c>
      <c r="X626" t="s">
        <v>445</v>
      </c>
      <c r="Y626" t="s">
        <v>445</v>
      </c>
      <c r="Z626" t="s">
        <v>445</v>
      </c>
      <c r="AA626" t="s">
        <v>445</v>
      </c>
      <c r="AB626" s="2">
        <v>8.9999999999999998E-4</v>
      </c>
      <c r="AC626" s="2">
        <v>-5.0000000000000001E-4</v>
      </c>
      <c r="AD626" s="2">
        <v>-5.0000000000000001E-4</v>
      </c>
      <c r="AE626" s="2">
        <v>-5.0000000000000001E-4</v>
      </c>
      <c r="AF626" s="2">
        <v>-5.0000000000000001E-4</v>
      </c>
      <c r="AG626" s="2">
        <v>-5.0000000000000001E-4</v>
      </c>
      <c r="AH626" t="s">
        <v>3697</v>
      </c>
      <c r="AI626" t="s">
        <v>130</v>
      </c>
      <c r="AJ626" t="s">
        <v>131</v>
      </c>
      <c r="AK626" t="s">
        <v>40</v>
      </c>
      <c r="AL626">
        <v>1</v>
      </c>
      <c r="AM626" t="s">
        <v>41</v>
      </c>
      <c r="AN626" t="s">
        <v>42</v>
      </c>
      <c r="AO626" t="s">
        <v>3696</v>
      </c>
      <c r="AP626" t="s">
        <v>193</v>
      </c>
      <c r="AQ626" t="s">
        <v>193</v>
      </c>
      <c r="AR626" t="s">
        <v>133</v>
      </c>
      <c r="AS626" t="s">
        <v>133</v>
      </c>
    </row>
    <row r="627" spans="1:54" x14ac:dyDescent="0.4">
      <c r="A627" t="s">
        <v>9</v>
      </c>
      <c r="B627" t="s">
        <v>10</v>
      </c>
      <c r="C627" t="s">
        <v>2632</v>
      </c>
      <c r="D627" t="s">
        <v>11</v>
      </c>
      <c r="E627" s="2">
        <v>-2.5999999999999999E-3</v>
      </c>
      <c r="F627" t="s">
        <v>12</v>
      </c>
      <c r="G627" s="4">
        <f>-0.25 / -0.26%</f>
        <v>96.15384615384616</v>
      </c>
      <c r="H627" t="s">
        <v>2632</v>
      </c>
      <c r="I627" t="s">
        <v>2633</v>
      </c>
      <c r="J627" t="s">
        <v>2634</v>
      </c>
      <c r="K627" t="s">
        <v>23</v>
      </c>
      <c r="L627" s="2">
        <v>0.03</v>
      </c>
      <c r="M627" t="s">
        <v>2635</v>
      </c>
      <c r="N627" t="s">
        <v>28</v>
      </c>
      <c r="O627" t="s">
        <v>2636</v>
      </c>
      <c r="P627" t="s">
        <v>2637</v>
      </c>
      <c r="Q627" t="s">
        <v>2637</v>
      </c>
      <c r="R627" t="s">
        <v>2637</v>
      </c>
      <c r="S627" t="s">
        <v>938</v>
      </c>
      <c r="T627" t="s">
        <v>2638</v>
      </c>
      <c r="U627" t="s">
        <v>2638</v>
      </c>
      <c r="V627" t="s">
        <v>2639</v>
      </c>
      <c r="W627" t="s">
        <v>2640</v>
      </c>
      <c r="X627" t="s">
        <v>524</v>
      </c>
      <c r="Y627" t="s">
        <v>524</v>
      </c>
      <c r="Z627" t="s">
        <v>524</v>
      </c>
      <c r="AA627" t="s">
        <v>2641</v>
      </c>
      <c r="AB627" s="2">
        <v>3.2000000000000002E-3</v>
      </c>
      <c r="AC627" s="2">
        <v>-8.9999999999999993E-3</v>
      </c>
      <c r="AD627" s="2">
        <v>-1E-3</v>
      </c>
      <c r="AE627" s="2">
        <v>1.2999999999999999E-3</v>
      </c>
      <c r="AF627" s="2">
        <v>-1.4999999999999999E-2</v>
      </c>
      <c r="AG627" s="2">
        <v>-5.7299999999999997E-2</v>
      </c>
      <c r="AH627" t="s">
        <v>1610</v>
      </c>
      <c r="AI627" t="s">
        <v>130</v>
      </c>
      <c r="AJ627" t="s">
        <v>131</v>
      </c>
      <c r="AK627" t="s">
        <v>40</v>
      </c>
      <c r="AL627">
        <v>1</v>
      </c>
      <c r="AM627" t="s">
        <v>41</v>
      </c>
      <c r="AN627" t="s">
        <v>42</v>
      </c>
      <c r="AO627" t="s">
        <v>2636</v>
      </c>
      <c r="AP627" t="s">
        <v>2642</v>
      </c>
      <c r="BA627" t="s">
        <v>59</v>
      </c>
      <c r="BB627" t="s">
        <v>61</v>
      </c>
    </row>
    <row r="628" spans="1:54" x14ac:dyDescent="0.4">
      <c r="A628" t="s">
        <v>1602</v>
      </c>
      <c r="B628" t="s">
        <v>10</v>
      </c>
      <c r="C628" t="s">
        <v>1245</v>
      </c>
      <c r="D628" t="s">
        <v>11</v>
      </c>
      <c r="E628" s="2">
        <v>8.0000000000000002E-3</v>
      </c>
      <c r="F628" t="s">
        <v>363</v>
      </c>
      <c r="G628" s="4" t="s">
        <v>1603</v>
      </c>
      <c r="H628" t="s">
        <v>1245</v>
      </c>
      <c r="I628" t="s">
        <v>1604</v>
      </c>
      <c r="J628" t="s">
        <v>1605</v>
      </c>
      <c r="K628" t="s">
        <v>23</v>
      </c>
      <c r="L628" s="2">
        <v>3.2500000000000001E-2</v>
      </c>
      <c r="M628" t="s">
        <v>1606</v>
      </c>
      <c r="N628" t="s">
        <v>121</v>
      </c>
      <c r="O628" t="s">
        <v>1607</v>
      </c>
      <c r="P628" s="1">
        <v>96135</v>
      </c>
      <c r="Q628" t="s">
        <v>1608</v>
      </c>
      <c r="R628" t="s">
        <v>1608</v>
      </c>
      <c r="S628" s="1">
        <v>94355</v>
      </c>
      <c r="T628" s="1">
        <v>92235</v>
      </c>
      <c r="U628" s="1">
        <v>91435</v>
      </c>
      <c r="V628" t="s">
        <v>1245</v>
      </c>
      <c r="W628" t="s">
        <v>1245</v>
      </c>
      <c r="X628" t="s">
        <v>426</v>
      </c>
      <c r="Y628" t="s">
        <v>426</v>
      </c>
      <c r="Z628" t="s">
        <v>426</v>
      </c>
      <c r="AA628" t="s">
        <v>1609</v>
      </c>
      <c r="AB628" s="2">
        <v>8.6999999999999994E-3</v>
      </c>
      <c r="AC628" s="2">
        <v>1.3100000000000001E-2</v>
      </c>
      <c r="AD628" s="2">
        <v>1.9300000000000001E-2</v>
      </c>
      <c r="AE628" s="2">
        <v>2.1399999999999999E-2</v>
      </c>
      <c r="AF628" s="2">
        <v>9.7999999999999997E-3</v>
      </c>
      <c r="AG628" s="2">
        <v>-8.0500000000000002E-2</v>
      </c>
      <c r="AH628" t="s">
        <v>1610</v>
      </c>
      <c r="AI628" t="s">
        <v>130</v>
      </c>
      <c r="AJ628" t="s">
        <v>131</v>
      </c>
      <c r="AK628" t="s">
        <v>40</v>
      </c>
      <c r="AL628">
        <v>10</v>
      </c>
      <c r="AM628" t="s">
        <v>41</v>
      </c>
      <c r="AN628" t="s">
        <v>42</v>
      </c>
      <c r="AO628" t="s">
        <v>1607</v>
      </c>
      <c r="AP628" t="s">
        <v>1611</v>
      </c>
      <c r="AQ628" t="s">
        <v>1611</v>
      </c>
      <c r="AR628" t="s">
        <v>1612</v>
      </c>
      <c r="AS628" t="s">
        <v>1612</v>
      </c>
    </row>
    <row r="629" spans="1:54" x14ac:dyDescent="0.4">
      <c r="A629" t="s">
        <v>2063</v>
      </c>
      <c r="B629" t="s">
        <v>10</v>
      </c>
      <c r="C629" t="s">
        <v>867</v>
      </c>
      <c r="D629" t="s">
        <v>11</v>
      </c>
      <c r="E629" s="2">
        <v>1.14E-2</v>
      </c>
      <c r="F629" t="s">
        <v>310</v>
      </c>
      <c r="G629" s="4" t="s">
        <v>2064</v>
      </c>
      <c r="H629" t="s">
        <v>867</v>
      </c>
      <c r="I629" t="s">
        <v>2065</v>
      </c>
      <c r="J629" t="s">
        <v>2066</v>
      </c>
      <c r="K629" t="s">
        <v>23</v>
      </c>
      <c r="M629" t="s">
        <v>734</v>
      </c>
      <c r="N629" t="s">
        <v>28</v>
      </c>
      <c r="O629" t="s">
        <v>2067</v>
      </c>
      <c r="P629" t="s">
        <v>2068</v>
      </c>
      <c r="Q629" t="s">
        <v>2069</v>
      </c>
      <c r="R629" t="s">
        <v>2070</v>
      </c>
      <c r="S629" t="s">
        <v>2071</v>
      </c>
      <c r="T629" t="s">
        <v>1910</v>
      </c>
      <c r="U629" t="s">
        <v>1310</v>
      </c>
      <c r="V629" t="s">
        <v>867</v>
      </c>
      <c r="W629" t="s">
        <v>2072</v>
      </c>
      <c r="X629" t="s">
        <v>2072</v>
      </c>
      <c r="Y629" t="s">
        <v>2072</v>
      </c>
      <c r="Z629" t="s">
        <v>2072</v>
      </c>
      <c r="AA629" t="s">
        <v>2073</v>
      </c>
      <c r="AB629" s="2">
        <v>9.4999999999999998E-3</v>
      </c>
      <c r="AC629" s="2">
        <v>1.6299999999999999E-2</v>
      </c>
      <c r="AD629" s="2">
        <v>3.09E-2</v>
      </c>
      <c r="AE629" s="2">
        <v>5.2200000000000003E-2</v>
      </c>
      <c r="AF629" s="2">
        <v>5.8599999999999999E-2</v>
      </c>
      <c r="AG629" s="2">
        <v>-4.48E-2</v>
      </c>
      <c r="AH629" t="s">
        <v>2074</v>
      </c>
      <c r="AI629" t="s">
        <v>232</v>
      </c>
      <c r="AJ629" t="s">
        <v>131</v>
      </c>
      <c r="AK629" t="s">
        <v>40</v>
      </c>
      <c r="AL629">
        <v>1</v>
      </c>
      <c r="AM629" t="s">
        <v>41</v>
      </c>
      <c r="AN629" t="s">
        <v>42</v>
      </c>
      <c r="AO629" t="s">
        <v>2067</v>
      </c>
      <c r="AP629" t="s">
        <v>225</v>
      </c>
      <c r="AQ629" t="s">
        <v>225</v>
      </c>
      <c r="AR629" t="s">
        <v>48</v>
      </c>
      <c r="AS629" t="s">
        <v>48</v>
      </c>
      <c r="AT629" t="s">
        <v>2075</v>
      </c>
    </row>
    <row r="630" spans="1:54" x14ac:dyDescent="0.4">
      <c r="A630" t="s">
        <v>630</v>
      </c>
      <c r="B630" t="s">
        <v>10</v>
      </c>
      <c r="C630" t="s">
        <v>1774</v>
      </c>
      <c r="D630" t="s">
        <v>11</v>
      </c>
      <c r="E630" s="2">
        <v>-1.5E-3</v>
      </c>
      <c r="F630" t="s">
        <v>12</v>
      </c>
      <c r="G630" s="4">
        <f>-0.145 / -0.15%</f>
        <v>96.666666666666657</v>
      </c>
      <c r="H630" t="s">
        <v>1774</v>
      </c>
      <c r="I630" t="s">
        <v>5219</v>
      </c>
      <c r="J630" t="s">
        <v>5220</v>
      </c>
      <c r="K630" t="s">
        <v>23</v>
      </c>
      <c r="L630" s="2">
        <v>4.4999999999999997E-3</v>
      </c>
      <c r="M630" t="s">
        <v>659</v>
      </c>
      <c r="N630" t="s">
        <v>28</v>
      </c>
      <c r="O630" t="s">
        <v>5221</v>
      </c>
      <c r="P630" s="1">
        <v>93185</v>
      </c>
      <c r="Q630" s="1">
        <v>93185</v>
      </c>
      <c r="R630" s="1">
        <v>91855</v>
      </c>
      <c r="S630" t="s">
        <v>5222</v>
      </c>
      <c r="T630" t="s">
        <v>5223</v>
      </c>
      <c r="U630" t="s">
        <v>5224</v>
      </c>
      <c r="V630" s="1">
        <v>95375</v>
      </c>
      <c r="W630" t="s">
        <v>5225</v>
      </c>
      <c r="X630" t="s">
        <v>5225</v>
      </c>
      <c r="Y630" t="s">
        <v>5225</v>
      </c>
      <c r="Z630" t="s">
        <v>5225</v>
      </c>
      <c r="AA630" t="s">
        <v>4555</v>
      </c>
      <c r="AB630" s="2">
        <v>-8.5000000000000006E-3</v>
      </c>
      <c r="AC630" s="2">
        <v>4.0000000000000002E-4</v>
      </c>
      <c r="AD630" s="2">
        <v>2.3E-2</v>
      </c>
      <c r="AE630" s="2">
        <v>6.59E-2</v>
      </c>
      <c r="AF630" s="2">
        <v>0.1323</v>
      </c>
      <c r="AG630" s="2">
        <v>-3.5000000000000003E-2</v>
      </c>
      <c r="AH630" t="s">
        <v>5226</v>
      </c>
      <c r="AI630" t="s">
        <v>130</v>
      </c>
      <c r="AJ630" t="s">
        <v>131</v>
      </c>
      <c r="AK630" t="s">
        <v>40</v>
      </c>
      <c r="AL630">
        <v>200</v>
      </c>
      <c r="AM630" t="s">
        <v>41</v>
      </c>
      <c r="AN630" t="s">
        <v>42</v>
      </c>
      <c r="AO630" t="s">
        <v>5221</v>
      </c>
      <c r="AP630" t="s">
        <v>2382</v>
      </c>
      <c r="AQ630" t="s">
        <v>2382</v>
      </c>
      <c r="AR630" t="s">
        <v>1694</v>
      </c>
      <c r="AS630" t="s">
        <v>1694</v>
      </c>
    </row>
    <row r="631" spans="1:54" x14ac:dyDescent="0.4">
      <c r="A631" t="s">
        <v>4190</v>
      </c>
      <c r="B631" t="s">
        <v>10</v>
      </c>
      <c r="C631" t="s">
        <v>4191</v>
      </c>
      <c r="D631" t="s">
        <v>11</v>
      </c>
      <c r="E631" s="2">
        <v>-0.16669999999999999</v>
      </c>
      <c r="F631" t="s">
        <v>12</v>
      </c>
      <c r="G631" s="4">
        <f>-1 / -16.67%</f>
        <v>5.9988002399520095</v>
      </c>
      <c r="H631" t="s">
        <v>4191</v>
      </c>
      <c r="I631" t="s">
        <v>4192</v>
      </c>
      <c r="J631" t="s">
        <v>4193</v>
      </c>
      <c r="K631" t="s">
        <v>23</v>
      </c>
      <c r="L631" s="2">
        <v>2.75E-2</v>
      </c>
      <c r="M631" t="s">
        <v>4194</v>
      </c>
      <c r="N631" t="s">
        <v>28</v>
      </c>
      <c r="O631" t="s">
        <v>4195</v>
      </c>
      <c r="P631" t="s">
        <v>4191</v>
      </c>
      <c r="Q631" t="s">
        <v>4191</v>
      </c>
      <c r="R631" t="s">
        <v>4191</v>
      </c>
      <c r="S631" t="s">
        <v>4191</v>
      </c>
      <c r="T631" t="s">
        <v>4191</v>
      </c>
      <c r="U631" t="s">
        <v>4191</v>
      </c>
      <c r="V631" t="s">
        <v>4196</v>
      </c>
      <c r="W631" t="s">
        <v>4196</v>
      </c>
      <c r="X631" t="s">
        <v>4197</v>
      </c>
      <c r="Y631" t="s">
        <v>4197</v>
      </c>
      <c r="Z631" t="s">
        <v>4198</v>
      </c>
      <c r="AA631" t="s">
        <v>4199</v>
      </c>
      <c r="AB631" s="2">
        <v>-0.16669999999999999</v>
      </c>
      <c r="AC631" s="2">
        <v>-0.16669999999999999</v>
      </c>
      <c r="AD631" s="2">
        <v>-0.54549999999999998</v>
      </c>
      <c r="AE631" s="2">
        <v>-0.52380000000000004</v>
      </c>
      <c r="AF631" s="2">
        <v>-0.72219999999999995</v>
      </c>
      <c r="AG631" s="2">
        <v>-0.85289999999999999</v>
      </c>
      <c r="AH631" t="s">
        <v>4200</v>
      </c>
      <c r="AI631" t="s">
        <v>232</v>
      </c>
      <c r="AJ631" t="s">
        <v>131</v>
      </c>
      <c r="AK631" t="s">
        <v>40</v>
      </c>
      <c r="AL631">
        <v>1</v>
      </c>
      <c r="AM631" t="s">
        <v>41</v>
      </c>
      <c r="AN631" t="s">
        <v>42</v>
      </c>
      <c r="AO631" t="s">
        <v>4195</v>
      </c>
      <c r="AP631" t="s">
        <v>4183</v>
      </c>
      <c r="BA631" t="s">
        <v>360</v>
      </c>
      <c r="BB631" t="s">
        <v>61</v>
      </c>
    </row>
    <row r="632" spans="1:54" x14ac:dyDescent="0.4">
      <c r="A632" t="s">
        <v>115</v>
      </c>
      <c r="B632" t="s">
        <v>10</v>
      </c>
      <c r="C632" t="s">
        <v>949</v>
      </c>
      <c r="D632" t="s">
        <v>11</v>
      </c>
      <c r="E632" s="2">
        <v>-2.9999999999999997E-4</v>
      </c>
      <c r="F632" t="s">
        <v>12</v>
      </c>
      <c r="G632" s="4">
        <f>-0.025 / -0.03%</f>
        <v>83.333333333333343</v>
      </c>
      <c r="H632" t="s">
        <v>949</v>
      </c>
      <c r="I632" t="s">
        <v>950</v>
      </c>
      <c r="J632" t="s">
        <v>951</v>
      </c>
      <c r="K632" t="s">
        <v>23</v>
      </c>
      <c r="L632" s="2">
        <v>9.4999999999999998E-3</v>
      </c>
      <c r="M632" t="s">
        <v>952</v>
      </c>
      <c r="N632" t="s">
        <v>28</v>
      </c>
      <c r="O632" t="s">
        <v>953</v>
      </c>
      <c r="P632" t="s">
        <v>954</v>
      </c>
      <c r="Q632" t="s">
        <v>955</v>
      </c>
      <c r="R632" t="s">
        <v>956</v>
      </c>
      <c r="S632" t="s">
        <v>258</v>
      </c>
      <c r="T632" s="1">
        <v>88715</v>
      </c>
      <c r="U632" t="s">
        <v>957</v>
      </c>
      <c r="V632" t="s">
        <v>958</v>
      </c>
      <c r="W632" s="1">
        <v>96395</v>
      </c>
      <c r="X632" s="1">
        <v>96395</v>
      </c>
      <c r="Y632" s="1">
        <v>96395</v>
      </c>
      <c r="Z632" s="1">
        <v>96395</v>
      </c>
      <c r="AA632" s="1">
        <v>104035</v>
      </c>
      <c r="AB632" s="2">
        <v>-1.6000000000000001E-3</v>
      </c>
      <c r="AC632" s="2">
        <v>3.8999999999999998E-3</v>
      </c>
      <c r="AD632" s="2">
        <v>2.8299999999999999E-2</v>
      </c>
      <c r="AE632" s="2">
        <v>3.5900000000000001E-2</v>
      </c>
      <c r="AF632" s="2">
        <v>7.2800000000000004E-2</v>
      </c>
      <c r="AG632" s="2">
        <v>-7.6300000000000007E-2</v>
      </c>
      <c r="AH632" t="s">
        <v>959</v>
      </c>
      <c r="AI632" t="s">
        <v>130</v>
      </c>
      <c r="AJ632" t="s">
        <v>131</v>
      </c>
      <c r="AK632" t="s">
        <v>40</v>
      </c>
      <c r="AL632">
        <v>1</v>
      </c>
      <c r="AM632" t="s">
        <v>41</v>
      </c>
      <c r="AN632" t="s">
        <v>42</v>
      </c>
      <c r="AO632" t="s">
        <v>953</v>
      </c>
      <c r="AP632" t="s">
        <v>750</v>
      </c>
      <c r="AQ632" t="s">
        <v>750</v>
      </c>
      <c r="AR632" t="s">
        <v>48</v>
      </c>
      <c r="AS632" t="s">
        <v>48</v>
      </c>
    </row>
    <row r="633" spans="1:54" x14ac:dyDescent="0.4">
      <c r="A633" t="s">
        <v>4453</v>
      </c>
      <c r="B633" t="s">
        <v>10</v>
      </c>
      <c r="C633" t="s">
        <v>6796</v>
      </c>
      <c r="D633" t="s">
        <v>11</v>
      </c>
      <c r="E633" s="2">
        <v>2.0999999999999999E-3</v>
      </c>
      <c r="F633" t="s">
        <v>178</v>
      </c>
      <c r="G633" s="4" t="s">
        <v>6797</v>
      </c>
      <c r="H633" t="s">
        <v>6796</v>
      </c>
      <c r="I633" t="s">
        <v>6798</v>
      </c>
      <c r="J633" t="s">
        <v>6799</v>
      </c>
      <c r="K633" t="s">
        <v>23</v>
      </c>
      <c r="L633" s="2">
        <v>0.02</v>
      </c>
      <c r="M633" t="s">
        <v>1151</v>
      </c>
      <c r="N633" t="s">
        <v>121</v>
      </c>
      <c r="O633" t="s">
        <v>6355</v>
      </c>
      <c r="P633" t="s">
        <v>6800</v>
      </c>
      <c r="Q633" t="s">
        <v>6800</v>
      </c>
      <c r="R633" t="s">
        <v>6800</v>
      </c>
      <c r="S633" t="s">
        <v>6800</v>
      </c>
      <c r="T633" t="s">
        <v>6800</v>
      </c>
      <c r="U633" t="s">
        <v>6800</v>
      </c>
      <c r="V633" t="s">
        <v>6801</v>
      </c>
      <c r="W633" t="s">
        <v>6802</v>
      </c>
      <c r="X633" t="s">
        <v>6802</v>
      </c>
      <c r="Y633" t="s">
        <v>6802</v>
      </c>
      <c r="Z633" t="s">
        <v>6802</v>
      </c>
      <c r="AA633" t="s">
        <v>6802</v>
      </c>
      <c r="AB633" s="2">
        <v>1.7899999999999999E-2</v>
      </c>
      <c r="AC633" s="2">
        <v>1.29E-2</v>
      </c>
      <c r="AD633" s="2">
        <v>1.29E-2</v>
      </c>
      <c r="AE633" s="2">
        <v>1.29E-2</v>
      </c>
      <c r="AF633" s="2">
        <v>1.29E-2</v>
      </c>
      <c r="AG633" s="2">
        <v>1.29E-2</v>
      </c>
      <c r="AH633" t="s">
        <v>6803</v>
      </c>
      <c r="AI633" t="s">
        <v>4794</v>
      </c>
      <c r="AJ633" t="s">
        <v>131</v>
      </c>
      <c r="AK633" t="s">
        <v>40</v>
      </c>
      <c r="AL633">
        <v>1</v>
      </c>
      <c r="AM633" t="s">
        <v>41</v>
      </c>
      <c r="AN633" t="s">
        <v>42</v>
      </c>
      <c r="AO633" t="s">
        <v>6355</v>
      </c>
      <c r="AP633" t="s">
        <v>4863</v>
      </c>
      <c r="AQ633">
        <v>1</v>
      </c>
      <c r="BA633" t="s">
        <v>197</v>
      </c>
      <c r="BB633" t="s">
        <v>61</v>
      </c>
    </row>
    <row r="634" spans="1:54" x14ac:dyDescent="0.4">
      <c r="A634" t="s">
        <v>4462</v>
      </c>
      <c r="B634" t="s">
        <v>10</v>
      </c>
      <c r="C634" t="s">
        <v>4490</v>
      </c>
      <c r="D634" t="s">
        <v>11</v>
      </c>
      <c r="E634" s="2">
        <v>-3.3999999999999998E-3</v>
      </c>
      <c r="F634" t="s">
        <v>310</v>
      </c>
      <c r="G634" s="4">
        <f>-0.31 / -0.34%</f>
        <v>91.17647058823529</v>
      </c>
      <c r="H634" t="s">
        <v>4490</v>
      </c>
      <c r="I634" t="s">
        <v>4491</v>
      </c>
      <c r="J634" t="s">
        <v>4492</v>
      </c>
      <c r="K634" t="s">
        <v>23</v>
      </c>
      <c r="L634" s="2">
        <v>0.05</v>
      </c>
      <c r="M634" t="s">
        <v>4493</v>
      </c>
      <c r="N634" t="s">
        <v>121</v>
      </c>
      <c r="O634" t="s">
        <v>4494</v>
      </c>
      <c r="P634" t="s">
        <v>4495</v>
      </c>
      <c r="Q634" t="s">
        <v>4495</v>
      </c>
      <c r="R634" t="s">
        <v>4495</v>
      </c>
      <c r="S634" t="s">
        <v>4496</v>
      </c>
      <c r="T634" t="s">
        <v>4497</v>
      </c>
      <c r="U634" t="s">
        <v>4497</v>
      </c>
      <c r="V634" t="s">
        <v>3374</v>
      </c>
      <c r="W634" t="s">
        <v>4498</v>
      </c>
      <c r="X634" t="s">
        <v>2324</v>
      </c>
      <c r="Y634" t="s">
        <v>2324</v>
      </c>
      <c r="Z634" t="s">
        <v>2324</v>
      </c>
      <c r="AA634" t="s">
        <v>4499</v>
      </c>
      <c r="AB634" s="2">
        <v>-1.4E-2</v>
      </c>
      <c r="AC634" s="2">
        <v>-2.4400000000000002E-2</v>
      </c>
      <c r="AD634" s="2">
        <v>-8.2000000000000007E-3</v>
      </c>
      <c r="AE634" s="2">
        <v>-1.72E-2</v>
      </c>
      <c r="AF634" s="2">
        <v>-3.0000000000000001E-3</v>
      </c>
      <c r="AG634" s="2">
        <v>-0.23669999999999999</v>
      </c>
      <c r="AH634" t="s">
        <v>4500</v>
      </c>
      <c r="AI634" t="s">
        <v>130</v>
      </c>
      <c r="AJ634" t="s">
        <v>131</v>
      </c>
      <c r="AK634" t="s">
        <v>40</v>
      </c>
      <c r="AL634">
        <v>2</v>
      </c>
      <c r="AM634" t="s">
        <v>41</v>
      </c>
      <c r="AN634" t="s">
        <v>42</v>
      </c>
      <c r="AO634" t="s">
        <v>4494</v>
      </c>
      <c r="AP634" t="s">
        <v>225</v>
      </c>
      <c r="AQ634" t="s">
        <v>225</v>
      </c>
      <c r="AR634" t="s">
        <v>133</v>
      </c>
      <c r="AS634" t="s">
        <v>133</v>
      </c>
    </row>
    <row r="635" spans="1:54" x14ac:dyDescent="0.4">
      <c r="A635" t="s">
        <v>4453</v>
      </c>
      <c r="B635" t="s">
        <v>10</v>
      </c>
      <c r="C635" t="s">
        <v>2557</v>
      </c>
      <c r="D635" t="s">
        <v>11</v>
      </c>
      <c r="E635" s="2">
        <v>-5.9999999999999995E-4</v>
      </c>
      <c r="F635" t="s">
        <v>310</v>
      </c>
      <c r="G635" s="4">
        <f>-0.06 / -0.06%</f>
        <v>100</v>
      </c>
      <c r="H635" t="s">
        <v>2557</v>
      </c>
      <c r="I635" t="s">
        <v>6686</v>
      </c>
      <c r="J635" t="s">
        <v>6687</v>
      </c>
      <c r="K635" t="s">
        <v>23</v>
      </c>
      <c r="L635" s="2">
        <v>3.125E-2</v>
      </c>
      <c r="M635" t="s">
        <v>6688</v>
      </c>
      <c r="N635" t="s">
        <v>28</v>
      </c>
      <c r="O635" t="s">
        <v>1368</v>
      </c>
      <c r="P635" t="s">
        <v>1655</v>
      </c>
      <c r="Q635" t="s">
        <v>1655</v>
      </c>
      <c r="R635" t="s">
        <v>674</v>
      </c>
      <c r="S635" t="s">
        <v>1204</v>
      </c>
      <c r="T635" t="s">
        <v>2009</v>
      </c>
      <c r="U635" t="s">
        <v>2009</v>
      </c>
      <c r="V635" t="s">
        <v>128</v>
      </c>
      <c r="W635" t="s">
        <v>6689</v>
      </c>
      <c r="X635" t="s">
        <v>6689</v>
      </c>
      <c r="Y635" t="s">
        <v>6689</v>
      </c>
      <c r="Z635" t="s">
        <v>6689</v>
      </c>
      <c r="AA635" t="s">
        <v>6689</v>
      </c>
      <c r="AB635" s="2">
        <v>-4.0000000000000001E-3</v>
      </c>
      <c r="AC635" s="2">
        <v>-9.4999999999999998E-3</v>
      </c>
      <c r="AD635" s="2">
        <v>7.6E-3</v>
      </c>
      <c r="AE635" s="2">
        <v>4.7999999999999996E-3</v>
      </c>
      <c r="AF635" s="2">
        <v>1.3899999999999999E-2</v>
      </c>
      <c r="AG635" s="2">
        <v>1.3899999999999999E-2</v>
      </c>
      <c r="AH635" t="s">
        <v>2303</v>
      </c>
      <c r="AI635" t="s">
        <v>620</v>
      </c>
      <c r="AJ635" t="s">
        <v>131</v>
      </c>
      <c r="AK635" t="s">
        <v>40</v>
      </c>
      <c r="AL635">
        <v>1</v>
      </c>
      <c r="AM635" t="s">
        <v>41</v>
      </c>
      <c r="AN635" t="s">
        <v>42</v>
      </c>
      <c r="AO635" t="s">
        <v>1368</v>
      </c>
      <c r="AP635" t="s">
        <v>357</v>
      </c>
      <c r="AQ635" t="s">
        <v>357</v>
      </c>
      <c r="AR635" t="s">
        <v>48</v>
      </c>
      <c r="AS635" t="s">
        <v>48</v>
      </c>
    </row>
    <row r="636" spans="1:54" x14ac:dyDescent="0.4">
      <c r="A636" t="s">
        <v>76</v>
      </c>
      <c r="B636" t="s">
        <v>10</v>
      </c>
      <c r="C636" t="s">
        <v>1343</v>
      </c>
      <c r="D636" t="s">
        <v>11</v>
      </c>
      <c r="E636" s="2">
        <v>2.9999999999999997E-4</v>
      </c>
      <c r="F636" t="s">
        <v>12</v>
      </c>
      <c r="G636" s="4" t="s">
        <v>2299</v>
      </c>
      <c r="H636" t="s">
        <v>1343</v>
      </c>
      <c r="I636" t="s">
        <v>2300</v>
      </c>
      <c r="J636" t="s">
        <v>2301</v>
      </c>
      <c r="K636" t="s">
        <v>23</v>
      </c>
      <c r="L636" s="2">
        <v>0.03</v>
      </c>
      <c r="M636" t="s">
        <v>2302</v>
      </c>
      <c r="N636" t="s">
        <v>28</v>
      </c>
      <c r="O636" t="s">
        <v>1921</v>
      </c>
      <c r="P636" t="s">
        <v>1265</v>
      </c>
      <c r="Q636" t="s">
        <v>1265</v>
      </c>
      <c r="R636" s="1">
        <v>100005</v>
      </c>
      <c r="S636" t="s">
        <v>154</v>
      </c>
      <c r="T636" t="s">
        <v>1336</v>
      </c>
      <c r="U636" t="s">
        <v>1336</v>
      </c>
      <c r="V636" t="s">
        <v>2186</v>
      </c>
      <c r="W636" t="s">
        <v>968</v>
      </c>
      <c r="X636" t="s">
        <v>576</v>
      </c>
      <c r="Y636" t="s">
        <v>576</v>
      </c>
      <c r="Z636" t="s">
        <v>576</v>
      </c>
      <c r="AA636" s="1">
        <v>102065</v>
      </c>
      <c r="AB636" s="2">
        <v>-2.8E-3</v>
      </c>
      <c r="AC636" s="2">
        <v>-5.1000000000000004E-3</v>
      </c>
      <c r="AD636" s="2">
        <v>1.0200000000000001E-2</v>
      </c>
      <c r="AE636" s="2">
        <v>8.0999999999999996E-3</v>
      </c>
      <c r="AF636" s="2">
        <v>7.1000000000000004E-3</v>
      </c>
      <c r="AG636" s="2">
        <v>-1E-4</v>
      </c>
      <c r="AH636" t="s">
        <v>2303</v>
      </c>
      <c r="AI636" t="s">
        <v>620</v>
      </c>
      <c r="AJ636" t="s">
        <v>131</v>
      </c>
      <c r="AK636" t="s">
        <v>40</v>
      </c>
      <c r="AL636">
        <v>1</v>
      </c>
      <c r="AM636" t="s">
        <v>41</v>
      </c>
      <c r="AN636" t="s">
        <v>42</v>
      </c>
      <c r="AO636" t="s">
        <v>1921</v>
      </c>
      <c r="AP636" t="s">
        <v>407</v>
      </c>
      <c r="AQ636" t="s">
        <v>407</v>
      </c>
      <c r="AR636" t="s">
        <v>48</v>
      </c>
      <c r="AS636" t="s">
        <v>48</v>
      </c>
    </row>
    <row r="637" spans="1:54" x14ac:dyDescent="0.4">
      <c r="A637" t="s">
        <v>592</v>
      </c>
      <c r="B637" t="s">
        <v>10</v>
      </c>
      <c r="C637" s="1">
        <v>98775</v>
      </c>
      <c r="D637" t="s">
        <v>11</v>
      </c>
      <c r="E637" s="2">
        <v>-1.4E-3</v>
      </c>
      <c r="F637" t="s">
        <v>12</v>
      </c>
      <c r="G637" s="4">
        <f>-0.14 / -0.14%</f>
        <v>100</v>
      </c>
      <c r="H637" s="1">
        <v>98775</v>
      </c>
      <c r="I637" t="s">
        <v>3424</v>
      </c>
      <c r="J637" t="s">
        <v>3425</v>
      </c>
      <c r="K637" t="s">
        <v>23</v>
      </c>
      <c r="L637" s="2">
        <v>2.5000000000000001E-2</v>
      </c>
      <c r="M637" t="s">
        <v>3426</v>
      </c>
      <c r="N637" t="s">
        <v>28</v>
      </c>
      <c r="O637" t="s">
        <v>3427</v>
      </c>
      <c r="P637" s="1">
        <v>98385</v>
      </c>
      <c r="Q637" s="1">
        <v>98385</v>
      </c>
      <c r="R637" s="1">
        <v>97705</v>
      </c>
      <c r="S637" s="1">
        <v>96405</v>
      </c>
      <c r="T637" s="1">
        <v>94785</v>
      </c>
      <c r="U637" s="1">
        <v>94785</v>
      </c>
      <c r="V637" s="1">
        <v>100335</v>
      </c>
      <c r="W637" s="1">
        <v>100335</v>
      </c>
      <c r="X637" s="1">
        <v>100525</v>
      </c>
      <c r="Y637" s="1">
        <v>100525</v>
      </c>
      <c r="Z637" s="1">
        <v>100525</v>
      </c>
      <c r="AA637" s="1">
        <v>115015</v>
      </c>
      <c r="AB637" s="2">
        <v>-4.0000000000000001E-3</v>
      </c>
      <c r="AC637" s="2">
        <v>-6.8999999999999999E-3</v>
      </c>
      <c r="AD637" s="2">
        <v>1.0699999999999999E-2</v>
      </c>
      <c r="AE637" s="2">
        <v>5.5999999999999999E-3</v>
      </c>
      <c r="AF637" s="2">
        <v>8.8000000000000005E-3</v>
      </c>
      <c r="AG637" s="2">
        <v>-0.14119999999999999</v>
      </c>
      <c r="AH637" t="s">
        <v>2303</v>
      </c>
      <c r="AI637" t="s">
        <v>620</v>
      </c>
      <c r="AJ637" t="s">
        <v>131</v>
      </c>
      <c r="AK637" t="s">
        <v>40</v>
      </c>
      <c r="AL637">
        <v>1</v>
      </c>
      <c r="AM637" t="s">
        <v>41</v>
      </c>
      <c r="AN637" t="s">
        <v>42</v>
      </c>
      <c r="AO637" t="s">
        <v>3427</v>
      </c>
      <c r="AP637" t="s">
        <v>407</v>
      </c>
      <c r="AQ637" t="s">
        <v>407</v>
      </c>
      <c r="AR637" t="s">
        <v>48</v>
      </c>
      <c r="AS637" t="s">
        <v>48</v>
      </c>
    </row>
    <row r="638" spans="1:54" x14ac:dyDescent="0.4">
      <c r="A638" t="s">
        <v>4453</v>
      </c>
      <c r="B638" t="s">
        <v>10</v>
      </c>
      <c r="C638" t="s">
        <v>6878</v>
      </c>
      <c r="D638" t="s">
        <v>11</v>
      </c>
      <c r="E638" s="2">
        <v>2.0000000000000001E-4</v>
      </c>
      <c r="F638" t="s">
        <v>310</v>
      </c>
      <c r="G638" s="4" t="s">
        <v>3463</v>
      </c>
      <c r="H638" t="s">
        <v>6878</v>
      </c>
      <c r="I638" t="s">
        <v>6879</v>
      </c>
      <c r="J638" t="s">
        <v>6880</v>
      </c>
      <c r="K638" t="s">
        <v>23</v>
      </c>
      <c r="L638" s="2">
        <v>3.0519999999999999E-2</v>
      </c>
      <c r="M638" t="s">
        <v>2075</v>
      </c>
      <c r="N638" t="s">
        <v>121</v>
      </c>
      <c r="O638" t="s">
        <v>2225</v>
      </c>
      <c r="P638" t="s">
        <v>6881</v>
      </c>
      <c r="Q638" t="s">
        <v>6881</v>
      </c>
      <c r="R638" t="s">
        <v>3097</v>
      </c>
      <c r="S638" t="s">
        <v>6882</v>
      </c>
      <c r="T638" t="s">
        <v>6883</v>
      </c>
      <c r="U638" t="s">
        <v>6884</v>
      </c>
      <c r="V638" t="s">
        <v>6885</v>
      </c>
      <c r="W638" t="s">
        <v>654</v>
      </c>
      <c r="X638" t="s">
        <v>6886</v>
      </c>
      <c r="Y638" t="s">
        <v>6886</v>
      </c>
      <c r="Z638" t="s">
        <v>6886</v>
      </c>
      <c r="AA638" t="s">
        <v>6580</v>
      </c>
      <c r="AB638" s="2">
        <v>2.0000000000000001E-4</v>
      </c>
      <c r="AC638" s="2">
        <v>-1.17E-2</v>
      </c>
      <c r="AD638" s="2">
        <v>1.6199999999999999E-2</v>
      </c>
      <c r="AE638" s="2">
        <v>6.5600000000000006E-2</v>
      </c>
      <c r="AF638" s="2">
        <v>0.115</v>
      </c>
      <c r="AG638" s="2">
        <v>-0.1094</v>
      </c>
      <c r="AH638" t="s">
        <v>6887</v>
      </c>
      <c r="AI638" t="s">
        <v>130</v>
      </c>
      <c r="AJ638" t="s">
        <v>131</v>
      </c>
      <c r="AK638" t="s">
        <v>40</v>
      </c>
      <c r="AL638">
        <v>200</v>
      </c>
      <c r="AM638" t="s">
        <v>41</v>
      </c>
      <c r="AN638" t="s">
        <v>42</v>
      </c>
      <c r="AO638" t="s">
        <v>2225</v>
      </c>
      <c r="AP638" t="s">
        <v>407</v>
      </c>
      <c r="AZ638">
        <v>200</v>
      </c>
      <c r="BA638" t="s">
        <v>197</v>
      </c>
    </row>
    <row r="639" spans="1:54" x14ac:dyDescent="0.4">
      <c r="A639" t="s">
        <v>115</v>
      </c>
      <c r="B639" t="s">
        <v>10</v>
      </c>
      <c r="C639" s="1">
        <v>97265</v>
      </c>
      <c r="D639" t="s">
        <v>11</v>
      </c>
      <c r="E639" s="2">
        <v>-6.0000000000000001E-3</v>
      </c>
      <c r="F639" t="s">
        <v>12</v>
      </c>
      <c r="G639" s="4">
        <f>-0.585 / -0.6%</f>
        <v>97.499999999999986</v>
      </c>
      <c r="H639" s="1">
        <v>97265</v>
      </c>
      <c r="I639" t="s">
        <v>5212</v>
      </c>
      <c r="J639" t="s">
        <v>5213</v>
      </c>
      <c r="K639" t="s">
        <v>23</v>
      </c>
      <c r="L639" s="2">
        <v>3.9500000000000004E-3</v>
      </c>
      <c r="M639" t="s">
        <v>1590</v>
      </c>
      <c r="N639" t="s">
        <v>28</v>
      </c>
      <c r="O639" t="s">
        <v>2133</v>
      </c>
      <c r="P639" t="s">
        <v>1810</v>
      </c>
      <c r="Q639" t="s">
        <v>5214</v>
      </c>
      <c r="R639" t="s">
        <v>5214</v>
      </c>
      <c r="S639" t="s">
        <v>5214</v>
      </c>
      <c r="T639" t="s">
        <v>5215</v>
      </c>
      <c r="U639" t="s">
        <v>5216</v>
      </c>
      <c r="V639" s="1">
        <v>98715</v>
      </c>
      <c r="W639" s="1">
        <v>98715</v>
      </c>
      <c r="X639" s="1">
        <v>98715</v>
      </c>
      <c r="Y639" s="1">
        <v>98715</v>
      </c>
      <c r="Z639" s="1">
        <v>98715</v>
      </c>
      <c r="AA639" s="1">
        <v>98715</v>
      </c>
      <c r="AB639" s="2">
        <v>-1.2699999999999999E-2</v>
      </c>
      <c r="AC639" s="2">
        <v>-6.9999999999999999E-4</v>
      </c>
      <c r="AD639" s="2">
        <v>1.12E-2</v>
      </c>
      <c r="AE639" s="2">
        <v>4.7600000000000003E-2</v>
      </c>
      <c r="AF639" s="2">
        <v>9.8400000000000001E-2</v>
      </c>
      <c r="AG639" s="2">
        <v>-1.0999999999999999E-2</v>
      </c>
      <c r="AH639" t="s">
        <v>5217</v>
      </c>
      <c r="AI639" t="s">
        <v>130</v>
      </c>
      <c r="AJ639" t="s">
        <v>131</v>
      </c>
      <c r="AK639" t="s">
        <v>40</v>
      </c>
      <c r="AL639">
        <v>5</v>
      </c>
      <c r="AM639" t="s">
        <v>41</v>
      </c>
      <c r="AN639" t="s">
        <v>42</v>
      </c>
      <c r="AO639" t="s">
        <v>2133</v>
      </c>
      <c r="AP639" t="s">
        <v>5218</v>
      </c>
      <c r="AQ639" t="s">
        <v>5218</v>
      </c>
      <c r="AR639" t="s">
        <v>1694</v>
      </c>
      <c r="AS639" t="s">
        <v>1694</v>
      </c>
    </row>
    <row r="640" spans="1:54" x14ac:dyDescent="0.4">
      <c r="A640" t="s">
        <v>161</v>
      </c>
      <c r="B640" t="s">
        <v>10</v>
      </c>
      <c r="C640" t="s">
        <v>1588</v>
      </c>
      <c r="D640" t="s">
        <v>11</v>
      </c>
      <c r="E640" s="2">
        <v>2E-3</v>
      </c>
      <c r="F640" t="s">
        <v>12</v>
      </c>
      <c r="G640" s="4" t="s">
        <v>2887</v>
      </c>
      <c r="H640" t="s">
        <v>1588</v>
      </c>
      <c r="I640" t="s">
        <v>7017</v>
      </c>
      <c r="J640" t="s">
        <v>7018</v>
      </c>
      <c r="K640" t="s">
        <v>23</v>
      </c>
      <c r="L640" s="2">
        <v>2.818E-2</v>
      </c>
      <c r="M640" t="s">
        <v>4584</v>
      </c>
      <c r="N640" t="s">
        <v>121</v>
      </c>
      <c r="O640" t="s">
        <v>1046</v>
      </c>
      <c r="P640" t="s">
        <v>5131</v>
      </c>
      <c r="Q640" t="s">
        <v>5131</v>
      </c>
      <c r="R640" t="s">
        <v>5131</v>
      </c>
      <c r="S640" t="s">
        <v>5131</v>
      </c>
      <c r="T640" t="s">
        <v>5131</v>
      </c>
      <c r="U640" t="s">
        <v>5131</v>
      </c>
      <c r="V640" t="s">
        <v>3503</v>
      </c>
      <c r="W640" t="s">
        <v>3503</v>
      </c>
      <c r="X640" t="s">
        <v>3503</v>
      </c>
      <c r="Y640" t="s">
        <v>3503</v>
      </c>
      <c r="Z640" t="s">
        <v>3503</v>
      </c>
      <c r="AA640" t="s">
        <v>3503</v>
      </c>
      <c r="AB640" s="2">
        <v>-5.0000000000000001E-4</v>
      </c>
      <c r="AC640" s="2">
        <v>-5.0000000000000001E-4</v>
      </c>
      <c r="AD640" s="2">
        <v>-5.0000000000000001E-4</v>
      </c>
      <c r="AE640" s="2">
        <v>-5.0000000000000001E-4</v>
      </c>
      <c r="AF640" s="2">
        <v>-5.0000000000000001E-4</v>
      </c>
      <c r="AG640" s="2">
        <v>-5.0000000000000001E-4</v>
      </c>
      <c r="AH640" t="s">
        <v>7019</v>
      </c>
      <c r="AI640" t="s">
        <v>130</v>
      </c>
      <c r="AJ640" t="s">
        <v>131</v>
      </c>
      <c r="AK640" t="s">
        <v>40</v>
      </c>
      <c r="AL640">
        <v>1</v>
      </c>
      <c r="AM640" t="s">
        <v>41</v>
      </c>
      <c r="AN640" t="s">
        <v>42</v>
      </c>
      <c r="AO640" t="s">
        <v>1046</v>
      </c>
      <c r="AP640" t="s">
        <v>407</v>
      </c>
      <c r="AZ640">
        <v>1</v>
      </c>
      <c r="BA640" t="s">
        <v>174</v>
      </c>
    </row>
    <row r="641" spans="1:54" x14ac:dyDescent="0.4">
      <c r="A641" t="s">
        <v>630</v>
      </c>
      <c r="B641" t="s">
        <v>10</v>
      </c>
      <c r="C641" t="s">
        <v>5584</v>
      </c>
      <c r="D641" t="s">
        <v>11</v>
      </c>
      <c r="E641" s="2">
        <v>-1.49E-2</v>
      </c>
      <c r="F641" t="s">
        <v>12</v>
      </c>
      <c r="G641" s="4">
        <f>-1.3 / -1.49%</f>
        <v>87.24832214765101</v>
      </c>
      <c r="H641" t="s">
        <v>5584</v>
      </c>
      <c r="I641" t="s">
        <v>5585</v>
      </c>
      <c r="J641" t="s">
        <v>5586</v>
      </c>
      <c r="K641" t="s">
        <v>23</v>
      </c>
      <c r="L641" s="2">
        <v>5.1999999999999998E-2</v>
      </c>
      <c r="M641" t="s">
        <v>5587</v>
      </c>
      <c r="N641" t="s">
        <v>121</v>
      </c>
      <c r="O641" t="s">
        <v>5588</v>
      </c>
      <c r="P641" t="s">
        <v>4691</v>
      </c>
      <c r="Q641" t="s">
        <v>4691</v>
      </c>
      <c r="R641" t="s">
        <v>4691</v>
      </c>
      <c r="S641" t="s">
        <v>5589</v>
      </c>
      <c r="T641" t="s">
        <v>5589</v>
      </c>
      <c r="U641" t="s">
        <v>5589</v>
      </c>
      <c r="V641" t="s">
        <v>5590</v>
      </c>
      <c r="W641" t="s">
        <v>2760</v>
      </c>
      <c r="X641" t="s">
        <v>1169</v>
      </c>
      <c r="Y641" t="s">
        <v>1169</v>
      </c>
      <c r="Z641" t="s">
        <v>1169</v>
      </c>
      <c r="AA641" t="s">
        <v>5591</v>
      </c>
      <c r="AB641" s="2">
        <v>-7.2300000000000003E-2</v>
      </c>
      <c r="AC641" s="2">
        <v>-8.6800000000000002E-2</v>
      </c>
      <c r="AD641" s="2">
        <v>-7.46E-2</v>
      </c>
      <c r="AE641" s="2">
        <v>-3.8999999999999998E-3</v>
      </c>
      <c r="AF641" s="2">
        <v>-4.02E-2</v>
      </c>
      <c r="AG641" s="2">
        <v>-0.24859999999999999</v>
      </c>
      <c r="AH641" t="s">
        <v>5592</v>
      </c>
      <c r="AI641" t="s">
        <v>130</v>
      </c>
      <c r="AJ641" t="s">
        <v>131</v>
      </c>
      <c r="AK641" t="s">
        <v>40</v>
      </c>
      <c r="AL641">
        <v>1</v>
      </c>
      <c r="AM641" t="s">
        <v>41</v>
      </c>
      <c r="AN641" t="s">
        <v>42</v>
      </c>
      <c r="AO641" t="s">
        <v>5588</v>
      </c>
      <c r="AP641" t="s">
        <v>225</v>
      </c>
      <c r="AQ641" t="s">
        <v>225</v>
      </c>
      <c r="AR641" t="s">
        <v>133</v>
      </c>
      <c r="AS641" t="s">
        <v>133</v>
      </c>
    </row>
    <row r="642" spans="1:54" x14ac:dyDescent="0.4">
      <c r="A642" t="s">
        <v>4462</v>
      </c>
      <c r="B642" t="s">
        <v>10</v>
      </c>
      <c r="C642" t="s">
        <v>7212</v>
      </c>
      <c r="D642" t="s">
        <v>11</v>
      </c>
      <c r="E642" s="2">
        <v>1.1999999999999999E-3</v>
      </c>
      <c r="F642" t="s">
        <v>178</v>
      </c>
      <c r="G642" s="4" t="s">
        <v>7213</v>
      </c>
      <c r="H642" t="s">
        <v>7212</v>
      </c>
      <c r="I642" t="s">
        <v>7214</v>
      </c>
      <c r="J642" t="s">
        <v>7215</v>
      </c>
      <c r="K642" t="s">
        <v>23</v>
      </c>
      <c r="L642" s="2">
        <v>3.7999999999999999E-2</v>
      </c>
      <c r="M642" t="s">
        <v>7216</v>
      </c>
      <c r="N642" t="s">
        <v>121</v>
      </c>
      <c r="O642" t="s">
        <v>4549</v>
      </c>
      <c r="P642" t="s">
        <v>4808</v>
      </c>
      <c r="Q642" t="s">
        <v>4808</v>
      </c>
      <c r="R642" t="s">
        <v>4808</v>
      </c>
      <c r="S642" t="s">
        <v>3287</v>
      </c>
      <c r="T642" t="s">
        <v>7217</v>
      </c>
      <c r="U642" t="s">
        <v>1244</v>
      </c>
      <c r="V642" t="s">
        <v>7027</v>
      </c>
      <c r="W642" t="s">
        <v>3042</v>
      </c>
      <c r="X642" t="s">
        <v>2446</v>
      </c>
      <c r="Y642" t="s">
        <v>2446</v>
      </c>
      <c r="Z642" t="s">
        <v>2446</v>
      </c>
      <c r="AA642" t="s">
        <v>4567</v>
      </c>
      <c r="AB642" s="2">
        <v>1.8E-3</v>
      </c>
      <c r="AC642" s="2">
        <v>-2.3599999999999999E-2</v>
      </c>
      <c r="AD642" s="2">
        <v>-4.7999999999999996E-3</v>
      </c>
      <c r="AE642" s="2">
        <v>-4.3E-3</v>
      </c>
      <c r="AF642" s="2">
        <v>9.7999999999999997E-3</v>
      </c>
      <c r="AG642" s="2">
        <v>-0.11070000000000001</v>
      </c>
      <c r="AH642" t="s">
        <v>7218</v>
      </c>
      <c r="AI642" t="s">
        <v>130</v>
      </c>
      <c r="AJ642" t="s">
        <v>131</v>
      </c>
      <c r="AK642" t="s">
        <v>40</v>
      </c>
      <c r="AL642">
        <v>2</v>
      </c>
      <c r="AM642" t="s">
        <v>41</v>
      </c>
      <c r="AN642" t="s">
        <v>42</v>
      </c>
      <c r="AO642" t="s">
        <v>4549</v>
      </c>
      <c r="AP642" t="s">
        <v>225</v>
      </c>
      <c r="AQ642" t="s">
        <v>225</v>
      </c>
      <c r="AR642" t="s">
        <v>133</v>
      </c>
      <c r="AS642" t="s">
        <v>133</v>
      </c>
    </row>
    <row r="643" spans="1:54" x14ac:dyDescent="0.4">
      <c r="A643" t="s">
        <v>4462</v>
      </c>
      <c r="B643" t="s">
        <v>10</v>
      </c>
      <c r="C643" t="s">
        <v>1467</v>
      </c>
      <c r="D643" t="s">
        <v>11</v>
      </c>
      <c r="E643" s="2">
        <v>8.9999999999999998E-4</v>
      </c>
      <c r="F643" t="s">
        <v>310</v>
      </c>
      <c r="G643" s="4" t="s">
        <v>2696</v>
      </c>
      <c r="H643" t="s">
        <v>1467</v>
      </c>
      <c r="I643" t="s">
        <v>5593</v>
      </c>
      <c r="J643" t="s">
        <v>5594</v>
      </c>
      <c r="K643" t="s">
        <v>23</v>
      </c>
      <c r="L643" s="2">
        <v>5.0500000000000003E-2</v>
      </c>
      <c r="M643" t="s">
        <v>5595</v>
      </c>
      <c r="N643" t="s">
        <v>121</v>
      </c>
      <c r="O643" t="s">
        <v>5596</v>
      </c>
      <c r="P643" t="s">
        <v>680</v>
      </c>
      <c r="Q643" t="s">
        <v>680</v>
      </c>
      <c r="R643" t="s">
        <v>680</v>
      </c>
      <c r="S643" t="s">
        <v>1552</v>
      </c>
      <c r="T643" t="s">
        <v>1276</v>
      </c>
      <c r="U643" t="s">
        <v>1276</v>
      </c>
      <c r="V643" t="s">
        <v>5597</v>
      </c>
      <c r="W643" t="s">
        <v>3397</v>
      </c>
      <c r="X643" t="s">
        <v>5598</v>
      </c>
      <c r="Y643" t="s">
        <v>5598</v>
      </c>
      <c r="Z643" t="s">
        <v>5598</v>
      </c>
      <c r="AA643" t="s">
        <v>5598</v>
      </c>
      <c r="AB643" s="2">
        <v>-2.8E-3</v>
      </c>
      <c r="AC643" s="2">
        <v>-8.3999999999999995E-3</v>
      </c>
      <c r="AD643" s="2">
        <v>6.9999999999999999E-4</v>
      </c>
      <c r="AE643" s="2">
        <v>3.2000000000000002E-3</v>
      </c>
      <c r="AF643" s="2">
        <v>2.8899999999999999E-2</v>
      </c>
      <c r="AG643" s="2">
        <v>2.8899999999999999E-2</v>
      </c>
      <c r="AH643" t="s">
        <v>5599</v>
      </c>
      <c r="AI643" t="s">
        <v>130</v>
      </c>
      <c r="AJ643" t="s">
        <v>131</v>
      </c>
      <c r="AK643" t="s">
        <v>40</v>
      </c>
      <c r="AL643">
        <v>200</v>
      </c>
      <c r="AM643" t="s">
        <v>41</v>
      </c>
      <c r="AN643" t="s">
        <v>42</v>
      </c>
      <c r="AO643" t="s">
        <v>5596</v>
      </c>
      <c r="AP643" t="s">
        <v>171</v>
      </c>
      <c r="AQ643" t="s">
        <v>171</v>
      </c>
      <c r="AR643" t="s">
        <v>133</v>
      </c>
      <c r="AS643" t="s">
        <v>133</v>
      </c>
    </row>
    <row r="644" spans="1:54" x14ac:dyDescent="0.4">
      <c r="A644" t="s">
        <v>630</v>
      </c>
      <c r="B644" t="s">
        <v>10</v>
      </c>
      <c r="C644" t="s">
        <v>5760</v>
      </c>
      <c r="D644" t="s">
        <v>11</v>
      </c>
      <c r="E644" s="2">
        <v>-5.4000000000000003E-3</v>
      </c>
      <c r="F644" t="s">
        <v>12</v>
      </c>
      <c r="G644" s="4">
        <f>-0.45 / -0.54%</f>
        <v>83.333333333333329</v>
      </c>
      <c r="H644" t="s">
        <v>5760</v>
      </c>
      <c r="I644" t="s">
        <v>5807</v>
      </c>
      <c r="J644" t="s">
        <v>5808</v>
      </c>
      <c r="K644" t="s">
        <v>23</v>
      </c>
      <c r="L644" s="2">
        <v>3.7499999999999999E-2</v>
      </c>
      <c r="M644" t="s">
        <v>1707</v>
      </c>
      <c r="N644" t="s">
        <v>28</v>
      </c>
      <c r="O644" t="s">
        <v>4180</v>
      </c>
      <c r="P644" t="s">
        <v>5809</v>
      </c>
      <c r="Q644" t="s">
        <v>5809</v>
      </c>
      <c r="R644" t="s">
        <v>5809</v>
      </c>
      <c r="S644" t="s">
        <v>5809</v>
      </c>
      <c r="T644" t="s">
        <v>5810</v>
      </c>
      <c r="U644" t="s">
        <v>5811</v>
      </c>
      <c r="V644" t="s">
        <v>5812</v>
      </c>
      <c r="W644" t="s">
        <v>5062</v>
      </c>
      <c r="X644" t="s">
        <v>5813</v>
      </c>
      <c r="Y644" t="s">
        <v>5813</v>
      </c>
      <c r="Z644" t="s">
        <v>5814</v>
      </c>
      <c r="AA644" t="s">
        <v>2942</v>
      </c>
      <c r="AB644" s="2">
        <v>-8.9999999999999993E-3</v>
      </c>
      <c r="AC644" s="2">
        <v>-2.9000000000000001E-2</v>
      </c>
      <c r="AD644" s="2">
        <v>-3.5499999999999997E-2</v>
      </c>
      <c r="AE644" s="2">
        <v>-1.4E-2</v>
      </c>
      <c r="AF644" s="2">
        <v>-7.51E-2</v>
      </c>
      <c r="AG644" s="2">
        <v>-0.17399999999999999</v>
      </c>
      <c r="AH644" t="s">
        <v>3091</v>
      </c>
      <c r="AI644" t="s">
        <v>130</v>
      </c>
      <c r="AJ644" t="s">
        <v>131</v>
      </c>
      <c r="AK644" t="s">
        <v>40</v>
      </c>
      <c r="AL644">
        <v>100</v>
      </c>
      <c r="AM644" t="s">
        <v>41</v>
      </c>
      <c r="AN644" t="s">
        <v>42</v>
      </c>
      <c r="AO644" t="s">
        <v>4180</v>
      </c>
      <c r="AP644" t="s">
        <v>4863</v>
      </c>
      <c r="AQ644" t="s">
        <v>4863</v>
      </c>
      <c r="AR644" t="s">
        <v>2350</v>
      </c>
      <c r="AS644" t="s">
        <v>2350</v>
      </c>
    </row>
    <row r="645" spans="1:54" x14ac:dyDescent="0.4">
      <c r="A645" t="s">
        <v>161</v>
      </c>
      <c r="B645" t="s">
        <v>10</v>
      </c>
      <c r="C645" t="s">
        <v>876</v>
      </c>
      <c r="D645" t="s">
        <v>11</v>
      </c>
      <c r="E645" s="2">
        <v>3.8999999999999998E-3</v>
      </c>
      <c r="F645" t="s">
        <v>12</v>
      </c>
      <c r="G645" s="4" t="s">
        <v>3081</v>
      </c>
      <c r="H645" t="s">
        <v>876</v>
      </c>
      <c r="I645" t="s">
        <v>3082</v>
      </c>
      <c r="J645" t="s">
        <v>3083</v>
      </c>
      <c r="K645" t="s">
        <v>23</v>
      </c>
      <c r="L645" s="2">
        <v>4.7E-2</v>
      </c>
      <c r="M645" t="s">
        <v>3084</v>
      </c>
      <c r="N645" t="s">
        <v>121</v>
      </c>
      <c r="O645" t="s">
        <v>3085</v>
      </c>
      <c r="P645" t="s">
        <v>3086</v>
      </c>
      <c r="Q645" t="s">
        <v>3086</v>
      </c>
      <c r="R645" t="s">
        <v>3086</v>
      </c>
      <c r="S645" t="s">
        <v>3087</v>
      </c>
      <c r="T645" t="s">
        <v>3088</v>
      </c>
      <c r="U645" t="s">
        <v>3088</v>
      </c>
      <c r="V645" t="s">
        <v>3089</v>
      </c>
      <c r="W645" t="s">
        <v>1473</v>
      </c>
      <c r="X645" t="s">
        <v>2942</v>
      </c>
      <c r="Y645" t="s">
        <v>2942</v>
      </c>
      <c r="Z645" t="s">
        <v>2942</v>
      </c>
      <c r="AA645" t="s">
        <v>3090</v>
      </c>
      <c r="AB645" s="2">
        <v>2.3E-3</v>
      </c>
      <c r="AC645" s="2">
        <v>-1.7000000000000001E-2</v>
      </c>
      <c r="AD645" s="2">
        <v>-1.04E-2</v>
      </c>
      <c r="AE645" s="2">
        <v>-1.6899999999999998E-2</v>
      </c>
      <c r="AF645" s="2">
        <v>-4.99E-2</v>
      </c>
      <c r="AG645" s="2">
        <v>-0.1913</v>
      </c>
      <c r="AH645" t="s">
        <v>3091</v>
      </c>
      <c r="AI645" t="s">
        <v>130</v>
      </c>
      <c r="AJ645" t="s">
        <v>131</v>
      </c>
      <c r="AK645" t="s">
        <v>40</v>
      </c>
      <c r="AL645">
        <v>1</v>
      </c>
      <c r="AM645" t="s">
        <v>41</v>
      </c>
      <c r="AN645" t="s">
        <v>42</v>
      </c>
      <c r="AO645" t="s">
        <v>3085</v>
      </c>
      <c r="AP645" t="s">
        <v>357</v>
      </c>
      <c r="AQ645" t="s">
        <v>357</v>
      </c>
      <c r="AR645" t="s">
        <v>133</v>
      </c>
      <c r="AS645" t="s">
        <v>133</v>
      </c>
    </row>
    <row r="646" spans="1:54" x14ac:dyDescent="0.4">
      <c r="A646" t="s">
        <v>4769</v>
      </c>
      <c r="B646" t="s">
        <v>10</v>
      </c>
      <c r="C646" s="1">
        <v>103965</v>
      </c>
      <c r="D646" t="s">
        <v>11</v>
      </c>
      <c r="E646" s="2">
        <v>-1.1999999999999999E-3</v>
      </c>
      <c r="F646" t="s">
        <v>12</v>
      </c>
      <c r="G646" s="4">
        <f>-0.13 / -0.12%</f>
        <v>108.33333333333334</v>
      </c>
      <c r="H646" s="1">
        <v>103965</v>
      </c>
      <c r="I646" t="s">
        <v>7538</v>
      </c>
      <c r="J646" t="s">
        <v>7539</v>
      </c>
      <c r="K646" t="s">
        <v>23</v>
      </c>
      <c r="L646" s="2">
        <v>4.3749999999999997E-2</v>
      </c>
      <c r="M646" t="s">
        <v>4668</v>
      </c>
      <c r="N646" t="s">
        <v>28</v>
      </c>
      <c r="O646" t="s">
        <v>2478</v>
      </c>
      <c r="P646" t="s">
        <v>6065</v>
      </c>
      <c r="Q646" t="s">
        <v>6065</v>
      </c>
      <c r="R646" s="1">
        <v>102745</v>
      </c>
      <c r="S646" t="s">
        <v>1756</v>
      </c>
      <c r="T646" t="s">
        <v>1709</v>
      </c>
      <c r="U646" t="s">
        <v>1709</v>
      </c>
      <c r="V646" s="1">
        <v>104645</v>
      </c>
      <c r="W646" t="s">
        <v>7540</v>
      </c>
      <c r="X646" t="s">
        <v>7540</v>
      </c>
      <c r="Y646" t="s">
        <v>7540</v>
      </c>
      <c r="Z646" t="s">
        <v>7540</v>
      </c>
      <c r="AA646" t="s">
        <v>7540</v>
      </c>
      <c r="AB646" s="2">
        <v>-7.7000000000000002E-3</v>
      </c>
      <c r="AC646" s="2">
        <v>-1.0699999999999999E-2</v>
      </c>
      <c r="AD646" s="2">
        <v>1.14E-2</v>
      </c>
      <c r="AE646" s="2">
        <v>2.64E-2</v>
      </c>
      <c r="AF646" s="2">
        <v>2.3300000000000001E-2</v>
      </c>
      <c r="AG646" s="2">
        <v>2.3300000000000001E-2</v>
      </c>
      <c r="AH646" t="s">
        <v>6387</v>
      </c>
      <c r="AI646" t="s">
        <v>130</v>
      </c>
      <c r="AJ646" t="s">
        <v>131</v>
      </c>
      <c r="AK646" t="s">
        <v>40</v>
      </c>
      <c r="AL646">
        <v>100</v>
      </c>
      <c r="AM646" t="s">
        <v>41</v>
      </c>
      <c r="AN646" t="s">
        <v>42</v>
      </c>
      <c r="AO646" t="s">
        <v>2478</v>
      </c>
      <c r="AP646" t="s">
        <v>225</v>
      </c>
      <c r="AQ646">
        <v>100</v>
      </c>
      <c r="BA646" t="s">
        <v>1487</v>
      </c>
      <c r="BB646" t="s">
        <v>61</v>
      </c>
    </row>
    <row r="647" spans="1:54" x14ac:dyDescent="0.4">
      <c r="A647" t="s">
        <v>4453</v>
      </c>
      <c r="B647" t="s">
        <v>10</v>
      </c>
      <c r="C647" t="s">
        <v>5521</v>
      </c>
      <c r="D647" t="s">
        <v>11</v>
      </c>
      <c r="E647" s="2">
        <v>-1E-3</v>
      </c>
      <c r="F647" t="s">
        <v>178</v>
      </c>
      <c r="G647" s="4">
        <f>-0.09 / -0.1%</f>
        <v>90</v>
      </c>
      <c r="H647" t="s">
        <v>5521</v>
      </c>
      <c r="I647" t="s">
        <v>6380</v>
      </c>
      <c r="J647" t="s">
        <v>6381</v>
      </c>
      <c r="K647" t="s">
        <v>23</v>
      </c>
      <c r="L647" s="2">
        <v>7.4999999999999997E-3</v>
      </c>
      <c r="M647" t="s">
        <v>6382</v>
      </c>
      <c r="N647" t="s">
        <v>28</v>
      </c>
      <c r="O647" t="s">
        <v>6383</v>
      </c>
      <c r="P647" t="s">
        <v>4360</v>
      </c>
      <c r="Q647" t="s">
        <v>6384</v>
      </c>
      <c r="R647" t="s">
        <v>1860</v>
      </c>
      <c r="S647" t="s">
        <v>1084</v>
      </c>
      <c r="T647" t="s">
        <v>6385</v>
      </c>
      <c r="U647" t="s">
        <v>3720</v>
      </c>
      <c r="V647" t="s">
        <v>5862</v>
      </c>
      <c r="W647" t="s">
        <v>6386</v>
      </c>
      <c r="X647" t="s">
        <v>6386</v>
      </c>
      <c r="Y647" t="s">
        <v>6386</v>
      </c>
      <c r="Z647" t="s">
        <v>6386</v>
      </c>
      <c r="AA647" t="s">
        <v>386</v>
      </c>
      <c r="AB647" s="2">
        <v>-3.8E-3</v>
      </c>
      <c r="AC647" s="2">
        <v>-4.5999999999999999E-3</v>
      </c>
      <c r="AD647" s="2">
        <v>2.0899999999999998E-2</v>
      </c>
      <c r="AE647" s="2">
        <v>5.28E-2</v>
      </c>
      <c r="AF647" s="2">
        <v>0.1328</v>
      </c>
      <c r="AG647" s="2">
        <v>-3.6999999999999998E-2</v>
      </c>
      <c r="AH647" t="s">
        <v>6387</v>
      </c>
      <c r="AI647" t="s">
        <v>130</v>
      </c>
      <c r="AJ647" t="s">
        <v>131</v>
      </c>
      <c r="AK647" t="s">
        <v>40</v>
      </c>
      <c r="AL647">
        <v>250</v>
      </c>
      <c r="AM647" t="s">
        <v>41</v>
      </c>
      <c r="AN647" t="s">
        <v>42</v>
      </c>
      <c r="AO647" t="s">
        <v>6383</v>
      </c>
      <c r="AP647" t="s">
        <v>225</v>
      </c>
      <c r="AZ647">
        <v>250</v>
      </c>
      <c r="BA647" t="s">
        <v>197</v>
      </c>
    </row>
    <row r="648" spans="1:54" x14ac:dyDescent="0.4">
      <c r="A648" t="s">
        <v>9</v>
      </c>
      <c r="B648" t="s">
        <v>10</v>
      </c>
      <c r="C648" t="s">
        <v>7175</v>
      </c>
      <c r="D648" t="s">
        <v>11</v>
      </c>
      <c r="E648" s="2">
        <v>-1.8E-3</v>
      </c>
      <c r="F648" t="s">
        <v>12</v>
      </c>
      <c r="G648" s="4">
        <f>-0.16 / -0.18%</f>
        <v>88.8888888888889</v>
      </c>
      <c r="H648" t="s">
        <v>7175</v>
      </c>
      <c r="I648" t="s">
        <v>7470</v>
      </c>
      <c r="J648" t="s">
        <v>7471</v>
      </c>
      <c r="K648" t="s">
        <v>23</v>
      </c>
      <c r="L648" s="2">
        <v>0.01</v>
      </c>
      <c r="M648" t="s">
        <v>7472</v>
      </c>
      <c r="N648" t="s">
        <v>28</v>
      </c>
      <c r="O648" t="s">
        <v>7473</v>
      </c>
      <c r="P648" t="s">
        <v>5711</v>
      </c>
      <c r="Q648" t="s">
        <v>5711</v>
      </c>
      <c r="R648" t="s">
        <v>3516</v>
      </c>
      <c r="S648" t="s">
        <v>7474</v>
      </c>
      <c r="T648" t="s">
        <v>7475</v>
      </c>
      <c r="U648" t="s">
        <v>2934</v>
      </c>
      <c r="V648" t="s">
        <v>3939</v>
      </c>
      <c r="W648" t="s">
        <v>2736</v>
      </c>
      <c r="X648" t="s">
        <v>2736</v>
      </c>
      <c r="Y648" t="s">
        <v>2736</v>
      </c>
      <c r="Z648" t="s">
        <v>2736</v>
      </c>
      <c r="AA648" t="s">
        <v>1113</v>
      </c>
      <c r="AB648" s="2">
        <v>-1.4800000000000001E-2</v>
      </c>
      <c r="AC648" s="2">
        <v>-1.6299999999999999E-2</v>
      </c>
      <c r="AD648" s="2">
        <v>1.3100000000000001E-2</v>
      </c>
      <c r="AE648" s="2">
        <v>2.69E-2</v>
      </c>
      <c r="AF648" s="2">
        <v>4.3099999999999999E-2</v>
      </c>
      <c r="AG648" s="2">
        <v>-0.1426</v>
      </c>
      <c r="AH648" t="s">
        <v>7476</v>
      </c>
      <c r="AI648" t="s">
        <v>130</v>
      </c>
      <c r="AJ648" t="s">
        <v>131</v>
      </c>
      <c r="AK648" t="s">
        <v>40</v>
      </c>
      <c r="AL648">
        <v>100</v>
      </c>
      <c r="AM648" t="s">
        <v>41</v>
      </c>
      <c r="AN648" t="s">
        <v>42</v>
      </c>
      <c r="AO648" t="s">
        <v>7473</v>
      </c>
      <c r="AP648" t="s">
        <v>407</v>
      </c>
      <c r="AQ648" t="s">
        <v>407</v>
      </c>
      <c r="AR648" t="s">
        <v>48</v>
      </c>
      <c r="AS648" t="s">
        <v>48</v>
      </c>
    </row>
    <row r="649" spans="1:54" x14ac:dyDescent="0.4">
      <c r="A649" t="s">
        <v>1695</v>
      </c>
      <c r="B649" t="s">
        <v>10</v>
      </c>
      <c r="C649" t="s">
        <v>656</v>
      </c>
      <c r="D649" t="s">
        <v>11</v>
      </c>
      <c r="E649" s="2">
        <v>-1.1999999999999999E-3</v>
      </c>
      <c r="F649" t="s">
        <v>12</v>
      </c>
      <c r="G649" s="4">
        <f>-0.12 / -0.12%</f>
        <v>100</v>
      </c>
      <c r="H649" t="s">
        <v>656</v>
      </c>
      <c r="I649" t="s">
        <v>2088</v>
      </c>
      <c r="J649" t="s">
        <v>2089</v>
      </c>
      <c r="K649" t="s">
        <v>23</v>
      </c>
      <c r="L649" s="2">
        <v>0.03</v>
      </c>
      <c r="M649" t="s">
        <v>2090</v>
      </c>
      <c r="N649" t="s">
        <v>28</v>
      </c>
      <c r="O649" t="s">
        <v>2091</v>
      </c>
      <c r="P649" s="1">
        <v>99785</v>
      </c>
      <c r="Q649" s="1">
        <v>99785</v>
      </c>
      <c r="R649" t="s">
        <v>2092</v>
      </c>
      <c r="S649" t="s">
        <v>2093</v>
      </c>
      <c r="T649" s="1">
        <v>96595</v>
      </c>
      <c r="U649" s="1">
        <v>96595</v>
      </c>
      <c r="V649" s="1">
        <v>100455</v>
      </c>
      <c r="W649" s="1">
        <v>100915</v>
      </c>
      <c r="X649" s="1">
        <v>100915</v>
      </c>
      <c r="Y649" s="1">
        <v>100915</v>
      </c>
      <c r="Z649" s="1">
        <v>100915</v>
      </c>
      <c r="AA649" s="1">
        <v>100915</v>
      </c>
      <c r="AB649" s="2">
        <v>-5.0000000000000001E-3</v>
      </c>
      <c r="AC649" s="2">
        <v>-6.3E-3</v>
      </c>
      <c r="AD649" s="2">
        <v>5.4999999999999997E-3</v>
      </c>
      <c r="AE649" s="2">
        <v>6.1000000000000004E-3</v>
      </c>
      <c r="AF649" s="2">
        <v>7.3000000000000001E-3</v>
      </c>
      <c r="AG649" s="2">
        <v>3.0000000000000001E-3</v>
      </c>
      <c r="AH649" t="s">
        <v>2094</v>
      </c>
      <c r="AI649" t="s">
        <v>130</v>
      </c>
      <c r="AJ649" t="s">
        <v>131</v>
      </c>
      <c r="AK649" t="s">
        <v>40</v>
      </c>
      <c r="AL649">
        <v>1</v>
      </c>
      <c r="AM649" t="s">
        <v>41</v>
      </c>
      <c r="AN649" t="s">
        <v>42</v>
      </c>
      <c r="AO649" t="s">
        <v>2091</v>
      </c>
      <c r="AP649" t="s">
        <v>357</v>
      </c>
      <c r="AQ649" t="s">
        <v>357</v>
      </c>
      <c r="AR649" t="s">
        <v>48</v>
      </c>
      <c r="AS649" t="s">
        <v>48</v>
      </c>
    </row>
    <row r="650" spans="1:54" x14ac:dyDescent="0.4">
      <c r="A650" t="s">
        <v>4462</v>
      </c>
      <c r="B650" t="s">
        <v>10</v>
      </c>
      <c r="C650" t="s">
        <v>1112</v>
      </c>
      <c r="D650" t="s">
        <v>11</v>
      </c>
      <c r="E650" s="2">
        <v>8.0000000000000004E-4</v>
      </c>
      <c r="F650" t="s">
        <v>310</v>
      </c>
      <c r="G650" s="4" t="s">
        <v>1646</v>
      </c>
      <c r="H650" t="s">
        <v>1112</v>
      </c>
      <c r="I650" t="s">
        <v>6804</v>
      </c>
      <c r="J650" t="s">
        <v>6805</v>
      </c>
      <c r="K650" t="s">
        <v>23</v>
      </c>
      <c r="L650" s="2">
        <v>5.2499999999999998E-2</v>
      </c>
      <c r="M650" t="s">
        <v>6806</v>
      </c>
      <c r="N650" t="s">
        <v>121</v>
      </c>
      <c r="O650" t="s">
        <v>2853</v>
      </c>
      <c r="P650" t="s">
        <v>221</v>
      </c>
      <c r="Q650" t="s">
        <v>221</v>
      </c>
      <c r="R650" t="s">
        <v>221</v>
      </c>
      <c r="S650" t="s">
        <v>4662</v>
      </c>
      <c r="T650" t="s">
        <v>3118</v>
      </c>
      <c r="U650" t="s">
        <v>3118</v>
      </c>
      <c r="V650" t="s">
        <v>1402</v>
      </c>
      <c r="W650" t="s">
        <v>1102</v>
      </c>
      <c r="X650" t="s">
        <v>1371</v>
      </c>
      <c r="Y650" t="s">
        <v>1371</v>
      </c>
      <c r="Z650" t="s">
        <v>6807</v>
      </c>
      <c r="AA650" t="s">
        <v>6807</v>
      </c>
      <c r="AB650" s="2">
        <v>1.1999999999999999E-3</v>
      </c>
      <c r="AC650" s="2">
        <v>-8.6999999999999994E-3</v>
      </c>
      <c r="AD650" s="2">
        <v>-3.0999999999999999E-3</v>
      </c>
      <c r="AE650" s="2">
        <v>-6.8999999999999999E-3</v>
      </c>
      <c r="AF650" s="2">
        <v>-1.7500000000000002E-2</v>
      </c>
      <c r="AG650" s="2">
        <v>2.7000000000000001E-3</v>
      </c>
      <c r="AH650" t="s">
        <v>2298</v>
      </c>
      <c r="AI650" t="s">
        <v>130</v>
      </c>
      <c r="AJ650" t="s">
        <v>131</v>
      </c>
      <c r="AK650" t="s">
        <v>40</v>
      </c>
      <c r="AL650">
        <v>150</v>
      </c>
      <c r="AM650" t="s">
        <v>41</v>
      </c>
      <c r="AN650" t="s">
        <v>42</v>
      </c>
      <c r="AO650" t="s">
        <v>2853</v>
      </c>
      <c r="AS650" t="s">
        <v>133</v>
      </c>
      <c r="AT650" t="s">
        <v>3434</v>
      </c>
      <c r="AU650" t="s">
        <v>6808</v>
      </c>
    </row>
    <row r="651" spans="1:54" x14ac:dyDescent="0.4">
      <c r="A651" t="s">
        <v>4462</v>
      </c>
      <c r="B651" t="s">
        <v>10</v>
      </c>
      <c r="C651" t="s">
        <v>4486</v>
      </c>
      <c r="D651" t="s">
        <v>11</v>
      </c>
      <c r="E651" s="2">
        <v>1E-4</v>
      </c>
      <c r="F651" t="s">
        <v>178</v>
      </c>
      <c r="G651" s="4" t="s">
        <v>148</v>
      </c>
      <c r="H651" t="s">
        <v>4486</v>
      </c>
      <c r="I651" t="s">
        <v>6313</v>
      </c>
      <c r="J651" t="s">
        <v>6314</v>
      </c>
      <c r="K651" t="s">
        <v>23</v>
      </c>
      <c r="L651" s="2">
        <v>2.6249999999999999E-2</v>
      </c>
      <c r="M651" t="s">
        <v>6315</v>
      </c>
      <c r="N651" t="s">
        <v>121</v>
      </c>
      <c r="O651" t="s">
        <v>6316</v>
      </c>
      <c r="P651" t="s">
        <v>1731</v>
      </c>
      <c r="Q651" t="s">
        <v>1731</v>
      </c>
      <c r="R651" t="s">
        <v>1731</v>
      </c>
      <c r="S651" t="s">
        <v>6317</v>
      </c>
      <c r="T651" t="s">
        <v>6318</v>
      </c>
      <c r="U651" t="s">
        <v>6318</v>
      </c>
      <c r="V651" t="s">
        <v>6059</v>
      </c>
      <c r="W651" t="s">
        <v>4755</v>
      </c>
      <c r="X651" t="s">
        <v>6256</v>
      </c>
      <c r="Y651" t="s">
        <v>6256</v>
      </c>
      <c r="Z651" t="s">
        <v>6256</v>
      </c>
      <c r="AA651" t="s">
        <v>6263</v>
      </c>
      <c r="AB651" s="2">
        <v>2.5999999999999999E-3</v>
      </c>
      <c r="AC651" s="2">
        <v>-8.0000000000000002E-3</v>
      </c>
      <c r="AD651" s="2">
        <v>-8.3999999999999995E-3</v>
      </c>
      <c r="AE651" s="2">
        <v>3.8999999999999998E-3</v>
      </c>
      <c r="AF651" s="2">
        <v>2.0899999999999998E-2</v>
      </c>
      <c r="AG651" s="2">
        <v>-0.121</v>
      </c>
      <c r="AH651" t="s">
        <v>2298</v>
      </c>
      <c r="AI651" t="s">
        <v>130</v>
      </c>
      <c r="AJ651" t="s">
        <v>131</v>
      </c>
      <c r="AK651" t="s">
        <v>40</v>
      </c>
      <c r="AL651">
        <v>150</v>
      </c>
      <c r="AM651" t="s">
        <v>41</v>
      </c>
      <c r="AN651" t="s">
        <v>42</v>
      </c>
      <c r="AO651" t="s">
        <v>6316</v>
      </c>
      <c r="AP651" t="s">
        <v>4965</v>
      </c>
      <c r="AQ651" t="s">
        <v>4965</v>
      </c>
      <c r="AR651" t="s">
        <v>133</v>
      </c>
      <c r="AS651" t="s">
        <v>133</v>
      </c>
    </row>
    <row r="652" spans="1:54" x14ac:dyDescent="0.4">
      <c r="A652" t="s">
        <v>115</v>
      </c>
      <c r="B652" t="s">
        <v>10</v>
      </c>
      <c r="C652" t="s">
        <v>2285</v>
      </c>
      <c r="D652" t="s">
        <v>11</v>
      </c>
      <c r="E652" s="2">
        <v>3.0999999999999999E-3</v>
      </c>
      <c r="F652" t="s">
        <v>12</v>
      </c>
      <c r="G652" s="4" t="s">
        <v>2286</v>
      </c>
      <c r="H652" t="s">
        <v>2285</v>
      </c>
      <c r="I652" t="s">
        <v>2287</v>
      </c>
      <c r="J652" t="s">
        <v>2288</v>
      </c>
      <c r="K652" t="s">
        <v>23</v>
      </c>
      <c r="L652" s="2">
        <v>8.5000000000000006E-2</v>
      </c>
      <c r="M652" t="s">
        <v>2289</v>
      </c>
      <c r="N652" t="s">
        <v>121</v>
      </c>
      <c r="O652" t="s">
        <v>2290</v>
      </c>
      <c r="P652" t="s">
        <v>2291</v>
      </c>
      <c r="Q652" t="s">
        <v>2291</v>
      </c>
      <c r="R652" t="s">
        <v>2291</v>
      </c>
      <c r="S652" t="s">
        <v>2291</v>
      </c>
      <c r="T652" t="s">
        <v>2291</v>
      </c>
      <c r="U652" t="s">
        <v>2292</v>
      </c>
      <c r="V652" t="s">
        <v>2293</v>
      </c>
      <c r="W652" t="s">
        <v>2294</v>
      </c>
      <c r="X652" t="s">
        <v>2295</v>
      </c>
      <c r="Y652" s="1">
        <v>124425</v>
      </c>
      <c r="Z652" t="s">
        <v>2296</v>
      </c>
      <c r="AA652" t="s">
        <v>2297</v>
      </c>
      <c r="AB652" s="2">
        <v>2.9999999999999997E-4</v>
      </c>
      <c r="AC652" s="2">
        <v>-2.1600000000000001E-2</v>
      </c>
      <c r="AD652" s="2">
        <v>-2.87E-2</v>
      </c>
      <c r="AE652" s="2">
        <v>-5.4899999999999997E-2</v>
      </c>
      <c r="AF652" s="2">
        <v>-7.7399999999999997E-2</v>
      </c>
      <c r="AG652" s="2">
        <v>-0.20430000000000001</v>
      </c>
      <c r="AH652" t="s">
        <v>2298</v>
      </c>
      <c r="AI652" t="s">
        <v>130</v>
      </c>
      <c r="AJ652" t="s">
        <v>131</v>
      </c>
      <c r="AK652" t="s">
        <v>40</v>
      </c>
      <c r="AL652">
        <v>1</v>
      </c>
      <c r="AM652" t="s">
        <v>41</v>
      </c>
      <c r="AN652" t="s">
        <v>42</v>
      </c>
      <c r="AO652" t="s">
        <v>2290</v>
      </c>
      <c r="AP652" t="s">
        <v>500</v>
      </c>
      <c r="AQ652" t="s">
        <v>500</v>
      </c>
      <c r="AR652" t="s">
        <v>133</v>
      </c>
      <c r="AS652" t="s">
        <v>133</v>
      </c>
    </row>
    <row r="653" spans="1:54" x14ac:dyDescent="0.4">
      <c r="A653" t="s">
        <v>161</v>
      </c>
      <c r="B653" t="s">
        <v>10</v>
      </c>
      <c r="C653" t="s">
        <v>1259</v>
      </c>
      <c r="D653" t="s">
        <v>11</v>
      </c>
      <c r="E653" s="2">
        <v>-1.6000000000000001E-3</v>
      </c>
      <c r="F653" t="s">
        <v>12</v>
      </c>
      <c r="G653" s="4">
        <f>-0.16 / -0.16%</f>
        <v>100</v>
      </c>
      <c r="H653" t="s">
        <v>1259</v>
      </c>
      <c r="I653" t="s">
        <v>1260</v>
      </c>
      <c r="J653" t="s">
        <v>1261</v>
      </c>
      <c r="K653" t="s">
        <v>23</v>
      </c>
      <c r="L653" s="2">
        <v>3.6999999999999998E-2</v>
      </c>
      <c r="M653" t="s">
        <v>1262</v>
      </c>
      <c r="N653" t="s">
        <v>28</v>
      </c>
      <c r="O653" t="s">
        <v>1263</v>
      </c>
      <c r="P653" t="s">
        <v>1264</v>
      </c>
      <c r="Q653" t="s">
        <v>1264</v>
      </c>
      <c r="R653" t="s">
        <v>1264</v>
      </c>
      <c r="S653" t="s">
        <v>1265</v>
      </c>
      <c r="T653" t="s">
        <v>1266</v>
      </c>
      <c r="U653" t="s">
        <v>1266</v>
      </c>
      <c r="V653" t="s">
        <v>1267</v>
      </c>
      <c r="W653" t="s">
        <v>1268</v>
      </c>
      <c r="X653" t="s">
        <v>1268</v>
      </c>
      <c r="Y653" t="s">
        <v>1268</v>
      </c>
      <c r="Z653" t="s">
        <v>1269</v>
      </c>
      <c r="AA653" t="s">
        <v>1269</v>
      </c>
      <c r="AB653" s="2">
        <v>-9.1999999999999998E-3</v>
      </c>
      <c r="AC653" s="2">
        <v>-1.2800000000000001E-2</v>
      </c>
      <c r="AD653" s="2">
        <v>-4.7999999999999996E-3</v>
      </c>
      <c r="AE653" s="2">
        <v>-7.4000000000000003E-3</v>
      </c>
      <c r="AF653" s="2">
        <v>1.9599999999999999E-2</v>
      </c>
      <c r="AG653" s="2">
        <v>1.9599999999999999E-2</v>
      </c>
      <c r="AH653" t="s">
        <v>1077</v>
      </c>
      <c r="AI653" t="s">
        <v>130</v>
      </c>
      <c r="AJ653" t="s">
        <v>131</v>
      </c>
      <c r="AK653" t="s">
        <v>40</v>
      </c>
      <c r="AL653">
        <v>1</v>
      </c>
      <c r="AM653" t="s">
        <v>41</v>
      </c>
      <c r="AN653" t="s">
        <v>42</v>
      </c>
      <c r="AO653" t="s">
        <v>1263</v>
      </c>
      <c r="AP653" t="s">
        <v>407</v>
      </c>
      <c r="AQ653" t="s">
        <v>407</v>
      </c>
      <c r="AR653" t="s">
        <v>48</v>
      </c>
      <c r="AS653" t="s">
        <v>48</v>
      </c>
    </row>
    <row r="654" spans="1:54" x14ac:dyDescent="0.4">
      <c r="A654" t="s">
        <v>2182</v>
      </c>
      <c r="B654" t="s">
        <v>10</v>
      </c>
      <c r="C654" t="s">
        <v>1503</v>
      </c>
      <c r="D654" t="s">
        <v>11</v>
      </c>
      <c r="E654" s="2">
        <v>4.7999999999999996E-3</v>
      </c>
      <c r="F654" t="s">
        <v>363</v>
      </c>
      <c r="G654" s="4" t="s">
        <v>2183</v>
      </c>
      <c r="H654" t="s">
        <v>1503</v>
      </c>
      <c r="I654" t="s">
        <v>2184</v>
      </c>
      <c r="J654" t="s">
        <v>2185</v>
      </c>
      <c r="K654" t="s">
        <v>23</v>
      </c>
      <c r="L654" s="2">
        <v>3.5000000000000003E-2</v>
      </c>
      <c r="M654" t="s">
        <v>1262</v>
      </c>
      <c r="N654" t="s">
        <v>28</v>
      </c>
      <c r="O654" t="s">
        <v>1263</v>
      </c>
      <c r="P654" t="s">
        <v>1402</v>
      </c>
      <c r="Q654" t="s">
        <v>1402</v>
      </c>
      <c r="R654" t="s">
        <v>464</v>
      </c>
      <c r="S654" t="s">
        <v>1719</v>
      </c>
      <c r="T654" t="s">
        <v>2160</v>
      </c>
      <c r="U654" t="s">
        <v>2160</v>
      </c>
      <c r="V654" t="s">
        <v>738</v>
      </c>
      <c r="W654" t="s">
        <v>336</v>
      </c>
      <c r="X654" t="s">
        <v>336</v>
      </c>
      <c r="Y654" t="s">
        <v>336</v>
      </c>
      <c r="Z654" t="s">
        <v>2186</v>
      </c>
      <c r="AA654" t="s">
        <v>2186</v>
      </c>
      <c r="AB654" s="2">
        <v>3.0999999999999999E-3</v>
      </c>
      <c r="AC654" s="2">
        <v>2.5999999999999999E-3</v>
      </c>
      <c r="AD654" s="2">
        <v>8.3000000000000001E-3</v>
      </c>
      <c r="AE654" s="2">
        <v>-2.0000000000000001E-4</v>
      </c>
      <c r="AF654" s="2">
        <v>1.34E-2</v>
      </c>
      <c r="AG654" s="2">
        <v>1.34E-2</v>
      </c>
      <c r="AH654" t="s">
        <v>1077</v>
      </c>
      <c r="AI654" t="s">
        <v>130</v>
      </c>
      <c r="AJ654" t="s">
        <v>131</v>
      </c>
      <c r="AK654" t="s">
        <v>40</v>
      </c>
      <c r="AL654">
        <v>1</v>
      </c>
      <c r="AM654" t="s">
        <v>41</v>
      </c>
      <c r="AN654" t="s">
        <v>42</v>
      </c>
      <c r="AO654" t="s">
        <v>1263</v>
      </c>
      <c r="AP654" t="s">
        <v>407</v>
      </c>
      <c r="AQ654" t="s">
        <v>407</v>
      </c>
      <c r="AR654" t="s">
        <v>48</v>
      </c>
      <c r="AS654" t="s">
        <v>48</v>
      </c>
    </row>
    <row r="655" spans="1:54" x14ac:dyDescent="0.4">
      <c r="A655" t="s">
        <v>1068</v>
      </c>
      <c r="B655" t="s">
        <v>10</v>
      </c>
      <c r="C655" t="s">
        <v>1069</v>
      </c>
      <c r="D655" t="s">
        <v>11</v>
      </c>
      <c r="E655" s="2">
        <v>-5.9999999999999995E-4</v>
      </c>
      <c r="F655" t="s">
        <v>178</v>
      </c>
      <c r="G655" s="4">
        <f>-0.06 / -0.06%</f>
        <v>100</v>
      </c>
      <c r="H655" t="s">
        <v>1069</v>
      </c>
      <c r="I655" t="s">
        <v>1070</v>
      </c>
      <c r="J655" t="s">
        <v>1071</v>
      </c>
      <c r="K655" t="s">
        <v>23</v>
      </c>
      <c r="L655" s="2">
        <v>3.2500000000000001E-2</v>
      </c>
      <c r="M655" t="s">
        <v>453</v>
      </c>
      <c r="N655" t="s">
        <v>28</v>
      </c>
      <c r="O655" t="s">
        <v>1072</v>
      </c>
      <c r="P655" t="s">
        <v>1073</v>
      </c>
      <c r="Q655" t="s">
        <v>1073</v>
      </c>
      <c r="R655" t="s">
        <v>1073</v>
      </c>
      <c r="S655" t="s">
        <v>1074</v>
      </c>
      <c r="T655" t="s">
        <v>1074</v>
      </c>
      <c r="U655" t="s">
        <v>1074</v>
      </c>
      <c r="V655" t="s">
        <v>1075</v>
      </c>
      <c r="W655" t="s">
        <v>1076</v>
      </c>
      <c r="X655" t="s">
        <v>1076</v>
      </c>
      <c r="Y655" t="s">
        <v>1076</v>
      </c>
      <c r="Z655" t="s">
        <v>1076</v>
      </c>
      <c r="AA655" t="s">
        <v>1076</v>
      </c>
      <c r="AB655" s="2">
        <v>-4.1000000000000003E-3</v>
      </c>
      <c r="AC655" s="2">
        <v>-2.9999999999999997E-4</v>
      </c>
      <c r="AD655" s="2">
        <v>-4.4999999999999997E-3</v>
      </c>
      <c r="AE655" s="2">
        <v>1.2999999999999999E-3</v>
      </c>
      <c r="AF655" s="2">
        <v>1.4E-3</v>
      </c>
      <c r="AG655" s="2">
        <v>1.4E-3</v>
      </c>
      <c r="AH655" t="s">
        <v>1077</v>
      </c>
      <c r="AI655" t="s">
        <v>130</v>
      </c>
      <c r="AJ655" t="s">
        <v>131</v>
      </c>
      <c r="AK655" t="s">
        <v>40</v>
      </c>
      <c r="AL655">
        <v>1</v>
      </c>
      <c r="AM655" t="s">
        <v>41</v>
      </c>
      <c r="AN655" t="s">
        <v>42</v>
      </c>
      <c r="AO655" t="s">
        <v>1072</v>
      </c>
      <c r="AP655" t="s">
        <v>443</v>
      </c>
      <c r="AQ655" t="s">
        <v>443</v>
      </c>
      <c r="AR655" t="s">
        <v>48</v>
      </c>
      <c r="AS655" t="s">
        <v>48</v>
      </c>
    </row>
    <row r="656" spans="1:54" x14ac:dyDescent="0.4">
      <c r="A656" t="s">
        <v>3441</v>
      </c>
      <c r="B656" t="s">
        <v>10</v>
      </c>
      <c r="C656" t="s">
        <v>871</v>
      </c>
      <c r="D656" t="s">
        <v>11</v>
      </c>
      <c r="E656" s="2">
        <v>0</v>
      </c>
      <c r="F656" t="s">
        <v>310</v>
      </c>
      <c r="G656" s="4" t="s">
        <v>15</v>
      </c>
      <c r="H656" t="s">
        <v>871</v>
      </c>
      <c r="I656" t="s">
        <v>3442</v>
      </c>
      <c r="J656" t="s">
        <v>3443</v>
      </c>
      <c r="K656" t="s">
        <v>23</v>
      </c>
      <c r="L656" s="2">
        <v>8.5000000000000006E-3</v>
      </c>
      <c r="M656" t="s">
        <v>3444</v>
      </c>
      <c r="N656" t="s">
        <v>28</v>
      </c>
      <c r="O656" t="s">
        <v>3445</v>
      </c>
      <c r="P656" t="s">
        <v>162</v>
      </c>
      <c r="Q656" t="s">
        <v>2650</v>
      </c>
      <c r="R656" t="s">
        <v>799</v>
      </c>
      <c r="S656" t="s">
        <v>2937</v>
      </c>
      <c r="T656" t="s">
        <v>389</v>
      </c>
      <c r="U656" t="s">
        <v>2031</v>
      </c>
      <c r="V656" t="s">
        <v>450</v>
      </c>
      <c r="W656" t="s">
        <v>109</v>
      </c>
      <c r="X656" t="s">
        <v>109</v>
      </c>
      <c r="Y656" t="s">
        <v>109</v>
      </c>
      <c r="Z656" t="s">
        <v>109</v>
      </c>
      <c r="AA656" t="s">
        <v>1441</v>
      </c>
      <c r="AB656" s="2">
        <v>2.2000000000000001E-3</v>
      </c>
      <c r="AC656" s="2">
        <v>7.7999999999999996E-3</v>
      </c>
      <c r="AD656" s="2">
        <v>9.4000000000000004E-3</v>
      </c>
      <c r="AE656" s="2">
        <v>2.35E-2</v>
      </c>
      <c r="AF656" s="2">
        <v>2.4799999999999999E-2</v>
      </c>
      <c r="AG656" s="2">
        <v>-2.5899999999999999E-2</v>
      </c>
      <c r="AH656" t="s">
        <v>1077</v>
      </c>
      <c r="AI656" t="s">
        <v>130</v>
      </c>
      <c r="AJ656" t="s">
        <v>131</v>
      </c>
      <c r="AK656" t="s">
        <v>40</v>
      </c>
      <c r="AL656">
        <v>1</v>
      </c>
      <c r="AM656" t="s">
        <v>41</v>
      </c>
      <c r="AN656" t="s">
        <v>42</v>
      </c>
      <c r="AO656" t="s">
        <v>3445</v>
      </c>
      <c r="AP656" t="s">
        <v>193</v>
      </c>
      <c r="AQ656" t="s">
        <v>193</v>
      </c>
      <c r="AR656" t="s">
        <v>48</v>
      </c>
      <c r="AS656" t="s">
        <v>48</v>
      </c>
    </row>
    <row r="657" spans="1:45" x14ac:dyDescent="0.4">
      <c r="A657" t="s">
        <v>740</v>
      </c>
      <c r="B657" t="s">
        <v>10</v>
      </c>
      <c r="C657" t="s">
        <v>190</v>
      </c>
      <c r="D657" t="s">
        <v>11</v>
      </c>
      <c r="E657" s="2">
        <v>-2.9999999999999997E-4</v>
      </c>
      <c r="F657" t="s">
        <v>12</v>
      </c>
      <c r="G657" s="4">
        <f>-0.03 / -0.03%</f>
        <v>100</v>
      </c>
      <c r="H657" t="s">
        <v>190</v>
      </c>
      <c r="I657" t="s">
        <v>2226</v>
      </c>
      <c r="J657" t="s">
        <v>2227</v>
      </c>
      <c r="K657" t="s">
        <v>23</v>
      </c>
      <c r="L657" s="2">
        <v>6.2500000000000003E-3</v>
      </c>
      <c r="M657" t="s">
        <v>2228</v>
      </c>
      <c r="N657" t="s">
        <v>28</v>
      </c>
      <c r="O657" t="s">
        <v>2229</v>
      </c>
      <c r="P657" t="s">
        <v>718</v>
      </c>
      <c r="Q657" t="s">
        <v>652</v>
      </c>
      <c r="R657" t="s">
        <v>2230</v>
      </c>
      <c r="S657" t="s">
        <v>2231</v>
      </c>
      <c r="T657" t="s">
        <v>2232</v>
      </c>
      <c r="U657" t="s">
        <v>2233</v>
      </c>
      <c r="V657" s="1">
        <v>95595</v>
      </c>
      <c r="W657" t="s">
        <v>2234</v>
      </c>
      <c r="X657" t="s">
        <v>2234</v>
      </c>
      <c r="Y657" t="s">
        <v>2234</v>
      </c>
      <c r="Z657" t="s">
        <v>2234</v>
      </c>
      <c r="AA657" s="1">
        <v>101735</v>
      </c>
      <c r="AB657" s="2">
        <v>-5.7999999999999996E-3</v>
      </c>
      <c r="AC657" s="2">
        <v>-6.9999999999999999E-4</v>
      </c>
      <c r="AD657" s="2">
        <v>1.44E-2</v>
      </c>
      <c r="AE657" s="2">
        <v>2.6499999999999999E-2</v>
      </c>
      <c r="AF657" s="2">
        <v>4.7100000000000003E-2</v>
      </c>
      <c r="AG657" s="2">
        <v>-6.6000000000000003E-2</v>
      </c>
      <c r="AH657" t="s">
        <v>1077</v>
      </c>
      <c r="AI657" t="s">
        <v>130</v>
      </c>
      <c r="AJ657" t="s">
        <v>131</v>
      </c>
      <c r="AK657" t="s">
        <v>40</v>
      </c>
      <c r="AL657">
        <v>1</v>
      </c>
      <c r="AM657" t="s">
        <v>41</v>
      </c>
      <c r="AN657" t="s">
        <v>42</v>
      </c>
      <c r="AO657" t="s">
        <v>2229</v>
      </c>
      <c r="AP657" t="s">
        <v>193</v>
      </c>
      <c r="AQ657" t="s">
        <v>193</v>
      </c>
      <c r="AR657" t="s">
        <v>48</v>
      </c>
      <c r="AS657" t="s">
        <v>48</v>
      </c>
    </row>
    <row r="658" spans="1:45" x14ac:dyDescent="0.4">
      <c r="A658" t="s">
        <v>4746</v>
      </c>
      <c r="B658" t="s">
        <v>10</v>
      </c>
      <c r="C658" s="1">
        <v>96755</v>
      </c>
      <c r="D658" t="s">
        <v>11</v>
      </c>
      <c r="E658" s="2">
        <v>-8.0000000000000004E-4</v>
      </c>
      <c r="F658" t="s">
        <v>12</v>
      </c>
      <c r="G658" s="4">
        <f>-0.075 / -0.08%</f>
        <v>93.749999999999986</v>
      </c>
      <c r="H658" s="1">
        <v>96755</v>
      </c>
      <c r="I658" t="s">
        <v>6398</v>
      </c>
      <c r="J658" t="s">
        <v>6399</v>
      </c>
      <c r="K658" t="s">
        <v>23</v>
      </c>
      <c r="L658" s="2">
        <v>2.375E-2</v>
      </c>
      <c r="M658" t="s">
        <v>3852</v>
      </c>
      <c r="N658" t="s">
        <v>28</v>
      </c>
      <c r="O658" t="s">
        <v>6400</v>
      </c>
      <c r="P658" s="1">
        <v>96065</v>
      </c>
      <c r="Q658" s="1">
        <v>96065</v>
      </c>
      <c r="R658" t="s">
        <v>2963</v>
      </c>
      <c r="S658" t="s">
        <v>628</v>
      </c>
      <c r="T658" s="1">
        <v>90735</v>
      </c>
      <c r="U658" t="s">
        <v>6401</v>
      </c>
      <c r="V658" s="1">
        <v>97345</v>
      </c>
      <c r="W658" s="1">
        <v>98505</v>
      </c>
      <c r="X658" s="1">
        <v>98505</v>
      </c>
      <c r="Y658" s="1">
        <v>98505</v>
      </c>
      <c r="Z658" s="1">
        <v>98505</v>
      </c>
      <c r="AA658" t="s">
        <v>3009</v>
      </c>
      <c r="AB658" s="2">
        <v>-8.3000000000000001E-3</v>
      </c>
      <c r="AC658" s="2">
        <v>-3.2000000000000002E-3</v>
      </c>
      <c r="AD658" s="2">
        <v>1.29E-2</v>
      </c>
      <c r="AE658" s="2">
        <v>2.0199999999999999E-2</v>
      </c>
      <c r="AF658" s="2">
        <v>1.4E-2</v>
      </c>
      <c r="AG658" s="2">
        <v>-2.0799999999999999E-2</v>
      </c>
      <c r="AH658" t="s">
        <v>6402</v>
      </c>
      <c r="AI658" t="s">
        <v>232</v>
      </c>
      <c r="AJ658" t="s">
        <v>131</v>
      </c>
      <c r="AK658" t="s">
        <v>40</v>
      </c>
      <c r="AL658">
        <v>100</v>
      </c>
      <c r="AM658" t="s">
        <v>41</v>
      </c>
      <c r="AN658" t="s">
        <v>42</v>
      </c>
      <c r="AO658" t="s">
        <v>6400</v>
      </c>
      <c r="AP658" t="s">
        <v>225</v>
      </c>
      <c r="AQ658" t="s">
        <v>225</v>
      </c>
      <c r="AR658" t="s">
        <v>48</v>
      </c>
      <c r="AS658" t="s">
        <v>48</v>
      </c>
    </row>
    <row r="659" spans="1:45" x14ac:dyDescent="0.4">
      <c r="A659" t="s">
        <v>630</v>
      </c>
      <c r="B659" t="s">
        <v>10</v>
      </c>
      <c r="C659" t="s">
        <v>3619</v>
      </c>
      <c r="D659" t="s">
        <v>11</v>
      </c>
      <c r="E659" s="2">
        <v>-5.0000000000000001E-3</v>
      </c>
      <c r="F659" t="s">
        <v>12</v>
      </c>
      <c r="G659" s="4">
        <f>-0.525 / -0.5%</f>
        <v>105</v>
      </c>
      <c r="H659" t="s">
        <v>3619</v>
      </c>
      <c r="I659" t="s">
        <v>3620</v>
      </c>
      <c r="J659" t="s">
        <v>3621</v>
      </c>
      <c r="K659" t="s">
        <v>23</v>
      </c>
      <c r="L659" s="2">
        <v>4.6249999999999999E-2</v>
      </c>
      <c r="M659" t="s">
        <v>3622</v>
      </c>
      <c r="N659" t="s">
        <v>28</v>
      </c>
      <c r="O659" t="s">
        <v>3623</v>
      </c>
      <c r="P659" t="s">
        <v>3619</v>
      </c>
      <c r="Q659" t="s">
        <v>3624</v>
      </c>
      <c r="R659" s="1">
        <v>102455</v>
      </c>
      <c r="S659" t="s">
        <v>221</v>
      </c>
      <c r="T659" t="s">
        <v>221</v>
      </c>
      <c r="U659" t="s">
        <v>221</v>
      </c>
      <c r="V659" t="s">
        <v>3625</v>
      </c>
      <c r="W659" t="s">
        <v>2475</v>
      </c>
      <c r="X659" t="s">
        <v>2475</v>
      </c>
      <c r="Y659" t="s">
        <v>2475</v>
      </c>
      <c r="Z659" t="s">
        <v>2475</v>
      </c>
      <c r="AA659" t="s">
        <v>2475</v>
      </c>
      <c r="AB659" s="2">
        <v>-1.29E-2</v>
      </c>
      <c r="AC659" s="2">
        <v>-8.0999999999999996E-3</v>
      </c>
      <c r="AD659" s="2">
        <v>6.6E-3</v>
      </c>
      <c r="AE659" s="2">
        <v>3.2899999999999999E-2</v>
      </c>
      <c r="AF659" s="2">
        <v>3.2899999999999999E-2</v>
      </c>
      <c r="AG659" s="2">
        <v>3.2899999999999999E-2</v>
      </c>
      <c r="AH659" t="s">
        <v>3626</v>
      </c>
      <c r="AI659" t="s">
        <v>232</v>
      </c>
      <c r="AJ659" t="s">
        <v>131</v>
      </c>
      <c r="AK659" t="s">
        <v>40</v>
      </c>
      <c r="AL659">
        <v>1</v>
      </c>
      <c r="AM659" t="s">
        <v>41</v>
      </c>
      <c r="AN659" t="s">
        <v>42</v>
      </c>
      <c r="AO659" t="s">
        <v>3623</v>
      </c>
      <c r="AP659" t="s">
        <v>225</v>
      </c>
      <c r="AQ659" t="s">
        <v>225</v>
      </c>
      <c r="AR659" t="s">
        <v>48</v>
      </c>
      <c r="AS659" t="s">
        <v>48</v>
      </c>
    </row>
    <row r="660" spans="1:45" x14ac:dyDescent="0.4">
      <c r="A660" t="s">
        <v>4518</v>
      </c>
      <c r="B660" t="s">
        <v>10</v>
      </c>
      <c r="C660" t="s">
        <v>5600</v>
      </c>
      <c r="D660" t="s">
        <v>11</v>
      </c>
      <c r="E660" s="2">
        <v>-4.8999999999999998E-3</v>
      </c>
      <c r="F660" t="s">
        <v>12</v>
      </c>
      <c r="G660" s="4">
        <f>-0.44 / -0.49%</f>
        <v>89.795918367346943</v>
      </c>
      <c r="H660" t="s">
        <v>5600</v>
      </c>
      <c r="I660" t="s">
        <v>5601</v>
      </c>
      <c r="J660" t="s">
        <v>5602</v>
      </c>
      <c r="K660" t="s">
        <v>23</v>
      </c>
      <c r="L660" s="2">
        <v>4.4999999999999998E-2</v>
      </c>
      <c r="M660" t="s">
        <v>5603</v>
      </c>
      <c r="N660" t="s">
        <v>121</v>
      </c>
      <c r="O660" t="s">
        <v>672</v>
      </c>
      <c r="P660" t="s">
        <v>5604</v>
      </c>
      <c r="Q660" t="s">
        <v>5604</v>
      </c>
      <c r="R660" t="s">
        <v>5604</v>
      </c>
      <c r="S660" t="s">
        <v>5604</v>
      </c>
      <c r="T660" t="s">
        <v>4999</v>
      </c>
      <c r="U660" t="s">
        <v>4999</v>
      </c>
      <c r="V660" t="s">
        <v>5306</v>
      </c>
      <c r="W660" t="s">
        <v>5605</v>
      </c>
      <c r="X660" t="s">
        <v>2851</v>
      </c>
      <c r="Y660" t="s">
        <v>2851</v>
      </c>
      <c r="Z660" t="s">
        <v>3619</v>
      </c>
      <c r="AA660" t="s">
        <v>5606</v>
      </c>
      <c r="AB660" s="2">
        <v>-1.0999999999999999E-2</v>
      </c>
      <c r="AC660" s="2">
        <v>-4.6699999999999998E-2</v>
      </c>
      <c r="AD660" s="2">
        <v>-3.4099999999999998E-2</v>
      </c>
      <c r="AE660" s="2">
        <v>-6.83E-2</v>
      </c>
      <c r="AF660" s="2">
        <v>-0.12239999999999999</v>
      </c>
      <c r="AG660" s="2">
        <v>-0.32600000000000001</v>
      </c>
      <c r="AH660" t="s">
        <v>5607</v>
      </c>
      <c r="AI660" t="s">
        <v>130</v>
      </c>
      <c r="AJ660" t="s">
        <v>131</v>
      </c>
      <c r="AK660" t="s">
        <v>40</v>
      </c>
      <c r="AL660">
        <v>2</v>
      </c>
      <c r="AM660" t="s">
        <v>41</v>
      </c>
      <c r="AN660" t="s">
        <v>42</v>
      </c>
      <c r="AO660" t="s">
        <v>672</v>
      </c>
      <c r="AP660" t="s">
        <v>1825</v>
      </c>
      <c r="AQ660" t="s">
        <v>1825</v>
      </c>
      <c r="AR660" t="s">
        <v>133</v>
      </c>
      <c r="AS660" t="s">
        <v>133</v>
      </c>
    </row>
    <row r="661" spans="1:45" x14ac:dyDescent="0.4">
      <c r="A661" t="s">
        <v>592</v>
      </c>
      <c r="B661" t="s">
        <v>10</v>
      </c>
      <c r="C661" t="s">
        <v>6862</v>
      </c>
      <c r="D661" t="s">
        <v>11</v>
      </c>
      <c r="E661" s="2">
        <v>1.5E-3</v>
      </c>
      <c r="F661" t="s">
        <v>12</v>
      </c>
      <c r="G661" s="4" t="s">
        <v>6863</v>
      </c>
      <c r="H661" t="s">
        <v>6862</v>
      </c>
      <c r="I661" t="s">
        <v>6864</v>
      </c>
      <c r="J661" t="s">
        <v>6865</v>
      </c>
      <c r="K661" t="s">
        <v>23</v>
      </c>
      <c r="L661" s="2">
        <v>4.4999999999999998E-2</v>
      </c>
      <c r="M661" t="s">
        <v>3865</v>
      </c>
      <c r="N661" t="s">
        <v>121</v>
      </c>
      <c r="O661" t="s">
        <v>3992</v>
      </c>
      <c r="P661" t="s">
        <v>6866</v>
      </c>
      <c r="Q661" t="s">
        <v>6866</v>
      </c>
      <c r="R661" t="s">
        <v>6866</v>
      </c>
      <c r="S661" t="s">
        <v>6866</v>
      </c>
      <c r="T661" t="s">
        <v>6866</v>
      </c>
      <c r="U661" t="s">
        <v>6866</v>
      </c>
      <c r="V661" t="s">
        <v>6867</v>
      </c>
      <c r="W661" t="s">
        <v>1328</v>
      </c>
      <c r="X661" t="s">
        <v>1328</v>
      </c>
      <c r="Y661" t="s">
        <v>1328</v>
      </c>
      <c r="Z661" t="s">
        <v>1328</v>
      </c>
      <c r="AA661" t="s">
        <v>1328</v>
      </c>
      <c r="AB661" s="2">
        <v>2.2000000000000001E-3</v>
      </c>
      <c r="AC661" s="2">
        <v>-1.38E-2</v>
      </c>
      <c r="AD661" s="2">
        <v>-1.38E-2</v>
      </c>
      <c r="AE661" s="2">
        <v>-1.38E-2</v>
      </c>
      <c r="AF661" s="2">
        <v>-1.38E-2</v>
      </c>
      <c r="AG661" s="2">
        <v>-1.38E-2</v>
      </c>
      <c r="AH661" t="s">
        <v>6868</v>
      </c>
      <c r="AI661" t="s">
        <v>130</v>
      </c>
      <c r="AJ661" t="s">
        <v>131</v>
      </c>
      <c r="AK661" t="s">
        <v>40</v>
      </c>
      <c r="AL661">
        <v>200</v>
      </c>
      <c r="AM661" t="s">
        <v>41</v>
      </c>
      <c r="AN661" t="s">
        <v>42</v>
      </c>
      <c r="AO661" t="s">
        <v>3992</v>
      </c>
      <c r="AP661" t="s">
        <v>6869</v>
      </c>
      <c r="AQ661" t="s">
        <v>6869</v>
      </c>
      <c r="AR661" t="s">
        <v>133</v>
      </c>
      <c r="AS661" t="s">
        <v>133</v>
      </c>
    </row>
    <row r="662" spans="1:45" x14ac:dyDescent="0.4">
      <c r="A662" t="s">
        <v>161</v>
      </c>
      <c r="B662" t="s">
        <v>10</v>
      </c>
      <c r="C662" t="s">
        <v>439</v>
      </c>
      <c r="D662" t="s">
        <v>11</v>
      </c>
      <c r="E662" s="2">
        <v>1E-4</v>
      </c>
      <c r="F662" t="s">
        <v>12</v>
      </c>
      <c r="G662" s="4" t="s">
        <v>148</v>
      </c>
      <c r="H662" t="s">
        <v>439</v>
      </c>
      <c r="I662" t="s">
        <v>5120</v>
      </c>
      <c r="J662" t="s">
        <v>5121</v>
      </c>
      <c r="K662" t="s">
        <v>23</v>
      </c>
      <c r="L662" s="2">
        <v>2.5000000000000001E-3</v>
      </c>
      <c r="M662" t="s">
        <v>5122</v>
      </c>
      <c r="N662" t="s">
        <v>28</v>
      </c>
      <c r="O662" t="s">
        <v>4836</v>
      </c>
      <c r="P662" t="s">
        <v>1169</v>
      </c>
      <c r="Q662" t="s">
        <v>5123</v>
      </c>
      <c r="R662" t="s">
        <v>2850</v>
      </c>
      <c r="S662" t="s">
        <v>5124</v>
      </c>
      <c r="T662" t="s">
        <v>1724</v>
      </c>
      <c r="U662" t="s">
        <v>2840</v>
      </c>
      <c r="V662" t="s">
        <v>439</v>
      </c>
      <c r="W662" t="s">
        <v>439</v>
      </c>
      <c r="X662" t="s">
        <v>439</v>
      </c>
      <c r="Y662" t="s">
        <v>439</v>
      </c>
      <c r="Z662" t="s">
        <v>439</v>
      </c>
      <c r="AA662" t="s">
        <v>439</v>
      </c>
      <c r="AB662" s="2">
        <v>2.8E-3</v>
      </c>
      <c r="AC662" s="2">
        <v>7.4999999999999997E-3</v>
      </c>
      <c r="AD662" s="2">
        <v>1.7999999999999999E-2</v>
      </c>
      <c r="AE662" s="2">
        <v>4.7899999999999998E-2</v>
      </c>
      <c r="AF662" s="2">
        <v>7.8899999999999998E-2</v>
      </c>
      <c r="AG662" s="2">
        <v>8.9999999999999998E-4</v>
      </c>
      <c r="AH662" t="s">
        <v>5125</v>
      </c>
      <c r="AI662" t="s">
        <v>130</v>
      </c>
      <c r="AJ662" t="s">
        <v>131</v>
      </c>
      <c r="AK662" t="s">
        <v>40</v>
      </c>
      <c r="AL662">
        <v>100</v>
      </c>
      <c r="AM662" t="s">
        <v>41</v>
      </c>
      <c r="AN662" t="s">
        <v>42</v>
      </c>
      <c r="AO662" t="s">
        <v>4836</v>
      </c>
      <c r="AP662" t="s">
        <v>3387</v>
      </c>
      <c r="AQ662" t="s">
        <v>3387</v>
      </c>
      <c r="AR662" t="s">
        <v>48</v>
      </c>
      <c r="AS662" t="s">
        <v>48</v>
      </c>
    </row>
    <row r="663" spans="1:45" x14ac:dyDescent="0.4">
      <c r="A663" t="s">
        <v>630</v>
      </c>
      <c r="B663" t="s">
        <v>10</v>
      </c>
      <c r="C663" t="s">
        <v>4045</v>
      </c>
      <c r="D663" t="s">
        <v>11</v>
      </c>
      <c r="E663" s="2">
        <v>8.3000000000000001E-3</v>
      </c>
      <c r="F663" t="s">
        <v>12</v>
      </c>
      <c r="G663" s="4" t="s">
        <v>7330</v>
      </c>
      <c r="H663" t="s">
        <v>4045</v>
      </c>
      <c r="I663" t="s">
        <v>7331</v>
      </c>
      <c r="J663" t="s">
        <v>7332</v>
      </c>
      <c r="K663" t="s">
        <v>23</v>
      </c>
      <c r="L663" s="2">
        <v>3.1E-2</v>
      </c>
      <c r="M663" t="s">
        <v>7333</v>
      </c>
      <c r="N663" t="s">
        <v>121</v>
      </c>
      <c r="O663" t="s">
        <v>7334</v>
      </c>
      <c r="P663" t="s">
        <v>7335</v>
      </c>
      <c r="Q663" t="s">
        <v>7335</v>
      </c>
      <c r="R663" t="s">
        <v>7335</v>
      </c>
      <c r="S663" t="s">
        <v>7335</v>
      </c>
      <c r="T663" t="s">
        <v>7336</v>
      </c>
      <c r="U663" t="s">
        <v>7337</v>
      </c>
      <c r="V663" t="s">
        <v>7338</v>
      </c>
      <c r="W663" t="s">
        <v>3989</v>
      </c>
      <c r="X663" t="s">
        <v>7339</v>
      </c>
      <c r="Y663" t="s">
        <v>7339</v>
      </c>
      <c r="Z663" t="s">
        <v>7340</v>
      </c>
      <c r="AA663" t="s">
        <v>3689</v>
      </c>
      <c r="AB663" s="2">
        <v>1.1599999999999999E-2</v>
      </c>
      <c r="AC663" s="2">
        <v>-5.6599999999999998E-2</v>
      </c>
      <c r="AD663" s="2">
        <v>-6.0999999999999999E-2</v>
      </c>
      <c r="AE663" s="2">
        <v>-7.8899999999999998E-2</v>
      </c>
      <c r="AF663" s="2">
        <v>-0.13089999999999999</v>
      </c>
      <c r="AG663" s="2">
        <v>-0.36059999999999998</v>
      </c>
      <c r="AH663" t="s">
        <v>7341</v>
      </c>
      <c r="AI663" t="s">
        <v>130</v>
      </c>
      <c r="AJ663" t="s">
        <v>131</v>
      </c>
      <c r="AK663" t="s">
        <v>40</v>
      </c>
      <c r="AL663">
        <v>2</v>
      </c>
      <c r="AM663" t="s">
        <v>41</v>
      </c>
      <c r="AN663" t="s">
        <v>42</v>
      </c>
      <c r="AO663" t="s">
        <v>7334</v>
      </c>
      <c r="AP663" t="s">
        <v>225</v>
      </c>
      <c r="AQ663" t="s">
        <v>225</v>
      </c>
      <c r="AR663" t="s">
        <v>133</v>
      </c>
      <c r="AS663" t="s">
        <v>133</v>
      </c>
    </row>
    <row r="664" spans="1:45" x14ac:dyDescent="0.4">
      <c r="A664" t="s">
        <v>76</v>
      </c>
      <c r="B664" t="s">
        <v>10</v>
      </c>
      <c r="C664" t="s">
        <v>2310</v>
      </c>
      <c r="D664" t="s">
        <v>11</v>
      </c>
      <c r="E664" s="2">
        <v>1.5E-3</v>
      </c>
      <c r="F664" t="s">
        <v>12</v>
      </c>
      <c r="G664" s="4" t="s">
        <v>1237</v>
      </c>
      <c r="H664" t="s">
        <v>2310</v>
      </c>
      <c r="I664" t="s">
        <v>5608</v>
      </c>
      <c r="J664" t="s">
        <v>5609</v>
      </c>
      <c r="K664" t="s">
        <v>23</v>
      </c>
      <c r="L664" s="2">
        <v>3.6249999999999998E-2</v>
      </c>
      <c r="M664" t="s">
        <v>5610</v>
      </c>
      <c r="N664" t="s">
        <v>121</v>
      </c>
      <c r="O664" t="s">
        <v>5611</v>
      </c>
      <c r="P664" s="1">
        <v>97675</v>
      </c>
      <c r="Q664" t="s">
        <v>3297</v>
      </c>
      <c r="R664" s="1">
        <v>96805</v>
      </c>
      <c r="S664" s="1">
        <v>94945</v>
      </c>
      <c r="T664" t="s">
        <v>5612</v>
      </c>
      <c r="U664" t="s">
        <v>5419</v>
      </c>
      <c r="V664" t="s">
        <v>1473</v>
      </c>
      <c r="W664" t="s">
        <v>2008</v>
      </c>
      <c r="X664" t="s">
        <v>246</v>
      </c>
      <c r="Y664" t="s">
        <v>246</v>
      </c>
      <c r="Z664" t="s">
        <v>246</v>
      </c>
      <c r="AA664" t="s">
        <v>5613</v>
      </c>
      <c r="AB664" s="2">
        <v>3.3E-3</v>
      </c>
      <c r="AC664" s="2">
        <v>2.9999999999999997E-4</v>
      </c>
      <c r="AD664" s="2">
        <v>1.23E-2</v>
      </c>
      <c r="AE664" s="2">
        <v>1.54E-2</v>
      </c>
      <c r="AF664" s="2">
        <v>1.54E-2</v>
      </c>
      <c r="AG664" s="2">
        <v>-7.5899999999999995E-2</v>
      </c>
      <c r="AH664" t="s">
        <v>5614</v>
      </c>
      <c r="AI664" t="s">
        <v>130</v>
      </c>
      <c r="AJ664" t="s">
        <v>131</v>
      </c>
      <c r="AK664" t="s">
        <v>40</v>
      </c>
      <c r="AL664">
        <v>1</v>
      </c>
      <c r="AM664" t="s">
        <v>41</v>
      </c>
      <c r="AN664" t="s">
        <v>42</v>
      </c>
      <c r="AO664" t="s">
        <v>5611</v>
      </c>
      <c r="AP664" t="s">
        <v>814</v>
      </c>
      <c r="AQ664" t="s">
        <v>814</v>
      </c>
      <c r="AR664" t="s">
        <v>133</v>
      </c>
      <c r="AS664" t="s">
        <v>133</v>
      </c>
    </row>
    <row r="665" spans="1:45" x14ac:dyDescent="0.4">
      <c r="A665" t="s">
        <v>4462</v>
      </c>
      <c r="B665" t="s">
        <v>10</v>
      </c>
      <c r="C665" t="s">
        <v>2232</v>
      </c>
      <c r="D665" t="s">
        <v>11</v>
      </c>
      <c r="E665" s="2">
        <v>-4.1000000000000003E-3</v>
      </c>
      <c r="F665" t="s">
        <v>310</v>
      </c>
      <c r="G665" s="4">
        <f>-0.36 / -0.41%</f>
        <v>87.804878048780495</v>
      </c>
      <c r="H665" t="s">
        <v>2232</v>
      </c>
      <c r="I665" t="s">
        <v>5578</v>
      </c>
      <c r="J665" t="s">
        <v>5579</v>
      </c>
      <c r="K665" t="s">
        <v>23</v>
      </c>
      <c r="L665" s="2">
        <v>5.1999999999999998E-2</v>
      </c>
      <c r="M665" t="s">
        <v>3229</v>
      </c>
      <c r="N665" t="s">
        <v>121</v>
      </c>
      <c r="O665" t="s">
        <v>5580</v>
      </c>
      <c r="P665" t="s">
        <v>4601</v>
      </c>
      <c r="Q665" t="s">
        <v>4601</v>
      </c>
      <c r="R665" t="s">
        <v>4601</v>
      </c>
      <c r="S665" t="s">
        <v>4601</v>
      </c>
      <c r="T665" t="s">
        <v>5581</v>
      </c>
      <c r="U665" t="s">
        <v>5581</v>
      </c>
      <c r="V665" t="s">
        <v>2112</v>
      </c>
      <c r="W665" t="s">
        <v>3529</v>
      </c>
      <c r="X665" t="s">
        <v>4302</v>
      </c>
      <c r="Y665" t="s">
        <v>4302</v>
      </c>
      <c r="Z665" t="s">
        <v>4302</v>
      </c>
      <c r="AA665" t="s">
        <v>5582</v>
      </c>
      <c r="AB665" s="2">
        <v>-6.1999999999999998E-3</v>
      </c>
      <c r="AC665" s="2">
        <v>-2.6499999999999999E-2</v>
      </c>
      <c r="AD665" s="2">
        <v>-2.8500000000000001E-2</v>
      </c>
      <c r="AE665" s="2">
        <v>-3.7400000000000003E-2</v>
      </c>
      <c r="AF665" s="2">
        <v>-3.27E-2</v>
      </c>
      <c r="AG665" s="2">
        <v>-0.247</v>
      </c>
      <c r="AH665" t="s">
        <v>5583</v>
      </c>
      <c r="AI665" t="s">
        <v>130</v>
      </c>
      <c r="AJ665" t="s">
        <v>131</v>
      </c>
      <c r="AK665" t="s">
        <v>40</v>
      </c>
      <c r="AL665">
        <v>2</v>
      </c>
      <c r="AM665" t="s">
        <v>41</v>
      </c>
      <c r="AN665" t="s">
        <v>42</v>
      </c>
      <c r="AO665" t="s">
        <v>5580</v>
      </c>
      <c r="AP665" t="s">
        <v>407</v>
      </c>
      <c r="AQ665" t="s">
        <v>407</v>
      </c>
      <c r="AR665" t="s">
        <v>133</v>
      </c>
      <c r="AS665" t="s">
        <v>133</v>
      </c>
    </row>
    <row r="666" spans="1:45" x14ac:dyDescent="0.4">
      <c r="A666" t="s">
        <v>3679</v>
      </c>
      <c r="B666" t="s">
        <v>10</v>
      </c>
      <c r="C666" t="s">
        <v>1553</v>
      </c>
      <c r="D666" t="s">
        <v>11</v>
      </c>
      <c r="E666" s="2">
        <v>5.1999999999999998E-3</v>
      </c>
      <c r="F666" t="s">
        <v>12</v>
      </c>
      <c r="G666" s="4" t="s">
        <v>3680</v>
      </c>
      <c r="H666" t="s">
        <v>1553</v>
      </c>
      <c r="I666" t="s">
        <v>3681</v>
      </c>
      <c r="J666" t="s">
        <v>3682</v>
      </c>
      <c r="K666" t="s">
        <v>23</v>
      </c>
      <c r="L666" s="2">
        <v>6.25E-2</v>
      </c>
      <c r="M666" t="s">
        <v>1373</v>
      </c>
      <c r="N666" t="s">
        <v>121</v>
      </c>
      <c r="O666" t="s">
        <v>3683</v>
      </c>
      <c r="P666" t="s">
        <v>1420</v>
      </c>
      <c r="Q666" t="s">
        <v>1420</v>
      </c>
      <c r="R666" t="s">
        <v>1420</v>
      </c>
      <c r="S666" t="s">
        <v>1420</v>
      </c>
      <c r="T666" t="s">
        <v>1420</v>
      </c>
      <c r="U666" t="s">
        <v>1420</v>
      </c>
      <c r="V666" t="s">
        <v>110</v>
      </c>
      <c r="W666" t="s">
        <v>445</v>
      </c>
      <c r="X666" t="s">
        <v>445</v>
      </c>
      <c r="Y666" t="s">
        <v>445</v>
      </c>
      <c r="Z666" t="s">
        <v>445</v>
      </c>
      <c r="AA666" t="s">
        <v>1709</v>
      </c>
      <c r="AB666" s="2">
        <v>-5.1999999999999998E-3</v>
      </c>
      <c r="AC666" s="2">
        <v>-3.9300000000000002E-2</v>
      </c>
      <c r="AD666" s="2">
        <v>-3.6900000000000002E-2</v>
      </c>
      <c r="AE666" s="2">
        <v>-3.3099999999999997E-2</v>
      </c>
      <c r="AF666" s="2">
        <v>-4.4600000000000001E-2</v>
      </c>
      <c r="AG666" s="2">
        <v>-3.5999999999999997E-2</v>
      </c>
      <c r="AH666" t="s">
        <v>3684</v>
      </c>
      <c r="AI666" t="s">
        <v>232</v>
      </c>
      <c r="AJ666" t="s">
        <v>131</v>
      </c>
      <c r="AK666" t="s">
        <v>40</v>
      </c>
      <c r="AL666">
        <v>1</v>
      </c>
      <c r="AM666" t="s">
        <v>41</v>
      </c>
      <c r="AN666" t="s">
        <v>42</v>
      </c>
      <c r="AO666" t="s">
        <v>3683</v>
      </c>
      <c r="AP666" t="s">
        <v>1138</v>
      </c>
      <c r="AQ666" t="s">
        <v>1138</v>
      </c>
      <c r="AR666" t="s">
        <v>48</v>
      </c>
      <c r="AS666" t="s">
        <v>48</v>
      </c>
    </row>
    <row r="667" spans="1:45" x14ac:dyDescent="0.4">
      <c r="A667" t="s">
        <v>592</v>
      </c>
      <c r="B667" t="s">
        <v>10</v>
      </c>
      <c r="C667" t="s">
        <v>3161</v>
      </c>
      <c r="D667" t="s">
        <v>11</v>
      </c>
      <c r="E667" s="2">
        <v>-2.3999999999999998E-3</v>
      </c>
      <c r="F667" t="s">
        <v>12</v>
      </c>
      <c r="G667" s="4">
        <f>-0.24 / -0.24%</f>
        <v>100</v>
      </c>
      <c r="H667" t="s">
        <v>3161</v>
      </c>
      <c r="I667" t="s">
        <v>3162</v>
      </c>
      <c r="J667" t="s">
        <v>3163</v>
      </c>
      <c r="K667" t="s">
        <v>23</v>
      </c>
      <c r="L667" s="2">
        <v>3.875E-2</v>
      </c>
      <c r="M667" t="s">
        <v>102</v>
      </c>
      <c r="N667" t="s">
        <v>28</v>
      </c>
      <c r="O667" t="s">
        <v>93</v>
      </c>
      <c r="P667" t="s">
        <v>3164</v>
      </c>
      <c r="Q667" t="s">
        <v>3164</v>
      </c>
      <c r="R667" t="s">
        <v>84</v>
      </c>
      <c r="S667" t="s">
        <v>84</v>
      </c>
      <c r="T667" t="s">
        <v>84</v>
      </c>
      <c r="U667" t="s">
        <v>84</v>
      </c>
      <c r="V667" t="s">
        <v>3165</v>
      </c>
      <c r="W667" t="s">
        <v>3166</v>
      </c>
      <c r="X667" t="s">
        <v>3166</v>
      </c>
      <c r="Y667" t="s">
        <v>3166</v>
      </c>
      <c r="Z667" t="s">
        <v>3166</v>
      </c>
      <c r="AA667" t="s">
        <v>3166</v>
      </c>
      <c r="AB667" s="2">
        <v>-1.6400000000000001E-2</v>
      </c>
      <c r="AC667" s="2">
        <v>-1.0999999999999999E-2</v>
      </c>
      <c r="AD667" s="2">
        <v>1.0999999999999999E-2</v>
      </c>
      <c r="AE667" s="2">
        <v>1.0999999999999999E-2</v>
      </c>
      <c r="AF667" s="2">
        <v>1.0999999999999999E-2</v>
      </c>
      <c r="AG667" s="2">
        <v>1.0999999999999999E-2</v>
      </c>
      <c r="AH667" t="s">
        <v>476</v>
      </c>
      <c r="AI667" t="s">
        <v>232</v>
      </c>
      <c r="AJ667" t="s">
        <v>131</v>
      </c>
      <c r="AK667" t="s">
        <v>40</v>
      </c>
      <c r="AL667">
        <v>1</v>
      </c>
      <c r="AM667" t="s">
        <v>41</v>
      </c>
      <c r="AN667" t="s">
        <v>42</v>
      </c>
      <c r="AO667" t="s">
        <v>93</v>
      </c>
      <c r="AP667" t="s">
        <v>357</v>
      </c>
      <c r="AQ667" t="s">
        <v>357</v>
      </c>
      <c r="AR667" t="s">
        <v>48</v>
      </c>
      <c r="AS667" t="s">
        <v>48</v>
      </c>
    </row>
    <row r="668" spans="1:45" x14ac:dyDescent="0.4">
      <c r="A668" t="s">
        <v>9</v>
      </c>
      <c r="B668" t="s">
        <v>10</v>
      </c>
      <c r="C668" s="1">
        <v>100025</v>
      </c>
      <c r="D668" t="s">
        <v>11</v>
      </c>
      <c r="E668" s="2">
        <v>0</v>
      </c>
      <c r="F668" t="s">
        <v>12</v>
      </c>
      <c r="G668" s="4" t="e">
        <f>-0.004 / 0%</f>
        <v>#DIV/0!</v>
      </c>
      <c r="H668" s="1">
        <v>100025</v>
      </c>
      <c r="I668" t="s">
        <v>469</v>
      </c>
      <c r="J668" t="s">
        <v>470</v>
      </c>
      <c r="K668" t="s">
        <v>23</v>
      </c>
      <c r="L668" s="2">
        <v>0.03</v>
      </c>
      <c r="M668" t="s">
        <v>471</v>
      </c>
      <c r="N668" t="s">
        <v>28</v>
      </c>
      <c r="O668" t="s">
        <v>472</v>
      </c>
      <c r="P668" s="1">
        <v>99955</v>
      </c>
      <c r="Q668" s="1">
        <v>99934</v>
      </c>
      <c r="R668" t="s">
        <v>153</v>
      </c>
      <c r="S668" t="s">
        <v>473</v>
      </c>
      <c r="T668" t="s">
        <v>474</v>
      </c>
      <c r="U668" t="s">
        <v>474</v>
      </c>
      <c r="V668" s="1">
        <v>100192</v>
      </c>
      <c r="W668" s="1">
        <v>100192</v>
      </c>
      <c r="X668" s="1">
        <v>100192</v>
      </c>
      <c r="Y668" s="1">
        <v>100192</v>
      </c>
      <c r="Z668" s="1">
        <v>100825</v>
      </c>
      <c r="AA668" t="s">
        <v>475</v>
      </c>
      <c r="AB668" s="2">
        <v>2.0000000000000001E-4</v>
      </c>
      <c r="AC668" s="2">
        <v>-2.0000000000000001E-4</v>
      </c>
      <c r="AD668" s="2">
        <v>7.3000000000000001E-3</v>
      </c>
      <c r="AE668" s="2">
        <v>7.3000000000000001E-3</v>
      </c>
      <c r="AF668" s="2">
        <v>-1.6000000000000001E-3</v>
      </c>
      <c r="AG668" s="2">
        <v>-7.0699999999999999E-2</v>
      </c>
      <c r="AH668" t="s">
        <v>476</v>
      </c>
      <c r="AI668" t="s">
        <v>232</v>
      </c>
      <c r="AJ668" t="s">
        <v>131</v>
      </c>
      <c r="AK668" t="s">
        <v>40</v>
      </c>
      <c r="AL668">
        <v>1</v>
      </c>
      <c r="AM668" t="s">
        <v>41</v>
      </c>
      <c r="AN668" t="s">
        <v>42</v>
      </c>
      <c r="AO668" t="s">
        <v>472</v>
      </c>
      <c r="AP668" t="s">
        <v>225</v>
      </c>
      <c r="AQ668" t="s">
        <v>225</v>
      </c>
      <c r="AR668" t="s">
        <v>48</v>
      </c>
      <c r="AS668" t="s">
        <v>48</v>
      </c>
    </row>
    <row r="669" spans="1:45" x14ac:dyDescent="0.4">
      <c r="A669" t="s">
        <v>630</v>
      </c>
      <c r="B669" t="s">
        <v>10</v>
      </c>
      <c r="C669" t="s">
        <v>110</v>
      </c>
      <c r="D669" t="s">
        <v>11</v>
      </c>
      <c r="E669" s="2">
        <v>-1E-4</v>
      </c>
      <c r="F669" t="s">
        <v>12</v>
      </c>
      <c r="G669" s="4">
        <f>-0.01 / -0.01%</f>
        <v>100</v>
      </c>
      <c r="H669" t="s">
        <v>110</v>
      </c>
      <c r="I669" t="s">
        <v>3417</v>
      </c>
      <c r="J669" t="s">
        <v>3418</v>
      </c>
      <c r="K669" t="s">
        <v>23</v>
      </c>
      <c r="L669" s="2">
        <v>0.11183</v>
      </c>
      <c r="M669" t="s">
        <v>2195</v>
      </c>
      <c r="N669" t="s">
        <v>636</v>
      </c>
      <c r="O669" t="s">
        <v>3419</v>
      </c>
      <c r="P669" t="s">
        <v>257</v>
      </c>
      <c r="Q669" t="s">
        <v>1430</v>
      </c>
      <c r="R669" t="s">
        <v>2429</v>
      </c>
      <c r="S669" t="s">
        <v>2429</v>
      </c>
      <c r="T669" t="s">
        <v>2429</v>
      </c>
      <c r="U669" t="s">
        <v>2429</v>
      </c>
      <c r="V669" t="s">
        <v>3420</v>
      </c>
      <c r="W669" t="s">
        <v>3421</v>
      </c>
      <c r="X669" t="s">
        <v>3422</v>
      </c>
      <c r="Y669" t="s">
        <v>1536</v>
      </c>
      <c r="Z669" t="s">
        <v>1536</v>
      </c>
      <c r="AA669" t="s">
        <v>1536</v>
      </c>
      <c r="AB669" s="2">
        <v>-4.0000000000000001E-3</v>
      </c>
      <c r="AC669" s="2">
        <v>-6.1000000000000004E-3</v>
      </c>
      <c r="AD669" s="2">
        <v>-6.7599999999999993E-2</v>
      </c>
      <c r="AE669" s="2">
        <v>-4.6699999999999998E-2</v>
      </c>
      <c r="AF669" s="2">
        <v>0</v>
      </c>
      <c r="AG669" s="2">
        <v>0</v>
      </c>
      <c r="AH669" t="s">
        <v>642</v>
      </c>
      <c r="AI669" t="s">
        <v>232</v>
      </c>
      <c r="AJ669" t="s">
        <v>131</v>
      </c>
      <c r="AK669" t="s">
        <v>40</v>
      </c>
      <c r="AL669">
        <v>1</v>
      </c>
      <c r="AM669" t="s">
        <v>41</v>
      </c>
      <c r="AN669" t="s">
        <v>42</v>
      </c>
      <c r="AO669" t="s">
        <v>3419</v>
      </c>
      <c r="AP669" t="s">
        <v>1338</v>
      </c>
      <c r="AQ669" t="s">
        <v>1338</v>
      </c>
      <c r="AR669" t="s">
        <v>48</v>
      </c>
      <c r="AS669" t="s">
        <v>48</v>
      </c>
    </row>
    <row r="670" spans="1:45" x14ac:dyDescent="0.4">
      <c r="A670" t="s">
        <v>630</v>
      </c>
      <c r="B670" t="s">
        <v>10</v>
      </c>
      <c r="C670" t="s">
        <v>631</v>
      </c>
      <c r="D670" t="s">
        <v>11</v>
      </c>
      <c r="E670" s="2">
        <v>2.5999999999999999E-3</v>
      </c>
      <c r="F670" t="s">
        <v>12</v>
      </c>
      <c r="G670" s="4" t="s">
        <v>632</v>
      </c>
      <c r="H670" t="s">
        <v>631</v>
      </c>
      <c r="I670" t="s">
        <v>633</v>
      </c>
      <c r="J670" t="s">
        <v>634</v>
      </c>
      <c r="K670" t="s">
        <v>23</v>
      </c>
      <c r="L670" s="2">
        <v>9.1149999999999995E-2</v>
      </c>
      <c r="M670" t="s">
        <v>635</v>
      </c>
      <c r="N670" t="s">
        <v>636</v>
      </c>
      <c r="O670" t="s">
        <v>603</v>
      </c>
      <c r="P670" t="s">
        <v>637</v>
      </c>
      <c r="Q670" t="s">
        <v>638</v>
      </c>
      <c r="R670" t="s">
        <v>638</v>
      </c>
      <c r="S670" t="s">
        <v>638</v>
      </c>
      <c r="T670" t="s">
        <v>638</v>
      </c>
      <c r="U670" t="s">
        <v>638</v>
      </c>
      <c r="V670" t="s">
        <v>639</v>
      </c>
      <c r="W670" t="s">
        <v>640</v>
      </c>
      <c r="X670" t="s">
        <v>641</v>
      </c>
      <c r="Y670" t="s">
        <v>641</v>
      </c>
      <c r="Z670" t="s">
        <v>641</v>
      </c>
      <c r="AA670" t="s">
        <v>641</v>
      </c>
      <c r="AB670" s="2">
        <v>-1.8499999999999999E-2</v>
      </c>
      <c r="AC670" s="2">
        <v>-1.3299999999999999E-2</v>
      </c>
      <c r="AD670" s="2">
        <v>-6.7699999999999996E-2</v>
      </c>
      <c r="AE670" s="2">
        <v>-6.7699999999999996E-2</v>
      </c>
      <c r="AF670" s="2">
        <v>-6.7699999999999996E-2</v>
      </c>
      <c r="AG670" s="2">
        <v>-6.7699999999999996E-2</v>
      </c>
      <c r="AH670" t="s">
        <v>642</v>
      </c>
      <c r="AI670" t="s">
        <v>232</v>
      </c>
      <c r="AJ670" t="s">
        <v>131</v>
      </c>
      <c r="AK670" t="s">
        <v>40</v>
      </c>
      <c r="AL670">
        <v>1</v>
      </c>
      <c r="AM670" t="s">
        <v>41</v>
      </c>
      <c r="AN670" t="s">
        <v>42</v>
      </c>
      <c r="AO670" t="s">
        <v>603</v>
      </c>
      <c r="AP670" t="s">
        <v>643</v>
      </c>
      <c r="AQ670" t="s">
        <v>644</v>
      </c>
      <c r="AR670" t="s">
        <v>48</v>
      </c>
      <c r="AS670" t="s">
        <v>48</v>
      </c>
    </row>
    <row r="671" spans="1:45" x14ac:dyDescent="0.4">
      <c r="A671" t="s">
        <v>4462</v>
      </c>
      <c r="B671" t="s">
        <v>10</v>
      </c>
      <c r="C671" t="s">
        <v>2434</v>
      </c>
      <c r="D671" t="s">
        <v>11</v>
      </c>
      <c r="E671" s="2">
        <v>1.4E-3</v>
      </c>
      <c r="F671" t="s">
        <v>1057</v>
      </c>
      <c r="G671" s="4" t="s">
        <v>6340</v>
      </c>
      <c r="H671" t="s">
        <v>2434</v>
      </c>
      <c r="I671" t="s">
        <v>6341</v>
      </c>
      <c r="J671" t="s">
        <v>6342</v>
      </c>
      <c r="K671" t="s">
        <v>23</v>
      </c>
      <c r="L671" s="2">
        <v>0.05</v>
      </c>
      <c r="M671" t="s">
        <v>5647</v>
      </c>
      <c r="N671" t="s">
        <v>121</v>
      </c>
      <c r="O671" t="s">
        <v>6343</v>
      </c>
      <c r="P671" t="s">
        <v>3517</v>
      </c>
      <c r="Q671" t="s">
        <v>3517</v>
      </c>
      <c r="R671" t="s">
        <v>3517</v>
      </c>
      <c r="S671" t="s">
        <v>6344</v>
      </c>
      <c r="T671" t="s">
        <v>207</v>
      </c>
      <c r="U671" t="s">
        <v>207</v>
      </c>
      <c r="V671" t="s">
        <v>304</v>
      </c>
      <c r="W671" t="s">
        <v>1858</v>
      </c>
      <c r="X671" t="s">
        <v>1473</v>
      </c>
      <c r="Y671" t="s">
        <v>1473</v>
      </c>
      <c r="Z671" t="s">
        <v>1473</v>
      </c>
      <c r="AA671" t="s">
        <v>1473</v>
      </c>
      <c r="AB671" s="2">
        <v>-8.0000000000000004E-4</v>
      </c>
      <c r="AC671" s="2">
        <v>-1.1299999999999999E-2</v>
      </c>
      <c r="AD671" s="2">
        <v>-1.0999999999999999E-2</v>
      </c>
      <c r="AE671" s="2">
        <v>3.5799999999999998E-2</v>
      </c>
      <c r="AF671" s="2">
        <v>1.18E-2</v>
      </c>
      <c r="AG671" s="2">
        <v>5.0200000000000002E-2</v>
      </c>
      <c r="AH671" t="s">
        <v>6345</v>
      </c>
      <c r="AI671" t="s">
        <v>130</v>
      </c>
      <c r="AJ671" t="s">
        <v>131</v>
      </c>
      <c r="AK671" t="s">
        <v>40</v>
      </c>
      <c r="AL671">
        <v>200</v>
      </c>
      <c r="AM671" t="s">
        <v>41</v>
      </c>
      <c r="AN671" t="s">
        <v>42</v>
      </c>
      <c r="AO671" t="s">
        <v>6343</v>
      </c>
      <c r="AP671" t="s">
        <v>225</v>
      </c>
      <c r="AQ671" t="s">
        <v>225</v>
      </c>
      <c r="AR671" t="s">
        <v>133</v>
      </c>
      <c r="AS671" t="s">
        <v>133</v>
      </c>
    </row>
    <row r="672" spans="1:45" x14ac:dyDescent="0.4">
      <c r="A672" t="s">
        <v>4453</v>
      </c>
      <c r="B672" t="s">
        <v>10</v>
      </c>
      <c r="C672" t="s">
        <v>936</v>
      </c>
      <c r="D672" t="s">
        <v>11</v>
      </c>
      <c r="E672" s="2">
        <v>-4.0000000000000002E-4</v>
      </c>
      <c r="F672" t="s">
        <v>178</v>
      </c>
      <c r="G672" s="4">
        <f>-0.04 / -0.04%</f>
        <v>100</v>
      </c>
      <c r="H672" t="s">
        <v>936</v>
      </c>
      <c r="I672" t="s">
        <v>5004</v>
      </c>
      <c r="J672" t="s">
        <v>5005</v>
      </c>
      <c r="K672" t="s">
        <v>23</v>
      </c>
      <c r="L672" s="2">
        <v>8.7500000000000008E-3</v>
      </c>
      <c r="M672" t="s">
        <v>5006</v>
      </c>
      <c r="N672" t="s">
        <v>28</v>
      </c>
      <c r="O672" t="s">
        <v>5007</v>
      </c>
      <c r="P672" t="s">
        <v>1620</v>
      </c>
      <c r="Q672" t="s">
        <v>2877</v>
      </c>
      <c r="R672" t="s">
        <v>5008</v>
      </c>
      <c r="S672" t="s">
        <v>2835</v>
      </c>
      <c r="T672" t="s">
        <v>3554</v>
      </c>
      <c r="U672" s="1">
        <v>88005</v>
      </c>
      <c r="V672" t="s">
        <v>474</v>
      </c>
      <c r="W672" t="s">
        <v>1218</v>
      </c>
      <c r="X672" t="s">
        <v>1218</v>
      </c>
      <c r="Y672" t="s">
        <v>1218</v>
      </c>
      <c r="Z672" t="s">
        <v>1218</v>
      </c>
      <c r="AA672" t="s">
        <v>4629</v>
      </c>
      <c r="AB672" s="2">
        <v>-5.9999999999999995E-4</v>
      </c>
      <c r="AC672" s="2">
        <v>4.0000000000000002E-4</v>
      </c>
      <c r="AD672" s="2">
        <v>2.1000000000000001E-2</v>
      </c>
      <c r="AE672" s="2">
        <v>3.2199999999999999E-2</v>
      </c>
      <c r="AF672" s="2">
        <v>5.79E-2</v>
      </c>
      <c r="AG672" s="2">
        <v>-7.0300000000000001E-2</v>
      </c>
      <c r="AH672" t="s">
        <v>5009</v>
      </c>
      <c r="AI672" t="s">
        <v>130</v>
      </c>
      <c r="AJ672" t="s">
        <v>131</v>
      </c>
      <c r="AK672" t="s">
        <v>40</v>
      </c>
      <c r="AL672">
        <v>100</v>
      </c>
      <c r="AM672" t="s">
        <v>41</v>
      </c>
      <c r="AN672" t="s">
        <v>42</v>
      </c>
      <c r="AO672" t="s">
        <v>5007</v>
      </c>
      <c r="AP672" t="s">
        <v>407</v>
      </c>
      <c r="AQ672" t="s">
        <v>407</v>
      </c>
      <c r="AR672" t="s">
        <v>48</v>
      </c>
      <c r="AS672" t="s">
        <v>48</v>
      </c>
    </row>
    <row r="673" spans="1:54" x14ac:dyDescent="0.4">
      <c r="A673" t="s">
        <v>4462</v>
      </c>
      <c r="B673" t="s">
        <v>10</v>
      </c>
      <c r="C673" t="s">
        <v>919</v>
      </c>
      <c r="D673" t="s">
        <v>11</v>
      </c>
      <c r="E673" s="2">
        <v>5.0000000000000001E-4</v>
      </c>
      <c r="F673" t="s">
        <v>310</v>
      </c>
      <c r="G673" s="4" t="s">
        <v>565</v>
      </c>
      <c r="H673" t="s">
        <v>919</v>
      </c>
      <c r="I673" t="s">
        <v>6226</v>
      </c>
      <c r="J673" t="s">
        <v>6227</v>
      </c>
      <c r="K673" t="s">
        <v>23</v>
      </c>
      <c r="L673" s="2">
        <v>5.5E-2</v>
      </c>
      <c r="M673" t="s">
        <v>6228</v>
      </c>
      <c r="N673" t="s">
        <v>121</v>
      </c>
      <c r="O673" t="s">
        <v>348</v>
      </c>
      <c r="P673" t="s">
        <v>871</v>
      </c>
      <c r="Q673" t="s">
        <v>871</v>
      </c>
      <c r="R673" t="s">
        <v>871</v>
      </c>
      <c r="S673" t="s">
        <v>1170</v>
      </c>
      <c r="T673" t="s">
        <v>1440</v>
      </c>
      <c r="U673" t="s">
        <v>1440</v>
      </c>
      <c r="V673" t="s">
        <v>919</v>
      </c>
      <c r="W673" t="s">
        <v>6229</v>
      </c>
      <c r="X673" t="s">
        <v>6230</v>
      </c>
      <c r="Y673" t="s">
        <v>6230</v>
      </c>
      <c r="Z673" t="s">
        <v>6230</v>
      </c>
      <c r="AA673" t="s">
        <v>6230</v>
      </c>
      <c r="AB673" s="2">
        <v>1.6000000000000001E-3</v>
      </c>
      <c r="AC673" s="2">
        <v>-4.4999999999999997E-3</v>
      </c>
      <c r="AD673" s="2">
        <v>3.0000000000000001E-3</v>
      </c>
      <c r="AE673" s="2">
        <v>5.1000000000000004E-3</v>
      </c>
      <c r="AF673" s="2">
        <v>1.21E-2</v>
      </c>
      <c r="AG673" s="2">
        <v>1.21E-2</v>
      </c>
      <c r="AH673" t="s">
        <v>6231</v>
      </c>
      <c r="AI673" t="s">
        <v>130</v>
      </c>
      <c r="AJ673" t="s">
        <v>131</v>
      </c>
      <c r="AK673" t="s">
        <v>40</v>
      </c>
      <c r="AL673">
        <v>2</v>
      </c>
      <c r="AM673" t="s">
        <v>41</v>
      </c>
      <c r="AN673" t="s">
        <v>42</v>
      </c>
      <c r="AO673" t="s">
        <v>348</v>
      </c>
      <c r="AP673" t="s">
        <v>643</v>
      </c>
      <c r="AQ673">
        <v>2</v>
      </c>
      <c r="BA673" t="s">
        <v>197</v>
      </c>
      <c r="BB673" t="s">
        <v>61</v>
      </c>
    </row>
    <row r="674" spans="1:54" x14ac:dyDescent="0.4">
      <c r="A674" t="s">
        <v>4453</v>
      </c>
      <c r="B674" t="s">
        <v>10</v>
      </c>
      <c r="C674" t="s">
        <v>2160</v>
      </c>
      <c r="D674" t="s">
        <v>11</v>
      </c>
      <c r="E674" s="2">
        <v>5.9999999999999995E-4</v>
      </c>
      <c r="F674" t="s">
        <v>178</v>
      </c>
      <c r="G674" s="4" t="s">
        <v>708</v>
      </c>
      <c r="H674" t="s">
        <v>2160</v>
      </c>
      <c r="I674" t="s">
        <v>5839</v>
      </c>
      <c r="J674" t="s">
        <v>5840</v>
      </c>
      <c r="K674" t="s">
        <v>23</v>
      </c>
      <c r="L674" s="2">
        <v>6.7000000000000004E-2</v>
      </c>
      <c r="M674" t="s">
        <v>2594</v>
      </c>
      <c r="N674" t="s">
        <v>121</v>
      </c>
      <c r="O674" t="s">
        <v>5841</v>
      </c>
      <c r="P674" t="s">
        <v>581</v>
      </c>
      <c r="Q674" t="s">
        <v>581</v>
      </c>
      <c r="R674" t="s">
        <v>581</v>
      </c>
      <c r="S674" t="s">
        <v>581</v>
      </c>
      <c r="T674" t="s">
        <v>581</v>
      </c>
      <c r="U674" t="s">
        <v>581</v>
      </c>
      <c r="V674" t="s">
        <v>5495</v>
      </c>
      <c r="W674" t="s">
        <v>1197</v>
      </c>
      <c r="X674" t="s">
        <v>1197</v>
      </c>
      <c r="Y674" t="s">
        <v>1197</v>
      </c>
      <c r="Z674" t="s">
        <v>1197</v>
      </c>
      <c r="AA674" t="s">
        <v>1197</v>
      </c>
      <c r="AB674" s="2">
        <v>-5.0000000000000001E-4</v>
      </c>
      <c r="AC674" s="2">
        <v>-1.47E-2</v>
      </c>
      <c r="AD674" s="2">
        <v>-1.47E-2</v>
      </c>
      <c r="AE674" s="2">
        <v>-1.47E-2</v>
      </c>
      <c r="AF674" s="2">
        <v>-1.47E-2</v>
      </c>
      <c r="AG674" s="2">
        <v>-1.47E-2</v>
      </c>
      <c r="AH674" t="s">
        <v>5842</v>
      </c>
      <c r="AI674" t="s">
        <v>130</v>
      </c>
      <c r="AJ674" t="s">
        <v>131</v>
      </c>
      <c r="AK674" t="s">
        <v>40</v>
      </c>
      <c r="AL674">
        <v>200</v>
      </c>
      <c r="AM674" t="s">
        <v>41</v>
      </c>
      <c r="AN674" t="s">
        <v>42</v>
      </c>
      <c r="AO674" t="s">
        <v>5841</v>
      </c>
      <c r="AP674" t="s">
        <v>225</v>
      </c>
      <c r="AQ674" t="s">
        <v>225</v>
      </c>
      <c r="AR674" t="s">
        <v>133</v>
      </c>
      <c r="AS674" t="s">
        <v>133</v>
      </c>
    </row>
    <row r="675" spans="1:54" x14ac:dyDescent="0.4">
      <c r="A675" t="s">
        <v>4026</v>
      </c>
      <c r="B675" t="s">
        <v>10</v>
      </c>
      <c r="C675" t="s">
        <v>4027</v>
      </c>
      <c r="D675" t="s">
        <v>11</v>
      </c>
      <c r="E675" s="2">
        <v>0.45</v>
      </c>
      <c r="F675" t="s">
        <v>178</v>
      </c>
      <c r="G675" s="4" t="s">
        <v>4028</v>
      </c>
      <c r="H675" t="s">
        <v>4027</v>
      </c>
      <c r="I675" t="s">
        <v>4029</v>
      </c>
      <c r="J675" t="s">
        <v>4030</v>
      </c>
      <c r="K675" t="s">
        <v>23</v>
      </c>
      <c r="L675" s="2">
        <v>0.1</v>
      </c>
      <c r="N675" t="s">
        <v>4031</v>
      </c>
      <c r="O675" t="s">
        <v>4032</v>
      </c>
      <c r="P675" t="s">
        <v>3798</v>
      </c>
      <c r="Q675" t="s">
        <v>3798</v>
      </c>
      <c r="R675" t="s">
        <v>4033</v>
      </c>
      <c r="S675" t="s">
        <v>4033</v>
      </c>
      <c r="T675" t="s">
        <v>4033</v>
      </c>
      <c r="U675" t="s">
        <v>4033</v>
      </c>
      <c r="V675" t="s">
        <v>4027</v>
      </c>
      <c r="W675" t="s">
        <v>3802</v>
      </c>
      <c r="X675" t="s">
        <v>3802</v>
      </c>
      <c r="Y675" t="s">
        <v>3802</v>
      </c>
      <c r="Z675" t="s">
        <v>3802</v>
      </c>
      <c r="AA675" t="s">
        <v>3802</v>
      </c>
      <c r="AB675" s="2">
        <v>0.1983</v>
      </c>
      <c r="AC675" s="2">
        <v>-0.152</v>
      </c>
      <c r="AD675" t="s">
        <v>4034</v>
      </c>
      <c r="AE675" t="s">
        <v>4034</v>
      </c>
      <c r="AF675" t="s">
        <v>4034</v>
      </c>
      <c r="AG675" t="s">
        <v>4034</v>
      </c>
      <c r="AH675" t="s">
        <v>4035</v>
      </c>
      <c r="AI675" t="s">
        <v>130</v>
      </c>
      <c r="AJ675" t="s">
        <v>131</v>
      </c>
      <c r="AK675" t="s">
        <v>40</v>
      </c>
      <c r="AL675">
        <v>1</v>
      </c>
      <c r="AM675" t="s">
        <v>41</v>
      </c>
      <c r="AN675" t="s">
        <v>42</v>
      </c>
      <c r="AO675" t="s">
        <v>4032</v>
      </c>
      <c r="AP675" t="s">
        <v>978</v>
      </c>
      <c r="AQ675" t="s">
        <v>978</v>
      </c>
      <c r="BA675" t="s">
        <v>197</v>
      </c>
      <c r="BB675" t="s">
        <v>61</v>
      </c>
    </row>
    <row r="676" spans="1:54" x14ac:dyDescent="0.4">
      <c r="A676" t="s">
        <v>961</v>
      </c>
      <c r="B676" t="s">
        <v>10</v>
      </c>
      <c r="C676" s="1">
        <v>97834</v>
      </c>
      <c r="D676" t="s">
        <v>11</v>
      </c>
      <c r="E676" s="2">
        <v>0</v>
      </c>
      <c r="F676" t="s">
        <v>12</v>
      </c>
      <c r="G676" s="4" t="s">
        <v>15</v>
      </c>
      <c r="H676" s="1">
        <v>97834</v>
      </c>
      <c r="I676" t="s">
        <v>991</v>
      </c>
      <c r="J676" t="s">
        <v>992</v>
      </c>
      <c r="K676" t="s">
        <v>23</v>
      </c>
      <c r="M676" t="s">
        <v>993</v>
      </c>
      <c r="N676" t="s">
        <v>28</v>
      </c>
      <c r="O676" t="s">
        <v>766</v>
      </c>
      <c r="P676" s="1">
        <v>97678</v>
      </c>
      <c r="Q676" t="s">
        <v>994</v>
      </c>
      <c r="R676" t="s">
        <v>995</v>
      </c>
      <c r="S676" t="s">
        <v>996</v>
      </c>
      <c r="T676" t="s">
        <v>390</v>
      </c>
      <c r="U676" t="s">
        <v>997</v>
      </c>
      <c r="V676" s="1">
        <v>97932</v>
      </c>
      <c r="W676" s="1">
        <v>97932</v>
      </c>
      <c r="X676" s="1">
        <v>97932</v>
      </c>
      <c r="Y676" s="1">
        <v>97932</v>
      </c>
      <c r="Z676" s="1">
        <v>97932</v>
      </c>
      <c r="AA676" t="s">
        <v>998</v>
      </c>
      <c r="AB676" s="2">
        <v>1E-3</v>
      </c>
      <c r="AC676" s="2">
        <v>5.4999999999999997E-3</v>
      </c>
      <c r="AD676" s="2">
        <v>2.1600000000000001E-2</v>
      </c>
      <c r="AE676" s="2">
        <v>3.5799999999999998E-2</v>
      </c>
      <c r="AF676" s="2">
        <v>5.7599999999999998E-2</v>
      </c>
      <c r="AG676" s="2">
        <v>-1.9699999999999999E-2</v>
      </c>
      <c r="AH676" t="s">
        <v>999</v>
      </c>
      <c r="AI676" t="s">
        <v>130</v>
      </c>
      <c r="AJ676" t="s">
        <v>131</v>
      </c>
      <c r="AK676" t="s">
        <v>40</v>
      </c>
      <c r="AL676">
        <v>1</v>
      </c>
      <c r="AM676" t="s">
        <v>41</v>
      </c>
      <c r="AN676" t="s">
        <v>42</v>
      </c>
      <c r="AO676" t="s">
        <v>766</v>
      </c>
      <c r="AP676" t="s">
        <v>225</v>
      </c>
      <c r="AQ676" t="s">
        <v>225</v>
      </c>
      <c r="AR676" t="s">
        <v>48</v>
      </c>
      <c r="AS676" t="s">
        <v>48</v>
      </c>
      <c r="AT676" t="s">
        <v>1000</v>
      </c>
    </row>
    <row r="677" spans="1:54" x14ac:dyDescent="0.4">
      <c r="A677" t="s">
        <v>2780</v>
      </c>
      <c r="B677" t="s">
        <v>10</v>
      </c>
      <c r="C677" t="s">
        <v>2781</v>
      </c>
      <c r="D677" t="s">
        <v>11</v>
      </c>
      <c r="E677" s="2">
        <v>1.8E-3</v>
      </c>
      <c r="F677" t="s">
        <v>178</v>
      </c>
      <c r="G677" s="4" t="s">
        <v>2782</v>
      </c>
      <c r="H677" t="s">
        <v>2781</v>
      </c>
      <c r="I677" t="s">
        <v>2783</v>
      </c>
      <c r="J677" t="s">
        <v>2784</v>
      </c>
      <c r="K677" t="s">
        <v>23</v>
      </c>
      <c r="M677" t="s">
        <v>2225</v>
      </c>
      <c r="N677" t="s">
        <v>28</v>
      </c>
      <c r="O677" t="s">
        <v>766</v>
      </c>
      <c r="P677" t="s">
        <v>2785</v>
      </c>
      <c r="Q677" t="s">
        <v>2785</v>
      </c>
      <c r="R677" t="s">
        <v>2786</v>
      </c>
      <c r="S677" t="s">
        <v>2787</v>
      </c>
      <c r="T677" t="s">
        <v>2788</v>
      </c>
      <c r="U677" t="s">
        <v>2788</v>
      </c>
      <c r="V677" t="s">
        <v>2279</v>
      </c>
      <c r="W677" t="s">
        <v>2789</v>
      </c>
      <c r="X677" t="s">
        <v>2789</v>
      </c>
      <c r="Y677" t="s">
        <v>2789</v>
      </c>
      <c r="Z677" t="s">
        <v>2789</v>
      </c>
      <c r="AA677" t="s">
        <v>2790</v>
      </c>
      <c r="AB677" s="2">
        <v>-8.0999999999999996E-3</v>
      </c>
      <c r="AC677" s="2">
        <v>-1.46E-2</v>
      </c>
      <c r="AD677" s="2">
        <v>1.89E-2</v>
      </c>
      <c r="AE677" s="2">
        <v>3.4200000000000001E-2</v>
      </c>
      <c r="AF677" s="2">
        <v>6.8099999999999994E-2</v>
      </c>
      <c r="AG677" s="2">
        <v>-0.1472</v>
      </c>
      <c r="AH677" t="s">
        <v>999</v>
      </c>
      <c r="AI677" t="s">
        <v>130</v>
      </c>
      <c r="AJ677" t="s">
        <v>131</v>
      </c>
      <c r="AK677" t="s">
        <v>40</v>
      </c>
      <c r="AL677">
        <v>1</v>
      </c>
      <c r="AM677" t="s">
        <v>41</v>
      </c>
      <c r="AN677" t="s">
        <v>42</v>
      </c>
      <c r="AO677" t="s">
        <v>766</v>
      </c>
      <c r="AP677" t="s">
        <v>225</v>
      </c>
      <c r="AQ677" t="s">
        <v>225</v>
      </c>
      <c r="AR677" t="s">
        <v>48</v>
      </c>
      <c r="AS677" t="s">
        <v>48</v>
      </c>
      <c r="AT677" t="s">
        <v>1000</v>
      </c>
    </row>
    <row r="678" spans="1:54" x14ac:dyDescent="0.4">
      <c r="A678" t="s">
        <v>3388</v>
      </c>
      <c r="B678" t="s">
        <v>10</v>
      </c>
      <c r="C678" t="s">
        <v>3389</v>
      </c>
      <c r="D678" t="s">
        <v>11</v>
      </c>
      <c r="E678" s="2">
        <v>9.2999999999999992E-3</v>
      </c>
      <c r="F678" t="s">
        <v>310</v>
      </c>
      <c r="G678" s="4" t="s">
        <v>3390</v>
      </c>
      <c r="H678" t="s">
        <v>3389</v>
      </c>
      <c r="I678" t="s">
        <v>3391</v>
      </c>
      <c r="J678" t="s">
        <v>3392</v>
      </c>
      <c r="K678" t="s">
        <v>23</v>
      </c>
      <c r="L678" s="2">
        <v>3.3750000000000002E-2</v>
      </c>
      <c r="M678" t="s">
        <v>1681</v>
      </c>
      <c r="N678" t="s">
        <v>28</v>
      </c>
      <c r="O678" t="s">
        <v>1921</v>
      </c>
      <c r="P678" t="s">
        <v>2086</v>
      </c>
      <c r="Q678" t="s">
        <v>2086</v>
      </c>
      <c r="R678" t="s">
        <v>2086</v>
      </c>
      <c r="S678" t="s">
        <v>2160</v>
      </c>
      <c r="T678" t="s">
        <v>915</v>
      </c>
      <c r="U678" t="s">
        <v>915</v>
      </c>
      <c r="V678" t="s">
        <v>3393</v>
      </c>
      <c r="W678" t="s">
        <v>1040</v>
      </c>
      <c r="X678" t="s">
        <v>1040</v>
      </c>
      <c r="Y678" t="s">
        <v>1040</v>
      </c>
      <c r="Z678" t="s">
        <v>1040</v>
      </c>
      <c r="AA678" t="s">
        <v>1040</v>
      </c>
      <c r="AB678" s="2">
        <v>-5.4000000000000003E-3</v>
      </c>
      <c r="AC678" s="2">
        <v>-6.4999999999999997E-3</v>
      </c>
      <c r="AD678" s="2">
        <v>1.38E-2</v>
      </c>
      <c r="AE678" s="2">
        <v>7.7999999999999996E-3</v>
      </c>
      <c r="AF678" s="2">
        <v>1.04E-2</v>
      </c>
      <c r="AG678" s="2">
        <v>1.8200000000000001E-2</v>
      </c>
      <c r="AH678" t="s">
        <v>999</v>
      </c>
      <c r="AI678" t="s">
        <v>130</v>
      </c>
      <c r="AJ678" t="s">
        <v>131</v>
      </c>
      <c r="AK678" t="s">
        <v>40</v>
      </c>
      <c r="AL678">
        <v>1</v>
      </c>
      <c r="AM678" t="s">
        <v>41</v>
      </c>
      <c r="AN678" t="s">
        <v>42</v>
      </c>
      <c r="AO678" t="s">
        <v>1921</v>
      </c>
      <c r="AP678" t="s">
        <v>225</v>
      </c>
      <c r="AQ678" t="s">
        <v>225</v>
      </c>
      <c r="AR678" t="s">
        <v>48</v>
      </c>
      <c r="AS678" t="s">
        <v>48</v>
      </c>
    </row>
    <row r="679" spans="1:54" x14ac:dyDescent="0.4">
      <c r="A679" t="s">
        <v>2172</v>
      </c>
      <c r="B679" t="s">
        <v>10</v>
      </c>
      <c r="C679" t="s">
        <v>336</v>
      </c>
      <c r="D679" t="s">
        <v>11</v>
      </c>
      <c r="E679" s="2">
        <v>-3.8E-3</v>
      </c>
      <c r="F679" t="s">
        <v>12</v>
      </c>
      <c r="G679" s="4">
        <f>-0.39 / -0.38%</f>
        <v>102.63157894736842</v>
      </c>
      <c r="H679" t="s">
        <v>336</v>
      </c>
      <c r="I679" t="s">
        <v>2173</v>
      </c>
      <c r="J679" t="s">
        <v>2174</v>
      </c>
      <c r="K679" t="s">
        <v>23</v>
      </c>
      <c r="L679" s="2">
        <v>0.03</v>
      </c>
      <c r="M679" t="s">
        <v>733</v>
      </c>
      <c r="N679" t="s">
        <v>28</v>
      </c>
      <c r="O679" t="s">
        <v>1921</v>
      </c>
      <c r="P679" t="s">
        <v>2175</v>
      </c>
      <c r="Q679" t="s">
        <v>2175</v>
      </c>
      <c r="R679" t="s">
        <v>2176</v>
      </c>
      <c r="S679" t="s">
        <v>2177</v>
      </c>
      <c r="T679" t="s">
        <v>2178</v>
      </c>
      <c r="U679" t="s">
        <v>2178</v>
      </c>
      <c r="V679" t="s">
        <v>2179</v>
      </c>
      <c r="W679" t="s">
        <v>2180</v>
      </c>
      <c r="X679" t="s">
        <v>1379</v>
      </c>
      <c r="Y679" t="s">
        <v>1379</v>
      </c>
      <c r="Z679" t="s">
        <v>1379</v>
      </c>
      <c r="AA679" t="s">
        <v>1379</v>
      </c>
      <c r="AB679" s="2">
        <v>-7.3000000000000001E-3</v>
      </c>
      <c r="AC679" s="2">
        <v>-1.11E-2</v>
      </c>
      <c r="AD679" s="2">
        <v>6.4999999999999997E-3</v>
      </c>
      <c r="AE679" s="2">
        <v>5.7999999999999996E-3</v>
      </c>
      <c r="AF679" s="2">
        <v>5.1000000000000004E-3</v>
      </c>
      <c r="AG679" s="2">
        <v>1.3299999999999999E-2</v>
      </c>
      <c r="AH679" t="s">
        <v>999</v>
      </c>
      <c r="AI679" t="s">
        <v>130</v>
      </c>
      <c r="AJ679" t="s">
        <v>131</v>
      </c>
      <c r="AK679" t="s">
        <v>40</v>
      </c>
      <c r="AL679">
        <v>1</v>
      </c>
      <c r="AM679" t="s">
        <v>41</v>
      </c>
      <c r="AN679" t="s">
        <v>42</v>
      </c>
      <c r="AO679" t="s">
        <v>1921</v>
      </c>
      <c r="AP679" t="s">
        <v>225</v>
      </c>
      <c r="AQ679" t="s">
        <v>225</v>
      </c>
      <c r="AR679" t="s">
        <v>48</v>
      </c>
      <c r="AS679" t="s">
        <v>48</v>
      </c>
    </row>
    <row r="680" spans="1:54" x14ac:dyDescent="0.4">
      <c r="A680" t="s">
        <v>592</v>
      </c>
      <c r="B680" t="s">
        <v>10</v>
      </c>
      <c r="C680" t="s">
        <v>5094</v>
      </c>
      <c r="D680" t="s">
        <v>11</v>
      </c>
      <c r="E680" s="2">
        <v>-5.0000000000000001E-4</v>
      </c>
      <c r="F680" t="s">
        <v>12</v>
      </c>
      <c r="G680" s="4">
        <f>-0.04 / -0.05%</f>
        <v>80</v>
      </c>
      <c r="H680" t="s">
        <v>5094</v>
      </c>
      <c r="I680" t="s">
        <v>5095</v>
      </c>
      <c r="J680" t="s">
        <v>5096</v>
      </c>
      <c r="K680" t="s">
        <v>23</v>
      </c>
      <c r="L680" s="2">
        <v>6.2500000000000003E-3</v>
      </c>
      <c r="M680" t="s">
        <v>5097</v>
      </c>
      <c r="N680" t="s">
        <v>28</v>
      </c>
      <c r="O680" t="s">
        <v>2919</v>
      </c>
      <c r="P680" t="s">
        <v>5098</v>
      </c>
      <c r="Q680" t="s">
        <v>5098</v>
      </c>
      <c r="R680" t="s">
        <v>5098</v>
      </c>
      <c r="S680" t="s">
        <v>5099</v>
      </c>
      <c r="T680" t="s">
        <v>5100</v>
      </c>
      <c r="U680" t="s">
        <v>5101</v>
      </c>
      <c r="V680" t="s">
        <v>4700</v>
      </c>
      <c r="W680" t="s">
        <v>5102</v>
      </c>
      <c r="X680" t="s">
        <v>5102</v>
      </c>
      <c r="Y680" t="s">
        <v>5102</v>
      </c>
      <c r="Z680" t="s">
        <v>5102</v>
      </c>
      <c r="AA680" t="s">
        <v>866</v>
      </c>
      <c r="AB680" s="2">
        <v>-1.4999999999999999E-2</v>
      </c>
      <c r="AC680" s="2">
        <v>-2.3599999999999999E-2</v>
      </c>
      <c r="AD680" s="2">
        <v>3.5000000000000001E-3</v>
      </c>
      <c r="AE680" s="2">
        <v>2.29E-2</v>
      </c>
      <c r="AF680" s="2">
        <v>4.2299999999999997E-2</v>
      </c>
      <c r="AG680" s="2">
        <v>-0.1827</v>
      </c>
      <c r="AH680" t="s">
        <v>999</v>
      </c>
      <c r="AI680" t="s">
        <v>130</v>
      </c>
      <c r="AJ680" t="s">
        <v>131</v>
      </c>
      <c r="AK680" t="s">
        <v>40</v>
      </c>
      <c r="AL680">
        <v>1</v>
      </c>
      <c r="AM680" t="s">
        <v>41</v>
      </c>
      <c r="AN680" t="s">
        <v>42</v>
      </c>
      <c r="AO680" t="s">
        <v>2919</v>
      </c>
      <c r="AP680" t="s">
        <v>225</v>
      </c>
      <c r="AQ680" t="s">
        <v>225</v>
      </c>
      <c r="AR680" t="s">
        <v>48</v>
      </c>
      <c r="AS680" t="s">
        <v>48</v>
      </c>
    </row>
    <row r="681" spans="1:54" x14ac:dyDescent="0.4">
      <c r="A681" t="s">
        <v>961</v>
      </c>
      <c r="B681" t="s">
        <v>10</v>
      </c>
      <c r="C681" t="s">
        <v>1042</v>
      </c>
      <c r="D681" t="s">
        <v>11</v>
      </c>
      <c r="E681" s="2">
        <v>-3.7000000000000002E-3</v>
      </c>
      <c r="F681" t="s">
        <v>12</v>
      </c>
      <c r="G681" s="4">
        <f>-0.31 / -0.37%</f>
        <v>83.783783783783775</v>
      </c>
      <c r="H681" t="s">
        <v>1042</v>
      </c>
      <c r="I681" t="s">
        <v>1043</v>
      </c>
      <c r="J681" t="s">
        <v>1044</v>
      </c>
      <c r="K681" t="s">
        <v>23</v>
      </c>
      <c r="L681" s="2">
        <v>3.7499999999999999E-3</v>
      </c>
      <c r="M681" t="s">
        <v>1045</v>
      </c>
      <c r="N681" t="s">
        <v>28</v>
      </c>
      <c r="O681" t="s">
        <v>1046</v>
      </c>
      <c r="P681" t="s">
        <v>1047</v>
      </c>
      <c r="Q681" t="s">
        <v>1047</v>
      </c>
      <c r="R681" t="s">
        <v>1048</v>
      </c>
      <c r="S681" t="s">
        <v>1049</v>
      </c>
      <c r="T681" t="s">
        <v>1050</v>
      </c>
      <c r="U681" t="s">
        <v>1051</v>
      </c>
      <c r="V681" t="s">
        <v>1052</v>
      </c>
      <c r="W681" t="s">
        <v>1053</v>
      </c>
      <c r="X681" t="s">
        <v>1053</v>
      </c>
      <c r="Y681" t="s">
        <v>1053</v>
      </c>
      <c r="Z681" t="s">
        <v>1053</v>
      </c>
      <c r="AA681" t="s">
        <v>1054</v>
      </c>
      <c r="AB681" s="2">
        <v>-1.43E-2</v>
      </c>
      <c r="AC681" s="2">
        <v>-1.8100000000000002E-2</v>
      </c>
      <c r="AD681" s="2">
        <v>8.5000000000000006E-3</v>
      </c>
      <c r="AE681" s="2">
        <v>1.9199999999999998E-2</v>
      </c>
      <c r="AF681" s="2">
        <v>5.0799999999999998E-2</v>
      </c>
      <c r="AG681" s="2">
        <v>-0.152</v>
      </c>
      <c r="AH681" t="s">
        <v>999</v>
      </c>
      <c r="AI681" t="s">
        <v>130</v>
      </c>
      <c r="AJ681" t="s">
        <v>131</v>
      </c>
      <c r="AK681" t="s">
        <v>40</v>
      </c>
      <c r="AL681">
        <v>1</v>
      </c>
      <c r="AM681" t="s">
        <v>41</v>
      </c>
      <c r="AN681" t="s">
        <v>42</v>
      </c>
      <c r="AO681" t="s">
        <v>1046</v>
      </c>
      <c r="AP681" t="s">
        <v>407</v>
      </c>
      <c r="AQ681" t="s">
        <v>407</v>
      </c>
      <c r="AR681" t="s">
        <v>48</v>
      </c>
      <c r="AS681" t="s">
        <v>48</v>
      </c>
    </row>
    <row r="682" spans="1:54" x14ac:dyDescent="0.4">
      <c r="A682" t="s">
        <v>961</v>
      </c>
      <c r="B682" t="s">
        <v>10</v>
      </c>
      <c r="C682" t="s">
        <v>2916</v>
      </c>
      <c r="D682" t="s">
        <v>11</v>
      </c>
      <c r="E682" s="2">
        <v>-1.8E-3</v>
      </c>
      <c r="F682" t="s">
        <v>12</v>
      </c>
      <c r="G682" s="4">
        <f>-0.165 / -0.18%</f>
        <v>91.666666666666671</v>
      </c>
      <c r="H682" t="s">
        <v>2916</v>
      </c>
      <c r="I682" t="s">
        <v>2917</v>
      </c>
      <c r="J682" t="s">
        <v>2918</v>
      </c>
      <c r="K682" t="s">
        <v>23</v>
      </c>
      <c r="L682" s="2">
        <v>2.5000000000000001E-3</v>
      </c>
      <c r="M682" t="s">
        <v>1231</v>
      </c>
      <c r="N682" t="s">
        <v>28</v>
      </c>
      <c r="O682" t="s">
        <v>2919</v>
      </c>
      <c r="P682" t="s">
        <v>2920</v>
      </c>
      <c r="Q682" t="s">
        <v>2921</v>
      </c>
      <c r="R682" t="s">
        <v>2461</v>
      </c>
      <c r="S682" t="s">
        <v>2922</v>
      </c>
      <c r="T682" s="1">
        <v>81825</v>
      </c>
      <c r="U682" t="s">
        <v>2923</v>
      </c>
      <c r="V682" t="s">
        <v>2924</v>
      </c>
      <c r="W682" t="s">
        <v>2925</v>
      </c>
      <c r="X682" t="s">
        <v>2925</v>
      </c>
      <c r="Y682" t="s">
        <v>2925</v>
      </c>
      <c r="Z682" t="s">
        <v>2925</v>
      </c>
      <c r="AA682" t="s">
        <v>680</v>
      </c>
      <c r="AB682" s="2">
        <v>-8.5000000000000006E-3</v>
      </c>
      <c r="AC682" s="2">
        <v>-7.1000000000000004E-3</v>
      </c>
      <c r="AD682" s="2">
        <v>1.7100000000000001E-2</v>
      </c>
      <c r="AE682" s="2">
        <v>2.98E-2</v>
      </c>
      <c r="AF682" s="2">
        <v>5.0900000000000001E-2</v>
      </c>
      <c r="AG682" s="2">
        <v>-9.8500000000000004E-2</v>
      </c>
      <c r="AH682" t="s">
        <v>999</v>
      </c>
      <c r="AI682" t="s">
        <v>130</v>
      </c>
      <c r="AJ682" t="s">
        <v>131</v>
      </c>
      <c r="AK682" t="s">
        <v>40</v>
      </c>
      <c r="AL682">
        <v>1</v>
      </c>
      <c r="AM682" t="s">
        <v>41</v>
      </c>
      <c r="AN682" t="s">
        <v>42</v>
      </c>
      <c r="AO682" t="s">
        <v>2919</v>
      </c>
      <c r="AP682" t="s">
        <v>357</v>
      </c>
      <c r="AQ682" t="s">
        <v>357</v>
      </c>
      <c r="AR682" t="s">
        <v>48</v>
      </c>
      <c r="AS682" t="s">
        <v>48</v>
      </c>
    </row>
    <row r="683" spans="1:54" x14ac:dyDescent="0.4">
      <c r="A683" t="s">
        <v>961</v>
      </c>
      <c r="B683" t="s">
        <v>10</v>
      </c>
      <c r="C683" t="s">
        <v>3284</v>
      </c>
      <c r="D683" t="s">
        <v>11</v>
      </c>
      <c r="E683" s="2">
        <v>-1.5E-3</v>
      </c>
      <c r="F683" t="s">
        <v>12</v>
      </c>
      <c r="G683" s="4">
        <f>-0.14 / -0.15%</f>
        <v>93.333333333333343</v>
      </c>
      <c r="H683" t="s">
        <v>3284</v>
      </c>
      <c r="I683" t="s">
        <v>3285</v>
      </c>
      <c r="J683" t="s">
        <v>3286</v>
      </c>
      <c r="K683" t="s">
        <v>23</v>
      </c>
      <c r="L683" s="2">
        <v>1.25E-3</v>
      </c>
      <c r="M683" t="s">
        <v>711</v>
      </c>
      <c r="N683" t="s">
        <v>28</v>
      </c>
      <c r="O683" t="s">
        <v>1046</v>
      </c>
      <c r="P683" s="1">
        <v>93035</v>
      </c>
      <c r="Q683" s="1">
        <v>92775</v>
      </c>
      <c r="R683" t="s">
        <v>3287</v>
      </c>
      <c r="S683" s="1">
        <v>89535</v>
      </c>
      <c r="T683" t="s">
        <v>3288</v>
      </c>
      <c r="U683" t="s">
        <v>3289</v>
      </c>
      <c r="V683" s="1">
        <v>93865</v>
      </c>
      <c r="W683" t="s">
        <v>3290</v>
      </c>
      <c r="X683" t="s">
        <v>3290</v>
      </c>
      <c r="Y683" t="s">
        <v>3290</v>
      </c>
      <c r="Z683" t="s">
        <v>3290</v>
      </c>
      <c r="AA683" t="s">
        <v>1169</v>
      </c>
      <c r="AB683" s="2">
        <v>-4.1000000000000003E-3</v>
      </c>
      <c r="AC683" s="2">
        <v>-1E-3</v>
      </c>
      <c r="AD683" s="2">
        <v>2.1100000000000001E-2</v>
      </c>
      <c r="AE683" s="2">
        <v>3.1699999999999999E-2</v>
      </c>
      <c r="AF683" s="2">
        <v>4.6600000000000003E-2</v>
      </c>
      <c r="AG683" s="2">
        <v>-6.2199999999999998E-2</v>
      </c>
      <c r="AH683" t="s">
        <v>999</v>
      </c>
      <c r="AI683" t="s">
        <v>130</v>
      </c>
      <c r="AJ683" t="s">
        <v>131</v>
      </c>
      <c r="AK683" t="s">
        <v>40</v>
      </c>
      <c r="AL683">
        <v>1</v>
      </c>
      <c r="AM683" t="s">
        <v>41</v>
      </c>
      <c r="AN683" t="s">
        <v>42</v>
      </c>
      <c r="AO683" t="s">
        <v>1046</v>
      </c>
      <c r="AP683" t="s">
        <v>443</v>
      </c>
      <c r="AQ683" t="s">
        <v>443</v>
      </c>
      <c r="AR683" t="s">
        <v>48</v>
      </c>
      <c r="AS683" t="s">
        <v>48</v>
      </c>
    </row>
    <row r="684" spans="1:54" x14ac:dyDescent="0.4">
      <c r="A684" t="s">
        <v>1476</v>
      </c>
      <c r="B684" t="s">
        <v>10</v>
      </c>
      <c r="C684" t="s">
        <v>1477</v>
      </c>
      <c r="D684" t="s">
        <v>11</v>
      </c>
      <c r="E684" s="2">
        <v>0</v>
      </c>
      <c r="F684" t="s">
        <v>12</v>
      </c>
      <c r="G684" s="4" t="s">
        <v>15</v>
      </c>
      <c r="H684" t="s">
        <v>1477</v>
      </c>
      <c r="I684" t="s">
        <v>1478</v>
      </c>
      <c r="J684" t="s">
        <v>1479</v>
      </c>
      <c r="K684" t="s">
        <v>23</v>
      </c>
      <c r="L684" s="2">
        <v>7.0000000000000007E-2</v>
      </c>
      <c r="M684" t="s">
        <v>1480</v>
      </c>
      <c r="N684" t="s">
        <v>28</v>
      </c>
      <c r="O684" t="s">
        <v>1481</v>
      </c>
      <c r="P684" t="s">
        <v>1482</v>
      </c>
      <c r="Q684" t="s">
        <v>110</v>
      </c>
      <c r="R684" t="s">
        <v>110</v>
      </c>
      <c r="S684" t="s">
        <v>110</v>
      </c>
      <c r="T684" t="s">
        <v>110</v>
      </c>
      <c r="U684" t="s">
        <v>110</v>
      </c>
      <c r="V684" t="s">
        <v>1483</v>
      </c>
      <c r="W684" t="s">
        <v>1483</v>
      </c>
      <c r="X684" t="s">
        <v>1483</v>
      </c>
      <c r="Y684" t="s">
        <v>1483</v>
      </c>
      <c r="Z684" t="s">
        <v>1483</v>
      </c>
      <c r="AA684" t="s">
        <v>1483</v>
      </c>
      <c r="AB684" s="2">
        <v>3.4299999999999997E-2</v>
      </c>
      <c r="AC684" s="2">
        <v>4.3999999999999997E-2</v>
      </c>
      <c r="AD684" s="2">
        <v>4.3999999999999997E-2</v>
      </c>
      <c r="AE684" s="2">
        <v>4.3999999999999997E-2</v>
      </c>
      <c r="AF684" s="2">
        <v>4.3999999999999997E-2</v>
      </c>
      <c r="AG684" s="2">
        <v>4.3999999999999997E-2</v>
      </c>
      <c r="AH684" t="s">
        <v>1484</v>
      </c>
      <c r="AI684" t="s">
        <v>232</v>
      </c>
      <c r="AJ684" t="s">
        <v>131</v>
      </c>
      <c r="AK684" t="s">
        <v>40</v>
      </c>
      <c r="AL684">
        <v>1</v>
      </c>
      <c r="AM684" t="s">
        <v>41</v>
      </c>
      <c r="AN684" t="s">
        <v>42</v>
      </c>
      <c r="AO684" t="s">
        <v>1481</v>
      </c>
      <c r="AP684" t="s">
        <v>1485</v>
      </c>
      <c r="AQ684" t="s">
        <v>1486</v>
      </c>
      <c r="AR684" t="s">
        <v>48</v>
      </c>
      <c r="AS684" t="s">
        <v>48</v>
      </c>
    </row>
    <row r="685" spans="1:54" x14ac:dyDescent="0.4">
      <c r="A685" t="s">
        <v>4453</v>
      </c>
      <c r="B685" t="s">
        <v>10</v>
      </c>
      <c r="C685" t="s">
        <v>3280</v>
      </c>
      <c r="D685" t="s">
        <v>11</v>
      </c>
      <c r="E685" s="2">
        <v>-3.0999999999999999E-3</v>
      </c>
      <c r="F685" t="s">
        <v>178</v>
      </c>
      <c r="G685" s="4">
        <f>-0.28 / -0.31%</f>
        <v>90.322580645161295</v>
      </c>
      <c r="H685" t="s">
        <v>3280</v>
      </c>
      <c r="I685" t="s">
        <v>5707</v>
      </c>
      <c r="J685" t="s">
        <v>6433</v>
      </c>
      <c r="K685" t="s">
        <v>23</v>
      </c>
      <c r="L685" s="2">
        <v>3.5499999999999997E-2</v>
      </c>
      <c r="M685" t="s">
        <v>6434</v>
      </c>
      <c r="N685" t="s">
        <v>121</v>
      </c>
      <c r="O685" t="s">
        <v>6435</v>
      </c>
      <c r="P685" t="s">
        <v>6436</v>
      </c>
      <c r="Q685" t="s">
        <v>6436</v>
      </c>
      <c r="R685" t="s">
        <v>6436</v>
      </c>
      <c r="S685" t="s">
        <v>6437</v>
      </c>
      <c r="T685" t="s">
        <v>5503</v>
      </c>
      <c r="U685" t="s">
        <v>5503</v>
      </c>
      <c r="V685" t="s">
        <v>3585</v>
      </c>
      <c r="W685" t="s">
        <v>317</v>
      </c>
      <c r="X685" t="s">
        <v>317</v>
      </c>
      <c r="Y685" t="s">
        <v>317</v>
      </c>
      <c r="Z685" t="s">
        <v>3997</v>
      </c>
      <c r="AA685" t="s">
        <v>3309</v>
      </c>
      <c r="AB685" s="2">
        <v>-1.41E-2</v>
      </c>
      <c r="AC685" s="2">
        <v>2.3E-3</v>
      </c>
      <c r="AD685" s="2">
        <v>1.04E-2</v>
      </c>
      <c r="AE685" s="2">
        <v>1.5299999999999999E-2</v>
      </c>
      <c r="AF685" s="2">
        <v>-3.1899999999999998E-2</v>
      </c>
      <c r="AG685" s="2">
        <v>-1.44E-2</v>
      </c>
      <c r="AH685" t="s">
        <v>6438</v>
      </c>
      <c r="AI685" t="s">
        <v>130</v>
      </c>
      <c r="AJ685" t="s">
        <v>131</v>
      </c>
      <c r="AK685" t="s">
        <v>40</v>
      </c>
      <c r="AL685">
        <v>1</v>
      </c>
      <c r="AM685" t="s">
        <v>41</v>
      </c>
      <c r="AN685" t="s">
        <v>42</v>
      </c>
      <c r="AO685" t="s">
        <v>6435</v>
      </c>
      <c r="AP685" t="s">
        <v>2886</v>
      </c>
      <c r="AQ685" t="s">
        <v>2886</v>
      </c>
      <c r="AR685" t="s">
        <v>3144</v>
      </c>
      <c r="AS685" t="s">
        <v>3144</v>
      </c>
    </row>
    <row r="686" spans="1:54" x14ac:dyDescent="0.4">
      <c r="A686" t="s">
        <v>4453</v>
      </c>
      <c r="B686" t="s">
        <v>10</v>
      </c>
      <c r="C686" t="s">
        <v>1714</v>
      </c>
      <c r="D686" t="s">
        <v>11</v>
      </c>
      <c r="E686" s="2">
        <v>-1.4E-3</v>
      </c>
      <c r="F686" t="s">
        <v>310</v>
      </c>
      <c r="G686" s="4">
        <f>-0.14 / -0.14%</f>
        <v>100</v>
      </c>
      <c r="H686" t="s">
        <v>1714</v>
      </c>
      <c r="I686" t="s">
        <v>7342</v>
      </c>
      <c r="J686" t="s">
        <v>7343</v>
      </c>
      <c r="K686" t="s">
        <v>23</v>
      </c>
      <c r="L686" s="2">
        <v>6.7000000000000004E-2</v>
      </c>
      <c r="M686" t="s">
        <v>4641</v>
      </c>
      <c r="N686" t="s">
        <v>121</v>
      </c>
      <c r="O686" t="s">
        <v>1640</v>
      </c>
      <c r="P686" t="s">
        <v>259</v>
      </c>
      <c r="Q686" t="s">
        <v>259</v>
      </c>
      <c r="R686" t="s">
        <v>259</v>
      </c>
      <c r="S686" t="s">
        <v>2262</v>
      </c>
      <c r="T686" t="s">
        <v>2262</v>
      </c>
      <c r="U686" t="s">
        <v>2262</v>
      </c>
      <c r="V686" t="s">
        <v>2175</v>
      </c>
      <c r="W686" t="s">
        <v>5655</v>
      </c>
      <c r="X686" t="s">
        <v>7344</v>
      </c>
      <c r="Y686" t="s">
        <v>7344</v>
      </c>
      <c r="Z686" t="s">
        <v>7344</v>
      </c>
      <c r="AA686" t="s">
        <v>7344</v>
      </c>
      <c r="AB686" s="2">
        <v>-2.8999999999999998E-3</v>
      </c>
      <c r="AC686" s="2">
        <v>-1.5800000000000002E-2</v>
      </c>
      <c r="AD686" s="2">
        <v>-3.5000000000000001E-3</v>
      </c>
      <c r="AE686" s="2">
        <v>2.0400000000000001E-2</v>
      </c>
      <c r="AF686" s="2">
        <v>2.0400000000000001E-2</v>
      </c>
      <c r="AG686" s="2">
        <v>2.0400000000000001E-2</v>
      </c>
      <c r="AH686" t="s">
        <v>7345</v>
      </c>
      <c r="AI686" t="s">
        <v>130</v>
      </c>
      <c r="AJ686" t="s">
        <v>131</v>
      </c>
      <c r="AK686" t="s">
        <v>40</v>
      </c>
      <c r="AL686">
        <v>2</v>
      </c>
      <c r="AM686" t="s">
        <v>41</v>
      </c>
      <c r="AN686" t="s">
        <v>42</v>
      </c>
      <c r="AO686" t="s">
        <v>1640</v>
      </c>
      <c r="AP686" t="s">
        <v>407</v>
      </c>
      <c r="AQ686">
        <v>2</v>
      </c>
      <c r="BA686" t="s">
        <v>197</v>
      </c>
      <c r="BB686" t="s">
        <v>61</v>
      </c>
    </row>
    <row r="687" spans="1:54" x14ac:dyDescent="0.4">
      <c r="A687" t="s">
        <v>4462</v>
      </c>
      <c r="B687" t="s">
        <v>10</v>
      </c>
      <c r="C687" t="s">
        <v>4580</v>
      </c>
      <c r="D687" t="s">
        <v>11</v>
      </c>
      <c r="E687" s="2">
        <v>1.4E-3</v>
      </c>
      <c r="F687" t="s">
        <v>178</v>
      </c>
      <c r="G687" s="4" t="s">
        <v>1522</v>
      </c>
      <c r="H687" t="s">
        <v>4580</v>
      </c>
      <c r="I687" t="s">
        <v>5134</v>
      </c>
      <c r="J687" t="s">
        <v>5135</v>
      </c>
      <c r="K687" t="s">
        <v>23</v>
      </c>
      <c r="L687" s="2">
        <v>5.8749999999999997E-2</v>
      </c>
      <c r="M687" t="s">
        <v>3430</v>
      </c>
      <c r="N687" t="s">
        <v>28</v>
      </c>
      <c r="O687" t="s">
        <v>5136</v>
      </c>
      <c r="P687" t="s">
        <v>2325</v>
      </c>
      <c r="Q687" t="s">
        <v>2325</v>
      </c>
      <c r="R687" t="s">
        <v>2325</v>
      </c>
      <c r="S687" t="s">
        <v>2325</v>
      </c>
      <c r="T687" t="s">
        <v>5137</v>
      </c>
      <c r="U687" t="s">
        <v>5137</v>
      </c>
      <c r="V687" t="s">
        <v>2180</v>
      </c>
      <c r="W687" t="s">
        <v>5138</v>
      </c>
      <c r="X687" t="s">
        <v>5139</v>
      </c>
      <c r="Y687" t="s">
        <v>5139</v>
      </c>
      <c r="Z687" t="s">
        <v>5140</v>
      </c>
      <c r="AA687" t="s">
        <v>5140</v>
      </c>
      <c r="AB687" s="2">
        <v>-2.8E-3</v>
      </c>
      <c r="AC687" s="2">
        <v>-1.47E-2</v>
      </c>
      <c r="AD687" s="2">
        <v>-1.7500000000000002E-2</v>
      </c>
      <c r="AE687" s="2">
        <v>-1.4E-2</v>
      </c>
      <c r="AF687" s="2">
        <v>-4.0500000000000001E-2</v>
      </c>
      <c r="AG687" s="2">
        <v>1.8599999999999998E-2</v>
      </c>
      <c r="AH687" t="s">
        <v>5141</v>
      </c>
      <c r="AI687" t="s">
        <v>130</v>
      </c>
      <c r="AJ687" t="s">
        <v>131</v>
      </c>
      <c r="AK687" t="s">
        <v>40</v>
      </c>
      <c r="AL687">
        <v>100</v>
      </c>
      <c r="AM687" t="s">
        <v>41</v>
      </c>
      <c r="AN687" t="s">
        <v>42</v>
      </c>
      <c r="AO687" t="s">
        <v>5136</v>
      </c>
      <c r="AP687" t="s">
        <v>3387</v>
      </c>
      <c r="AQ687" t="s">
        <v>3387</v>
      </c>
      <c r="AR687" t="s">
        <v>2350</v>
      </c>
      <c r="AS687" t="s">
        <v>2350</v>
      </c>
    </row>
    <row r="688" spans="1:54" x14ac:dyDescent="0.4">
      <c r="A688" t="s">
        <v>961</v>
      </c>
      <c r="B688" t="s">
        <v>10</v>
      </c>
      <c r="C688" t="s">
        <v>3838</v>
      </c>
      <c r="D688" t="s">
        <v>11</v>
      </c>
      <c r="E688" s="2">
        <v>-2.3E-3</v>
      </c>
      <c r="F688" t="s">
        <v>12</v>
      </c>
      <c r="G688" s="4">
        <f>-0.16 / -0.23%</f>
        <v>69.565217391304344</v>
      </c>
      <c r="H688" t="s">
        <v>3838</v>
      </c>
      <c r="I688" t="s">
        <v>3839</v>
      </c>
      <c r="J688" t="s">
        <v>3840</v>
      </c>
      <c r="K688" t="s">
        <v>23</v>
      </c>
      <c r="M688" t="s">
        <v>3841</v>
      </c>
      <c r="N688" t="s">
        <v>28</v>
      </c>
      <c r="O688" t="s">
        <v>3736</v>
      </c>
      <c r="P688" t="s">
        <v>3842</v>
      </c>
      <c r="Q688" t="s">
        <v>3842</v>
      </c>
      <c r="R688" t="s">
        <v>3842</v>
      </c>
      <c r="S688" t="s">
        <v>3843</v>
      </c>
      <c r="T688" t="s">
        <v>3844</v>
      </c>
      <c r="U688" t="s">
        <v>3844</v>
      </c>
      <c r="V688" t="s">
        <v>3845</v>
      </c>
      <c r="W688" t="s">
        <v>3846</v>
      </c>
      <c r="X688" t="s">
        <v>3846</v>
      </c>
      <c r="Y688" t="s">
        <v>3846</v>
      </c>
      <c r="Z688" t="s">
        <v>3846</v>
      </c>
      <c r="AA688" t="s">
        <v>905</v>
      </c>
      <c r="AB688" s="2">
        <v>-2.76E-2</v>
      </c>
      <c r="AC688" s="2">
        <v>-2.12E-2</v>
      </c>
      <c r="AD688" s="2">
        <v>3.8999999999999998E-3</v>
      </c>
      <c r="AE688" s="2">
        <v>9.5999999999999992E-3</v>
      </c>
      <c r="AF688" s="2">
        <v>-1.04E-2</v>
      </c>
      <c r="AG688" s="2">
        <v>-0.28470000000000001</v>
      </c>
      <c r="AH688" t="s">
        <v>670</v>
      </c>
      <c r="AI688" t="s">
        <v>130</v>
      </c>
      <c r="AJ688" t="s">
        <v>131</v>
      </c>
      <c r="AK688" t="s">
        <v>40</v>
      </c>
      <c r="AL688">
        <v>1</v>
      </c>
      <c r="AM688" t="s">
        <v>41</v>
      </c>
      <c r="AN688" t="s">
        <v>42</v>
      </c>
      <c r="AO688" t="s">
        <v>3736</v>
      </c>
      <c r="AP688" t="s">
        <v>3847</v>
      </c>
      <c r="AQ688" t="s">
        <v>3847</v>
      </c>
      <c r="AR688" t="s">
        <v>48</v>
      </c>
      <c r="AS688" t="s">
        <v>48</v>
      </c>
      <c r="AT688" t="s">
        <v>3848</v>
      </c>
    </row>
    <row r="689" spans="1:54" x14ac:dyDescent="0.4">
      <c r="A689" t="s">
        <v>630</v>
      </c>
      <c r="B689" t="s">
        <v>10</v>
      </c>
      <c r="C689" s="1">
        <v>99885</v>
      </c>
      <c r="D689" t="s">
        <v>11</v>
      </c>
      <c r="E689" s="2">
        <v>-1.5E-3</v>
      </c>
      <c r="F689" t="s">
        <v>12</v>
      </c>
      <c r="G689" s="4">
        <f>-0.15 / -0.15%</f>
        <v>100</v>
      </c>
      <c r="H689" s="1">
        <v>99885</v>
      </c>
      <c r="I689" t="s">
        <v>1220</v>
      </c>
      <c r="J689" t="s">
        <v>1221</v>
      </c>
      <c r="K689" t="s">
        <v>23</v>
      </c>
      <c r="L689" s="2">
        <v>2.5000000000000001E-2</v>
      </c>
      <c r="M689" t="s">
        <v>1222</v>
      </c>
      <c r="N689" t="s">
        <v>28</v>
      </c>
      <c r="O689" t="s">
        <v>1223</v>
      </c>
      <c r="P689" t="s">
        <v>31</v>
      </c>
      <c r="Q689" t="s">
        <v>31</v>
      </c>
      <c r="R689" s="1">
        <v>97505</v>
      </c>
      <c r="S689" s="1">
        <v>96975</v>
      </c>
      <c r="T689" t="s">
        <v>1224</v>
      </c>
      <c r="U689" t="s">
        <v>1224</v>
      </c>
      <c r="V689" s="1">
        <v>101135</v>
      </c>
      <c r="W689" s="1">
        <v>102145</v>
      </c>
      <c r="X689" s="1">
        <v>102145</v>
      </c>
      <c r="Y689" s="1">
        <v>102145</v>
      </c>
      <c r="Z689" s="1">
        <v>102395</v>
      </c>
      <c r="AA689" s="1">
        <v>102395</v>
      </c>
      <c r="AB689" s="2">
        <v>-1.0699999999999999E-2</v>
      </c>
      <c r="AC689" s="2">
        <v>-1.2699999999999999E-2</v>
      </c>
      <c r="AD689" s="2">
        <v>3.7000000000000002E-3</v>
      </c>
      <c r="AE689" s="2">
        <v>-1.5E-3</v>
      </c>
      <c r="AF689" s="2">
        <v>-3.7000000000000002E-3</v>
      </c>
      <c r="AG689" s="2">
        <v>-3.7000000000000002E-3</v>
      </c>
      <c r="AH689" t="s">
        <v>670</v>
      </c>
      <c r="AI689" t="s">
        <v>130</v>
      </c>
      <c r="AJ689" t="s">
        <v>131</v>
      </c>
      <c r="AK689" t="s">
        <v>40</v>
      </c>
      <c r="AL689">
        <v>1</v>
      </c>
      <c r="AM689" t="s">
        <v>41</v>
      </c>
      <c r="AN689" t="s">
        <v>42</v>
      </c>
      <c r="AO689" t="s">
        <v>1223</v>
      </c>
      <c r="AP689" t="s">
        <v>1225</v>
      </c>
      <c r="AQ689" t="s">
        <v>1225</v>
      </c>
      <c r="AR689" t="s">
        <v>48</v>
      </c>
      <c r="AS689" t="s">
        <v>48</v>
      </c>
    </row>
    <row r="690" spans="1:54" x14ac:dyDescent="0.4">
      <c r="A690" t="s">
        <v>76</v>
      </c>
      <c r="B690" t="s">
        <v>10</v>
      </c>
      <c r="C690" t="s">
        <v>660</v>
      </c>
      <c r="D690" t="s">
        <v>11</v>
      </c>
      <c r="E690" s="2">
        <v>-8.9999999999999998E-4</v>
      </c>
      <c r="F690" t="s">
        <v>12</v>
      </c>
      <c r="G690" s="4">
        <f>-0.085 / -0.09%</f>
        <v>94.444444444444457</v>
      </c>
      <c r="H690" t="s">
        <v>660</v>
      </c>
      <c r="I690" t="s">
        <v>661</v>
      </c>
      <c r="J690" t="s">
        <v>662</v>
      </c>
      <c r="K690" t="s">
        <v>23</v>
      </c>
      <c r="L690" s="2">
        <v>7.4999999999999997E-3</v>
      </c>
      <c r="M690" t="s">
        <v>663</v>
      </c>
      <c r="N690" t="s">
        <v>28</v>
      </c>
      <c r="O690" t="s">
        <v>664</v>
      </c>
      <c r="P690" t="s">
        <v>665</v>
      </c>
      <c r="Q690" t="s">
        <v>666</v>
      </c>
      <c r="R690" t="s">
        <v>667</v>
      </c>
      <c r="S690" t="s">
        <v>668</v>
      </c>
      <c r="T690" s="1">
        <v>90645</v>
      </c>
      <c r="U690" s="1">
        <v>90645</v>
      </c>
      <c r="V690" t="s">
        <v>669</v>
      </c>
      <c r="W690" s="1">
        <v>97025</v>
      </c>
      <c r="X690" s="1">
        <v>97025</v>
      </c>
      <c r="Y690" s="1">
        <v>97025</v>
      </c>
      <c r="Z690" s="1">
        <v>97025</v>
      </c>
      <c r="AA690" s="1">
        <v>105835</v>
      </c>
      <c r="AB690" s="2">
        <v>-5.1000000000000004E-3</v>
      </c>
      <c r="AC690" s="2">
        <v>-2.5999999999999999E-3</v>
      </c>
      <c r="AD690" s="2">
        <v>1.52E-2</v>
      </c>
      <c r="AE690" s="2">
        <v>1.9900000000000001E-2</v>
      </c>
      <c r="AF690" s="2">
        <v>0.03</v>
      </c>
      <c r="AG690" s="2">
        <v>-9.0700000000000003E-2</v>
      </c>
      <c r="AH690" t="s">
        <v>670</v>
      </c>
      <c r="AI690" t="s">
        <v>130</v>
      </c>
      <c r="AJ690" t="s">
        <v>131</v>
      </c>
      <c r="AK690" t="s">
        <v>40</v>
      </c>
      <c r="AL690">
        <v>1</v>
      </c>
      <c r="AM690" t="s">
        <v>41</v>
      </c>
      <c r="AN690" t="s">
        <v>42</v>
      </c>
      <c r="AO690" t="s">
        <v>664</v>
      </c>
      <c r="AP690" t="s">
        <v>671</v>
      </c>
      <c r="AQ690" t="s">
        <v>671</v>
      </c>
      <c r="AR690" t="s">
        <v>48</v>
      </c>
      <c r="AS690" t="s">
        <v>48</v>
      </c>
    </row>
    <row r="691" spans="1:54" x14ac:dyDescent="0.4">
      <c r="A691" t="s">
        <v>630</v>
      </c>
      <c r="B691" t="s">
        <v>10</v>
      </c>
      <c r="C691" s="1">
        <v>94505</v>
      </c>
      <c r="D691" t="s">
        <v>11</v>
      </c>
      <c r="E691" s="2">
        <v>-1.2999999999999999E-3</v>
      </c>
      <c r="F691" t="s">
        <v>12</v>
      </c>
      <c r="G691" s="4">
        <f>-0.125 / -0.13%</f>
        <v>96.15384615384616</v>
      </c>
      <c r="H691" s="1">
        <v>94505</v>
      </c>
      <c r="I691" t="s">
        <v>3129</v>
      </c>
      <c r="J691" t="s">
        <v>3130</v>
      </c>
      <c r="K691" t="s">
        <v>23</v>
      </c>
      <c r="L691" s="2">
        <v>7.4999999999999997E-3</v>
      </c>
      <c r="M691" t="s">
        <v>3131</v>
      </c>
      <c r="N691" t="s">
        <v>28</v>
      </c>
      <c r="O691" t="s">
        <v>3132</v>
      </c>
      <c r="P691" t="s">
        <v>3133</v>
      </c>
      <c r="Q691" s="1">
        <v>94145</v>
      </c>
      <c r="R691" t="s">
        <v>3134</v>
      </c>
      <c r="S691" t="s">
        <v>2084</v>
      </c>
      <c r="T691" t="s">
        <v>774</v>
      </c>
      <c r="U691" t="s">
        <v>774</v>
      </c>
      <c r="V691" t="s">
        <v>3135</v>
      </c>
      <c r="W691" t="s">
        <v>3136</v>
      </c>
      <c r="X691" t="s">
        <v>3136</v>
      </c>
      <c r="Y691" t="s">
        <v>3136</v>
      </c>
      <c r="Z691" t="s">
        <v>3136</v>
      </c>
      <c r="AA691" t="s">
        <v>2153</v>
      </c>
      <c r="AB691" s="2">
        <v>-6.7000000000000002E-3</v>
      </c>
      <c r="AC691" s="2">
        <v>-5.4999999999999997E-3</v>
      </c>
      <c r="AD691" s="2">
        <v>1.37E-2</v>
      </c>
      <c r="AE691" s="2">
        <v>1.7600000000000001E-2</v>
      </c>
      <c r="AF691" s="2">
        <v>2.7400000000000001E-2</v>
      </c>
      <c r="AG691" s="2">
        <v>-0.112</v>
      </c>
      <c r="AH691" t="s">
        <v>670</v>
      </c>
      <c r="AI691" t="s">
        <v>130</v>
      </c>
      <c r="AJ691" t="s">
        <v>131</v>
      </c>
      <c r="AK691" t="s">
        <v>40</v>
      </c>
      <c r="AL691">
        <v>1</v>
      </c>
      <c r="AM691" t="s">
        <v>41</v>
      </c>
      <c r="AN691" t="s">
        <v>42</v>
      </c>
      <c r="AO691" t="s">
        <v>3132</v>
      </c>
      <c r="AP691" t="s">
        <v>3137</v>
      </c>
      <c r="AQ691" t="s">
        <v>3137</v>
      </c>
      <c r="AR691" t="s">
        <v>48</v>
      </c>
      <c r="AS691" t="s">
        <v>48</v>
      </c>
    </row>
    <row r="692" spans="1:54" x14ac:dyDescent="0.4">
      <c r="A692" t="s">
        <v>630</v>
      </c>
      <c r="B692" t="s">
        <v>10</v>
      </c>
      <c r="C692" t="s">
        <v>2723</v>
      </c>
      <c r="D692" t="s">
        <v>11</v>
      </c>
      <c r="E692" s="2">
        <v>-1E-4</v>
      </c>
      <c r="F692" t="s">
        <v>12</v>
      </c>
      <c r="G692" s="4">
        <f>-0.011 / -0.01%</f>
        <v>109.99999999999999</v>
      </c>
      <c r="H692" t="s">
        <v>2723</v>
      </c>
      <c r="I692" t="s">
        <v>5896</v>
      </c>
      <c r="J692" t="s">
        <v>5897</v>
      </c>
      <c r="K692" t="s">
        <v>23</v>
      </c>
      <c r="L692" s="2">
        <v>1.0330000000000001E-2</v>
      </c>
      <c r="M692" t="s">
        <v>5898</v>
      </c>
      <c r="N692" t="s">
        <v>28</v>
      </c>
      <c r="O692" t="s">
        <v>5899</v>
      </c>
      <c r="P692" s="1">
        <v>98187</v>
      </c>
      <c r="Q692" s="1">
        <v>98128</v>
      </c>
      <c r="R692" s="1">
        <v>97175</v>
      </c>
      <c r="S692" s="1">
        <v>96434</v>
      </c>
      <c r="T692" t="s">
        <v>2844</v>
      </c>
      <c r="U692" t="s">
        <v>2844</v>
      </c>
      <c r="V692" s="1">
        <v>98976</v>
      </c>
      <c r="W692" s="1">
        <v>98976</v>
      </c>
      <c r="X692" t="s">
        <v>2760</v>
      </c>
      <c r="Y692" t="s">
        <v>2760</v>
      </c>
      <c r="Z692" t="s">
        <v>2760</v>
      </c>
      <c r="AA692" s="1">
        <v>103655</v>
      </c>
      <c r="AB692" s="2">
        <v>4.1000000000000003E-3</v>
      </c>
      <c r="AC692" s="2">
        <v>3.0999999999999999E-3</v>
      </c>
      <c r="AD692" s="2">
        <v>1.5100000000000001E-2</v>
      </c>
      <c r="AE692" s="2">
        <v>2.2700000000000001E-2</v>
      </c>
      <c r="AF692" s="2">
        <v>3.8399999999999997E-2</v>
      </c>
      <c r="AG692" s="2">
        <v>-4.53E-2</v>
      </c>
      <c r="AH692" t="s">
        <v>5900</v>
      </c>
      <c r="AI692" t="s">
        <v>36</v>
      </c>
      <c r="AJ692" t="s">
        <v>131</v>
      </c>
      <c r="AK692" t="s">
        <v>40</v>
      </c>
      <c r="AL692">
        <v>1</v>
      </c>
      <c r="AM692" t="s">
        <v>41</v>
      </c>
      <c r="AN692" t="s">
        <v>42</v>
      </c>
      <c r="AO692" t="s">
        <v>5899</v>
      </c>
      <c r="AP692" t="s">
        <v>978</v>
      </c>
      <c r="AQ692" t="s">
        <v>978</v>
      </c>
      <c r="AR692" t="s">
        <v>48</v>
      </c>
      <c r="AS692" t="s">
        <v>48</v>
      </c>
    </row>
    <row r="693" spans="1:54" x14ac:dyDescent="0.4">
      <c r="A693" t="s">
        <v>630</v>
      </c>
      <c r="B693" t="s">
        <v>10</v>
      </c>
      <c r="C693" t="s">
        <v>5901</v>
      </c>
      <c r="D693" t="s">
        <v>11</v>
      </c>
      <c r="E693" s="2">
        <v>-2.0999999999999999E-3</v>
      </c>
      <c r="F693" t="s">
        <v>12</v>
      </c>
      <c r="G693" s="4">
        <f>-0.19 / -0.21%</f>
        <v>90.476190476190482</v>
      </c>
      <c r="H693" t="s">
        <v>5901</v>
      </c>
      <c r="I693" t="s">
        <v>5902</v>
      </c>
      <c r="J693" t="s">
        <v>5903</v>
      </c>
      <c r="K693" t="s">
        <v>23</v>
      </c>
      <c r="L693" s="2">
        <v>7.4999999999999997E-3</v>
      </c>
      <c r="M693" t="s">
        <v>3423</v>
      </c>
      <c r="N693" t="s">
        <v>28</v>
      </c>
      <c r="O693" t="s">
        <v>4699</v>
      </c>
      <c r="P693" t="s">
        <v>5904</v>
      </c>
      <c r="Q693" t="s">
        <v>5904</v>
      </c>
      <c r="R693" s="1">
        <v>87575</v>
      </c>
      <c r="S693" t="s">
        <v>5905</v>
      </c>
      <c r="T693" t="s">
        <v>2802</v>
      </c>
      <c r="U693" t="s">
        <v>2802</v>
      </c>
      <c r="V693" t="s">
        <v>5906</v>
      </c>
      <c r="W693" t="s">
        <v>997</v>
      </c>
      <c r="X693" t="s">
        <v>997</v>
      </c>
      <c r="Y693" t="s">
        <v>997</v>
      </c>
      <c r="Z693" t="s">
        <v>997</v>
      </c>
      <c r="AA693" t="s">
        <v>2941</v>
      </c>
      <c r="AB693" s="2">
        <v>-9.7000000000000003E-3</v>
      </c>
      <c r="AC693" s="2">
        <v>-1.21E-2</v>
      </c>
      <c r="AD693" s="2">
        <v>1.2699999999999999E-2</v>
      </c>
      <c r="AE693" s="2">
        <v>2.07E-2</v>
      </c>
      <c r="AF693" s="2">
        <v>3.9300000000000002E-2</v>
      </c>
      <c r="AG693" s="2">
        <v>-0.1024</v>
      </c>
      <c r="AH693" t="s">
        <v>5900</v>
      </c>
      <c r="AI693" t="s">
        <v>36</v>
      </c>
      <c r="AJ693" t="s">
        <v>131</v>
      </c>
      <c r="AK693" t="s">
        <v>40</v>
      </c>
      <c r="AL693">
        <v>1</v>
      </c>
      <c r="AM693" t="s">
        <v>41</v>
      </c>
      <c r="AN693" t="s">
        <v>42</v>
      </c>
      <c r="AO693" t="s">
        <v>4699</v>
      </c>
      <c r="AP693" t="s">
        <v>225</v>
      </c>
      <c r="AQ693" t="s">
        <v>225</v>
      </c>
      <c r="AR693" t="s">
        <v>48</v>
      </c>
      <c r="AS693" t="s">
        <v>48</v>
      </c>
    </row>
    <row r="694" spans="1:54" x14ac:dyDescent="0.4">
      <c r="A694" t="s">
        <v>630</v>
      </c>
      <c r="B694" t="s">
        <v>10</v>
      </c>
      <c r="C694" t="s">
        <v>6519</v>
      </c>
      <c r="D694" t="s">
        <v>11</v>
      </c>
      <c r="E694" s="2">
        <v>-1.4E-3</v>
      </c>
      <c r="F694" t="s">
        <v>12</v>
      </c>
      <c r="G694" s="4">
        <f>-0.13 / -0.14%</f>
        <v>92.857142857142847</v>
      </c>
      <c r="H694" t="s">
        <v>6519</v>
      </c>
      <c r="I694" t="s">
        <v>6520</v>
      </c>
      <c r="J694" t="s">
        <v>6521</v>
      </c>
      <c r="K694" t="s">
        <v>23</v>
      </c>
      <c r="L694" s="2">
        <v>1E-4</v>
      </c>
      <c r="M694" t="s">
        <v>3440</v>
      </c>
      <c r="N694" t="s">
        <v>28</v>
      </c>
      <c r="O694" t="s">
        <v>6522</v>
      </c>
      <c r="P694" t="s">
        <v>4506</v>
      </c>
      <c r="Q694" t="s">
        <v>4506</v>
      </c>
      <c r="R694" t="s">
        <v>6523</v>
      </c>
      <c r="S694" t="s">
        <v>6524</v>
      </c>
      <c r="T694" s="1">
        <v>83835</v>
      </c>
      <c r="U694" s="1">
        <v>83835</v>
      </c>
      <c r="V694" s="1">
        <v>92185</v>
      </c>
      <c r="W694" t="s">
        <v>956</v>
      </c>
      <c r="X694" t="s">
        <v>956</v>
      </c>
      <c r="Y694" t="s">
        <v>956</v>
      </c>
      <c r="Z694" t="s">
        <v>956</v>
      </c>
      <c r="AA694" t="s">
        <v>234</v>
      </c>
      <c r="AB694" s="2">
        <v>-4.1000000000000003E-3</v>
      </c>
      <c r="AC694" s="2">
        <v>-3.8E-3</v>
      </c>
      <c r="AD694" s="2">
        <v>1.9400000000000001E-2</v>
      </c>
      <c r="AE694" s="2">
        <v>3.1199999999999999E-2</v>
      </c>
      <c r="AF694" s="2">
        <v>6.0499999999999998E-2</v>
      </c>
      <c r="AG694" s="2">
        <v>-7.9100000000000004E-2</v>
      </c>
      <c r="AH694" t="s">
        <v>5900</v>
      </c>
      <c r="AI694" t="s">
        <v>36</v>
      </c>
      <c r="AJ694" t="s">
        <v>131</v>
      </c>
      <c r="AK694" t="s">
        <v>40</v>
      </c>
      <c r="AL694">
        <v>1</v>
      </c>
      <c r="AM694" t="s">
        <v>41</v>
      </c>
      <c r="AN694" t="s">
        <v>42</v>
      </c>
      <c r="AO694" t="s">
        <v>6522</v>
      </c>
      <c r="AP694" t="s">
        <v>407</v>
      </c>
      <c r="AQ694" t="s">
        <v>407</v>
      </c>
      <c r="AR694" t="s">
        <v>48</v>
      </c>
      <c r="AS694" t="s">
        <v>48</v>
      </c>
    </row>
    <row r="695" spans="1:54" x14ac:dyDescent="0.4">
      <c r="A695" t="s">
        <v>4177</v>
      </c>
      <c r="B695" t="s">
        <v>10</v>
      </c>
      <c r="C695" t="s">
        <v>688</v>
      </c>
      <c r="D695" t="s">
        <v>11</v>
      </c>
      <c r="E695" s="2">
        <v>0</v>
      </c>
      <c r="F695" t="s">
        <v>310</v>
      </c>
      <c r="G695" s="4" t="s">
        <v>15</v>
      </c>
      <c r="H695" t="s">
        <v>688</v>
      </c>
      <c r="I695" t="s">
        <v>4178</v>
      </c>
      <c r="J695" t="s">
        <v>4179</v>
      </c>
      <c r="K695" t="s">
        <v>23</v>
      </c>
      <c r="L695" s="2">
        <v>0.04</v>
      </c>
      <c r="M695" t="s">
        <v>4180</v>
      </c>
      <c r="N695" t="s">
        <v>28</v>
      </c>
      <c r="O695" t="s">
        <v>2971</v>
      </c>
      <c r="P695" t="s">
        <v>688</v>
      </c>
      <c r="Q695" t="s">
        <v>2166</v>
      </c>
      <c r="R695" t="s">
        <v>2166</v>
      </c>
      <c r="S695" t="s">
        <v>2166</v>
      </c>
      <c r="T695" t="s">
        <v>4181</v>
      </c>
      <c r="U695" t="s">
        <v>4181</v>
      </c>
      <c r="V695" t="s">
        <v>688</v>
      </c>
      <c r="W695" t="s">
        <v>257</v>
      </c>
      <c r="X695" t="s">
        <v>257</v>
      </c>
      <c r="Y695" t="s">
        <v>257</v>
      </c>
      <c r="Z695" t="s">
        <v>257</v>
      </c>
      <c r="AA695" t="s">
        <v>257</v>
      </c>
      <c r="AB695" s="2">
        <v>0</v>
      </c>
      <c r="AC695" s="2">
        <v>0.94020000000000004</v>
      </c>
      <c r="AD695" s="2">
        <v>0.21260000000000001</v>
      </c>
      <c r="AE695" s="2">
        <v>0.29349999999999998</v>
      </c>
      <c r="AF695" s="2">
        <v>1.0209999999999999</v>
      </c>
      <c r="AG695" s="2">
        <v>0.21260000000000001</v>
      </c>
      <c r="AH695" t="s">
        <v>4182</v>
      </c>
      <c r="AI695" t="s">
        <v>232</v>
      </c>
      <c r="AJ695" t="s">
        <v>131</v>
      </c>
      <c r="AK695" t="s">
        <v>40</v>
      </c>
      <c r="AL695">
        <v>1</v>
      </c>
      <c r="AM695" t="s">
        <v>41</v>
      </c>
      <c r="AN695" t="s">
        <v>42</v>
      </c>
      <c r="AO695" t="s">
        <v>2971</v>
      </c>
      <c r="AP695" t="s">
        <v>4183</v>
      </c>
      <c r="BA695" t="s">
        <v>197</v>
      </c>
      <c r="BB695" t="s">
        <v>61</v>
      </c>
    </row>
    <row r="696" spans="1:54" x14ac:dyDescent="0.4">
      <c r="A696" t="s">
        <v>251</v>
      </c>
      <c r="B696" t="s">
        <v>10</v>
      </c>
      <c r="C696" t="s">
        <v>976</v>
      </c>
      <c r="D696" t="s">
        <v>11</v>
      </c>
      <c r="E696" s="2">
        <v>0</v>
      </c>
      <c r="F696" t="s">
        <v>12</v>
      </c>
      <c r="G696" s="4" t="s">
        <v>15</v>
      </c>
      <c r="H696" t="s">
        <v>976</v>
      </c>
      <c r="I696" t="s">
        <v>4785</v>
      </c>
      <c r="J696" t="s">
        <v>4786</v>
      </c>
      <c r="K696" t="s">
        <v>23</v>
      </c>
      <c r="L696" s="2">
        <v>0.1212</v>
      </c>
      <c r="M696" t="s">
        <v>4787</v>
      </c>
      <c r="N696" t="s">
        <v>636</v>
      </c>
      <c r="O696" t="s">
        <v>2722</v>
      </c>
      <c r="P696" t="s">
        <v>976</v>
      </c>
      <c r="Q696" t="s">
        <v>362</v>
      </c>
      <c r="R696" t="s">
        <v>2214</v>
      </c>
      <c r="S696" t="s">
        <v>2214</v>
      </c>
      <c r="T696" t="s">
        <v>2214</v>
      </c>
      <c r="U696" t="s">
        <v>2214</v>
      </c>
      <c r="V696" t="s">
        <v>976</v>
      </c>
      <c r="W696" t="s">
        <v>976</v>
      </c>
      <c r="X696" t="s">
        <v>641</v>
      </c>
      <c r="Y696" t="s">
        <v>641</v>
      </c>
      <c r="Z696" t="s">
        <v>641</v>
      </c>
      <c r="AA696" t="s">
        <v>641</v>
      </c>
      <c r="AB696" s="2">
        <v>0</v>
      </c>
      <c r="AC696" s="2">
        <v>0</v>
      </c>
      <c r="AD696" s="2">
        <v>1.01E-2</v>
      </c>
      <c r="AE696" s="2">
        <v>1.01E-2</v>
      </c>
      <c r="AF696" s="2">
        <v>1.01E-2</v>
      </c>
      <c r="AG696" s="2">
        <v>1.01E-2</v>
      </c>
      <c r="AH696" t="s">
        <v>4788</v>
      </c>
      <c r="AI696" t="s">
        <v>130</v>
      </c>
      <c r="AJ696" t="s">
        <v>131</v>
      </c>
      <c r="AK696" t="s">
        <v>40</v>
      </c>
      <c r="AL696" t="s">
        <v>4789</v>
      </c>
      <c r="AM696" t="s">
        <v>41</v>
      </c>
      <c r="AN696" t="s">
        <v>42</v>
      </c>
      <c r="AO696" t="s">
        <v>2722</v>
      </c>
      <c r="AP696" t="s">
        <v>443</v>
      </c>
      <c r="AQ696" t="s">
        <v>443</v>
      </c>
      <c r="AR696" t="s">
        <v>2671</v>
      </c>
      <c r="AS696" t="s">
        <v>2671</v>
      </c>
    </row>
    <row r="697" spans="1:54" x14ac:dyDescent="0.4">
      <c r="A697" t="s">
        <v>115</v>
      </c>
      <c r="B697" t="s">
        <v>10</v>
      </c>
      <c r="C697" t="s">
        <v>1129</v>
      </c>
      <c r="D697" t="s">
        <v>11</v>
      </c>
      <c r="E697" s="2">
        <v>-5.0000000000000001E-4</v>
      </c>
      <c r="F697" t="s">
        <v>12</v>
      </c>
      <c r="G697" s="4">
        <f>-0.05 / -0.05%</f>
        <v>100</v>
      </c>
      <c r="H697" t="s">
        <v>1129</v>
      </c>
      <c r="I697" t="s">
        <v>1130</v>
      </c>
      <c r="J697" t="s">
        <v>1131</v>
      </c>
      <c r="K697" t="s">
        <v>23</v>
      </c>
      <c r="L697" s="2">
        <v>4.3499999999999997E-2</v>
      </c>
      <c r="M697" t="s">
        <v>1132</v>
      </c>
      <c r="N697" t="s">
        <v>28</v>
      </c>
      <c r="O697" t="s">
        <v>1133</v>
      </c>
      <c r="P697" t="s">
        <v>346</v>
      </c>
      <c r="Q697" t="s">
        <v>346</v>
      </c>
      <c r="R697" t="s">
        <v>1134</v>
      </c>
      <c r="S697" t="s">
        <v>1065</v>
      </c>
      <c r="T697" t="s">
        <v>1135</v>
      </c>
      <c r="U697" t="s">
        <v>1135</v>
      </c>
      <c r="V697" t="s">
        <v>1136</v>
      </c>
      <c r="W697" t="s">
        <v>1137</v>
      </c>
      <c r="X697" t="s">
        <v>1137</v>
      </c>
      <c r="Y697" t="s">
        <v>1137</v>
      </c>
      <c r="Z697" t="s">
        <v>1137</v>
      </c>
      <c r="AA697" t="s">
        <v>1137</v>
      </c>
      <c r="AB697" s="2">
        <v>-7.4999999999999997E-3</v>
      </c>
      <c r="AC697" s="2">
        <v>-6.4000000000000003E-3</v>
      </c>
      <c r="AD697" s="2">
        <v>1.35E-2</v>
      </c>
      <c r="AE697" s="2">
        <v>2.7099999999999999E-2</v>
      </c>
      <c r="AF697" s="2">
        <v>3.7400000000000003E-2</v>
      </c>
      <c r="AG697" s="2">
        <v>3.7400000000000003E-2</v>
      </c>
      <c r="AH697" t="s">
        <v>834</v>
      </c>
      <c r="AI697" t="s">
        <v>620</v>
      </c>
      <c r="AJ697" t="s">
        <v>131</v>
      </c>
      <c r="AK697" t="s">
        <v>40</v>
      </c>
      <c r="AL697">
        <v>50</v>
      </c>
      <c r="AM697" t="s">
        <v>41</v>
      </c>
      <c r="AN697" t="s">
        <v>42</v>
      </c>
      <c r="AO697" t="s">
        <v>1133</v>
      </c>
      <c r="AP697" t="s">
        <v>1138</v>
      </c>
      <c r="AQ697" t="s">
        <v>1138</v>
      </c>
      <c r="AR697" t="s">
        <v>48</v>
      </c>
      <c r="AS697" t="s">
        <v>48</v>
      </c>
    </row>
    <row r="698" spans="1:54" x14ac:dyDescent="0.4">
      <c r="A698" t="s">
        <v>823</v>
      </c>
      <c r="B698" t="s">
        <v>10</v>
      </c>
      <c r="C698" t="s">
        <v>824</v>
      </c>
      <c r="D698" t="s">
        <v>11</v>
      </c>
      <c r="E698" s="2">
        <v>-2.0000000000000001E-4</v>
      </c>
      <c r="F698" t="s">
        <v>363</v>
      </c>
      <c r="G698" s="4">
        <f>-0.02 / -0.02%</f>
        <v>100</v>
      </c>
      <c r="H698" t="s">
        <v>824</v>
      </c>
      <c r="I698" t="s">
        <v>825</v>
      </c>
      <c r="J698" t="s">
        <v>826</v>
      </c>
      <c r="K698" t="s">
        <v>23</v>
      </c>
      <c r="L698" s="2">
        <v>3.1E-2</v>
      </c>
      <c r="M698" t="s">
        <v>827</v>
      </c>
      <c r="N698" t="s">
        <v>28</v>
      </c>
      <c r="O698" t="s">
        <v>828</v>
      </c>
      <c r="P698" t="s">
        <v>829</v>
      </c>
      <c r="Q698" t="s">
        <v>829</v>
      </c>
      <c r="R698" t="s">
        <v>829</v>
      </c>
      <c r="S698" t="s">
        <v>830</v>
      </c>
      <c r="T698" t="s">
        <v>831</v>
      </c>
      <c r="U698" t="s">
        <v>831</v>
      </c>
      <c r="V698" t="s">
        <v>832</v>
      </c>
      <c r="W698" t="s">
        <v>832</v>
      </c>
      <c r="X698" t="s">
        <v>832</v>
      </c>
      <c r="Y698" t="s">
        <v>832</v>
      </c>
      <c r="Z698" t="s">
        <v>833</v>
      </c>
      <c r="AA698" t="s">
        <v>833</v>
      </c>
      <c r="AB698" s="2">
        <v>-1.5E-3</v>
      </c>
      <c r="AC698" s="2">
        <v>-2.9999999999999997E-4</v>
      </c>
      <c r="AD698" s="2">
        <v>4.0000000000000002E-4</v>
      </c>
      <c r="AE698" s="2">
        <v>-2E-3</v>
      </c>
      <c r="AF698" s="2">
        <v>-1E-3</v>
      </c>
      <c r="AG698" s="2">
        <v>-1E-3</v>
      </c>
      <c r="AH698" t="s">
        <v>834</v>
      </c>
      <c r="AI698" t="s">
        <v>620</v>
      </c>
      <c r="AJ698" t="s">
        <v>131</v>
      </c>
      <c r="AK698" t="s">
        <v>40</v>
      </c>
      <c r="AL698">
        <v>1</v>
      </c>
      <c r="AM698" t="s">
        <v>41</v>
      </c>
      <c r="AN698" t="s">
        <v>42</v>
      </c>
      <c r="AO698" t="s">
        <v>828</v>
      </c>
      <c r="AP698" t="s">
        <v>835</v>
      </c>
      <c r="AQ698" t="s">
        <v>835</v>
      </c>
      <c r="AR698" t="s">
        <v>48</v>
      </c>
      <c r="AS698" t="s">
        <v>48</v>
      </c>
    </row>
    <row r="699" spans="1:54" x14ac:dyDescent="0.4">
      <c r="A699" t="s">
        <v>115</v>
      </c>
      <c r="B699" t="s">
        <v>10</v>
      </c>
      <c r="C699" t="s">
        <v>257</v>
      </c>
      <c r="D699" t="s">
        <v>11</v>
      </c>
      <c r="E699" s="2">
        <v>0</v>
      </c>
      <c r="F699" t="s">
        <v>12</v>
      </c>
      <c r="G699" s="4" t="s">
        <v>15</v>
      </c>
      <c r="H699" t="s">
        <v>257</v>
      </c>
      <c r="I699" t="s">
        <v>3122</v>
      </c>
      <c r="J699" t="s">
        <v>3123</v>
      </c>
      <c r="K699" t="s">
        <v>23</v>
      </c>
      <c r="L699" s="2">
        <v>1.0999999999999999E-2</v>
      </c>
      <c r="M699" t="s">
        <v>1363</v>
      </c>
      <c r="N699" t="s">
        <v>28</v>
      </c>
      <c r="O699" t="s">
        <v>3124</v>
      </c>
      <c r="P699" t="s">
        <v>2610</v>
      </c>
      <c r="Q699" t="s">
        <v>625</v>
      </c>
      <c r="R699" t="s">
        <v>3125</v>
      </c>
      <c r="S699" t="s">
        <v>220</v>
      </c>
      <c r="T699" t="s">
        <v>3126</v>
      </c>
      <c r="U699" t="s">
        <v>3126</v>
      </c>
      <c r="V699" t="s">
        <v>1964</v>
      </c>
      <c r="W699" t="s">
        <v>1964</v>
      </c>
      <c r="X699" t="s">
        <v>1964</v>
      </c>
      <c r="Y699" t="s">
        <v>1964</v>
      </c>
      <c r="Z699" t="s">
        <v>1964</v>
      </c>
      <c r="AA699" t="s">
        <v>369</v>
      </c>
      <c r="AB699" s="2">
        <v>1.1999999999999999E-3</v>
      </c>
      <c r="AC699" s="2">
        <v>5.1000000000000004E-3</v>
      </c>
      <c r="AD699" s="2">
        <v>1.6500000000000001E-2</v>
      </c>
      <c r="AE699" s="2">
        <v>2.9100000000000001E-2</v>
      </c>
      <c r="AF699" s="2">
        <v>6.1800000000000001E-2</v>
      </c>
      <c r="AG699" s="2">
        <v>-2.6100000000000002E-2</v>
      </c>
      <c r="AH699" t="s">
        <v>834</v>
      </c>
      <c r="AI699" t="s">
        <v>620</v>
      </c>
      <c r="AJ699" t="s">
        <v>131</v>
      </c>
      <c r="AK699" t="s">
        <v>40</v>
      </c>
      <c r="AL699">
        <v>1</v>
      </c>
      <c r="AM699" t="s">
        <v>41</v>
      </c>
      <c r="AN699" t="s">
        <v>42</v>
      </c>
      <c r="AO699" t="s">
        <v>3124</v>
      </c>
      <c r="AP699" t="s">
        <v>3127</v>
      </c>
      <c r="AQ699" t="s">
        <v>3127</v>
      </c>
      <c r="AR699" t="s">
        <v>48</v>
      </c>
      <c r="AS699" t="s">
        <v>48</v>
      </c>
    </row>
    <row r="700" spans="1:54" x14ac:dyDescent="0.4">
      <c r="A700" t="s">
        <v>961</v>
      </c>
      <c r="B700" t="s">
        <v>10</v>
      </c>
      <c r="C700" t="s">
        <v>1297</v>
      </c>
      <c r="D700" t="s">
        <v>11</v>
      </c>
      <c r="E700" s="2">
        <v>-2.9999999999999997E-4</v>
      </c>
      <c r="F700" t="s">
        <v>12</v>
      </c>
      <c r="G700" s="4">
        <f>-0.03 / -0.03%</f>
        <v>100</v>
      </c>
      <c r="H700" t="s">
        <v>1297</v>
      </c>
      <c r="I700" t="s">
        <v>3250</v>
      </c>
      <c r="J700" t="s">
        <v>3251</v>
      </c>
      <c r="K700" t="s">
        <v>23</v>
      </c>
      <c r="L700" s="2">
        <v>8.5000000000000006E-3</v>
      </c>
      <c r="M700" t="s">
        <v>3252</v>
      </c>
      <c r="N700" t="s">
        <v>28</v>
      </c>
      <c r="O700" t="s">
        <v>3253</v>
      </c>
      <c r="P700" t="s">
        <v>666</v>
      </c>
      <c r="Q700" t="s">
        <v>666</v>
      </c>
      <c r="R700" t="s">
        <v>3254</v>
      </c>
      <c r="S700" t="s">
        <v>1277</v>
      </c>
      <c r="T700" t="s">
        <v>3255</v>
      </c>
      <c r="U700" t="s">
        <v>3255</v>
      </c>
      <c r="V700" t="s">
        <v>2577</v>
      </c>
      <c r="W700" t="s">
        <v>1227</v>
      </c>
      <c r="X700" t="s">
        <v>1227</v>
      </c>
      <c r="Y700" t="s">
        <v>1227</v>
      </c>
      <c r="Z700" t="s">
        <v>1227</v>
      </c>
      <c r="AA700" t="s">
        <v>3256</v>
      </c>
      <c r="AB700" s="2">
        <v>-2E-3</v>
      </c>
      <c r="AC700" s="2">
        <v>1.8E-3</v>
      </c>
      <c r="AD700" s="2">
        <v>2.3099999999999999E-2</v>
      </c>
      <c r="AE700" s="2">
        <v>3.7199999999999997E-2</v>
      </c>
      <c r="AF700" s="2">
        <v>7.8899999999999998E-2</v>
      </c>
      <c r="AG700" s="2">
        <v>-3.6900000000000002E-2</v>
      </c>
      <c r="AH700" t="s">
        <v>834</v>
      </c>
      <c r="AI700" t="s">
        <v>620</v>
      </c>
      <c r="AJ700" t="s">
        <v>131</v>
      </c>
      <c r="AK700" t="s">
        <v>40</v>
      </c>
      <c r="AL700">
        <v>1</v>
      </c>
      <c r="AM700" t="s">
        <v>41</v>
      </c>
      <c r="AN700" t="s">
        <v>42</v>
      </c>
      <c r="AO700" t="s">
        <v>3253</v>
      </c>
      <c r="AP700" t="s">
        <v>978</v>
      </c>
      <c r="AQ700" t="s">
        <v>978</v>
      </c>
      <c r="AR700" t="s">
        <v>48</v>
      </c>
      <c r="AS700" t="s">
        <v>48</v>
      </c>
    </row>
    <row r="701" spans="1:54" x14ac:dyDescent="0.4">
      <c r="A701" t="s">
        <v>4453</v>
      </c>
      <c r="B701" t="s">
        <v>10</v>
      </c>
      <c r="C701" t="s">
        <v>6590</v>
      </c>
      <c r="D701" t="s">
        <v>11</v>
      </c>
      <c r="E701" s="2">
        <v>-8.0000000000000004E-4</v>
      </c>
      <c r="F701" t="s">
        <v>363</v>
      </c>
      <c r="G701" s="4">
        <f>-0.07 / -0.08%</f>
        <v>87.5</v>
      </c>
      <c r="H701" t="s">
        <v>6590</v>
      </c>
      <c r="I701" t="s">
        <v>6591</v>
      </c>
      <c r="J701" t="s">
        <v>6592</v>
      </c>
      <c r="K701" t="s">
        <v>23</v>
      </c>
      <c r="L701" s="2">
        <v>7.4999999999999997E-3</v>
      </c>
      <c r="M701" t="s">
        <v>6593</v>
      </c>
      <c r="N701" t="s">
        <v>28</v>
      </c>
      <c r="O701" t="s">
        <v>5647</v>
      </c>
      <c r="P701" t="s">
        <v>6391</v>
      </c>
      <c r="Q701" t="s">
        <v>3962</v>
      </c>
      <c r="R701" t="s">
        <v>6594</v>
      </c>
      <c r="S701" t="s">
        <v>4690</v>
      </c>
      <c r="T701" t="s">
        <v>6595</v>
      </c>
      <c r="U701" t="s">
        <v>6183</v>
      </c>
      <c r="V701" t="s">
        <v>1934</v>
      </c>
      <c r="W701" t="s">
        <v>3284</v>
      </c>
      <c r="X701" t="s">
        <v>3284</v>
      </c>
      <c r="Y701" t="s">
        <v>3284</v>
      </c>
      <c r="Z701" t="s">
        <v>3284</v>
      </c>
      <c r="AA701" t="s">
        <v>2529</v>
      </c>
      <c r="AB701" s="2">
        <v>-1E-3</v>
      </c>
      <c r="AC701" s="2">
        <v>-4.1999999999999997E-3</v>
      </c>
      <c r="AD701" s="2">
        <v>2.1499999999999998E-2</v>
      </c>
      <c r="AE701" s="2">
        <v>2.87E-2</v>
      </c>
      <c r="AF701" s="2">
        <v>4.9799999999999997E-2</v>
      </c>
      <c r="AG701" s="2">
        <v>-0.1071</v>
      </c>
      <c r="AH701" t="s">
        <v>834</v>
      </c>
      <c r="AI701" t="s">
        <v>620</v>
      </c>
      <c r="AJ701" t="s">
        <v>131</v>
      </c>
      <c r="AK701" t="s">
        <v>40</v>
      </c>
      <c r="AL701">
        <v>1</v>
      </c>
      <c r="AM701" t="s">
        <v>41</v>
      </c>
      <c r="AN701" t="s">
        <v>42</v>
      </c>
      <c r="AO701" t="s">
        <v>5647</v>
      </c>
      <c r="AP701" t="s">
        <v>357</v>
      </c>
      <c r="AQ701" t="s">
        <v>357</v>
      </c>
      <c r="AR701" t="s">
        <v>48</v>
      </c>
      <c r="AS701" t="s">
        <v>48</v>
      </c>
    </row>
    <row r="702" spans="1:54" x14ac:dyDescent="0.4">
      <c r="A702" t="s">
        <v>4453</v>
      </c>
      <c r="B702" t="s">
        <v>10</v>
      </c>
      <c r="C702" t="s">
        <v>6596</v>
      </c>
      <c r="D702" t="s">
        <v>11</v>
      </c>
      <c r="E702" s="2">
        <v>-2.9999999999999997E-4</v>
      </c>
      <c r="F702" t="s">
        <v>1057</v>
      </c>
      <c r="G702" s="4">
        <f>-0.03 / -0.03%</f>
        <v>100</v>
      </c>
      <c r="H702" t="s">
        <v>6596</v>
      </c>
      <c r="I702" t="s">
        <v>6597</v>
      </c>
      <c r="J702" t="s">
        <v>6598</v>
      </c>
      <c r="K702" t="s">
        <v>23</v>
      </c>
      <c r="L702" s="2">
        <v>1E-4</v>
      </c>
      <c r="M702" t="s">
        <v>3741</v>
      </c>
      <c r="N702" t="s">
        <v>28</v>
      </c>
      <c r="O702" t="s">
        <v>6599</v>
      </c>
      <c r="P702" t="s">
        <v>6600</v>
      </c>
      <c r="Q702" t="s">
        <v>996</v>
      </c>
      <c r="R702" t="s">
        <v>5911</v>
      </c>
      <c r="S702" t="s">
        <v>6331</v>
      </c>
      <c r="T702" t="s">
        <v>3219</v>
      </c>
      <c r="U702" t="s">
        <v>3219</v>
      </c>
      <c r="V702" t="s">
        <v>5265</v>
      </c>
      <c r="W702" t="s">
        <v>1651</v>
      </c>
      <c r="X702" t="s">
        <v>1651</v>
      </c>
      <c r="Y702" t="s">
        <v>1651</v>
      </c>
      <c r="Z702" t="s">
        <v>1651</v>
      </c>
      <c r="AA702" t="s">
        <v>279</v>
      </c>
      <c r="AB702" s="2">
        <v>1.1999999999999999E-3</v>
      </c>
      <c r="AC702" s="2">
        <v>2.3999999999999998E-3</v>
      </c>
      <c r="AD702" s="2">
        <v>2.6200000000000001E-2</v>
      </c>
      <c r="AE702" s="2">
        <v>3.73E-2</v>
      </c>
      <c r="AF702" s="2">
        <v>6.7699999999999996E-2</v>
      </c>
      <c r="AG702" s="2">
        <v>-4.65E-2</v>
      </c>
      <c r="AH702" t="s">
        <v>834</v>
      </c>
      <c r="AI702" t="s">
        <v>620</v>
      </c>
      <c r="AJ702" t="s">
        <v>131</v>
      </c>
      <c r="AK702" t="s">
        <v>40</v>
      </c>
      <c r="AL702">
        <v>1</v>
      </c>
      <c r="AM702" t="s">
        <v>41</v>
      </c>
      <c r="AN702" t="s">
        <v>42</v>
      </c>
      <c r="AO702" t="s">
        <v>6599</v>
      </c>
      <c r="AP702" t="s">
        <v>225</v>
      </c>
      <c r="AQ702" t="s">
        <v>225</v>
      </c>
      <c r="AR702" t="s">
        <v>48</v>
      </c>
      <c r="AS702" t="s">
        <v>48</v>
      </c>
    </row>
    <row r="703" spans="1:54" x14ac:dyDescent="0.4">
      <c r="A703" t="s">
        <v>1520</v>
      </c>
      <c r="B703" t="s">
        <v>10</v>
      </c>
      <c r="C703" t="s">
        <v>1521</v>
      </c>
      <c r="D703" t="s">
        <v>11</v>
      </c>
      <c r="E703" s="2">
        <v>1.4E-3</v>
      </c>
      <c r="F703" t="s">
        <v>12</v>
      </c>
      <c r="G703" s="4" t="s">
        <v>1522</v>
      </c>
      <c r="H703" t="s">
        <v>1521</v>
      </c>
      <c r="I703" t="s">
        <v>1523</v>
      </c>
      <c r="J703" t="s">
        <v>1524</v>
      </c>
      <c r="K703" t="s">
        <v>23</v>
      </c>
      <c r="L703" s="2">
        <v>2.6249999999999999E-2</v>
      </c>
      <c r="M703" t="s">
        <v>240</v>
      </c>
      <c r="N703" t="s">
        <v>28</v>
      </c>
      <c r="O703" t="s">
        <v>575</v>
      </c>
      <c r="P703" t="s">
        <v>1525</v>
      </c>
      <c r="Q703" t="s">
        <v>1525</v>
      </c>
      <c r="R703" t="s">
        <v>1525</v>
      </c>
      <c r="S703" t="s">
        <v>1054</v>
      </c>
      <c r="T703" t="s">
        <v>1054</v>
      </c>
      <c r="U703" t="s">
        <v>1054</v>
      </c>
      <c r="V703" t="s">
        <v>464</v>
      </c>
      <c r="W703" t="s">
        <v>329</v>
      </c>
      <c r="X703" t="s">
        <v>329</v>
      </c>
      <c r="Y703" t="s">
        <v>329</v>
      </c>
      <c r="Z703" t="s">
        <v>329</v>
      </c>
      <c r="AA703" t="s">
        <v>329</v>
      </c>
      <c r="AB703" s="2">
        <v>-7.0000000000000001E-3</v>
      </c>
      <c r="AC703" s="2">
        <v>-1.11E-2</v>
      </c>
      <c r="AD703" s="2">
        <v>5.4999999999999997E-3</v>
      </c>
      <c r="AE703" s="2">
        <v>4.5999999999999999E-3</v>
      </c>
      <c r="AF703" s="2">
        <v>3.3999999999999998E-3</v>
      </c>
      <c r="AG703" s="2">
        <v>3.3999999999999998E-3</v>
      </c>
      <c r="AH703" t="s">
        <v>1526</v>
      </c>
      <c r="AI703" t="s">
        <v>130</v>
      </c>
      <c r="AJ703" t="s">
        <v>131</v>
      </c>
      <c r="AK703" t="s">
        <v>40</v>
      </c>
      <c r="AL703">
        <v>1</v>
      </c>
      <c r="AM703" t="s">
        <v>41</v>
      </c>
      <c r="AN703" t="s">
        <v>42</v>
      </c>
      <c r="AO703" t="s">
        <v>575</v>
      </c>
      <c r="AP703" t="s">
        <v>225</v>
      </c>
      <c r="AQ703" t="s">
        <v>225</v>
      </c>
      <c r="AR703" t="s">
        <v>48</v>
      </c>
      <c r="AS703" t="s">
        <v>48</v>
      </c>
    </row>
    <row r="704" spans="1:54" x14ac:dyDescent="0.4">
      <c r="A704" t="s">
        <v>4518</v>
      </c>
      <c r="B704" t="s">
        <v>10</v>
      </c>
      <c r="C704" s="1">
        <v>104445</v>
      </c>
      <c r="D704" t="s">
        <v>11</v>
      </c>
      <c r="E704" s="2">
        <v>1.1999999999999999E-3</v>
      </c>
      <c r="F704" t="s">
        <v>12</v>
      </c>
      <c r="G704" s="4" t="s">
        <v>5145</v>
      </c>
      <c r="H704" s="1">
        <v>104445</v>
      </c>
      <c r="I704" t="s">
        <v>5146</v>
      </c>
      <c r="J704" t="s">
        <v>5147</v>
      </c>
      <c r="K704" t="s">
        <v>23</v>
      </c>
      <c r="L704" s="2">
        <v>6.9599999999999995E-2</v>
      </c>
      <c r="M704" t="s">
        <v>107</v>
      </c>
      <c r="N704" t="s">
        <v>28</v>
      </c>
      <c r="O704" t="s">
        <v>5148</v>
      </c>
      <c r="P704" t="s">
        <v>5149</v>
      </c>
      <c r="Q704" s="1">
        <v>103745</v>
      </c>
      <c r="R704" t="s">
        <v>2312</v>
      </c>
      <c r="S704" t="s">
        <v>2312</v>
      </c>
      <c r="T704" s="1">
        <v>98415</v>
      </c>
      <c r="U704" s="1">
        <v>98415</v>
      </c>
      <c r="V704" s="1">
        <v>104445</v>
      </c>
      <c r="W704" s="1">
        <v>104445</v>
      </c>
      <c r="X704" t="s">
        <v>547</v>
      </c>
      <c r="Y704" s="1">
        <v>105105</v>
      </c>
      <c r="Z704" s="1">
        <v>105105</v>
      </c>
      <c r="AA704" s="1">
        <v>105105</v>
      </c>
      <c r="AB704" s="2">
        <v>3.2000000000000002E-3</v>
      </c>
      <c r="AC704" s="2">
        <v>1.6000000000000001E-3</v>
      </c>
      <c r="AD704" s="2">
        <v>5.4999999999999997E-3</v>
      </c>
      <c r="AE704" s="2">
        <v>-2.0000000000000001E-4</v>
      </c>
      <c r="AF704" s="2">
        <v>5.5300000000000002E-2</v>
      </c>
      <c r="AG704" s="2">
        <v>5.5300000000000002E-2</v>
      </c>
      <c r="AH704" t="s">
        <v>5150</v>
      </c>
      <c r="AI704" t="s">
        <v>130</v>
      </c>
      <c r="AJ704" t="s">
        <v>131</v>
      </c>
      <c r="AK704" t="s">
        <v>40</v>
      </c>
      <c r="AL704">
        <v>100</v>
      </c>
      <c r="AM704" t="s">
        <v>41</v>
      </c>
      <c r="AN704" t="s">
        <v>42</v>
      </c>
      <c r="AO704" t="s">
        <v>5148</v>
      </c>
      <c r="AP704" t="s">
        <v>225</v>
      </c>
      <c r="AQ704" t="s">
        <v>225</v>
      </c>
      <c r="AR704" t="s">
        <v>48</v>
      </c>
      <c r="AS704" t="s">
        <v>48</v>
      </c>
    </row>
    <row r="705" spans="1:54" x14ac:dyDescent="0.4">
      <c r="A705" t="s">
        <v>2546</v>
      </c>
      <c r="B705" t="s">
        <v>10</v>
      </c>
      <c r="C705" t="s">
        <v>376</v>
      </c>
      <c r="D705" t="s">
        <v>11</v>
      </c>
      <c r="E705" s="2">
        <v>2.3999999999999998E-3</v>
      </c>
      <c r="F705" t="s">
        <v>12</v>
      </c>
      <c r="G705" s="4" t="s">
        <v>409</v>
      </c>
      <c r="H705" t="s">
        <v>376</v>
      </c>
      <c r="I705" t="s">
        <v>1656</v>
      </c>
      <c r="J705" t="s">
        <v>2547</v>
      </c>
      <c r="K705" t="s">
        <v>23</v>
      </c>
      <c r="L705" s="2">
        <v>0.03</v>
      </c>
      <c r="M705" t="s">
        <v>2548</v>
      </c>
      <c r="N705" t="s">
        <v>28</v>
      </c>
      <c r="O705" t="s">
        <v>2035</v>
      </c>
      <c r="P705" t="s">
        <v>1709</v>
      </c>
      <c r="Q705" t="s">
        <v>1709</v>
      </c>
      <c r="R705" t="s">
        <v>523</v>
      </c>
      <c r="S705" s="1">
        <v>99385</v>
      </c>
      <c r="T705" s="1">
        <v>99385</v>
      </c>
      <c r="U705" s="1">
        <v>99385</v>
      </c>
      <c r="V705" t="s">
        <v>2549</v>
      </c>
      <c r="W705" t="s">
        <v>2549</v>
      </c>
      <c r="X705" t="s">
        <v>2550</v>
      </c>
      <c r="Y705" t="s">
        <v>2550</v>
      </c>
      <c r="Z705" t="s">
        <v>2550</v>
      </c>
      <c r="AA705" t="s">
        <v>2550</v>
      </c>
      <c r="AB705" s="2">
        <v>-1.9E-3</v>
      </c>
      <c r="AC705" s="2">
        <v>-4.3E-3</v>
      </c>
      <c r="AD705" s="2">
        <v>8.3999999999999995E-3</v>
      </c>
      <c r="AE705" s="2">
        <v>1.6500000000000001E-2</v>
      </c>
      <c r="AF705" s="2">
        <v>1.6500000000000001E-2</v>
      </c>
      <c r="AG705" s="2">
        <v>1.6500000000000001E-2</v>
      </c>
      <c r="AH705" t="s">
        <v>1020</v>
      </c>
      <c r="AI705" t="s">
        <v>36</v>
      </c>
      <c r="AJ705" t="s">
        <v>131</v>
      </c>
      <c r="AK705" t="s">
        <v>40</v>
      </c>
      <c r="AL705">
        <v>1</v>
      </c>
      <c r="AM705" t="s">
        <v>41</v>
      </c>
      <c r="AN705" t="s">
        <v>42</v>
      </c>
      <c r="AO705" t="s">
        <v>2035</v>
      </c>
      <c r="AP705" t="s">
        <v>1338</v>
      </c>
      <c r="AQ705" t="s">
        <v>1338</v>
      </c>
      <c r="AR705" t="s">
        <v>48</v>
      </c>
      <c r="AS705" t="s">
        <v>48</v>
      </c>
    </row>
    <row r="706" spans="1:54" x14ac:dyDescent="0.4">
      <c r="A706" t="s">
        <v>104</v>
      </c>
      <c r="B706" t="s">
        <v>10</v>
      </c>
      <c r="C706" t="s">
        <v>1008</v>
      </c>
      <c r="D706" t="s">
        <v>11</v>
      </c>
      <c r="E706" s="2">
        <v>-6.4999999999999997E-3</v>
      </c>
      <c r="F706" t="s">
        <v>12</v>
      </c>
      <c r="G706" s="4">
        <f>-0.54 / -0.65%</f>
        <v>83.07692307692308</v>
      </c>
      <c r="H706" t="s">
        <v>1008</v>
      </c>
      <c r="I706" t="s">
        <v>1009</v>
      </c>
      <c r="J706" t="s">
        <v>1010</v>
      </c>
      <c r="K706" t="s">
        <v>23</v>
      </c>
      <c r="L706" s="2">
        <v>1.2500000000000001E-2</v>
      </c>
      <c r="M706" t="s">
        <v>1011</v>
      </c>
      <c r="N706" t="s">
        <v>28</v>
      </c>
      <c r="O706" t="s">
        <v>1012</v>
      </c>
      <c r="P706" t="s">
        <v>1013</v>
      </c>
      <c r="Q706" t="s">
        <v>1013</v>
      </c>
      <c r="R706" t="s">
        <v>1013</v>
      </c>
      <c r="S706" t="s">
        <v>1014</v>
      </c>
      <c r="T706" t="s">
        <v>1015</v>
      </c>
      <c r="U706" t="s">
        <v>1015</v>
      </c>
      <c r="V706" t="s">
        <v>1016</v>
      </c>
      <c r="W706" t="s">
        <v>1017</v>
      </c>
      <c r="X706" t="s">
        <v>1018</v>
      </c>
      <c r="Y706" t="s">
        <v>1018</v>
      </c>
      <c r="Z706" t="s">
        <v>1018</v>
      </c>
      <c r="AA706" t="s">
        <v>1019</v>
      </c>
      <c r="AB706" s="2">
        <v>-2.0500000000000001E-2</v>
      </c>
      <c r="AC706" s="2">
        <v>-2.6200000000000001E-2</v>
      </c>
      <c r="AD706" s="2">
        <v>4.0000000000000001E-3</v>
      </c>
      <c r="AE706" s="2">
        <v>1.12E-2</v>
      </c>
      <c r="AF706" s="2">
        <v>2.12E-2</v>
      </c>
      <c r="AG706" s="2">
        <v>-0.24260000000000001</v>
      </c>
      <c r="AH706" t="s">
        <v>1020</v>
      </c>
      <c r="AI706" t="s">
        <v>36</v>
      </c>
      <c r="AJ706" t="s">
        <v>131</v>
      </c>
      <c r="AK706" t="s">
        <v>40</v>
      </c>
      <c r="AL706">
        <v>1</v>
      </c>
      <c r="AM706" t="s">
        <v>41</v>
      </c>
      <c r="AN706" t="s">
        <v>42</v>
      </c>
      <c r="AO706" t="s">
        <v>1012</v>
      </c>
      <c r="AP706" t="s">
        <v>814</v>
      </c>
      <c r="AQ706" t="s">
        <v>814</v>
      </c>
      <c r="AR706" t="s">
        <v>48</v>
      </c>
      <c r="AS706" t="s">
        <v>48</v>
      </c>
    </row>
    <row r="707" spans="1:54" x14ac:dyDescent="0.4">
      <c r="A707" t="s">
        <v>961</v>
      </c>
      <c r="B707" t="s">
        <v>10</v>
      </c>
      <c r="C707" t="s">
        <v>1297</v>
      </c>
      <c r="D707" t="s">
        <v>11</v>
      </c>
      <c r="E707" s="2">
        <v>8.9999999999999998E-4</v>
      </c>
      <c r="F707" t="s">
        <v>12</v>
      </c>
      <c r="G707" s="4" t="s">
        <v>2696</v>
      </c>
      <c r="H707" t="s">
        <v>1297</v>
      </c>
      <c r="I707" t="s">
        <v>2697</v>
      </c>
      <c r="J707" t="s">
        <v>2698</v>
      </c>
      <c r="K707" t="s">
        <v>23</v>
      </c>
      <c r="L707" s="2">
        <v>7.4999999999999997E-3</v>
      </c>
      <c r="M707" t="s">
        <v>2699</v>
      </c>
      <c r="N707" t="s">
        <v>28</v>
      </c>
      <c r="O707" t="s">
        <v>2700</v>
      </c>
      <c r="P707" s="1">
        <v>95755</v>
      </c>
      <c r="Q707" s="1">
        <v>95755</v>
      </c>
      <c r="R707" t="s">
        <v>2701</v>
      </c>
      <c r="S707" t="s">
        <v>2702</v>
      </c>
      <c r="T707" t="s">
        <v>1422</v>
      </c>
      <c r="U707" t="s">
        <v>1422</v>
      </c>
      <c r="V707" s="1">
        <v>96795</v>
      </c>
      <c r="W707" t="s">
        <v>2577</v>
      </c>
      <c r="X707" t="s">
        <v>2577</v>
      </c>
      <c r="Y707" t="s">
        <v>2577</v>
      </c>
      <c r="Z707" t="s">
        <v>2577</v>
      </c>
      <c r="AA707" t="s">
        <v>2703</v>
      </c>
      <c r="AB707" s="2">
        <v>2.3999999999999998E-3</v>
      </c>
      <c r="AC707" s="2">
        <v>0</v>
      </c>
      <c r="AD707" s="2">
        <v>1.9099999999999999E-2</v>
      </c>
      <c r="AE707" s="2">
        <v>1.7399999999999999E-2</v>
      </c>
      <c r="AF707" s="2">
        <v>4.8000000000000001E-2</v>
      </c>
      <c r="AG707" s="2">
        <v>-6.3100000000000003E-2</v>
      </c>
      <c r="AH707" t="s">
        <v>1020</v>
      </c>
      <c r="AI707" t="s">
        <v>36</v>
      </c>
      <c r="AJ707" t="s">
        <v>131</v>
      </c>
      <c r="AK707" t="s">
        <v>40</v>
      </c>
      <c r="AL707">
        <v>1</v>
      </c>
      <c r="AM707" t="s">
        <v>41</v>
      </c>
      <c r="AN707" t="s">
        <v>42</v>
      </c>
      <c r="AO707" t="s">
        <v>2700</v>
      </c>
      <c r="AP707" t="s">
        <v>1338</v>
      </c>
      <c r="AQ707" t="s">
        <v>1338</v>
      </c>
      <c r="AR707" t="s">
        <v>48</v>
      </c>
      <c r="AS707" t="s">
        <v>48</v>
      </c>
    </row>
    <row r="708" spans="1:54" x14ac:dyDescent="0.4">
      <c r="A708" t="s">
        <v>630</v>
      </c>
      <c r="B708" t="s">
        <v>10</v>
      </c>
      <c r="C708" t="s">
        <v>1552</v>
      </c>
      <c r="D708" t="s">
        <v>11</v>
      </c>
      <c r="E708" s="2">
        <v>0</v>
      </c>
      <c r="F708" t="s">
        <v>12</v>
      </c>
      <c r="G708" s="4" t="s">
        <v>15</v>
      </c>
      <c r="H708" t="s">
        <v>1552</v>
      </c>
      <c r="I708" t="s">
        <v>3490</v>
      </c>
      <c r="J708" t="s">
        <v>3491</v>
      </c>
      <c r="K708" t="s">
        <v>23</v>
      </c>
      <c r="L708" s="2">
        <v>7.4999999999999997E-2</v>
      </c>
      <c r="M708" t="s">
        <v>3492</v>
      </c>
      <c r="N708" t="s">
        <v>28</v>
      </c>
      <c r="O708" t="s">
        <v>3493</v>
      </c>
      <c r="P708" t="s">
        <v>1122</v>
      </c>
      <c r="Q708" t="s">
        <v>3494</v>
      </c>
      <c r="R708" t="s">
        <v>3495</v>
      </c>
      <c r="S708" t="s">
        <v>3496</v>
      </c>
      <c r="T708" t="s">
        <v>3496</v>
      </c>
      <c r="U708" t="s">
        <v>3497</v>
      </c>
      <c r="V708" t="s">
        <v>2001</v>
      </c>
      <c r="W708" t="s">
        <v>2001</v>
      </c>
      <c r="X708" t="s">
        <v>2001</v>
      </c>
      <c r="Y708" t="s">
        <v>2001</v>
      </c>
      <c r="Z708" t="s">
        <v>2001</v>
      </c>
      <c r="AA708" t="s">
        <v>2001</v>
      </c>
      <c r="AB708" s="2">
        <v>-0.02</v>
      </c>
      <c r="AC708" s="2">
        <v>6.4600000000000005E-2</v>
      </c>
      <c r="AD708" s="2">
        <v>4.48E-2</v>
      </c>
      <c r="AE708" s="2">
        <v>-0.02</v>
      </c>
      <c r="AF708" s="2">
        <v>-3.73E-2</v>
      </c>
      <c r="AG708" s="2">
        <v>2.0799999999999999E-2</v>
      </c>
      <c r="AH708" t="s">
        <v>1020</v>
      </c>
      <c r="AI708" t="s">
        <v>130</v>
      </c>
      <c r="AJ708" t="s">
        <v>131</v>
      </c>
      <c r="AK708" t="s">
        <v>40</v>
      </c>
      <c r="AL708">
        <v>100</v>
      </c>
      <c r="AM708" t="s">
        <v>41</v>
      </c>
      <c r="AN708" t="s">
        <v>42</v>
      </c>
      <c r="AO708" t="s">
        <v>3493</v>
      </c>
      <c r="AP708" t="s">
        <v>225</v>
      </c>
      <c r="AQ708" t="s">
        <v>225</v>
      </c>
      <c r="AR708" t="s">
        <v>3498</v>
      </c>
      <c r="AS708" t="s">
        <v>3498</v>
      </c>
    </row>
    <row r="709" spans="1:54" x14ac:dyDescent="0.4">
      <c r="A709" t="s">
        <v>604</v>
      </c>
      <c r="B709" t="s">
        <v>10</v>
      </c>
      <c r="C709" t="s">
        <v>110</v>
      </c>
      <c r="D709" t="s">
        <v>11</v>
      </c>
      <c r="E709" s="2">
        <v>-1.5E-3</v>
      </c>
      <c r="F709" t="s">
        <v>12</v>
      </c>
      <c r="G709" s="4">
        <f>-0.15 / -0.15%</f>
        <v>100</v>
      </c>
      <c r="H709" t="s">
        <v>110</v>
      </c>
      <c r="I709" t="s">
        <v>605</v>
      </c>
      <c r="J709" t="s">
        <v>606</v>
      </c>
      <c r="K709" t="s">
        <v>23</v>
      </c>
      <c r="L709" s="2">
        <v>3.6249999999999998E-2</v>
      </c>
      <c r="M709" t="s">
        <v>607</v>
      </c>
      <c r="N709" t="s">
        <v>28</v>
      </c>
      <c r="O709" t="s">
        <v>608</v>
      </c>
      <c r="P709" t="s">
        <v>110</v>
      </c>
      <c r="Q709" t="s">
        <v>110</v>
      </c>
      <c r="R709" t="s">
        <v>110</v>
      </c>
      <c r="S709" t="s">
        <v>110</v>
      </c>
      <c r="T709" t="s">
        <v>110</v>
      </c>
      <c r="U709" t="s">
        <v>110</v>
      </c>
      <c r="V709" t="s">
        <v>609</v>
      </c>
      <c r="W709" t="s">
        <v>609</v>
      </c>
      <c r="X709" t="s">
        <v>609</v>
      </c>
      <c r="Y709" t="s">
        <v>609</v>
      </c>
      <c r="Z709" t="s">
        <v>609</v>
      </c>
      <c r="AA709" t="s">
        <v>609</v>
      </c>
      <c r="AB709" s="2">
        <v>-1E-3</v>
      </c>
      <c r="AC709" s="2">
        <v>-1E-3</v>
      </c>
      <c r="AD709" s="2">
        <v>-1E-3</v>
      </c>
      <c r="AE709" s="2">
        <v>-1E-3</v>
      </c>
      <c r="AF709" s="2">
        <v>-1E-3</v>
      </c>
      <c r="AG709" s="2">
        <v>-1E-3</v>
      </c>
      <c r="AH709" t="s">
        <v>610</v>
      </c>
      <c r="AI709" t="s">
        <v>130</v>
      </c>
      <c r="AJ709" t="s">
        <v>131</v>
      </c>
      <c r="AK709" t="s">
        <v>40</v>
      </c>
      <c r="AL709">
        <v>100</v>
      </c>
      <c r="AM709" t="s">
        <v>41</v>
      </c>
      <c r="AN709" t="s">
        <v>42</v>
      </c>
      <c r="AO709" t="s">
        <v>608</v>
      </c>
      <c r="AP709" t="s">
        <v>225</v>
      </c>
      <c r="AQ709" t="s">
        <v>225</v>
      </c>
      <c r="AR709" t="s">
        <v>48</v>
      </c>
      <c r="AS709" t="s">
        <v>48</v>
      </c>
    </row>
    <row r="710" spans="1:54" x14ac:dyDescent="0.4">
      <c r="A710" t="s">
        <v>630</v>
      </c>
      <c r="B710" t="s">
        <v>10</v>
      </c>
      <c r="C710" t="s">
        <v>666</v>
      </c>
      <c r="D710" t="s">
        <v>11</v>
      </c>
      <c r="E710" s="2">
        <v>-6.9999999999999999E-4</v>
      </c>
      <c r="F710" t="s">
        <v>12</v>
      </c>
      <c r="G710" s="4">
        <f>-0.07 / -0.07%</f>
        <v>100</v>
      </c>
      <c r="H710" t="s">
        <v>666</v>
      </c>
      <c r="I710" t="s">
        <v>3993</v>
      </c>
      <c r="J710" t="s">
        <v>3994</v>
      </c>
      <c r="K710" t="s">
        <v>23</v>
      </c>
      <c r="L710" s="2">
        <v>1.7500000000000002E-2</v>
      </c>
      <c r="M710" t="s">
        <v>3995</v>
      </c>
      <c r="N710" t="s">
        <v>28</v>
      </c>
      <c r="O710" t="s">
        <v>3996</v>
      </c>
      <c r="P710" s="1">
        <v>95315</v>
      </c>
      <c r="Q710" s="1">
        <v>95015</v>
      </c>
      <c r="R710" s="1">
        <v>95015</v>
      </c>
      <c r="S710" t="s">
        <v>3997</v>
      </c>
      <c r="T710" s="1">
        <v>91755</v>
      </c>
      <c r="U710" s="1">
        <v>91755</v>
      </c>
      <c r="V710" t="s">
        <v>3998</v>
      </c>
      <c r="W710" t="s">
        <v>403</v>
      </c>
      <c r="X710" s="1">
        <v>96965</v>
      </c>
      <c r="Y710" s="1">
        <v>96965</v>
      </c>
      <c r="Z710" s="1">
        <v>96965</v>
      </c>
      <c r="AA710" s="1">
        <v>100115</v>
      </c>
      <c r="AB710" s="2">
        <v>2.0000000000000001E-4</v>
      </c>
      <c r="AC710" s="2">
        <v>-1.2999999999999999E-3</v>
      </c>
      <c r="AD710" s="2">
        <v>2E-3</v>
      </c>
      <c r="AE710" s="2">
        <v>1.2E-2</v>
      </c>
      <c r="AF710" s="2">
        <v>-2.7000000000000001E-3</v>
      </c>
      <c r="AG710" s="2">
        <v>-4.1700000000000001E-2</v>
      </c>
      <c r="AH710" t="s">
        <v>3999</v>
      </c>
      <c r="AI710" t="s">
        <v>130</v>
      </c>
      <c r="AJ710" t="s">
        <v>131</v>
      </c>
      <c r="AK710" t="s">
        <v>40</v>
      </c>
      <c r="AL710">
        <v>1</v>
      </c>
      <c r="AM710" t="s">
        <v>41</v>
      </c>
      <c r="AN710" t="s">
        <v>42</v>
      </c>
      <c r="AO710" t="s">
        <v>3996</v>
      </c>
      <c r="AP710" t="s">
        <v>4000</v>
      </c>
      <c r="AQ710" t="s">
        <v>4000</v>
      </c>
      <c r="AR710" t="s">
        <v>2671</v>
      </c>
      <c r="AS710" t="s">
        <v>2671</v>
      </c>
    </row>
    <row r="711" spans="1:54" x14ac:dyDescent="0.4">
      <c r="A711" t="s">
        <v>4769</v>
      </c>
      <c r="B711" t="s">
        <v>10</v>
      </c>
      <c r="C711" t="s">
        <v>2512</v>
      </c>
      <c r="D711" t="s">
        <v>11</v>
      </c>
      <c r="E711" s="2">
        <v>-2.2000000000000001E-3</v>
      </c>
      <c r="F711" t="s">
        <v>12</v>
      </c>
      <c r="G711" s="4">
        <f>-0.235 / -0.22%</f>
        <v>106.8181818181818</v>
      </c>
      <c r="H711" t="s">
        <v>2512</v>
      </c>
      <c r="I711" t="s">
        <v>7045</v>
      </c>
      <c r="J711" t="s">
        <v>7046</v>
      </c>
      <c r="K711" t="s">
        <v>23</v>
      </c>
      <c r="L711" s="2">
        <v>1.6500000000000001E-2</v>
      </c>
      <c r="M711" t="s">
        <v>588</v>
      </c>
      <c r="N711" t="s">
        <v>28</v>
      </c>
      <c r="O711" t="s">
        <v>7042</v>
      </c>
      <c r="P711" s="1">
        <v>104655</v>
      </c>
      <c r="Q711" t="s">
        <v>7047</v>
      </c>
      <c r="R711" t="s">
        <v>7048</v>
      </c>
      <c r="S711" t="s">
        <v>837</v>
      </c>
      <c r="T711" t="s">
        <v>837</v>
      </c>
      <c r="U711" t="s">
        <v>837</v>
      </c>
      <c r="V711" s="1">
        <v>106045</v>
      </c>
      <c r="W711" t="s">
        <v>7049</v>
      </c>
      <c r="X711" t="s">
        <v>7049</v>
      </c>
      <c r="Y711" t="s">
        <v>7049</v>
      </c>
      <c r="Z711" t="s">
        <v>7049</v>
      </c>
      <c r="AA711" t="s">
        <v>7049</v>
      </c>
      <c r="AB711" s="2">
        <v>-9.4999999999999998E-3</v>
      </c>
      <c r="AC711" s="2">
        <v>6.1000000000000004E-3</v>
      </c>
      <c r="AD711" s="2">
        <v>1.8499999999999999E-2</v>
      </c>
      <c r="AE711" s="2">
        <v>5.1700000000000003E-2</v>
      </c>
      <c r="AF711" s="2">
        <v>5.1700000000000003E-2</v>
      </c>
      <c r="AG711" s="2">
        <v>5.1700000000000003E-2</v>
      </c>
      <c r="AH711" t="s">
        <v>7044</v>
      </c>
      <c r="AI711" t="s">
        <v>130</v>
      </c>
      <c r="AJ711" t="s">
        <v>131</v>
      </c>
      <c r="AK711" t="s">
        <v>40</v>
      </c>
      <c r="AL711">
        <v>5</v>
      </c>
      <c r="AM711" t="s">
        <v>41</v>
      </c>
      <c r="AN711" t="s">
        <v>42</v>
      </c>
      <c r="AO711" t="s">
        <v>7042</v>
      </c>
      <c r="AP711" t="s">
        <v>7050</v>
      </c>
      <c r="AQ711" t="s">
        <v>7050</v>
      </c>
      <c r="AR711" t="s">
        <v>1694</v>
      </c>
      <c r="AS711" t="s">
        <v>1694</v>
      </c>
    </row>
    <row r="712" spans="1:54" x14ac:dyDescent="0.4">
      <c r="A712" t="s">
        <v>76</v>
      </c>
      <c r="B712" t="s">
        <v>10</v>
      </c>
      <c r="C712" t="s">
        <v>1721</v>
      </c>
      <c r="D712" t="s">
        <v>11</v>
      </c>
      <c r="E712" s="2">
        <v>-8.0000000000000004E-4</v>
      </c>
      <c r="F712" t="s">
        <v>12</v>
      </c>
      <c r="G712" s="4">
        <f>-0.08 / -0.08%</f>
        <v>100</v>
      </c>
      <c r="H712" t="s">
        <v>1721</v>
      </c>
      <c r="I712" t="s">
        <v>7040</v>
      </c>
      <c r="J712" t="s">
        <v>7041</v>
      </c>
      <c r="K712" t="s">
        <v>23</v>
      </c>
      <c r="L712" s="2">
        <v>1.6E-2</v>
      </c>
      <c r="M712" t="s">
        <v>588</v>
      </c>
      <c r="N712" t="s">
        <v>28</v>
      </c>
      <c r="O712" t="s">
        <v>7042</v>
      </c>
      <c r="P712" s="1">
        <v>102185</v>
      </c>
      <c r="Q712" t="s">
        <v>1538</v>
      </c>
      <c r="R712" t="s">
        <v>1655</v>
      </c>
      <c r="S712" s="1">
        <v>99875</v>
      </c>
      <c r="T712" s="1">
        <v>99875</v>
      </c>
      <c r="U712" s="1">
        <v>99875</v>
      </c>
      <c r="V712" t="s">
        <v>7043</v>
      </c>
      <c r="W712" t="s">
        <v>3120</v>
      </c>
      <c r="X712" t="s">
        <v>3120</v>
      </c>
      <c r="Y712" t="s">
        <v>3120</v>
      </c>
      <c r="Z712" t="s">
        <v>3120</v>
      </c>
      <c r="AA712" t="s">
        <v>3120</v>
      </c>
      <c r="AB712" s="2">
        <v>-4.4999999999999997E-3</v>
      </c>
      <c r="AC712" s="2">
        <v>-8.0000000000000004E-4</v>
      </c>
      <c r="AD712" s="2">
        <v>9.7000000000000003E-3</v>
      </c>
      <c r="AE712" s="2">
        <v>2.0500000000000001E-2</v>
      </c>
      <c r="AF712" s="2">
        <v>2.0500000000000001E-2</v>
      </c>
      <c r="AG712" s="2">
        <v>2.0500000000000001E-2</v>
      </c>
      <c r="AH712" t="s">
        <v>7044</v>
      </c>
      <c r="AI712" t="s">
        <v>130</v>
      </c>
      <c r="AJ712" t="s">
        <v>131</v>
      </c>
      <c r="AK712" t="s">
        <v>40</v>
      </c>
      <c r="AL712">
        <v>5</v>
      </c>
      <c r="AM712" t="s">
        <v>41</v>
      </c>
      <c r="AN712" t="s">
        <v>42</v>
      </c>
      <c r="AO712" t="s">
        <v>7042</v>
      </c>
      <c r="AP712" t="s">
        <v>333</v>
      </c>
      <c r="AQ712" t="s">
        <v>333</v>
      </c>
      <c r="AR712" t="s">
        <v>1694</v>
      </c>
      <c r="AS712" t="s">
        <v>1694</v>
      </c>
    </row>
    <row r="713" spans="1:54" x14ac:dyDescent="0.4">
      <c r="A713" t="s">
        <v>630</v>
      </c>
      <c r="B713" t="s">
        <v>10</v>
      </c>
      <c r="C713" t="s">
        <v>946</v>
      </c>
      <c r="D713" t="s">
        <v>11</v>
      </c>
      <c r="E713" s="2">
        <v>-2.0999999999999999E-3</v>
      </c>
      <c r="F713" t="s">
        <v>12</v>
      </c>
      <c r="G713" s="4">
        <f>-0.17 / -0.21%</f>
        <v>80.952380952380963</v>
      </c>
      <c r="H713" t="s">
        <v>946</v>
      </c>
      <c r="I713" t="s">
        <v>6916</v>
      </c>
      <c r="J713" t="s">
        <v>6917</v>
      </c>
      <c r="K713" t="s">
        <v>23</v>
      </c>
      <c r="L713" s="2">
        <v>1.7000000000000001E-2</v>
      </c>
      <c r="M713" t="s">
        <v>6918</v>
      </c>
      <c r="N713" t="s">
        <v>28</v>
      </c>
      <c r="O713" t="s">
        <v>6919</v>
      </c>
      <c r="P713" t="s">
        <v>6920</v>
      </c>
      <c r="Q713" t="s">
        <v>6920</v>
      </c>
      <c r="R713" t="s">
        <v>6920</v>
      </c>
      <c r="S713" t="s">
        <v>6921</v>
      </c>
      <c r="T713" t="s">
        <v>6922</v>
      </c>
      <c r="U713" t="s">
        <v>6923</v>
      </c>
      <c r="V713" t="s">
        <v>6792</v>
      </c>
      <c r="W713" t="s">
        <v>6924</v>
      </c>
      <c r="X713" t="s">
        <v>6924</v>
      </c>
      <c r="Y713" t="s">
        <v>6924</v>
      </c>
      <c r="Z713" t="s">
        <v>6645</v>
      </c>
      <c r="AA713" t="s">
        <v>6925</v>
      </c>
      <c r="AB713" s="2">
        <v>-1.46E-2</v>
      </c>
      <c r="AC713" s="2">
        <v>-3.3000000000000002E-2</v>
      </c>
      <c r="AD713" s="2">
        <v>-2.2700000000000001E-2</v>
      </c>
      <c r="AE713" s="2">
        <v>-1.6899999999999998E-2</v>
      </c>
      <c r="AF713" s="2">
        <v>-2.5600000000000001E-2</v>
      </c>
      <c r="AG713" s="2">
        <v>-0.26529999999999998</v>
      </c>
      <c r="AH713" t="s">
        <v>6926</v>
      </c>
      <c r="AI713" t="s">
        <v>130</v>
      </c>
      <c r="AJ713" t="s">
        <v>131</v>
      </c>
      <c r="AK713" t="s">
        <v>40</v>
      </c>
      <c r="AL713">
        <v>100</v>
      </c>
      <c r="AM713" t="s">
        <v>41</v>
      </c>
      <c r="AN713" t="s">
        <v>42</v>
      </c>
      <c r="AO713" t="s">
        <v>6919</v>
      </c>
      <c r="AP713" t="s">
        <v>357</v>
      </c>
      <c r="AQ713" t="s">
        <v>357</v>
      </c>
      <c r="AR713" t="s">
        <v>48</v>
      </c>
      <c r="AS713" t="s">
        <v>48</v>
      </c>
    </row>
    <row r="714" spans="1:54" x14ac:dyDescent="0.4">
      <c r="A714" t="s">
        <v>4453</v>
      </c>
      <c r="B714" t="s">
        <v>10</v>
      </c>
      <c r="C714" t="s">
        <v>860</v>
      </c>
      <c r="D714" t="s">
        <v>11</v>
      </c>
      <c r="E714" s="2">
        <v>-5.9999999999999995E-4</v>
      </c>
      <c r="F714" t="s">
        <v>310</v>
      </c>
      <c r="G714" s="4">
        <f>-0.06 / -0.06%</f>
        <v>100</v>
      </c>
      <c r="H714" t="s">
        <v>860</v>
      </c>
      <c r="I714" t="s">
        <v>6418</v>
      </c>
      <c r="J714" t="s">
        <v>6419</v>
      </c>
      <c r="K714" t="s">
        <v>23</v>
      </c>
      <c r="L714" s="2">
        <v>3.125E-2</v>
      </c>
      <c r="M714" t="s">
        <v>815</v>
      </c>
      <c r="N714" t="s">
        <v>28</v>
      </c>
      <c r="O714" t="s">
        <v>1039</v>
      </c>
      <c r="P714" t="s">
        <v>259</v>
      </c>
      <c r="Q714" t="s">
        <v>259</v>
      </c>
      <c r="R714" t="s">
        <v>1196</v>
      </c>
      <c r="S714" t="s">
        <v>2663</v>
      </c>
      <c r="T714" t="s">
        <v>2663</v>
      </c>
      <c r="U714" t="s">
        <v>2663</v>
      </c>
      <c r="V714" t="s">
        <v>3397</v>
      </c>
      <c r="W714" t="s">
        <v>6420</v>
      </c>
      <c r="X714" t="s">
        <v>6420</v>
      </c>
      <c r="Y714" t="s">
        <v>6420</v>
      </c>
      <c r="Z714" t="s">
        <v>6420</v>
      </c>
      <c r="AA714" t="s">
        <v>6420</v>
      </c>
      <c r="AB714" s="2">
        <v>-6.7999999999999996E-3</v>
      </c>
      <c r="AC714" s="2">
        <v>-1.0500000000000001E-2</v>
      </c>
      <c r="AD714" s="2">
        <v>5.1000000000000004E-3</v>
      </c>
      <c r="AE714" s="2">
        <v>1.0800000000000001E-2</v>
      </c>
      <c r="AF714" s="2">
        <v>1.0800000000000001E-2</v>
      </c>
      <c r="AG714" s="2">
        <v>1.0800000000000001E-2</v>
      </c>
      <c r="AH714" t="s">
        <v>6421</v>
      </c>
      <c r="AI714" t="s">
        <v>130</v>
      </c>
      <c r="AJ714" t="s">
        <v>131</v>
      </c>
      <c r="AK714" t="s">
        <v>40</v>
      </c>
      <c r="AL714">
        <v>100</v>
      </c>
      <c r="AM714" t="s">
        <v>41</v>
      </c>
      <c r="AN714" t="s">
        <v>42</v>
      </c>
      <c r="AO714" t="s">
        <v>1039</v>
      </c>
      <c r="AP714" t="s">
        <v>407</v>
      </c>
      <c r="AQ714" t="s">
        <v>407</v>
      </c>
      <c r="AR714" t="s">
        <v>48</v>
      </c>
      <c r="AS714" t="s">
        <v>48</v>
      </c>
    </row>
    <row r="715" spans="1:54" x14ac:dyDescent="0.4">
      <c r="A715" t="s">
        <v>4453</v>
      </c>
      <c r="B715" t="s">
        <v>10</v>
      </c>
      <c r="C715" t="s">
        <v>2108</v>
      </c>
      <c r="D715" t="s">
        <v>11</v>
      </c>
      <c r="E715" s="2">
        <v>5.0000000000000001E-4</v>
      </c>
      <c r="F715" t="s">
        <v>178</v>
      </c>
      <c r="G715" s="4" t="s">
        <v>5706</v>
      </c>
      <c r="H715" t="s">
        <v>2108</v>
      </c>
      <c r="I715" t="s">
        <v>7396</v>
      </c>
      <c r="J715" t="s">
        <v>7397</v>
      </c>
      <c r="K715" t="s">
        <v>23</v>
      </c>
      <c r="L715" s="2">
        <v>2.0650000000000002E-2</v>
      </c>
      <c r="M715" t="s">
        <v>7398</v>
      </c>
      <c r="N715" t="s">
        <v>121</v>
      </c>
      <c r="O715" t="s">
        <v>2225</v>
      </c>
      <c r="P715" t="s">
        <v>7370</v>
      </c>
      <c r="Q715" t="s">
        <v>7370</v>
      </c>
      <c r="R715" t="s">
        <v>7370</v>
      </c>
      <c r="S715" t="s">
        <v>5805</v>
      </c>
      <c r="T715" t="s">
        <v>5673</v>
      </c>
      <c r="U715" t="s">
        <v>7399</v>
      </c>
      <c r="V715" t="s">
        <v>7400</v>
      </c>
      <c r="W715" t="s">
        <v>7401</v>
      </c>
      <c r="X715" t="s">
        <v>2959</v>
      </c>
      <c r="Y715" t="s">
        <v>2959</v>
      </c>
      <c r="Z715" t="s">
        <v>2959</v>
      </c>
      <c r="AA715" t="s">
        <v>1870</v>
      </c>
      <c r="AB715" s="2">
        <v>5.9999999999999995E-4</v>
      </c>
      <c r="AC715" s="2">
        <v>-7.6E-3</v>
      </c>
      <c r="AD715" s="2">
        <v>0.01</v>
      </c>
      <c r="AE715" s="2">
        <v>1.5599999999999999E-2</v>
      </c>
      <c r="AF715" s="2">
        <v>7.7999999999999996E-3</v>
      </c>
      <c r="AG715" s="2">
        <v>-0.1416</v>
      </c>
      <c r="AH715" t="s">
        <v>7402</v>
      </c>
      <c r="AI715" t="s">
        <v>130</v>
      </c>
      <c r="AJ715" t="s">
        <v>131</v>
      </c>
      <c r="AK715" t="s">
        <v>40</v>
      </c>
      <c r="AL715">
        <v>200</v>
      </c>
      <c r="AM715" t="s">
        <v>41</v>
      </c>
      <c r="AN715" t="s">
        <v>42</v>
      </c>
      <c r="AO715" t="s">
        <v>2225</v>
      </c>
      <c r="AP715" t="s">
        <v>407</v>
      </c>
      <c r="AQ715" t="s">
        <v>407</v>
      </c>
      <c r="AR715" t="s">
        <v>133</v>
      </c>
      <c r="AS715" t="s">
        <v>133</v>
      </c>
    </row>
    <row r="716" spans="1:54" x14ac:dyDescent="0.4">
      <c r="A716" t="s">
        <v>4462</v>
      </c>
      <c r="B716" t="s">
        <v>10</v>
      </c>
      <c r="C716" t="s">
        <v>3246</v>
      </c>
      <c r="D716" t="s">
        <v>11</v>
      </c>
      <c r="E716" s="2">
        <v>3.2399999999999998E-2</v>
      </c>
      <c r="F716" t="s">
        <v>1057</v>
      </c>
      <c r="G716" s="4" t="s">
        <v>5735</v>
      </c>
      <c r="H716" t="s">
        <v>3246</v>
      </c>
      <c r="I716" t="s">
        <v>5736</v>
      </c>
      <c r="J716" t="s">
        <v>5737</v>
      </c>
      <c r="K716" t="s">
        <v>23</v>
      </c>
      <c r="L716" s="2">
        <v>6.25E-2</v>
      </c>
      <c r="M716" t="s">
        <v>5738</v>
      </c>
      <c r="N716" t="s">
        <v>121</v>
      </c>
      <c r="O716" t="s">
        <v>5739</v>
      </c>
      <c r="P716" t="s">
        <v>5740</v>
      </c>
      <c r="Q716" t="s">
        <v>5740</v>
      </c>
      <c r="R716" t="s">
        <v>5740</v>
      </c>
      <c r="S716" t="s">
        <v>5740</v>
      </c>
      <c r="T716" t="s">
        <v>5740</v>
      </c>
      <c r="U716" t="s">
        <v>5740</v>
      </c>
      <c r="V716" t="s">
        <v>5741</v>
      </c>
      <c r="W716" t="s">
        <v>5742</v>
      </c>
      <c r="X716" t="s">
        <v>5743</v>
      </c>
      <c r="Y716" t="s">
        <v>5743</v>
      </c>
      <c r="Z716" t="s">
        <v>763</v>
      </c>
      <c r="AA716" t="s">
        <v>763</v>
      </c>
      <c r="AB716" s="2">
        <v>-0.43780000000000002</v>
      </c>
      <c r="AC716" s="2">
        <v>-0.67900000000000005</v>
      </c>
      <c r="AD716" s="2">
        <v>-0.67330000000000001</v>
      </c>
      <c r="AE716" s="2">
        <v>-0.64480000000000004</v>
      </c>
      <c r="AF716" s="2">
        <v>-0.77939999999999998</v>
      </c>
      <c r="AG716" s="2">
        <v>-0.75239999999999996</v>
      </c>
      <c r="AH716" t="s">
        <v>5744</v>
      </c>
      <c r="AI716" t="s">
        <v>130</v>
      </c>
      <c r="AJ716" t="s">
        <v>131</v>
      </c>
      <c r="AK716" t="s">
        <v>40</v>
      </c>
      <c r="AL716">
        <v>200</v>
      </c>
      <c r="AM716" t="s">
        <v>41</v>
      </c>
      <c r="AN716" t="s">
        <v>42</v>
      </c>
      <c r="AO716" t="s">
        <v>5739</v>
      </c>
      <c r="AP716" t="s">
        <v>5745</v>
      </c>
      <c r="BA716" t="s">
        <v>197</v>
      </c>
      <c r="BB716" t="s">
        <v>61</v>
      </c>
    </row>
    <row r="717" spans="1:54" x14ac:dyDescent="0.4">
      <c r="A717" t="s">
        <v>592</v>
      </c>
      <c r="B717" t="s">
        <v>10</v>
      </c>
      <c r="C717" t="s">
        <v>279</v>
      </c>
      <c r="D717" t="s">
        <v>11</v>
      </c>
      <c r="E717" s="2">
        <v>-8.0000000000000004E-4</v>
      </c>
      <c r="F717" t="s">
        <v>12</v>
      </c>
      <c r="G717" s="4">
        <f>-0.08 / -0.08%</f>
        <v>100</v>
      </c>
      <c r="H717" t="s">
        <v>279</v>
      </c>
      <c r="I717" t="s">
        <v>7169</v>
      </c>
      <c r="J717" t="s">
        <v>7170</v>
      </c>
      <c r="K717" t="s">
        <v>23</v>
      </c>
      <c r="L717" s="2">
        <v>3.3750000000000002E-2</v>
      </c>
      <c r="M717" t="s">
        <v>453</v>
      </c>
      <c r="N717" t="s">
        <v>28</v>
      </c>
      <c r="O717" t="s">
        <v>1673</v>
      </c>
      <c r="P717" t="s">
        <v>2214</v>
      </c>
      <c r="Q717" t="s">
        <v>2214</v>
      </c>
      <c r="R717" t="s">
        <v>2214</v>
      </c>
      <c r="S717" t="s">
        <v>2214</v>
      </c>
      <c r="T717" t="s">
        <v>2214</v>
      </c>
      <c r="U717" t="s">
        <v>2214</v>
      </c>
      <c r="V717" t="s">
        <v>2778</v>
      </c>
      <c r="W717" t="s">
        <v>2695</v>
      </c>
      <c r="X717" t="s">
        <v>2695</v>
      </c>
      <c r="Y717" t="s">
        <v>2695</v>
      </c>
      <c r="Z717" t="s">
        <v>2695</v>
      </c>
      <c r="AA717" t="s">
        <v>2695</v>
      </c>
      <c r="AB717" s="2">
        <v>-2.3E-3</v>
      </c>
      <c r="AC717" s="2">
        <v>-4.4999999999999997E-3</v>
      </c>
      <c r="AD717" s="2">
        <v>-4.4999999999999997E-3</v>
      </c>
      <c r="AE717" s="2">
        <v>-4.4999999999999997E-3</v>
      </c>
      <c r="AF717" s="2">
        <v>-4.4999999999999997E-3</v>
      </c>
      <c r="AG717" s="2">
        <v>-4.4999999999999997E-3</v>
      </c>
      <c r="AH717" t="s">
        <v>6029</v>
      </c>
      <c r="AI717" t="s">
        <v>130</v>
      </c>
      <c r="AJ717" t="s">
        <v>131</v>
      </c>
      <c r="AK717" t="s">
        <v>40</v>
      </c>
      <c r="AL717">
        <v>100</v>
      </c>
      <c r="AM717" t="s">
        <v>41</v>
      </c>
      <c r="AN717" t="s">
        <v>42</v>
      </c>
      <c r="AO717" t="s">
        <v>1673</v>
      </c>
      <c r="AP717" t="s">
        <v>225</v>
      </c>
      <c r="AQ717" t="s">
        <v>225</v>
      </c>
      <c r="AR717" t="s">
        <v>48</v>
      </c>
      <c r="AS717" t="s">
        <v>48</v>
      </c>
      <c r="BB717" t="s">
        <v>61</v>
      </c>
    </row>
    <row r="718" spans="1:54" x14ac:dyDescent="0.4">
      <c r="A718" t="s">
        <v>4453</v>
      </c>
      <c r="B718" t="s">
        <v>10</v>
      </c>
      <c r="C718" t="s">
        <v>2379</v>
      </c>
      <c r="D718" t="s">
        <v>11</v>
      </c>
      <c r="E718" s="2">
        <v>-2.9999999999999997E-4</v>
      </c>
      <c r="F718" t="s">
        <v>178</v>
      </c>
      <c r="G718" s="4">
        <f>-0.03 / -0.03%</f>
        <v>100</v>
      </c>
      <c r="H718" t="s">
        <v>2379</v>
      </c>
      <c r="I718" t="s">
        <v>6026</v>
      </c>
      <c r="J718" t="s">
        <v>6027</v>
      </c>
      <c r="K718" t="s">
        <v>23</v>
      </c>
      <c r="L718" s="2">
        <v>3.875E-2</v>
      </c>
      <c r="M718" t="s">
        <v>283</v>
      </c>
      <c r="N718" t="s">
        <v>28</v>
      </c>
      <c r="O718" t="s">
        <v>1162</v>
      </c>
      <c r="P718" t="s">
        <v>3420</v>
      </c>
      <c r="Q718" t="s">
        <v>3420</v>
      </c>
      <c r="R718" t="s">
        <v>451</v>
      </c>
      <c r="S718" t="s">
        <v>2893</v>
      </c>
      <c r="T718" t="s">
        <v>2893</v>
      </c>
      <c r="U718" t="s">
        <v>2893</v>
      </c>
      <c r="V718" t="s">
        <v>3167</v>
      </c>
      <c r="W718" t="s">
        <v>6028</v>
      </c>
      <c r="X718" t="s">
        <v>6028</v>
      </c>
      <c r="Y718" t="s">
        <v>6028</v>
      </c>
      <c r="Z718" t="s">
        <v>6028</v>
      </c>
      <c r="AA718" t="s">
        <v>6028</v>
      </c>
      <c r="AB718" s="2">
        <v>-2.7000000000000001E-3</v>
      </c>
      <c r="AC718" s="2">
        <v>-6.6E-3</v>
      </c>
      <c r="AD718" s="2">
        <v>5.7000000000000002E-3</v>
      </c>
      <c r="AE718" s="2">
        <v>1.67E-2</v>
      </c>
      <c r="AF718" s="2">
        <v>1.67E-2</v>
      </c>
      <c r="AG718" s="2">
        <v>1.67E-2</v>
      </c>
      <c r="AH718" t="s">
        <v>6029</v>
      </c>
      <c r="AI718" t="s">
        <v>130</v>
      </c>
      <c r="AJ718" t="s">
        <v>131</v>
      </c>
      <c r="AK718" t="s">
        <v>40</v>
      </c>
      <c r="AL718">
        <v>100</v>
      </c>
      <c r="AM718" t="s">
        <v>41</v>
      </c>
      <c r="AN718" t="s">
        <v>42</v>
      </c>
      <c r="AO718" t="s">
        <v>1162</v>
      </c>
      <c r="AP718" t="s">
        <v>225</v>
      </c>
      <c r="AQ718" t="s">
        <v>225</v>
      </c>
      <c r="AR718" t="s">
        <v>48</v>
      </c>
      <c r="AS718" t="s">
        <v>48</v>
      </c>
    </row>
    <row r="719" spans="1:54" x14ac:dyDescent="0.4">
      <c r="A719" t="s">
        <v>961</v>
      </c>
      <c r="B719" t="s">
        <v>10</v>
      </c>
      <c r="C719" t="s">
        <v>1594</v>
      </c>
      <c r="D719" t="s">
        <v>11</v>
      </c>
      <c r="E719" s="2">
        <v>5.0000000000000001E-4</v>
      </c>
      <c r="F719" t="s">
        <v>12</v>
      </c>
      <c r="G719" s="4" t="s">
        <v>565</v>
      </c>
      <c r="H719" t="s">
        <v>1594</v>
      </c>
      <c r="I719" t="s">
        <v>3138</v>
      </c>
      <c r="J719" t="s">
        <v>3139</v>
      </c>
      <c r="K719" t="s">
        <v>23</v>
      </c>
      <c r="L719" s="2">
        <v>1.8499999999999999E-2</v>
      </c>
      <c r="M719" t="s">
        <v>3140</v>
      </c>
      <c r="N719" t="s">
        <v>121</v>
      </c>
      <c r="O719" t="s">
        <v>3141</v>
      </c>
      <c r="P719" t="s">
        <v>914</v>
      </c>
      <c r="Q719" t="s">
        <v>1224</v>
      </c>
      <c r="R719" s="1">
        <v>95485</v>
      </c>
      <c r="S719" t="s">
        <v>3142</v>
      </c>
      <c r="T719" s="1">
        <v>90455</v>
      </c>
      <c r="U719" s="1">
        <v>90285</v>
      </c>
      <c r="V719" t="s">
        <v>426</v>
      </c>
      <c r="W719" t="s">
        <v>426</v>
      </c>
      <c r="X719" t="s">
        <v>426</v>
      </c>
      <c r="Y719" t="s">
        <v>426</v>
      </c>
      <c r="Z719" t="s">
        <v>426</v>
      </c>
      <c r="AA719" t="s">
        <v>813</v>
      </c>
      <c r="AB719" s="2">
        <v>3.5999999999999999E-3</v>
      </c>
      <c r="AC719" s="2">
        <v>2E-3</v>
      </c>
      <c r="AD719" s="2">
        <v>1.5699999999999999E-2</v>
      </c>
      <c r="AE719" s="2">
        <v>3.3099999999999997E-2</v>
      </c>
      <c r="AF719" s="2">
        <v>2.9600000000000001E-2</v>
      </c>
      <c r="AG719" s="2">
        <v>-2.1899999999999999E-2</v>
      </c>
      <c r="AH719" t="s">
        <v>3143</v>
      </c>
      <c r="AI719" t="s">
        <v>130</v>
      </c>
      <c r="AJ719" t="s">
        <v>131</v>
      </c>
      <c r="AK719" t="s">
        <v>40</v>
      </c>
      <c r="AL719">
        <v>1</v>
      </c>
      <c r="AM719" t="s">
        <v>41</v>
      </c>
      <c r="AN719" t="s">
        <v>42</v>
      </c>
      <c r="AO719" t="s">
        <v>3141</v>
      </c>
      <c r="AP719" t="s">
        <v>225</v>
      </c>
      <c r="AQ719" t="s">
        <v>225</v>
      </c>
      <c r="AR719" t="s">
        <v>3144</v>
      </c>
      <c r="AS719" t="s">
        <v>3144</v>
      </c>
    </row>
    <row r="720" spans="1:54" x14ac:dyDescent="0.4">
      <c r="A720" t="s">
        <v>4462</v>
      </c>
      <c r="B720" t="s">
        <v>10</v>
      </c>
      <c r="C720" t="s">
        <v>1297</v>
      </c>
      <c r="D720" t="s">
        <v>11</v>
      </c>
      <c r="E720" s="2">
        <v>-1.8E-3</v>
      </c>
      <c r="F720" t="s">
        <v>310</v>
      </c>
      <c r="G720" s="4">
        <f>-0.17 / -0.18%</f>
        <v>94.444444444444457</v>
      </c>
      <c r="H720" t="s">
        <v>1297</v>
      </c>
      <c r="I720" t="s">
        <v>6809</v>
      </c>
      <c r="J720" t="s">
        <v>6810</v>
      </c>
      <c r="K720" t="s">
        <v>23</v>
      </c>
      <c r="L720" s="2">
        <v>3.5999999999999997E-2</v>
      </c>
      <c r="M720" t="s">
        <v>5269</v>
      </c>
      <c r="N720" t="s">
        <v>121</v>
      </c>
      <c r="O720" t="s">
        <v>6811</v>
      </c>
      <c r="P720" t="s">
        <v>5664</v>
      </c>
      <c r="Q720" t="s">
        <v>5664</v>
      </c>
      <c r="R720" t="s">
        <v>6812</v>
      </c>
      <c r="S720" t="s">
        <v>5231</v>
      </c>
      <c r="T720" t="s">
        <v>1892</v>
      </c>
      <c r="U720" t="s">
        <v>3780</v>
      </c>
      <c r="V720" t="s">
        <v>386</v>
      </c>
      <c r="W720" t="s">
        <v>5318</v>
      </c>
      <c r="X720" t="s">
        <v>2806</v>
      </c>
      <c r="Y720" t="s">
        <v>2806</v>
      </c>
      <c r="Z720" t="s">
        <v>2806</v>
      </c>
      <c r="AA720" t="s">
        <v>6813</v>
      </c>
      <c r="AB720" s="2">
        <v>2.9999999999999997E-4</v>
      </c>
      <c r="AC720" s="2">
        <v>-6.8999999999999999E-3</v>
      </c>
      <c r="AD720" s="2">
        <v>5.4000000000000003E-3</v>
      </c>
      <c r="AE720" s="2">
        <v>6.1000000000000004E-3</v>
      </c>
      <c r="AF720" s="2">
        <v>4.8999999999999998E-3</v>
      </c>
      <c r="AG720" s="2">
        <v>-9.1499999999999998E-2</v>
      </c>
      <c r="AH720" t="s">
        <v>6814</v>
      </c>
      <c r="AI720" t="s">
        <v>130</v>
      </c>
      <c r="AJ720" t="s">
        <v>131</v>
      </c>
      <c r="AK720" t="s">
        <v>40</v>
      </c>
      <c r="AL720">
        <v>2</v>
      </c>
      <c r="AM720" t="s">
        <v>41</v>
      </c>
      <c r="AN720" t="s">
        <v>42</v>
      </c>
      <c r="AO720" t="s">
        <v>6811</v>
      </c>
      <c r="AP720" t="s">
        <v>357</v>
      </c>
      <c r="AQ720" t="s">
        <v>357</v>
      </c>
      <c r="AR720" t="s">
        <v>133</v>
      </c>
      <c r="AS720" t="s">
        <v>133</v>
      </c>
    </row>
    <row r="721" spans="1:54" x14ac:dyDescent="0.4">
      <c r="A721" t="s">
        <v>4453</v>
      </c>
      <c r="B721" t="s">
        <v>10</v>
      </c>
      <c r="C721" t="s">
        <v>5548</v>
      </c>
      <c r="D721" t="s">
        <v>11</v>
      </c>
      <c r="E721" s="2">
        <v>1.6000000000000001E-3</v>
      </c>
      <c r="F721" t="s">
        <v>178</v>
      </c>
      <c r="G721" s="4" t="s">
        <v>117</v>
      </c>
      <c r="H721" t="s">
        <v>5548</v>
      </c>
      <c r="I721" t="s">
        <v>7187</v>
      </c>
      <c r="J721" t="s">
        <v>7188</v>
      </c>
      <c r="K721" t="s">
        <v>23</v>
      </c>
      <c r="L721" s="2">
        <v>0.02</v>
      </c>
      <c r="M721" t="s">
        <v>4745</v>
      </c>
      <c r="N721" t="s">
        <v>28</v>
      </c>
      <c r="O721" t="s">
        <v>2383</v>
      </c>
      <c r="P721" t="s">
        <v>7189</v>
      </c>
      <c r="Q721" t="s">
        <v>5294</v>
      </c>
      <c r="R721" t="s">
        <v>5294</v>
      </c>
      <c r="S721" t="s">
        <v>5294</v>
      </c>
      <c r="T721" t="s">
        <v>5294</v>
      </c>
      <c r="U721" t="s">
        <v>5294</v>
      </c>
      <c r="V721" t="s">
        <v>5548</v>
      </c>
      <c r="W721" t="s">
        <v>5442</v>
      </c>
      <c r="X721" t="s">
        <v>5442</v>
      </c>
      <c r="Y721" t="s">
        <v>5442</v>
      </c>
      <c r="Z721" t="s">
        <v>5442</v>
      </c>
      <c r="AA721" t="s">
        <v>5442</v>
      </c>
      <c r="AB721" s="2">
        <v>3.3999999999999998E-3</v>
      </c>
      <c r="AC721" s="2">
        <v>1.4800000000000001E-2</v>
      </c>
      <c r="AD721" s="2">
        <v>1.4800000000000001E-2</v>
      </c>
      <c r="AE721" s="2">
        <v>1.4800000000000001E-2</v>
      </c>
      <c r="AF721" s="2">
        <v>1.4800000000000001E-2</v>
      </c>
      <c r="AG721" s="2">
        <v>1.4800000000000001E-2</v>
      </c>
      <c r="AH721" t="s">
        <v>7190</v>
      </c>
      <c r="AI721" t="s">
        <v>4794</v>
      </c>
      <c r="AJ721" t="s">
        <v>131</v>
      </c>
      <c r="AK721" t="s">
        <v>40</v>
      </c>
      <c r="AL721">
        <v>100</v>
      </c>
      <c r="AM721" t="s">
        <v>41</v>
      </c>
      <c r="AN721" t="s">
        <v>42</v>
      </c>
      <c r="AO721" t="s">
        <v>2383</v>
      </c>
      <c r="AP721" t="s">
        <v>2382</v>
      </c>
      <c r="AQ721" t="s">
        <v>2382</v>
      </c>
      <c r="AR721" t="s">
        <v>48</v>
      </c>
      <c r="AS721" t="s">
        <v>48</v>
      </c>
    </row>
    <row r="722" spans="1:54" x14ac:dyDescent="0.4">
      <c r="A722" t="s">
        <v>592</v>
      </c>
      <c r="B722" t="s">
        <v>10</v>
      </c>
      <c r="C722" t="s">
        <v>1065</v>
      </c>
      <c r="D722" t="s">
        <v>11</v>
      </c>
      <c r="E722" s="2">
        <v>0</v>
      </c>
      <c r="F722" t="s">
        <v>12</v>
      </c>
      <c r="G722" s="4" t="s">
        <v>15</v>
      </c>
      <c r="H722" t="s">
        <v>1065</v>
      </c>
      <c r="I722" t="s">
        <v>2606</v>
      </c>
      <c r="J722" t="s">
        <v>2607</v>
      </c>
      <c r="K722" t="s">
        <v>23</v>
      </c>
      <c r="L722" s="2">
        <v>0.04</v>
      </c>
      <c r="M722" t="s">
        <v>2608</v>
      </c>
      <c r="N722" t="s">
        <v>28</v>
      </c>
      <c r="O722" t="s">
        <v>2609</v>
      </c>
      <c r="P722" t="s">
        <v>2003</v>
      </c>
      <c r="Q722" t="s">
        <v>2610</v>
      </c>
      <c r="R722" t="s">
        <v>639</v>
      </c>
      <c r="S722" t="s">
        <v>639</v>
      </c>
      <c r="T722" t="s">
        <v>639</v>
      </c>
      <c r="U722" t="s">
        <v>639</v>
      </c>
      <c r="V722" t="s">
        <v>641</v>
      </c>
      <c r="W722" t="s">
        <v>641</v>
      </c>
      <c r="X722" t="s">
        <v>641</v>
      </c>
      <c r="Y722" t="s">
        <v>641</v>
      </c>
      <c r="Z722" s="1">
        <v>102355</v>
      </c>
      <c r="AA722" t="s">
        <v>2611</v>
      </c>
      <c r="AB722" s="2">
        <v>2.3999999999999998E-3</v>
      </c>
      <c r="AC722" s="2">
        <v>1.0699999999999999E-2</v>
      </c>
      <c r="AD722" s="2">
        <v>9.5999999999999992E-3</v>
      </c>
      <c r="AE722" s="2">
        <v>2.6200000000000001E-2</v>
      </c>
      <c r="AF722" s="2">
        <v>-3.0000000000000001E-3</v>
      </c>
      <c r="AG722" s="2">
        <v>-6.6000000000000003E-2</v>
      </c>
      <c r="AH722" t="s">
        <v>2612</v>
      </c>
      <c r="AI722" t="s">
        <v>232</v>
      </c>
      <c r="AJ722" t="s">
        <v>131</v>
      </c>
      <c r="AK722" t="s">
        <v>40</v>
      </c>
      <c r="AL722">
        <v>1</v>
      </c>
      <c r="AM722" t="s">
        <v>41</v>
      </c>
      <c r="AN722" t="s">
        <v>42</v>
      </c>
      <c r="AO722" t="s">
        <v>2609</v>
      </c>
      <c r="AP722" t="s">
        <v>643</v>
      </c>
      <c r="AQ722">
        <v>1</v>
      </c>
      <c r="BA722" t="s">
        <v>174</v>
      </c>
      <c r="BB722" t="s">
        <v>61</v>
      </c>
    </row>
    <row r="723" spans="1:54" x14ac:dyDescent="0.4">
      <c r="A723" t="s">
        <v>115</v>
      </c>
      <c r="B723" t="s">
        <v>10</v>
      </c>
      <c r="C723" t="s">
        <v>1903</v>
      </c>
      <c r="D723" t="s">
        <v>11</v>
      </c>
      <c r="E723" s="2">
        <v>-1.47E-2</v>
      </c>
      <c r="F723" t="s">
        <v>12</v>
      </c>
      <c r="G723" s="4">
        <f>-1 / -1.47%</f>
        <v>68.02721088435375</v>
      </c>
      <c r="H723" t="s">
        <v>1903</v>
      </c>
      <c r="I723" t="s">
        <v>1904</v>
      </c>
      <c r="J723" t="s">
        <v>1905</v>
      </c>
      <c r="K723" t="s">
        <v>23</v>
      </c>
      <c r="L723" s="2">
        <v>5.5E-2</v>
      </c>
      <c r="M723" t="s">
        <v>1906</v>
      </c>
      <c r="N723" t="s">
        <v>28</v>
      </c>
      <c r="O723" t="s">
        <v>1907</v>
      </c>
      <c r="P723" t="s">
        <v>1903</v>
      </c>
      <c r="Q723" t="s">
        <v>1908</v>
      </c>
      <c r="R723" t="s">
        <v>1909</v>
      </c>
      <c r="S723" t="s">
        <v>1909</v>
      </c>
      <c r="T723" t="s">
        <v>1909</v>
      </c>
      <c r="U723" t="s">
        <v>1909</v>
      </c>
      <c r="V723" t="s">
        <v>1310</v>
      </c>
      <c r="W723" t="s">
        <v>1910</v>
      </c>
      <c r="X723" t="s">
        <v>1911</v>
      </c>
      <c r="Y723" t="s">
        <v>1430</v>
      </c>
      <c r="Z723" t="s">
        <v>1912</v>
      </c>
      <c r="AA723" t="s">
        <v>1554</v>
      </c>
      <c r="AB723" s="2">
        <v>0</v>
      </c>
      <c r="AC723" s="2">
        <v>-0.13769999999999999</v>
      </c>
      <c r="AD723" s="2">
        <v>-0.21179999999999999</v>
      </c>
      <c r="AE723" s="2">
        <v>-0.2024</v>
      </c>
      <c r="AF723" s="2">
        <v>-0.22090000000000001</v>
      </c>
      <c r="AG723" s="2">
        <v>-0.34310000000000002</v>
      </c>
      <c r="AH723" t="s">
        <v>1913</v>
      </c>
      <c r="AI723" t="s">
        <v>232</v>
      </c>
      <c r="AJ723" t="s">
        <v>131</v>
      </c>
      <c r="AK723" t="s">
        <v>40</v>
      </c>
      <c r="AL723">
        <v>1</v>
      </c>
      <c r="AM723" t="s">
        <v>41</v>
      </c>
      <c r="AN723" t="s">
        <v>42</v>
      </c>
      <c r="AO723" t="s">
        <v>1907</v>
      </c>
      <c r="AP723" t="s">
        <v>1914</v>
      </c>
      <c r="AQ723">
        <v>1</v>
      </c>
      <c r="BA723" t="s">
        <v>136</v>
      </c>
      <c r="BB723" t="s">
        <v>61</v>
      </c>
    </row>
    <row r="724" spans="1:54" x14ac:dyDescent="0.4">
      <c r="A724" t="s">
        <v>4462</v>
      </c>
      <c r="B724" t="s">
        <v>10</v>
      </c>
      <c r="C724" t="s">
        <v>5769</v>
      </c>
      <c r="D724" t="s">
        <v>11</v>
      </c>
      <c r="E724" s="2">
        <v>0</v>
      </c>
      <c r="F724" t="s">
        <v>310</v>
      </c>
      <c r="G724" s="4" t="s">
        <v>15</v>
      </c>
      <c r="H724" t="s">
        <v>5769</v>
      </c>
      <c r="I724" t="s">
        <v>5770</v>
      </c>
      <c r="J724" t="s">
        <v>5771</v>
      </c>
      <c r="K724" t="s">
        <v>23</v>
      </c>
      <c r="L724" s="2">
        <v>2.2499999999999999E-2</v>
      </c>
      <c r="M724" t="s">
        <v>5772</v>
      </c>
      <c r="N724" t="s">
        <v>121</v>
      </c>
      <c r="O724" t="s">
        <v>1093</v>
      </c>
      <c r="P724" t="s">
        <v>3372</v>
      </c>
      <c r="Q724" t="s">
        <v>3372</v>
      </c>
      <c r="R724" t="s">
        <v>3372</v>
      </c>
      <c r="S724" t="s">
        <v>3372</v>
      </c>
      <c r="T724" t="s">
        <v>5773</v>
      </c>
      <c r="U724" t="s">
        <v>5774</v>
      </c>
      <c r="V724" t="s">
        <v>5775</v>
      </c>
      <c r="W724" t="s">
        <v>5776</v>
      </c>
      <c r="X724" t="s">
        <v>5777</v>
      </c>
      <c r="Y724" t="s">
        <v>5777</v>
      </c>
      <c r="Z724" t="s">
        <v>5778</v>
      </c>
      <c r="AA724" t="s">
        <v>518</v>
      </c>
      <c r="AB724" s="2">
        <v>-7.9000000000000008E-3</v>
      </c>
      <c r="AC724" s="2">
        <v>-3.5299999999999998E-2</v>
      </c>
      <c r="AD724" s="2">
        <v>-5.5500000000000001E-2</v>
      </c>
      <c r="AE724" s="2">
        <v>-6.5699999999999995E-2</v>
      </c>
      <c r="AF724" s="2">
        <v>-0.14199999999999999</v>
      </c>
      <c r="AG724" s="2">
        <v>-0.4824</v>
      </c>
      <c r="AH724" t="s">
        <v>5779</v>
      </c>
      <c r="AI724" t="s">
        <v>130</v>
      </c>
      <c r="AJ724" t="s">
        <v>131</v>
      </c>
      <c r="AK724" t="s">
        <v>40</v>
      </c>
      <c r="AL724">
        <v>100</v>
      </c>
      <c r="AM724" t="s">
        <v>41</v>
      </c>
      <c r="AN724" t="s">
        <v>42</v>
      </c>
      <c r="AO724" t="s">
        <v>1093</v>
      </c>
      <c r="AP724" t="s">
        <v>3387</v>
      </c>
      <c r="AQ724" t="s">
        <v>1338</v>
      </c>
      <c r="AR724" t="s">
        <v>2350</v>
      </c>
      <c r="AS724" t="s">
        <v>2350</v>
      </c>
    </row>
    <row r="725" spans="1:54" x14ac:dyDescent="0.4">
      <c r="A725" t="s">
        <v>2115</v>
      </c>
      <c r="B725" t="s">
        <v>10</v>
      </c>
      <c r="C725" t="s">
        <v>687</v>
      </c>
      <c r="D725" t="s">
        <v>11</v>
      </c>
      <c r="E725" s="2">
        <v>0</v>
      </c>
      <c r="F725" t="s">
        <v>1057</v>
      </c>
      <c r="G725" s="4" t="s">
        <v>15</v>
      </c>
      <c r="H725" t="s">
        <v>687</v>
      </c>
      <c r="I725" t="s">
        <v>2116</v>
      </c>
      <c r="J725" t="s">
        <v>2117</v>
      </c>
      <c r="K725" t="s">
        <v>23</v>
      </c>
      <c r="L725" s="2">
        <v>7.0000000000000007E-2</v>
      </c>
      <c r="M725" t="s">
        <v>2118</v>
      </c>
      <c r="N725" t="s">
        <v>28</v>
      </c>
      <c r="O725" t="s">
        <v>2119</v>
      </c>
      <c r="P725" t="s">
        <v>2120</v>
      </c>
      <c r="Q725" t="s">
        <v>2121</v>
      </c>
      <c r="R725" t="s">
        <v>2122</v>
      </c>
      <c r="S725" t="s">
        <v>2122</v>
      </c>
      <c r="T725" t="s">
        <v>2123</v>
      </c>
      <c r="U725" t="s">
        <v>2123</v>
      </c>
      <c r="V725" t="s">
        <v>939</v>
      </c>
      <c r="W725" t="s">
        <v>2124</v>
      </c>
      <c r="X725" t="s">
        <v>2125</v>
      </c>
      <c r="Y725" t="s">
        <v>2125</v>
      </c>
      <c r="Z725" t="s">
        <v>111</v>
      </c>
      <c r="AA725" t="s">
        <v>1709</v>
      </c>
      <c r="AB725" s="2">
        <v>1.06E-2</v>
      </c>
      <c r="AC725" s="2">
        <v>-3.5299999999999998E-2</v>
      </c>
      <c r="AD725" s="2">
        <v>-8.5999999999999993E-2</v>
      </c>
      <c r="AE725" s="2">
        <v>-5.5599999999999997E-2</v>
      </c>
      <c r="AF725" s="2">
        <v>-7.6100000000000001E-2</v>
      </c>
      <c r="AG725" s="2">
        <v>-0.1237</v>
      </c>
      <c r="AH725" t="s">
        <v>2126</v>
      </c>
      <c r="AI725" t="s">
        <v>232</v>
      </c>
      <c r="AJ725" t="s">
        <v>131</v>
      </c>
      <c r="AK725" t="s">
        <v>40</v>
      </c>
      <c r="AL725">
        <v>1</v>
      </c>
      <c r="AM725" t="s">
        <v>41</v>
      </c>
      <c r="AN725" t="s">
        <v>42</v>
      </c>
      <c r="AO725" t="s">
        <v>2119</v>
      </c>
      <c r="AP725" t="s">
        <v>1138</v>
      </c>
      <c r="AQ725" t="s">
        <v>1138</v>
      </c>
      <c r="AR725" t="s">
        <v>48</v>
      </c>
      <c r="AS725" t="s">
        <v>48</v>
      </c>
    </row>
    <row r="726" spans="1:54" x14ac:dyDescent="0.4">
      <c r="A726" t="s">
        <v>3074</v>
      </c>
      <c r="B726" t="s">
        <v>10</v>
      </c>
      <c r="C726" s="1">
        <v>104125</v>
      </c>
      <c r="D726" t="s">
        <v>11</v>
      </c>
      <c r="E726" s="2">
        <v>-3.5999999999999999E-3</v>
      </c>
      <c r="F726" t="s">
        <v>12</v>
      </c>
      <c r="G726" s="4">
        <f>-0.375 / -0.36%</f>
        <v>104.16666666666667</v>
      </c>
      <c r="H726" s="1">
        <v>104125</v>
      </c>
      <c r="I726" t="s">
        <v>3075</v>
      </c>
      <c r="J726" t="s">
        <v>3076</v>
      </c>
      <c r="K726" t="s">
        <v>23</v>
      </c>
      <c r="L726" s="2">
        <v>0.06</v>
      </c>
      <c r="M726" t="s">
        <v>3077</v>
      </c>
      <c r="N726" t="s">
        <v>636</v>
      </c>
      <c r="O726" t="s">
        <v>3078</v>
      </c>
      <c r="P726" t="s">
        <v>1552</v>
      </c>
      <c r="Q726" t="s">
        <v>1552</v>
      </c>
      <c r="R726" t="s">
        <v>1552</v>
      </c>
      <c r="S726" t="s">
        <v>1440</v>
      </c>
      <c r="T726" t="s">
        <v>1440</v>
      </c>
      <c r="U726" t="s">
        <v>1440</v>
      </c>
      <c r="V726" t="s">
        <v>1951</v>
      </c>
      <c r="W726" t="s">
        <v>1951</v>
      </c>
      <c r="X726" t="s">
        <v>1483</v>
      </c>
      <c r="Y726" t="s">
        <v>1767</v>
      </c>
      <c r="Z726" t="s">
        <v>1767</v>
      </c>
      <c r="AA726" t="s">
        <v>1767</v>
      </c>
      <c r="AB726" s="2">
        <v>6.25E-2</v>
      </c>
      <c r="AC726" s="2">
        <v>3.09E-2</v>
      </c>
      <c r="AD726" s="2">
        <v>2.4400000000000002E-2</v>
      </c>
      <c r="AE726" s="2">
        <v>3.2000000000000001E-2</v>
      </c>
      <c r="AF726" s="2">
        <v>3.9800000000000002E-2</v>
      </c>
      <c r="AG726" s="2">
        <v>3.9800000000000002E-2</v>
      </c>
      <c r="AH726" t="s">
        <v>3079</v>
      </c>
      <c r="AI726" t="s">
        <v>232</v>
      </c>
      <c r="AJ726" t="s">
        <v>131</v>
      </c>
      <c r="AK726" t="s">
        <v>40</v>
      </c>
      <c r="AL726">
        <v>1</v>
      </c>
      <c r="AM726" t="s">
        <v>41</v>
      </c>
      <c r="AN726" t="s">
        <v>42</v>
      </c>
      <c r="AO726" t="s">
        <v>3078</v>
      </c>
      <c r="AP726" t="s">
        <v>3080</v>
      </c>
      <c r="AQ726" t="s">
        <v>3080</v>
      </c>
      <c r="AR726" t="s">
        <v>48</v>
      </c>
      <c r="AS726" t="s">
        <v>48</v>
      </c>
    </row>
    <row r="727" spans="1:54" x14ac:dyDescent="0.4">
      <c r="A727" t="s">
        <v>4202</v>
      </c>
      <c r="B727" t="s">
        <v>10</v>
      </c>
      <c r="C727" t="s">
        <v>110</v>
      </c>
      <c r="D727" t="s">
        <v>11</v>
      </c>
      <c r="E727" s="2">
        <v>0</v>
      </c>
      <c r="F727" t="s">
        <v>1057</v>
      </c>
      <c r="G727" s="4" t="s">
        <v>15</v>
      </c>
      <c r="H727" t="s">
        <v>110</v>
      </c>
      <c r="I727" t="s">
        <v>4203</v>
      </c>
      <c r="J727" t="s">
        <v>4204</v>
      </c>
      <c r="K727" t="s">
        <v>23</v>
      </c>
      <c r="L727" s="2">
        <v>0.05</v>
      </c>
      <c r="M727" t="s">
        <v>4205</v>
      </c>
      <c r="N727" t="s">
        <v>636</v>
      </c>
      <c r="O727" t="s">
        <v>4206</v>
      </c>
      <c r="P727" t="s">
        <v>1440</v>
      </c>
      <c r="Q727" t="s">
        <v>639</v>
      </c>
      <c r="R727" t="s">
        <v>639</v>
      </c>
      <c r="S727" t="s">
        <v>639</v>
      </c>
      <c r="T727" t="s">
        <v>639</v>
      </c>
      <c r="U727" t="s">
        <v>639</v>
      </c>
      <c r="V727" t="s">
        <v>110</v>
      </c>
      <c r="W727" t="s">
        <v>1538</v>
      </c>
      <c r="X727" t="s">
        <v>1538</v>
      </c>
      <c r="Y727" t="s">
        <v>1538</v>
      </c>
      <c r="Z727" t="s">
        <v>832</v>
      </c>
      <c r="AA727" t="s">
        <v>832</v>
      </c>
      <c r="AB727" s="2">
        <v>5.0000000000000001E-3</v>
      </c>
      <c r="AC727" s="2">
        <v>1.01E-2</v>
      </c>
      <c r="AD727" s="2">
        <v>1.01E-2</v>
      </c>
      <c r="AE727" s="2">
        <v>2.0400000000000001E-2</v>
      </c>
      <c r="AF727" s="2">
        <v>-1.9599999999999999E-2</v>
      </c>
      <c r="AG727" s="2">
        <v>-1.9599999999999999E-2</v>
      </c>
      <c r="AH727" t="s">
        <v>3079</v>
      </c>
      <c r="AI727" t="s">
        <v>232</v>
      </c>
      <c r="AJ727" t="s">
        <v>131</v>
      </c>
      <c r="AK727" t="s">
        <v>40</v>
      </c>
      <c r="AL727">
        <v>1</v>
      </c>
      <c r="AM727" t="s">
        <v>41</v>
      </c>
      <c r="AN727" t="s">
        <v>42</v>
      </c>
      <c r="AO727" t="s">
        <v>4206</v>
      </c>
      <c r="AP727" t="s">
        <v>990</v>
      </c>
      <c r="AQ727" t="s">
        <v>990</v>
      </c>
      <c r="AR727" t="s">
        <v>48</v>
      </c>
      <c r="AS727" t="s">
        <v>48</v>
      </c>
    </row>
    <row r="728" spans="1:54" x14ac:dyDescent="0.4">
      <c r="A728" t="s">
        <v>76</v>
      </c>
      <c r="B728" t="s">
        <v>10</v>
      </c>
      <c r="C728" t="s">
        <v>748</v>
      </c>
      <c r="D728" t="s">
        <v>11</v>
      </c>
      <c r="E728" s="2">
        <v>0</v>
      </c>
      <c r="F728" t="s">
        <v>12</v>
      </c>
      <c r="G728" s="4" t="s">
        <v>15</v>
      </c>
      <c r="H728" t="s">
        <v>748</v>
      </c>
      <c r="I728" t="s">
        <v>5702</v>
      </c>
      <c r="J728" t="s">
        <v>5703</v>
      </c>
      <c r="K728" t="s">
        <v>23</v>
      </c>
      <c r="L728" s="2">
        <v>5.8749999999999997E-2</v>
      </c>
      <c r="M728" t="s">
        <v>1920</v>
      </c>
      <c r="N728" t="s">
        <v>121</v>
      </c>
      <c r="O728" t="s">
        <v>5704</v>
      </c>
      <c r="P728" s="1">
        <v>101475</v>
      </c>
      <c r="Q728" s="1">
        <v>101475</v>
      </c>
      <c r="R728" s="1">
        <v>101475</v>
      </c>
      <c r="S728" t="s">
        <v>4095</v>
      </c>
      <c r="T728" t="s">
        <v>427</v>
      </c>
      <c r="U728" t="s">
        <v>427</v>
      </c>
      <c r="V728" t="s">
        <v>1441</v>
      </c>
      <c r="W728" t="s">
        <v>572</v>
      </c>
      <c r="X728" t="s">
        <v>1951</v>
      </c>
      <c r="Y728" t="s">
        <v>1951</v>
      </c>
      <c r="Z728" t="s">
        <v>1951</v>
      </c>
      <c r="AA728" t="s">
        <v>1951</v>
      </c>
      <c r="AB728" s="2">
        <v>-4.0000000000000002E-4</v>
      </c>
      <c r="AC728" s="2">
        <v>-8.0000000000000002E-3</v>
      </c>
      <c r="AD728" s="2">
        <v>-2.2000000000000001E-3</v>
      </c>
      <c r="AE728" s="2">
        <v>6.0000000000000001E-3</v>
      </c>
      <c r="AF728" s="2">
        <v>-9.4999999999999998E-3</v>
      </c>
      <c r="AG728" s="2">
        <v>1.2500000000000001E-2</v>
      </c>
      <c r="AH728" t="s">
        <v>5705</v>
      </c>
      <c r="AI728" t="s">
        <v>130</v>
      </c>
      <c r="AJ728" t="s">
        <v>131</v>
      </c>
      <c r="AK728" t="s">
        <v>40</v>
      </c>
      <c r="AL728">
        <v>2</v>
      </c>
      <c r="AM728" t="s">
        <v>41</v>
      </c>
      <c r="AN728" t="s">
        <v>42</v>
      </c>
      <c r="AO728" t="s">
        <v>5704</v>
      </c>
      <c r="AP728" t="s">
        <v>225</v>
      </c>
      <c r="AQ728" t="s">
        <v>225</v>
      </c>
      <c r="AR728" t="s">
        <v>133</v>
      </c>
      <c r="AS728" t="s">
        <v>133</v>
      </c>
    </row>
    <row r="729" spans="1:54" x14ac:dyDescent="0.4">
      <c r="A729" t="s">
        <v>592</v>
      </c>
      <c r="B729" t="s">
        <v>10</v>
      </c>
      <c r="C729" t="s">
        <v>7500</v>
      </c>
      <c r="D729" t="s">
        <v>11</v>
      </c>
      <c r="E729" s="2">
        <v>8.0000000000000004E-4</v>
      </c>
      <c r="F729" t="s">
        <v>12</v>
      </c>
      <c r="G729" s="4" t="s">
        <v>2130</v>
      </c>
      <c r="H729" t="s">
        <v>7500</v>
      </c>
      <c r="I729" t="s">
        <v>7501</v>
      </c>
      <c r="J729" t="s">
        <v>7502</v>
      </c>
      <c r="K729" t="s">
        <v>23</v>
      </c>
      <c r="L729" s="2">
        <v>1.0500000000000001E-2</v>
      </c>
      <c r="M729" t="s">
        <v>7503</v>
      </c>
      <c r="N729" t="s">
        <v>28</v>
      </c>
      <c r="O729" t="s">
        <v>7504</v>
      </c>
      <c r="P729" t="s">
        <v>3986</v>
      </c>
      <c r="Q729" t="s">
        <v>3986</v>
      </c>
      <c r="R729" t="s">
        <v>3986</v>
      </c>
      <c r="S729" t="s">
        <v>7505</v>
      </c>
      <c r="T729" t="s">
        <v>7506</v>
      </c>
      <c r="U729" t="s">
        <v>7506</v>
      </c>
      <c r="V729" t="s">
        <v>2866</v>
      </c>
      <c r="W729" t="s">
        <v>7507</v>
      </c>
      <c r="X729" t="s">
        <v>7507</v>
      </c>
      <c r="Y729" t="s">
        <v>7507</v>
      </c>
      <c r="Z729" t="s">
        <v>7507</v>
      </c>
      <c r="AA729" t="s">
        <v>7508</v>
      </c>
      <c r="AB729" s="2">
        <v>-4.07E-2</v>
      </c>
      <c r="AC729" s="2">
        <v>-2.1399999999999999E-2</v>
      </c>
      <c r="AD729" s="2">
        <v>-8.8999999999999999E-3</v>
      </c>
      <c r="AE729" s="2">
        <v>-2.5999999999999999E-3</v>
      </c>
      <c r="AF729" s="2">
        <v>-6.7100000000000007E-2</v>
      </c>
      <c r="AG729" s="2">
        <v>-0.36499999999999999</v>
      </c>
      <c r="AH729" t="s">
        <v>7509</v>
      </c>
      <c r="AI729" t="s">
        <v>130</v>
      </c>
      <c r="AJ729" t="s">
        <v>131</v>
      </c>
      <c r="AK729" t="s">
        <v>40</v>
      </c>
      <c r="AL729">
        <v>100</v>
      </c>
      <c r="AM729" t="s">
        <v>41</v>
      </c>
      <c r="AN729" t="s">
        <v>42</v>
      </c>
      <c r="AO729" t="s">
        <v>7504</v>
      </c>
      <c r="AP729" t="s">
        <v>357</v>
      </c>
      <c r="AQ729" t="s">
        <v>357</v>
      </c>
      <c r="AR729" t="s">
        <v>48</v>
      </c>
      <c r="AS729" t="s">
        <v>48</v>
      </c>
    </row>
    <row r="730" spans="1:54" x14ac:dyDescent="0.4">
      <c r="A730" t="s">
        <v>630</v>
      </c>
      <c r="B730" t="s">
        <v>10</v>
      </c>
      <c r="C730" s="1">
        <v>100379</v>
      </c>
      <c r="D730" t="s">
        <v>11</v>
      </c>
      <c r="E730" s="2">
        <v>2.0000000000000001E-4</v>
      </c>
      <c r="F730" t="s">
        <v>12</v>
      </c>
      <c r="G730" s="4" t="s">
        <v>7346</v>
      </c>
      <c r="H730" s="1">
        <v>100379</v>
      </c>
      <c r="I730" t="s">
        <v>7347</v>
      </c>
      <c r="J730" t="s">
        <v>7348</v>
      </c>
      <c r="K730" t="s">
        <v>23</v>
      </c>
      <c r="L730" s="2">
        <v>7.3499999999999996E-2</v>
      </c>
      <c r="M730" t="s">
        <v>7349</v>
      </c>
      <c r="N730" t="s">
        <v>121</v>
      </c>
      <c r="O730" t="s">
        <v>7350</v>
      </c>
      <c r="P730" s="1">
        <v>99772</v>
      </c>
      <c r="Q730" s="1">
        <v>99772</v>
      </c>
      <c r="R730" s="1">
        <v>99772</v>
      </c>
      <c r="S730" s="1">
        <v>99772</v>
      </c>
      <c r="T730" s="1">
        <v>99772</v>
      </c>
      <c r="U730" s="1">
        <v>99772</v>
      </c>
      <c r="V730" s="1">
        <v>100636</v>
      </c>
      <c r="W730" s="1">
        <v>100756</v>
      </c>
      <c r="X730" s="1">
        <v>101247</v>
      </c>
      <c r="Y730" t="s">
        <v>1115</v>
      </c>
      <c r="Z730" t="s">
        <v>7351</v>
      </c>
      <c r="AA730" t="s">
        <v>878</v>
      </c>
      <c r="AB730" s="2">
        <v>-5.0000000000000001E-4</v>
      </c>
      <c r="AC730" s="2">
        <v>-2.8E-3</v>
      </c>
      <c r="AD730" s="2">
        <v>-5.7000000000000002E-3</v>
      </c>
      <c r="AE730" s="2">
        <v>-2.3599999999999999E-2</v>
      </c>
      <c r="AF730" s="2">
        <v>-4.3999999999999997E-2</v>
      </c>
      <c r="AG730" s="2">
        <v>-0.1469</v>
      </c>
      <c r="AH730" t="s">
        <v>7352</v>
      </c>
      <c r="AI730" t="s">
        <v>130</v>
      </c>
      <c r="AJ730" t="s">
        <v>131</v>
      </c>
      <c r="AK730" t="s">
        <v>40</v>
      </c>
      <c r="AL730">
        <v>100</v>
      </c>
      <c r="AM730" t="s">
        <v>41</v>
      </c>
      <c r="AN730" t="s">
        <v>42</v>
      </c>
      <c r="AO730" t="s">
        <v>7350</v>
      </c>
      <c r="AP730" t="s">
        <v>5182</v>
      </c>
      <c r="AQ730" t="s">
        <v>7353</v>
      </c>
      <c r="AR730" t="s">
        <v>133</v>
      </c>
      <c r="AS730" t="s">
        <v>133</v>
      </c>
    </row>
    <row r="731" spans="1:54" x14ac:dyDescent="0.4">
      <c r="A731" t="s">
        <v>4453</v>
      </c>
      <c r="B731" t="s">
        <v>10</v>
      </c>
      <c r="C731" t="s">
        <v>5865</v>
      </c>
      <c r="D731" t="s">
        <v>11</v>
      </c>
      <c r="E731" s="2">
        <v>-3.0000000000000001E-3</v>
      </c>
      <c r="F731" t="s">
        <v>1057</v>
      </c>
      <c r="G731" s="4">
        <f>-0.32 / -0.3%</f>
        <v>106.66666666666667</v>
      </c>
      <c r="H731" t="s">
        <v>5865</v>
      </c>
      <c r="I731" t="s">
        <v>5866</v>
      </c>
      <c r="J731" t="s">
        <v>5867</v>
      </c>
      <c r="K731" t="s">
        <v>23</v>
      </c>
      <c r="L731" s="2">
        <v>1.6500000000000001E-2</v>
      </c>
      <c r="M731" t="s">
        <v>5868</v>
      </c>
      <c r="N731" t="s">
        <v>28</v>
      </c>
      <c r="O731" t="s">
        <v>1584</v>
      </c>
      <c r="P731" t="s">
        <v>1269</v>
      </c>
      <c r="Q731" t="s">
        <v>1464</v>
      </c>
      <c r="R731" t="s">
        <v>800</v>
      </c>
      <c r="S731" t="s">
        <v>273</v>
      </c>
      <c r="T731" t="s">
        <v>5869</v>
      </c>
      <c r="U731" t="s">
        <v>4072</v>
      </c>
      <c r="V731" t="s">
        <v>2419</v>
      </c>
      <c r="W731" t="s">
        <v>1062</v>
      </c>
      <c r="X731" t="s">
        <v>1062</v>
      </c>
      <c r="Y731" t="s">
        <v>1062</v>
      </c>
      <c r="Z731" t="s">
        <v>1062</v>
      </c>
      <c r="AA731" t="s">
        <v>1062</v>
      </c>
      <c r="AB731" s="2">
        <v>-1.0500000000000001E-2</v>
      </c>
      <c r="AC731" s="2">
        <v>6.4999999999999997E-3</v>
      </c>
      <c r="AD731" s="2">
        <v>2.4199999999999999E-2</v>
      </c>
      <c r="AE731" s="2">
        <v>5.4300000000000001E-2</v>
      </c>
      <c r="AF731" s="2">
        <v>7.8100000000000003E-2</v>
      </c>
      <c r="AG731" s="2">
        <v>3.4299999999999997E-2</v>
      </c>
      <c r="AH731" t="s">
        <v>5870</v>
      </c>
      <c r="AI731" t="s">
        <v>130</v>
      </c>
      <c r="AJ731" t="s">
        <v>131</v>
      </c>
      <c r="AK731" t="s">
        <v>40</v>
      </c>
      <c r="AL731">
        <v>5</v>
      </c>
      <c r="AM731" t="s">
        <v>41</v>
      </c>
      <c r="AN731" t="s">
        <v>42</v>
      </c>
      <c r="AO731" t="s">
        <v>1584</v>
      </c>
      <c r="AP731" t="s">
        <v>5871</v>
      </c>
      <c r="AQ731" t="s">
        <v>5871</v>
      </c>
      <c r="AR731" t="s">
        <v>1694</v>
      </c>
      <c r="AS731" t="s">
        <v>1694</v>
      </c>
    </row>
    <row r="732" spans="1:54" x14ac:dyDescent="0.4">
      <c r="A732" t="s">
        <v>630</v>
      </c>
      <c r="B732" t="s">
        <v>10</v>
      </c>
      <c r="C732" t="s">
        <v>3777</v>
      </c>
      <c r="D732" t="s">
        <v>11</v>
      </c>
      <c r="E732" s="2">
        <v>-7.3000000000000001E-3</v>
      </c>
      <c r="F732" t="s">
        <v>12</v>
      </c>
      <c r="G732" s="4">
        <f>-0.65 / -0.73%</f>
        <v>89.041095890410958</v>
      </c>
      <c r="H732" t="s">
        <v>3777</v>
      </c>
      <c r="I732" t="s">
        <v>6458</v>
      </c>
      <c r="J732" t="s">
        <v>6459</v>
      </c>
      <c r="K732" t="s">
        <v>23</v>
      </c>
      <c r="L732" s="2">
        <v>2.5000000000000001E-3</v>
      </c>
      <c r="M732" t="s">
        <v>6456</v>
      </c>
      <c r="N732" t="s">
        <v>28</v>
      </c>
      <c r="O732" t="s">
        <v>3647</v>
      </c>
      <c r="P732" t="s">
        <v>6460</v>
      </c>
      <c r="Q732" t="s">
        <v>6461</v>
      </c>
      <c r="R732" t="s">
        <v>6461</v>
      </c>
      <c r="S732" t="s">
        <v>6462</v>
      </c>
      <c r="T732" t="s">
        <v>6463</v>
      </c>
      <c r="U732" t="s">
        <v>6464</v>
      </c>
      <c r="V732" t="s">
        <v>2389</v>
      </c>
      <c r="W732" t="s">
        <v>1652</v>
      </c>
      <c r="X732" t="s">
        <v>1652</v>
      </c>
      <c r="Y732" t="s">
        <v>1652</v>
      </c>
      <c r="Z732" t="s">
        <v>1652</v>
      </c>
      <c r="AA732" t="s">
        <v>3044</v>
      </c>
      <c r="AB732" s="2">
        <v>-2.3400000000000001E-2</v>
      </c>
      <c r="AC732" s="2">
        <v>1.18E-2</v>
      </c>
      <c r="AD732" s="2">
        <v>3.1699999999999999E-2</v>
      </c>
      <c r="AE732" s="2">
        <v>9.8599999999999993E-2</v>
      </c>
      <c r="AF732" s="2">
        <v>0.16189999999999999</v>
      </c>
      <c r="AG732" s="2">
        <v>-9.69E-2</v>
      </c>
      <c r="AH732" t="s">
        <v>5870</v>
      </c>
      <c r="AI732" t="s">
        <v>130</v>
      </c>
      <c r="AJ732" t="s">
        <v>131</v>
      </c>
      <c r="AK732" t="s">
        <v>40</v>
      </c>
      <c r="AL732">
        <v>5</v>
      </c>
      <c r="AM732" t="s">
        <v>41</v>
      </c>
      <c r="AN732" t="s">
        <v>42</v>
      </c>
      <c r="AO732" t="s">
        <v>3647</v>
      </c>
      <c r="AP732" t="s">
        <v>6465</v>
      </c>
      <c r="AQ732" t="s">
        <v>6465</v>
      </c>
      <c r="AR732" t="s">
        <v>1694</v>
      </c>
      <c r="AS732" t="s">
        <v>1694</v>
      </c>
    </row>
    <row r="733" spans="1:54" x14ac:dyDescent="0.4">
      <c r="A733" t="s">
        <v>630</v>
      </c>
      <c r="B733" t="s">
        <v>10</v>
      </c>
      <c r="C733" s="1">
        <v>95845</v>
      </c>
      <c r="D733" t="s">
        <v>11</v>
      </c>
      <c r="E733" s="2">
        <v>-6.7999999999999996E-3</v>
      </c>
      <c r="F733" t="s">
        <v>12</v>
      </c>
      <c r="G733" s="4">
        <f>-0.655 / -0.68%</f>
        <v>96.323529411764696</v>
      </c>
      <c r="H733" s="1">
        <v>95845</v>
      </c>
      <c r="I733" t="s">
        <v>6454</v>
      </c>
      <c r="J733" t="s">
        <v>6455</v>
      </c>
      <c r="K733" t="s">
        <v>23</v>
      </c>
      <c r="L733" s="2">
        <v>1E-3</v>
      </c>
      <c r="M733" t="s">
        <v>6456</v>
      </c>
      <c r="N733" t="s">
        <v>28</v>
      </c>
      <c r="O733" t="s">
        <v>3647</v>
      </c>
      <c r="P733" s="1">
        <v>95845</v>
      </c>
      <c r="Q733" t="s">
        <v>2360</v>
      </c>
      <c r="R733" t="s">
        <v>2360</v>
      </c>
      <c r="S733" t="s">
        <v>2360</v>
      </c>
      <c r="T733" t="s">
        <v>1890</v>
      </c>
      <c r="U733" t="s">
        <v>5675</v>
      </c>
      <c r="V733" s="1">
        <v>97185</v>
      </c>
      <c r="W733" t="s">
        <v>4591</v>
      </c>
      <c r="X733" t="s">
        <v>4591</v>
      </c>
      <c r="Y733" t="s">
        <v>4591</v>
      </c>
      <c r="Z733" t="s">
        <v>4591</v>
      </c>
      <c r="AA733" t="s">
        <v>970</v>
      </c>
      <c r="AB733" s="2">
        <v>-1.24E-2</v>
      </c>
      <c r="AC733" s="2">
        <v>1.5E-3</v>
      </c>
      <c r="AD733" s="2">
        <v>1.9599999999999999E-2</v>
      </c>
      <c r="AE733" s="2">
        <v>4.8300000000000003E-2</v>
      </c>
      <c r="AF733" s="2">
        <v>7.8100000000000003E-2</v>
      </c>
      <c r="AG733" s="2">
        <v>-2.9000000000000001E-2</v>
      </c>
      <c r="AH733" t="s">
        <v>5870</v>
      </c>
      <c r="AI733" t="s">
        <v>130</v>
      </c>
      <c r="AJ733" t="s">
        <v>131</v>
      </c>
      <c r="AK733" t="s">
        <v>40</v>
      </c>
      <c r="AL733">
        <v>5</v>
      </c>
      <c r="AM733" t="s">
        <v>41</v>
      </c>
      <c r="AN733" t="s">
        <v>42</v>
      </c>
      <c r="AO733" t="s">
        <v>3647</v>
      </c>
      <c r="AP733" t="s">
        <v>6457</v>
      </c>
      <c r="AQ733" t="s">
        <v>6457</v>
      </c>
      <c r="AR733" t="s">
        <v>1694</v>
      </c>
      <c r="AS733" t="s">
        <v>1694</v>
      </c>
    </row>
    <row r="734" spans="1:54" x14ac:dyDescent="0.4">
      <c r="A734" t="s">
        <v>630</v>
      </c>
      <c r="B734" t="s">
        <v>10</v>
      </c>
      <c r="C734" t="s">
        <v>4151</v>
      </c>
      <c r="D734" t="s">
        <v>11</v>
      </c>
      <c r="E734" s="2">
        <v>-6.9999999999999999E-4</v>
      </c>
      <c r="F734" t="s">
        <v>12</v>
      </c>
      <c r="G734" s="4">
        <f>-0.06 / -0.07%</f>
        <v>85.714285714285694</v>
      </c>
      <c r="H734" t="s">
        <v>4151</v>
      </c>
      <c r="I734" t="s">
        <v>4152</v>
      </c>
      <c r="J734" t="s">
        <v>4153</v>
      </c>
      <c r="K734" t="s">
        <v>23</v>
      </c>
      <c r="L734" s="2">
        <v>0.04</v>
      </c>
      <c r="M734" t="s">
        <v>4154</v>
      </c>
      <c r="N734" t="s">
        <v>121</v>
      </c>
      <c r="O734" t="s">
        <v>4155</v>
      </c>
      <c r="P734" t="s">
        <v>2460</v>
      </c>
      <c r="Q734" t="s">
        <v>2460</v>
      </c>
      <c r="R734" t="s">
        <v>2460</v>
      </c>
      <c r="S734" t="s">
        <v>2460</v>
      </c>
      <c r="T734" t="s">
        <v>4156</v>
      </c>
      <c r="U734" t="s">
        <v>4156</v>
      </c>
      <c r="V734" t="s">
        <v>1328</v>
      </c>
      <c r="W734" t="s">
        <v>4157</v>
      </c>
      <c r="X734" t="s">
        <v>156</v>
      </c>
      <c r="Y734" t="s">
        <v>156</v>
      </c>
      <c r="Z734" t="s">
        <v>191</v>
      </c>
      <c r="AA734" t="s">
        <v>4158</v>
      </c>
      <c r="AB734" s="2">
        <v>4.1999999999999997E-3</v>
      </c>
      <c r="AC734" s="2">
        <v>-3.78E-2</v>
      </c>
      <c r="AD734" s="2">
        <v>-2.5700000000000001E-2</v>
      </c>
      <c r="AE734" s="2">
        <v>-3.2300000000000002E-2</v>
      </c>
      <c r="AF734" s="2">
        <v>-8.9200000000000002E-2</v>
      </c>
      <c r="AG734" s="2">
        <v>-0.22700000000000001</v>
      </c>
      <c r="AH734" t="s">
        <v>4159</v>
      </c>
      <c r="AI734" t="s">
        <v>130</v>
      </c>
      <c r="AJ734" t="s">
        <v>131</v>
      </c>
      <c r="AK734" t="s">
        <v>40</v>
      </c>
      <c r="AL734">
        <v>2</v>
      </c>
      <c r="AM734" t="s">
        <v>41</v>
      </c>
      <c r="AN734" t="s">
        <v>42</v>
      </c>
      <c r="AO734" t="s">
        <v>4155</v>
      </c>
      <c r="AP734" t="s">
        <v>407</v>
      </c>
      <c r="AQ734" t="s">
        <v>407</v>
      </c>
      <c r="AR734" t="s">
        <v>133</v>
      </c>
      <c r="AS734" t="s">
        <v>133</v>
      </c>
    </row>
    <row r="735" spans="1:54" x14ac:dyDescent="0.4">
      <c r="A735" t="s">
        <v>76</v>
      </c>
      <c r="B735" t="s">
        <v>10</v>
      </c>
      <c r="C735" t="s">
        <v>1326</v>
      </c>
      <c r="D735" t="s">
        <v>11</v>
      </c>
      <c r="E735" s="2">
        <v>5.3E-3</v>
      </c>
      <c r="F735" t="s">
        <v>12</v>
      </c>
      <c r="G735" s="4" t="s">
        <v>7354</v>
      </c>
      <c r="H735" t="s">
        <v>1326</v>
      </c>
      <c r="I735" t="s">
        <v>7355</v>
      </c>
      <c r="J735" t="s">
        <v>7356</v>
      </c>
      <c r="K735" t="s">
        <v>23</v>
      </c>
      <c r="L735" s="2">
        <v>0.04</v>
      </c>
      <c r="M735" t="s">
        <v>5641</v>
      </c>
      <c r="N735" t="s">
        <v>121</v>
      </c>
      <c r="O735" t="s">
        <v>2863</v>
      </c>
      <c r="P735" t="s">
        <v>7357</v>
      </c>
      <c r="Q735" t="s">
        <v>7357</v>
      </c>
      <c r="R735" t="s">
        <v>7357</v>
      </c>
      <c r="S735" t="s">
        <v>7357</v>
      </c>
      <c r="T735" t="s">
        <v>5101</v>
      </c>
      <c r="U735" t="s">
        <v>5101</v>
      </c>
      <c r="V735" t="s">
        <v>7358</v>
      </c>
      <c r="W735" t="s">
        <v>638</v>
      </c>
      <c r="X735" t="s">
        <v>7359</v>
      </c>
      <c r="Y735" t="s">
        <v>7359</v>
      </c>
      <c r="Z735" t="s">
        <v>1276</v>
      </c>
      <c r="AA735" t="s">
        <v>7360</v>
      </c>
      <c r="AB735" s="2">
        <v>-6.8999999999999999E-3</v>
      </c>
      <c r="AC735" s="2">
        <v>-4.82E-2</v>
      </c>
      <c r="AD735" s="2">
        <v>-3.7499999999999999E-2</v>
      </c>
      <c r="AE735" s="2">
        <v>-6.6600000000000006E-2</v>
      </c>
      <c r="AF735" s="2">
        <v>-0.15629999999999999</v>
      </c>
      <c r="AG735" s="2">
        <v>-0.3327</v>
      </c>
      <c r="AH735" t="s">
        <v>4159</v>
      </c>
      <c r="AI735" t="s">
        <v>130</v>
      </c>
      <c r="AJ735" t="s">
        <v>131</v>
      </c>
      <c r="AK735" t="s">
        <v>40</v>
      </c>
      <c r="AL735">
        <v>2</v>
      </c>
      <c r="AM735" t="s">
        <v>41</v>
      </c>
      <c r="AN735" t="s">
        <v>42</v>
      </c>
      <c r="AO735" t="s">
        <v>2863</v>
      </c>
      <c r="AP735" t="s">
        <v>193</v>
      </c>
      <c r="AQ735" t="s">
        <v>193</v>
      </c>
      <c r="AR735" t="s">
        <v>133</v>
      </c>
      <c r="AS735" t="s">
        <v>133</v>
      </c>
    </row>
    <row r="736" spans="1:54" x14ac:dyDescent="0.4">
      <c r="A736" t="s">
        <v>592</v>
      </c>
      <c r="B736" t="s">
        <v>10</v>
      </c>
      <c r="C736" t="s">
        <v>2530</v>
      </c>
      <c r="D736" t="s">
        <v>11</v>
      </c>
      <c r="E736" s="2">
        <v>5.4000000000000003E-3</v>
      </c>
      <c r="F736" t="s">
        <v>12</v>
      </c>
      <c r="G736" s="4" t="s">
        <v>2531</v>
      </c>
      <c r="H736" t="s">
        <v>2530</v>
      </c>
      <c r="I736" t="s">
        <v>2532</v>
      </c>
      <c r="J736" t="s">
        <v>2533</v>
      </c>
      <c r="K736" t="s">
        <v>23</v>
      </c>
      <c r="L736" s="2">
        <v>6.3750000000000001E-2</v>
      </c>
      <c r="M736" t="s">
        <v>2534</v>
      </c>
      <c r="N736" t="s">
        <v>121</v>
      </c>
      <c r="O736" t="s">
        <v>2535</v>
      </c>
      <c r="P736" t="s">
        <v>1206</v>
      </c>
      <c r="Q736" t="s">
        <v>1206</v>
      </c>
      <c r="R736" t="s">
        <v>1206</v>
      </c>
      <c r="S736" t="s">
        <v>2536</v>
      </c>
      <c r="T736" t="s">
        <v>524</v>
      </c>
      <c r="U736" t="s">
        <v>2537</v>
      </c>
      <c r="V736" t="s">
        <v>2538</v>
      </c>
      <c r="W736" t="s">
        <v>2539</v>
      </c>
      <c r="X736" t="s">
        <v>2540</v>
      </c>
      <c r="Y736" t="s">
        <v>2540</v>
      </c>
      <c r="Z736" t="s">
        <v>2540</v>
      </c>
      <c r="AA736" t="s">
        <v>2541</v>
      </c>
      <c r="AB736" s="2">
        <v>3.0000000000000001E-3</v>
      </c>
      <c r="AC736" s="2">
        <v>-3.2099999999999997E-2</v>
      </c>
      <c r="AD736" s="2">
        <v>-1.44E-2</v>
      </c>
      <c r="AE736" s="2">
        <v>-2.18E-2</v>
      </c>
      <c r="AF736" s="2">
        <v>-4.24E-2</v>
      </c>
      <c r="AG736" s="2">
        <v>-0.2049</v>
      </c>
      <c r="AH736" t="s">
        <v>2542</v>
      </c>
      <c r="AI736" t="s">
        <v>130</v>
      </c>
      <c r="AJ736" t="s">
        <v>131</v>
      </c>
      <c r="AK736" t="s">
        <v>40</v>
      </c>
      <c r="AL736">
        <v>2</v>
      </c>
      <c r="AM736" t="s">
        <v>41</v>
      </c>
      <c r="AN736" t="s">
        <v>42</v>
      </c>
      <c r="AO736" t="s">
        <v>2535</v>
      </c>
      <c r="AP736" t="s">
        <v>500</v>
      </c>
      <c r="AQ736" t="s">
        <v>500</v>
      </c>
      <c r="AR736" t="s">
        <v>133</v>
      </c>
      <c r="AS736" t="s">
        <v>133</v>
      </c>
    </row>
    <row r="737" spans="1:54" x14ac:dyDescent="0.4">
      <c r="A737" t="s">
        <v>630</v>
      </c>
      <c r="B737" t="s">
        <v>10</v>
      </c>
      <c r="C737" t="s">
        <v>257</v>
      </c>
      <c r="D737" t="s">
        <v>11</v>
      </c>
      <c r="E737" s="2">
        <v>5.1000000000000004E-3</v>
      </c>
      <c r="F737" t="s">
        <v>12</v>
      </c>
      <c r="G737" s="4" t="s">
        <v>1331</v>
      </c>
      <c r="H737" t="s">
        <v>257</v>
      </c>
      <c r="I737" t="s">
        <v>2315</v>
      </c>
      <c r="J737" t="s">
        <v>3435</v>
      </c>
      <c r="K737" t="s">
        <v>23</v>
      </c>
      <c r="L737" s="2">
        <v>4.7500000000000001E-2</v>
      </c>
      <c r="M737" t="s">
        <v>3436</v>
      </c>
      <c r="N737" t="s">
        <v>121</v>
      </c>
      <c r="O737" t="s">
        <v>3437</v>
      </c>
      <c r="P737" t="s">
        <v>2214</v>
      </c>
      <c r="Q737" t="s">
        <v>1552</v>
      </c>
      <c r="R737" t="s">
        <v>1519</v>
      </c>
      <c r="S737" t="s">
        <v>2368</v>
      </c>
      <c r="T737" t="s">
        <v>1911</v>
      </c>
      <c r="U737" t="s">
        <v>687</v>
      </c>
      <c r="V737" t="s">
        <v>110</v>
      </c>
      <c r="W737" t="s">
        <v>110</v>
      </c>
      <c r="X737" t="s">
        <v>3411</v>
      </c>
      <c r="Y737" t="s">
        <v>3411</v>
      </c>
      <c r="Z737" t="s">
        <v>3411</v>
      </c>
      <c r="AA737" t="s">
        <v>1267</v>
      </c>
      <c r="AB737" s="2">
        <v>5.1000000000000004E-3</v>
      </c>
      <c r="AC737" s="2">
        <v>5.1000000000000004E-3</v>
      </c>
      <c r="AD737" s="2">
        <v>2.1700000000000001E-2</v>
      </c>
      <c r="AE737" s="2">
        <v>8.2000000000000003E-2</v>
      </c>
      <c r="AF737" s="2">
        <v>0.12820000000000001</v>
      </c>
      <c r="AG737" s="2">
        <v>-2.7E-2</v>
      </c>
      <c r="AH737" t="s">
        <v>3438</v>
      </c>
      <c r="AI737" t="s">
        <v>130</v>
      </c>
      <c r="AJ737" t="s">
        <v>131</v>
      </c>
      <c r="AK737" t="s">
        <v>40</v>
      </c>
      <c r="AL737">
        <v>1</v>
      </c>
      <c r="AM737" t="s">
        <v>41</v>
      </c>
      <c r="AN737" t="s">
        <v>42</v>
      </c>
      <c r="AO737" t="s">
        <v>3437</v>
      </c>
      <c r="AP737" t="s">
        <v>3439</v>
      </c>
      <c r="AQ737" t="s">
        <v>3439</v>
      </c>
      <c r="AR737" t="s">
        <v>48</v>
      </c>
      <c r="AS737" t="s">
        <v>48</v>
      </c>
      <c r="BB737" t="s">
        <v>61</v>
      </c>
    </row>
    <row r="738" spans="1:54" x14ac:dyDescent="0.4">
      <c r="A738" t="s">
        <v>2392</v>
      </c>
      <c r="B738" t="s">
        <v>10</v>
      </c>
      <c r="C738" t="s">
        <v>2393</v>
      </c>
      <c r="D738" t="s">
        <v>11</v>
      </c>
      <c r="E738" s="2">
        <v>0</v>
      </c>
      <c r="F738" t="s">
        <v>310</v>
      </c>
      <c r="G738" s="4" t="s">
        <v>15</v>
      </c>
      <c r="H738" t="s">
        <v>2393</v>
      </c>
      <c r="I738" t="s">
        <v>2394</v>
      </c>
      <c r="J738" t="s">
        <v>2395</v>
      </c>
      <c r="K738" t="s">
        <v>23</v>
      </c>
      <c r="L738" s="2">
        <v>6.5000000000000002E-2</v>
      </c>
      <c r="M738" t="s">
        <v>2396</v>
      </c>
      <c r="N738" t="s">
        <v>636</v>
      </c>
      <c r="O738" t="s">
        <v>2397</v>
      </c>
      <c r="P738" t="s">
        <v>2398</v>
      </c>
      <c r="Q738" t="s">
        <v>2399</v>
      </c>
      <c r="R738" t="s">
        <v>2399</v>
      </c>
      <c r="S738" t="s">
        <v>2399</v>
      </c>
      <c r="T738" t="s">
        <v>2399</v>
      </c>
      <c r="U738" t="s">
        <v>2399</v>
      </c>
      <c r="V738" t="s">
        <v>2400</v>
      </c>
      <c r="W738" t="s">
        <v>2401</v>
      </c>
      <c r="X738" t="s">
        <v>1909</v>
      </c>
      <c r="Y738" t="s">
        <v>2402</v>
      </c>
      <c r="Z738" t="s">
        <v>550</v>
      </c>
      <c r="AA738" s="1">
        <v>105495</v>
      </c>
      <c r="AB738" s="2">
        <v>0.30559999999999998</v>
      </c>
      <c r="AC738" s="2">
        <v>-0.14549999999999999</v>
      </c>
      <c r="AD738" s="2">
        <v>-0.1777</v>
      </c>
      <c r="AE738" s="2">
        <v>-0.35149999999999998</v>
      </c>
      <c r="AF738" s="2">
        <v>-0.53</v>
      </c>
      <c r="AG738" s="2">
        <v>-0.5363</v>
      </c>
      <c r="AH738" t="s">
        <v>2403</v>
      </c>
      <c r="AI738" t="s">
        <v>130</v>
      </c>
      <c r="AJ738" t="s">
        <v>131</v>
      </c>
      <c r="AK738" t="s">
        <v>40</v>
      </c>
      <c r="AL738">
        <v>1</v>
      </c>
      <c r="AM738" t="s">
        <v>41</v>
      </c>
      <c r="AN738" t="s">
        <v>42</v>
      </c>
      <c r="AO738" t="s">
        <v>2397</v>
      </c>
      <c r="AP738" t="s">
        <v>2404</v>
      </c>
      <c r="AQ738" t="s">
        <v>835</v>
      </c>
      <c r="AR738" t="s">
        <v>48</v>
      </c>
      <c r="AS738" t="s">
        <v>48</v>
      </c>
    </row>
    <row r="739" spans="1:54" x14ac:dyDescent="0.4">
      <c r="A739" t="s">
        <v>1527</v>
      </c>
      <c r="B739" t="s">
        <v>10</v>
      </c>
      <c r="C739" t="s">
        <v>1528</v>
      </c>
      <c r="D739" t="s">
        <v>11</v>
      </c>
      <c r="E739" s="2">
        <v>6.6E-3</v>
      </c>
      <c r="F739" t="s">
        <v>1529</v>
      </c>
      <c r="G739" s="4" t="s">
        <v>1530</v>
      </c>
      <c r="H739" t="s">
        <v>1528</v>
      </c>
      <c r="I739" t="s">
        <v>1531</v>
      </c>
      <c r="J739" t="s">
        <v>1532</v>
      </c>
      <c r="K739" t="s">
        <v>23</v>
      </c>
      <c r="L739" s="2">
        <v>2.5000000000000001E-2</v>
      </c>
      <c r="M739" t="s">
        <v>1533</v>
      </c>
      <c r="N739" t="s">
        <v>28</v>
      </c>
      <c r="O739" t="s">
        <v>1534</v>
      </c>
      <c r="P739" t="s">
        <v>1357</v>
      </c>
      <c r="Q739" t="s">
        <v>1535</v>
      </c>
      <c r="R739" t="s">
        <v>1535</v>
      </c>
      <c r="S739" t="s">
        <v>1535</v>
      </c>
      <c r="T739" t="s">
        <v>1535</v>
      </c>
      <c r="U739" t="s">
        <v>1535</v>
      </c>
      <c r="V739" t="s">
        <v>1439</v>
      </c>
      <c r="W739" t="s">
        <v>721</v>
      </c>
      <c r="X739" t="s">
        <v>1440</v>
      </c>
      <c r="Y739" t="s">
        <v>1440</v>
      </c>
      <c r="Z739" t="s">
        <v>1440</v>
      </c>
      <c r="AA739" t="s">
        <v>1536</v>
      </c>
      <c r="AB739" s="2">
        <v>1.1999999999999999E-3</v>
      </c>
      <c r="AC739" s="2">
        <v>-0.1893</v>
      </c>
      <c r="AD739" s="2">
        <v>-0.18490000000000001</v>
      </c>
      <c r="AE739" s="2">
        <v>-0.18490000000000001</v>
      </c>
      <c r="AF739" s="2">
        <v>-0.18490000000000001</v>
      </c>
      <c r="AG739" s="2">
        <v>-0.30559999999999998</v>
      </c>
      <c r="AH739" t="s">
        <v>1537</v>
      </c>
      <c r="AI739" t="s">
        <v>130</v>
      </c>
      <c r="AJ739" t="s">
        <v>131</v>
      </c>
      <c r="AK739" t="s">
        <v>40</v>
      </c>
      <c r="AL739">
        <v>1</v>
      </c>
      <c r="AM739" t="s">
        <v>41</v>
      </c>
      <c r="AN739" t="s">
        <v>42</v>
      </c>
      <c r="AO739" t="s">
        <v>1534</v>
      </c>
      <c r="AP739" t="s">
        <v>978</v>
      </c>
      <c r="AQ739" t="s">
        <v>978</v>
      </c>
      <c r="AR739" t="s">
        <v>48</v>
      </c>
      <c r="AS739" t="s">
        <v>48</v>
      </c>
    </row>
    <row r="740" spans="1:54" x14ac:dyDescent="0.4">
      <c r="A740" t="s">
        <v>433</v>
      </c>
      <c r="B740" t="s">
        <v>10</v>
      </c>
      <c r="C740" t="s">
        <v>434</v>
      </c>
      <c r="D740" t="s">
        <v>11</v>
      </c>
      <c r="E740" s="2">
        <v>-8.0000000000000004E-4</v>
      </c>
      <c r="F740" t="s">
        <v>12</v>
      </c>
      <c r="G740" s="4">
        <f>-0.08 / -0.08%</f>
        <v>100</v>
      </c>
      <c r="H740" t="s">
        <v>434</v>
      </c>
      <c r="I740" t="s">
        <v>435</v>
      </c>
      <c r="J740" t="s">
        <v>436</v>
      </c>
      <c r="K740" t="s">
        <v>23</v>
      </c>
      <c r="L740" s="2">
        <v>4.1250000000000002E-2</v>
      </c>
      <c r="M740" t="s">
        <v>437</v>
      </c>
      <c r="N740" t="s">
        <v>28</v>
      </c>
      <c r="O740" t="s">
        <v>438</v>
      </c>
      <c r="P740" t="s">
        <v>439</v>
      </c>
      <c r="Q740" t="s">
        <v>439</v>
      </c>
      <c r="R740" t="s">
        <v>439</v>
      </c>
      <c r="S740" t="s">
        <v>440</v>
      </c>
      <c r="T740" t="s">
        <v>440</v>
      </c>
      <c r="U740" t="s">
        <v>440</v>
      </c>
      <c r="V740" t="s">
        <v>376</v>
      </c>
      <c r="W740" t="s">
        <v>169</v>
      </c>
      <c r="X740" t="s">
        <v>441</v>
      </c>
      <c r="Y740" t="s">
        <v>441</v>
      </c>
      <c r="Z740" t="s">
        <v>441</v>
      </c>
      <c r="AA740" t="s">
        <v>441</v>
      </c>
      <c r="AB740" s="2">
        <v>-1.6000000000000001E-3</v>
      </c>
      <c r="AC740" s="2">
        <v>1.8E-3</v>
      </c>
      <c r="AD740" s="2">
        <v>-7.1000000000000004E-3</v>
      </c>
      <c r="AE740" s="2">
        <v>7.9000000000000008E-3</v>
      </c>
      <c r="AF740" s="2">
        <v>7.9000000000000008E-3</v>
      </c>
      <c r="AG740" s="2">
        <v>7.9000000000000008E-3</v>
      </c>
      <c r="AH740" t="s">
        <v>442</v>
      </c>
      <c r="AI740" t="s">
        <v>232</v>
      </c>
      <c r="AJ740" t="s">
        <v>131</v>
      </c>
      <c r="AK740" t="s">
        <v>40</v>
      </c>
      <c r="AL740">
        <v>1</v>
      </c>
      <c r="AM740" t="s">
        <v>41</v>
      </c>
      <c r="AN740" t="s">
        <v>42</v>
      </c>
      <c r="AO740" t="s">
        <v>438</v>
      </c>
      <c r="AP740" t="s">
        <v>443</v>
      </c>
      <c r="AQ740" t="s">
        <v>443</v>
      </c>
      <c r="AR740" t="s">
        <v>48</v>
      </c>
      <c r="AS740" t="s">
        <v>48</v>
      </c>
    </row>
    <row r="741" spans="1:54" x14ac:dyDescent="0.4">
      <c r="A741" t="s">
        <v>592</v>
      </c>
      <c r="B741" t="s">
        <v>10</v>
      </c>
      <c r="C741" t="s">
        <v>2001</v>
      </c>
      <c r="D741" t="s">
        <v>11</v>
      </c>
      <c r="E741" s="2">
        <v>-4.0000000000000002E-4</v>
      </c>
      <c r="F741" t="s">
        <v>12</v>
      </c>
      <c r="G741" s="4">
        <f>-0.04 / -0.04%</f>
        <v>100</v>
      </c>
      <c r="H741" t="s">
        <v>2001</v>
      </c>
      <c r="I741" t="s">
        <v>2524</v>
      </c>
      <c r="J741" t="s">
        <v>2525</v>
      </c>
      <c r="K741" t="s">
        <v>23</v>
      </c>
      <c r="L741" s="2">
        <v>4.1250000000000002E-2</v>
      </c>
      <c r="M741" t="s">
        <v>314</v>
      </c>
      <c r="N741" t="s">
        <v>28</v>
      </c>
      <c r="O741" t="s">
        <v>2526</v>
      </c>
      <c r="P741" t="s">
        <v>1704</v>
      </c>
      <c r="Q741" t="s">
        <v>1704</v>
      </c>
      <c r="R741" t="s">
        <v>1704</v>
      </c>
      <c r="S741" t="s">
        <v>71</v>
      </c>
      <c r="T741" t="s">
        <v>2527</v>
      </c>
      <c r="U741" t="s">
        <v>2527</v>
      </c>
      <c r="V741" t="s">
        <v>2528</v>
      </c>
      <c r="W741" t="s">
        <v>2528</v>
      </c>
      <c r="X741" t="s">
        <v>2529</v>
      </c>
      <c r="Y741" t="s">
        <v>2529</v>
      </c>
      <c r="Z741" t="s">
        <v>2507</v>
      </c>
      <c r="AA741" t="s">
        <v>2507</v>
      </c>
      <c r="AB741" s="2">
        <v>8.0000000000000004E-4</v>
      </c>
      <c r="AC741" s="2">
        <v>-2.7000000000000001E-3</v>
      </c>
      <c r="AD741" s="2">
        <v>-3.8999999999999998E-3</v>
      </c>
      <c r="AE741" s="2">
        <v>-2.3E-3</v>
      </c>
      <c r="AF741" s="2">
        <v>2.92E-2</v>
      </c>
      <c r="AG741" s="2">
        <v>2.92E-2</v>
      </c>
      <c r="AH741" t="s">
        <v>442</v>
      </c>
      <c r="AI741" t="s">
        <v>232</v>
      </c>
      <c r="AJ741" t="s">
        <v>131</v>
      </c>
      <c r="AK741" t="s">
        <v>40</v>
      </c>
      <c r="AL741">
        <v>1</v>
      </c>
      <c r="AM741" t="s">
        <v>41</v>
      </c>
      <c r="AN741" t="s">
        <v>42</v>
      </c>
      <c r="AO741" t="s">
        <v>2526</v>
      </c>
      <c r="AP741" t="s">
        <v>225</v>
      </c>
      <c r="AQ741" t="s">
        <v>225</v>
      </c>
      <c r="AR741" t="s">
        <v>48</v>
      </c>
      <c r="AS741" t="s">
        <v>48</v>
      </c>
    </row>
    <row r="742" spans="1:54" x14ac:dyDescent="0.4">
      <c r="A742" t="s">
        <v>9</v>
      </c>
      <c r="B742" t="s">
        <v>10</v>
      </c>
      <c r="C742" t="s">
        <v>813</v>
      </c>
      <c r="D742" t="s">
        <v>11</v>
      </c>
      <c r="E742" s="2">
        <v>-1.9E-3</v>
      </c>
      <c r="F742" t="s">
        <v>12</v>
      </c>
      <c r="G742" s="4">
        <f>-0.185 / -0.19%</f>
        <v>97.368421052631575</v>
      </c>
      <c r="H742" t="s">
        <v>813</v>
      </c>
      <c r="I742" t="s">
        <v>888</v>
      </c>
      <c r="J742" t="s">
        <v>889</v>
      </c>
      <c r="K742" t="s">
        <v>23</v>
      </c>
      <c r="L742" s="2">
        <v>3.7499999999999999E-2</v>
      </c>
      <c r="M742" t="s">
        <v>437</v>
      </c>
      <c r="N742" t="s">
        <v>28</v>
      </c>
      <c r="O742" t="s">
        <v>438</v>
      </c>
      <c r="P742" t="s">
        <v>257</v>
      </c>
      <c r="Q742" t="s">
        <v>257</v>
      </c>
      <c r="R742" t="s">
        <v>257</v>
      </c>
      <c r="S742" s="1">
        <v>97985</v>
      </c>
      <c r="T742" s="1">
        <v>97985</v>
      </c>
      <c r="U742" s="1">
        <v>97985</v>
      </c>
      <c r="V742" t="s">
        <v>90</v>
      </c>
      <c r="W742" t="s">
        <v>63</v>
      </c>
      <c r="X742" t="s">
        <v>890</v>
      </c>
      <c r="Y742" t="s">
        <v>890</v>
      </c>
      <c r="Z742" t="s">
        <v>890</v>
      </c>
      <c r="AA742" t="s">
        <v>890</v>
      </c>
      <c r="AB742" s="2">
        <v>-3.3E-3</v>
      </c>
      <c r="AC742" s="2">
        <v>-2E-3</v>
      </c>
      <c r="AD742" s="2">
        <v>1.4E-3</v>
      </c>
      <c r="AE742" s="2">
        <v>-1E-4</v>
      </c>
      <c r="AF742" s="2">
        <v>-1E-4</v>
      </c>
      <c r="AG742" s="2">
        <v>-1E-4</v>
      </c>
      <c r="AH742" t="s">
        <v>442</v>
      </c>
      <c r="AI742" t="s">
        <v>232</v>
      </c>
      <c r="AJ742" t="s">
        <v>131</v>
      </c>
      <c r="AK742" t="s">
        <v>40</v>
      </c>
      <c r="AL742">
        <v>1</v>
      </c>
      <c r="AM742" t="s">
        <v>41</v>
      </c>
      <c r="AN742" t="s">
        <v>42</v>
      </c>
      <c r="AO742" t="s">
        <v>438</v>
      </c>
      <c r="AP742" t="s">
        <v>357</v>
      </c>
      <c r="AQ742" t="s">
        <v>357</v>
      </c>
      <c r="AR742" t="s">
        <v>48</v>
      </c>
      <c r="AS742" t="s">
        <v>48</v>
      </c>
    </row>
    <row r="743" spans="1:54" x14ac:dyDescent="0.4">
      <c r="A743" t="s">
        <v>592</v>
      </c>
      <c r="B743" t="s">
        <v>10</v>
      </c>
      <c r="C743" s="1">
        <v>98995</v>
      </c>
      <c r="D743" t="s">
        <v>11</v>
      </c>
      <c r="E743" s="2">
        <v>-1E-3</v>
      </c>
      <c r="F743" t="s">
        <v>12</v>
      </c>
      <c r="G743" s="4">
        <f>-0.1 / -0.1%</f>
        <v>100</v>
      </c>
      <c r="H743" s="1">
        <v>98995</v>
      </c>
      <c r="I743" t="s">
        <v>4795</v>
      </c>
      <c r="J743" t="s">
        <v>4796</v>
      </c>
      <c r="K743" t="s">
        <v>23</v>
      </c>
      <c r="L743" s="2">
        <v>2.1250000000000002E-2</v>
      </c>
      <c r="M743" t="s">
        <v>4797</v>
      </c>
      <c r="N743" t="s">
        <v>28</v>
      </c>
      <c r="O743" t="s">
        <v>4798</v>
      </c>
      <c r="P743" s="1">
        <v>98755</v>
      </c>
      <c r="Q743" s="1">
        <v>98755</v>
      </c>
      <c r="R743" t="s">
        <v>829</v>
      </c>
      <c r="S743" s="1">
        <v>96335</v>
      </c>
      <c r="T743" s="1">
        <v>93405</v>
      </c>
      <c r="U743" s="1">
        <v>93405</v>
      </c>
      <c r="V743" s="1">
        <v>99825</v>
      </c>
      <c r="W743" s="1">
        <v>100535</v>
      </c>
      <c r="X743" s="1">
        <v>100535</v>
      </c>
      <c r="Y743" s="1">
        <v>100535</v>
      </c>
      <c r="Z743" s="1">
        <v>100535</v>
      </c>
      <c r="AA743" s="1">
        <v>113595</v>
      </c>
      <c r="AB743" s="2">
        <v>-7.3000000000000001E-3</v>
      </c>
      <c r="AC743" s="2">
        <v>-1.03E-2</v>
      </c>
      <c r="AD743" s="2">
        <v>9.5999999999999992E-3</v>
      </c>
      <c r="AE743" s="2">
        <v>1.06E-2</v>
      </c>
      <c r="AF743" s="2">
        <v>1.4800000000000001E-2</v>
      </c>
      <c r="AG743" s="2">
        <v>-0.1255</v>
      </c>
      <c r="AH743" t="s">
        <v>4799</v>
      </c>
      <c r="AI743" t="s">
        <v>130</v>
      </c>
      <c r="AJ743" t="s">
        <v>131</v>
      </c>
      <c r="AK743" t="s">
        <v>40</v>
      </c>
      <c r="AL743">
        <v>0</v>
      </c>
      <c r="AM743" t="s">
        <v>41</v>
      </c>
      <c r="AN743" t="s">
        <v>42</v>
      </c>
      <c r="AO743" t="s">
        <v>4798</v>
      </c>
      <c r="AP743" t="s">
        <v>4800</v>
      </c>
      <c r="AQ743" t="s">
        <v>4800</v>
      </c>
      <c r="AR743" t="s">
        <v>48</v>
      </c>
      <c r="AS743" t="s">
        <v>48</v>
      </c>
    </row>
    <row r="744" spans="1:54" x14ac:dyDescent="0.4">
      <c r="A744" t="s">
        <v>4453</v>
      </c>
      <c r="B744" t="s">
        <v>10</v>
      </c>
      <c r="C744" t="s">
        <v>6815</v>
      </c>
      <c r="D744" t="s">
        <v>11</v>
      </c>
      <c r="E744" s="2">
        <v>4.7999999999999996E-3</v>
      </c>
      <c r="F744" t="s">
        <v>178</v>
      </c>
      <c r="G744" s="4" t="s">
        <v>6816</v>
      </c>
      <c r="H744" t="s">
        <v>6815</v>
      </c>
      <c r="I744" t="s">
        <v>6817</v>
      </c>
      <c r="J744" t="s">
        <v>6818</v>
      </c>
      <c r="K744" t="s">
        <v>23</v>
      </c>
      <c r="L744" s="2">
        <v>2.5000000000000001E-2</v>
      </c>
      <c r="M744" t="s">
        <v>4930</v>
      </c>
      <c r="N744" t="s">
        <v>121</v>
      </c>
      <c r="O744" t="s">
        <v>6819</v>
      </c>
      <c r="P744" t="s">
        <v>6820</v>
      </c>
      <c r="Q744" t="s">
        <v>6820</v>
      </c>
      <c r="R744" t="s">
        <v>6820</v>
      </c>
      <c r="S744" t="s">
        <v>6820</v>
      </c>
      <c r="T744" t="s">
        <v>6820</v>
      </c>
      <c r="U744" t="s">
        <v>6820</v>
      </c>
      <c r="V744" t="s">
        <v>6821</v>
      </c>
      <c r="W744" t="s">
        <v>6822</v>
      </c>
      <c r="X744" t="s">
        <v>6822</v>
      </c>
      <c r="Y744" t="s">
        <v>6822</v>
      </c>
      <c r="Z744" t="s">
        <v>6822</v>
      </c>
      <c r="AA744" t="s">
        <v>6822</v>
      </c>
      <c r="AB744" s="2">
        <v>-4.3700000000000003E-2</v>
      </c>
      <c r="AC744" s="2">
        <v>-5.5300000000000002E-2</v>
      </c>
      <c r="AD744" s="2">
        <v>-5.5300000000000002E-2</v>
      </c>
      <c r="AE744" s="2">
        <v>-5.5300000000000002E-2</v>
      </c>
      <c r="AF744" s="2">
        <v>-5.5300000000000002E-2</v>
      </c>
      <c r="AG744" s="2">
        <v>-5.5300000000000002E-2</v>
      </c>
      <c r="AH744" t="s">
        <v>6823</v>
      </c>
      <c r="AI744" t="s">
        <v>4794</v>
      </c>
      <c r="AJ744" t="s">
        <v>131</v>
      </c>
      <c r="AK744" t="s">
        <v>40</v>
      </c>
      <c r="AL744">
        <v>1</v>
      </c>
      <c r="AM744" t="s">
        <v>41</v>
      </c>
      <c r="AN744" t="s">
        <v>42</v>
      </c>
      <c r="AO744" t="s">
        <v>6819</v>
      </c>
      <c r="AS744" t="s">
        <v>133</v>
      </c>
      <c r="AT744" t="s">
        <v>1335</v>
      </c>
      <c r="AU744" t="s">
        <v>5552</v>
      </c>
    </row>
    <row r="745" spans="1:54" x14ac:dyDescent="0.4">
      <c r="A745" t="s">
        <v>4462</v>
      </c>
      <c r="B745" t="s">
        <v>10</v>
      </c>
      <c r="C745" t="s">
        <v>4902</v>
      </c>
      <c r="D745" t="s">
        <v>11</v>
      </c>
      <c r="E745" s="2">
        <v>4.0000000000000002E-4</v>
      </c>
      <c r="F745" t="s">
        <v>1057</v>
      </c>
      <c r="G745" s="4" t="s">
        <v>3547</v>
      </c>
      <c r="H745" t="s">
        <v>4902</v>
      </c>
      <c r="I745" t="s">
        <v>4903</v>
      </c>
      <c r="J745" t="s">
        <v>4904</v>
      </c>
      <c r="K745" t="s">
        <v>23</v>
      </c>
      <c r="L745" s="2">
        <v>3.95E-2</v>
      </c>
      <c r="M745" t="s">
        <v>4759</v>
      </c>
      <c r="N745" t="s">
        <v>121</v>
      </c>
      <c r="O745" t="s">
        <v>3974</v>
      </c>
      <c r="P745" t="s">
        <v>4767</v>
      </c>
      <c r="Q745" t="s">
        <v>4767</v>
      </c>
      <c r="R745" t="s">
        <v>4767</v>
      </c>
      <c r="S745" t="s">
        <v>2082</v>
      </c>
      <c r="T745" t="s">
        <v>4905</v>
      </c>
      <c r="U745" t="s">
        <v>4906</v>
      </c>
      <c r="V745" t="s">
        <v>2835</v>
      </c>
      <c r="W745" t="s">
        <v>2983</v>
      </c>
      <c r="X745" t="s">
        <v>4907</v>
      </c>
      <c r="Y745" t="s">
        <v>4907</v>
      </c>
      <c r="Z745" t="s">
        <v>4907</v>
      </c>
      <c r="AA745" t="s">
        <v>4908</v>
      </c>
      <c r="AB745" s="2">
        <v>-1E-4</v>
      </c>
      <c r="AC745" s="2">
        <v>-1.37E-2</v>
      </c>
      <c r="AD745" s="2">
        <v>-4.1999999999999997E-3</v>
      </c>
      <c r="AE745" s="2">
        <v>1.06E-2</v>
      </c>
      <c r="AF745" s="2">
        <v>3.7199999999999997E-2</v>
      </c>
      <c r="AG745" s="2">
        <v>-7.6700000000000004E-2</v>
      </c>
      <c r="AH745" t="s">
        <v>4909</v>
      </c>
      <c r="AI745" t="s">
        <v>130</v>
      </c>
      <c r="AJ745" t="s">
        <v>131</v>
      </c>
      <c r="AK745" t="s">
        <v>40</v>
      </c>
      <c r="AL745">
        <v>200</v>
      </c>
      <c r="AM745" t="s">
        <v>41</v>
      </c>
      <c r="AN745" t="s">
        <v>42</v>
      </c>
      <c r="AO745" t="s">
        <v>3974</v>
      </c>
      <c r="AP745" t="s">
        <v>357</v>
      </c>
      <c r="AQ745" t="s">
        <v>357</v>
      </c>
      <c r="AR745" t="s">
        <v>133</v>
      </c>
      <c r="AS745" t="s">
        <v>133</v>
      </c>
    </row>
    <row r="746" spans="1:54" x14ac:dyDescent="0.4">
      <c r="A746" t="s">
        <v>630</v>
      </c>
      <c r="B746" t="s">
        <v>10</v>
      </c>
      <c r="C746" t="s">
        <v>667</v>
      </c>
      <c r="D746" t="s">
        <v>11</v>
      </c>
      <c r="E746" s="2">
        <v>-1.6999999999999999E-3</v>
      </c>
      <c r="F746" t="s">
        <v>12</v>
      </c>
      <c r="G746" s="4">
        <f>-0.16 / -0.17%</f>
        <v>94.117647058823522</v>
      </c>
      <c r="H746" t="s">
        <v>667</v>
      </c>
      <c r="I746" t="s">
        <v>692</v>
      </c>
      <c r="J746" t="s">
        <v>693</v>
      </c>
      <c r="K746" t="s">
        <v>23</v>
      </c>
      <c r="L746" s="2">
        <v>1.8749999999999999E-2</v>
      </c>
      <c r="M746" t="s">
        <v>694</v>
      </c>
      <c r="N746" t="s">
        <v>28</v>
      </c>
      <c r="O746" t="s">
        <v>684</v>
      </c>
      <c r="P746" s="1">
        <v>94645</v>
      </c>
      <c r="Q746" t="s">
        <v>695</v>
      </c>
      <c r="R746" s="1">
        <v>92645</v>
      </c>
      <c r="S746" s="1">
        <v>90545</v>
      </c>
      <c r="T746" s="1">
        <v>84695</v>
      </c>
      <c r="U746" s="1">
        <v>84695</v>
      </c>
      <c r="V746" s="1">
        <v>96205</v>
      </c>
      <c r="W746" s="1">
        <v>96585</v>
      </c>
      <c r="X746" s="1">
        <v>96585</v>
      </c>
      <c r="Y746" s="1">
        <v>96585</v>
      </c>
      <c r="Z746" s="1">
        <v>96585</v>
      </c>
      <c r="AA746" t="s">
        <v>536</v>
      </c>
      <c r="AB746" s="2">
        <v>-8.0999999999999996E-3</v>
      </c>
      <c r="AC746" s="2">
        <v>-6.1000000000000004E-3</v>
      </c>
      <c r="AD746" s="2">
        <v>2.2200000000000001E-2</v>
      </c>
      <c r="AE746" s="2">
        <v>4.4299999999999999E-2</v>
      </c>
      <c r="AF746" s="2">
        <v>6.1899999999999997E-2</v>
      </c>
      <c r="AG746" s="2">
        <v>-0.1158</v>
      </c>
      <c r="AH746" t="s">
        <v>696</v>
      </c>
      <c r="AI746" t="s">
        <v>130</v>
      </c>
      <c r="AJ746" t="s">
        <v>131</v>
      </c>
      <c r="AK746" t="s">
        <v>40</v>
      </c>
      <c r="AL746">
        <v>100</v>
      </c>
      <c r="AM746" t="s">
        <v>41</v>
      </c>
      <c r="AN746" t="s">
        <v>42</v>
      </c>
      <c r="AO746" t="s">
        <v>684</v>
      </c>
      <c r="AP746" t="s">
        <v>527</v>
      </c>
      <c r="AQ746" t="s">
        <v>527</v>
      </c>
      <c r="AR746" t="s">
        <v>48</v>
      </c>
      <c r="AS746" t="s">
        <v>48</v>
      </c>
    </row>
    <row r="747" spans="1:54" x14ac:dyDescent="0.4">
      <c r="A747" t="s">
        <v>4453</v>
      </c>
      <c r="B747" t="s">
        <v>10</v>
      </c>
      <c r="C747" t="s">
        <v>3638</v>
      </c>
      <c r="D747" t="s">
        <v>11</v>
      </c>
      <c r="E747" s="2">
        <v>-5.7000000000000002E-3</v>
      </c>
      <c r="F747" t="s">
        <v>310</v>
      </c>
      <c r="G747" s="4">
        <f>-0.56 / -0.57%</f>
        <v>98.24561403508774</v>
      </c>
      <c r="H747" t="s">
        <v>3638</v>
      </c>
      <c r="I747" t="s">
        <v>7361</v>
      </c>
      <c r="J747" t="s">
        <v>7362</v>
      </c>
      <c r="K747" t="s">
        <v>23</v>
      </c>
      <c r="L747" s="2">
        <v>5.6849999999999998E-2</v>
      </c>
      <c r="M747" t="s">
        <v>5952</v>
      </c>
      <c r="N747" t="s">
        <v>121</v>
      </c>
      <c r="O747" t="s">
        <v>7363</v>
      </c>
      <c r="P747" t="s">
        <v>3151</v>
      </c>
      <c r="Q747" t="s">
        <v>3151</v>
      </c>
      <c r="R747" t="s">
        <v>3151</v>
      </c>
      <c r="S747" t="s">
        <v>3151</v>
      </c>
      <c r="T747" t="s">
        <v>3151</v>
      </c>
      <c r="U747" t="s">
        <v>3151</v>
      </c>
      <c r="V747" t="s">
        <v>4236</v>
      </c>
      <c r="W747" t="s">
        <v>7364</v>
      </c>
      <c r="X747" t="s">
        <v>5684</v>
      </c>
      <c r="Y747" t="s">
        <v>5684</v>
      </c>
      <c r="Z747" t="s">
        <v>5684</v>
      </c>
      <c r="AA747" t="s">
        <v>5684</v>
      </c>
      <c r="AB747" s="2">
        <v>-1.78E-2</v>
      </c>
      <c r="AC747" s="2">
        <v>-5.0799999999999998E-2</v>
      </c>
      <c r="AD747" s="2">
        <v>-3.4599999999999999E-2</v>
      </c>
      <c r="AE747" s="2">
        <v>-3.3700000000000001E-2</v>
      </c>
      <c r="AF747" s="2">
        <v>-3.3700000000000001E-2</v>
      </c>
      <c r="AG747" s="2">
        <v>-3.3700000000000001E-2</v>
      </c>
      <c r="AH747" t="s">
        <v>7365</v>
      </c>
      <c r="AI747" t="s">
        <v>130</v>
      </c>
      <c r="AJ747" t="s">
        <v>131</v>
      </c>
      <c r="AK747" t="s">
        <v>40</v>
      </c>
      <c r="AL747">
        <v>2</v>
      </c>
      <c r="AM747" t="s">
        <v>41</v>
      </c>
      <c r="AN747" t="s">
        <v>42</v>
      </c>
      <c r="AO747" t="s">
        <v>7363</v>
      </c>
      <c r="AP747" t="s">
        <v>4863</v>
      </c>
      <c r="AQ747" t="s">
        <v>4863</v>
      </c>
      <c r="AR747" t="s">
        <v>133</v>
      </c>
      <c r="AS747" t="s">
        <v>133</v>
      </c>
    </row>
    <row r="748" spans="1:54" x14ac:dyDescent="0.4">
      <c r="A748" t="s">
        <v>961</v>
      </c>
      <c r="B748" t="s">
        <v>10</v>
      </c>
      <c r="C748" t="s">
        <v>110</v>
      </c>
      <c r="D748" t="s">
        <v>11</v>
      </c>
      <c r="E748" s="2">
        <v>0</v>
      </c>
      <c r="F748" t="s">
        <v>12</v>
      </c>
      <c r="G748" s="4" t="s">
        <v>15</v>
      </c>
      <c r="H748" t="s">
        <v>110</v>
      </c>
      <c r="I748" t="s">
        <v>2163</v>
      </c>
      <c r="J748" t="s">
        <v>2163</v>
      </c>
      <c r="K748" t="s">
        <v>23</v>
      </c>
      <c r="L748" s="2">
        <v>2.06E-2</v>
      </c>
      <c r="M748" t="s">
        <v>6927</v>
      </c>
      <c r="N748" t="s">
        <v>28</v>
      </c>
      <c r="O748" t="s">
        <v>6122</v>
      </c>
      <c r="P748" t="s">
        <v>110</v>
      </c>
      <c r="Q748" t="s">
        <v>110</v>
      </c>
      <c r="R748" t="s">
        <v>110</v>
      </c>
      <c r="S748" t="s">
        <v>110</v>
      </c>
      <c r="T748" t="s">
        <v>110</v>
      </c>
      <c r="U748" t="s">
        <v>110</v>
      </c>
      <c r="V748" t="s">
        <v>110</v>
      </c>
      <c r="W748" t="s">
        <v>110</v>
      </c>
      <c r="X748" t="s">
        <v>110</v>
      </c>
      <c r="Y748" t="s">
        <v>110</v>
      </c>
      <c r="Z748" t="s">
        <v>110</v>
      </c>
      <c r="AA748" t="s">
        <v>110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t="s">
        <v>6928</v>
      </c>
      <c r="AI748" t="s">
        <v>130</v>
      </c>
      <c r="AJ748" t="s">
        <v>131</v>
      </c>
      <c r="AK748" t="s">
        <v>40</v>
      </c>
      <c r="AL748">
        <v>1</v>
      </c>
      <c r="AM748" t="s">
        <v>41</v>
      </c>
      <c r="AN748" t="s">
        <v>42</v>
      </c>
      <c r="AO748" t="s">
        <v>6122</v>
      </c>
      <c r="AP748" t="s">
        <v>6929</v>
      </c>
      <c r="BA748" t="s">
        <v>136</v>
      </c>
      <c r="BB748" t="s">
        <v>61</v>
      </c>
    </row>
    <row r="749" spans="1:54" x14ac:dyDescent="0.4">
      <c r="A749" t="s">
        <v>592</v>
      </c>
      <c r="B749" t="s">
        <v>10</v>
      </c>
      <c r="C749" t="s">
        <v>6943</v>
      </c>
      <c r="D749" t="s">
        <v>11</v>
      </c>
      <c r="E749" s="2">
        <v>8.0000000000000004E-4</v>
      </c>
      <c r="F749" t="s">
        <v>12</v>
      </c>
      <c r="G749" s="4" t="s">
        <v>6944</v>
      </c>
      <c r="H749" t="s">
        <v>6943</v>
      </c>
      <c r="I749" t="s">
        <v>6945</v>
      </c>
      <c r="J749" t="s">
        <v>6946</v>
      </c>
      <c r="K749" t="s">
        <v>23</v>
      </c>
      <c r="L749" s="2">
        <v>2.5000000000000001E-2</v>
      </c>
      <c r="M749" t="s">
        <v>6947</v>
      </c>
      <c r="N749" t="s">
        <v>121</v>
      </c>
      <c r="O749" t="s">
        <v>6383</v>
      </c>
      <c r="P749" t="s">
        <v>1085</v>
      </c>
      <c r="Q749" t="s">
        <v>4486</v>
      </c>
      <c r="R749" t="s">
        <v>5271</v>
      </c>
      <c r="S749" t="s">
        <v>1885</v>
      </c>
      <c r="T749" t="s">
        <v>6948</v>
      </c>
      <c r="U749" t="s">
        <v>6949</v>
      </c>
      <c r="V749" t="s">
        <v>6950</v>
      </c>
      <c r="W749" t="s">
        <v>6950</v>
      </c>
      <c r="X749" t="s">
        <v>6950</v>
      </c>
      <c r="Y749" t="s">
        <v>6950</v>
      </c>
      <c r="Z749" t="s">
        <v>6950</v>
      </c>
      <c r="AA749" t="s">
        <v>6951</v>
      </c>
      <c r="AB749" s="2">
        <v>5.1999999999999998E-3</v>
      </c>
      <c r="AC749" s="2">
        <v>4.3E-3</v>
      </c>
      <c r="AD749" s="2">
        <v>2.5399999999999999E-2</v>
      </c>
      <c r="AE749" s="2">
        <v>7.7399999999999997E-2</v>
      </c>
      <c r="AF749" s="2">
        <v>0.15160000000000001</v>
      </c>
      <c r="AG749" s="2">
        <v>-4.5499999999999999E-2</v>
      </c>
      <c r="AH749" t="s">
        <v>6952</v>
      </c>
      <c r="AI749" t="s">
        <v>130</v>
      </c>
      <c r="AJ749" t="s">
        <v>131</v>
      </c>
      <c r="AK749" t="s">
        <v>40</v>
      </c>
      <c r="AL749">
        <v>100</v>
      </c>
      <c r="AM749" t="s">
        <v>41</v>
      </c>
      <c r="AN749" t="s">
        <v>42</v>
      </c>
      <c r="AO749" t="s">
        <v>6383</v>
      </c>
      <c r="AP749" t="s">
        <v>4863</v>
      </c>
      <c r="AZ749">
        <v>100</v>
      </c>
      <c r="BA749" t="s">
        <v>174</v>
      </c>
    </row>
    <row r="750" spans="1:54" x14ac:dyDescent="0.4">
      <c r="A750" t="s">
        <v>961</v>
      </c>
      <c r="B750" t="s">
        <v>10</v>
      </c>
      <c r="C750" t="s">
        <v>3354</v>
      </c>
      <c r="D750" t="s">
        <v>11</v>
      </c>
      <c r="E750" s="2">
        <v>1.9E-3</v>
      </c>
      <c r="F750" t="s">
        <v>12</v>
      </c>
      <c r="G750" s="4" t="s">
        <v>4272</v>
      </c>
      <c r="H750" t="s">
        <v>3354</v>
      </c>
      <c r="I750" t="s">
        <v>7366</v>
      </c>
      <c r="J750" t="s">
        <v>7367</v>
      </c>
      <c r="K750" t="s">
        <v>23</v>
      </c>
      <c r="L750" s="2">
        <v>1.2999999999999999E-2</v>
      </c>
      <c r="M750" t="s">
        <v>7368</v>
      </c>
      <c r="N750" t="s">
        <v>121</v>
      </c>
      <c r="O750" t="s">
        <v>7369</v>
      </c>
      <c r="P750" t="s">
        <v>4128</v>
      </c>
      <c r="Q750" t="s">
        <v>1878</v>
      </c>
      <c r="R750" t="s">
        <v>1878</v>
      </c>
      <c r="S750" t="s">
        <v>1878</v>
      </c>
      <c r="T750" t="s">
        <v>7370</v>
      </c>
      <c r="U750" t="s">
        <v>7371</v>
      </c>
      <c r="V750" t="s">
        <v>7372</v>
      </c>
      <c r="W750" t="s">
        <v>7373</v>
      </c>
      <c r="X750" s="1">
        <v>91245</v>
      </c>
      <c r="Y750" s="1">
        <v>91245</v>
      </c>
      <c r="Z750" s="1">
        <v>91245</v>
      </c>
      <c r="AA750" t="s">
        <v>5063</v>
      </c>
      <c r="AB750" s="2">
        <v>7.6E-3</v>
      </c>
      <c r="AC750" s="2">
        <v>-8.3000000000000001E-3</v>
      </c>
      <c r="AD750" s="2">
        <v>5.8999999999999999E-3</v>
      </c>
      <c r="AE750" s="2">
        <v>1.7100000000000001E-2</v>
      </c>
      <c r="AF750" s="2">
        <v>2.8000000000000001E-2</v>
      </c>
      <c r="AG750" s="2">
        <v>-5.6000000000000001E-2</v>
      </c>
      <c r="AH750" t="s">
        <v>7374</v>
      </c>
      <c r="AI750" t="s">
        <v>130</v>
      </c>
      <c r="AJ750" t="s">
        <v>131</v>
      </c>
      <c r="AK750" t="s">
        <v>40</v>
      </c>
      <c r="AL750">
        <v>2</v>
      </c>
      <c r="AM750" t="s">
        <v>41</v>
      </c>
      <c r="AN750" t="s">
        <v>42</v>
      </c>
      <c r="AO750" t="s">
        <v>7369</v>
      </c>
      <c r="AP750" t="s">
        <v>7375</v>
      </c>
      <c r="AQ750" t="s">
        <v>7375</v>
      </c>
      <c r="AR750" t="s">
        <v>133</v>
      </c>
      <c r="AS750" t="s">
        <v>133</v>
      </c>
    </row>
    <row r="751" spans="1:54" x14ac:dyDescent="0.4">
      <c r="A751" t="s">
        <v>630</v>
      </c>
      <c r="B751" t="s">
        <v>10</v>
      </c>
      <c r="C751" t="s">
        <v>2189</v>
      </c>
      <c r="D751" t="s">
        <v>11</v>
      </c>
      <c r="E751" s="2">
        <v>-8.0999999999999996E-3</v>
      </c>
      <c r="F751" t="s">
        <v>12</v>
      </c>
      <c r="G751" s="4">
        <f>-0.81 / -0.81%</f>
        <v>99.999999999999986</v>
      </c>
      <c r="H751" t="s">
        <v>2189</v>
      </c>
      <c r="I751" t="s">
        <v>5179</v>
      </c>
      <c r="J751" t="s">
        <v>5180</v>
      </c>
      <c r="K751" t="s">
        <v>23</v>
      </c>
      <c r="L751" s="2">
        <v>3.125E-2</v>
      </c>
      <c r="M751" t="s">
        <v>1826</v>
      </c>
      <c r="N751" t="s">
        <v>28</v>
      </c>
      <c r="O751" t="s">
        <v>5181</v>
      </c>
      <c r="P751" t="s">
        <v>2806</v>
      </c>
      <c r="Q751" t="s">
        <v>2806</v>
      </c>
      <c r="R751" t="s">
        <v>2806</v>
      </c>
      <c r="S751" t="s">
        <v>426</v>
      </c>
      <c r="T751" t="s">
        <v>426</v>
      </c>
      <c r="U751" t="s">
        <v>426</v>
      </c>
      <c r="V751" t="s">
        <v>3781</v>
      </c>
      <c r="W751" t="s">
        <v>1562</v>
      </c>
      <c r="X751" t="s">
        <v>3360</v>
      </c>
      <c r="Y751" t="s">
        <v>3360</v>
      </c>
      <c r="Z751" t="s">
        <v>3360</v>
      </c>
      <c r="AA751" t="s">
        <v>3360</v>
      </c>
      <c r="AB751" s="2">
        <v>-1.7399999999999999E-2</v>
      </c>
      <c r="AC751" s="2">
        <v>-2.6800000000000001E-2</v>
      </c>
      <c r="AD751" s="2">
        <v>-4.5999999999999999E-3</v>
      </c>
      <c r="AE751" s="2">
        <v>-8.0000000000000002E-3</v>
      </c>
      <c r="AF751" s="2">
        <v>-8.0000000000000002E-3</v>
      </c>
      <c r="AG751" s="2">
        <v>-8.0000000000000002E-3</v>
      </c>
      <c r="AH751" t="s">
        <v>417</v>
      </c>
      <c r="AI751" t="s">
        <v>130</v>
      </c>
      <c r="AJ751" t="s">
        <v>131</v>
      </c>
      <c r="AK751" t="s">
        <v>40</v>
      </c>
      <c r="AL751">
        <v>100</v>
      </c>
      <c r="AM751" t="s">
        <v>41</v>
      </c>
      <c r="AN751" t="s">
        <v>42</v>
      </c>
      <c r="AO751" t="s">
        <v>5181</v>
      </c>
      <c r="AP751" t="s">
        <v>5182</v>
      </c>
      <c r="AQ751" t="s">
        <v>5182</v>
      </c>
      <c r="AR751" t="s">
        <v>48</v>
      </c>
      <c r="AS751" t="s">
        <v>48</v>
      </c>
    </row>
    <row r="752" spans="1:54" x14ac:dyDescent="0.4">
      <c r="A752" t="s">
        <v>76</v>
      </c>
      <c r="B752" t="s">
        <v>10</v>
      </c>
      <c r="C752" t="s">
        <v>408</v>
      </c>
      <c r="D752" t="s">
        <v>11</v>
      </c>
      <c r="E752" s="2">
        <v>2.3999999999999998E-3</v>
      </c>
      <c r="F752" t="s">
        <v>12</v>
      </c>
      <c r="G752" s="4" t="s">
        <v>409</v>
      </c>
      <c r="H752" t="s">
        <v>408</v>
      </c>
      <c r="I752" t="s">
        <v>410</v>
      </c>
      <c r="J752" t="s">
        <v>411</v>
      </c>
      <c r="K752" t="s">
        <v>23</v>
      </c>
      <c r="L752" s="2">
        <v>4.4999999999999998E-2</v>
      </c>
      <c r="M752" t="s">
        <v>412</v>
      </c>
      <c r="N752" t="s">
        <v>121</v>
      </c>
      <c r="O752" t="s">
        <v>413</v>
      </c>
      <c r="P752" t="s">
        <v>154</v>
      </c>
      <c r="Q752" t="s">
        <v>154</v>
      </c>
      <c r="R752" t="s">
        <v>154</v>
      </c>
      <c r="S752" t="s">
        <v>414</v>
      </c>
      <c r="T752" t="s">
        <v>414</v>
      </c>
      <c r="U752" t="s">
        <v>414</v>
      </c>
      <c r="V752" s="1">
        <v>99795</v>
      </c>
      <c r="W752" t="s">
        <v>415</v>
      </c>
      <c r="X752" t="s">
        <v>416</v>
      </c>
      <c r="Y752" t="s">
        <v>416</v>
      </c>
      <c r="Z752" t="s">
        <v>416</v>
      </c>
      <c r="AA752" t="s">
        <v>416</v>
      </c>
      <c r="AB752" s="2">
        <v>1E-3</v>
      </c>
      <c r="AC752" s="2">
        <v>-1.2999999999999999E-2</v>
      </c>
      <c r="AD752" s="2">
        <v>-8.0999999999999996E-3</v>
      </c>
      <c r="AE752" s="2">
        <v>1E-3</v>
      </c>
      <c r="AF752" s="2">
        <v>1E-3</v>
      </c>
      <c r="AG752" s="2">
        <v>1E-3</v>
      </c>
      <c r="AH752" t="s">
        <v>417</v>
      </c>
      <c r="AI752" t="s">
        <v>130</v>
      </c>
      <c r="AJ752" t="s">
        <v>131</v>
      </c>
      <c r="AK752" t="s">
        <v>40</v>
      </c>
      <c r="AL752">
        <v>5</v>
      </c>
      <c r="AM752" t="s">
        <v>41</v>
      </c>
      <c r="AN752" t="s">
        <v>42</v>
      </c>
      <c r="AO752" t="s">
        <v>413</v>
      </c>
      <c r="AP752" t="s">
        <v>418</v>
      </c>
      <c r="AQ752" t="s">
        <v>418</v>
      </c>
      <c r="AR752" t="s">
        <v>133</v>
      </c>
      <c r="AS752" t="s">
        <v>133</v>
      </c>
    </row>
    <row r="753" spans="1:54" x14ac:dyDescent="0.4">
      <c r="A753" t="s">
        <v>630</v>
      </c>
      <c r="B753" t="s">
        <v>10</v>
      </c>
      <c r="C753" t="s">
        <v>2334</v>
      </c>
      <c r="D753" t="s">
        <v>11</v>
      </c>
      <c r="E753" s="2">
        <v>-4.7999999999999996E-3</v>
      </c>
      <c r="F753" t="s">
        <v>12</v>
      </c>
      <c r="G753" s="4">
        <f>-0.47 / -0.48%</f>
        <v>97.916666666666671</v>
      </c>
      <c r="H753" t="s">
        <v>2334</v>
      </c>
      <c r="I753" t="s">
        <v>3027</v>
      </c>
      <c r="J753" t="s">
        <v>3028</v>
      </c>
      <c r="K753" t="s">
        <v>23</v>
      </c>
      <c r="L753" s="2">
        <v>4.7500000000000001E-2</v>
      </c>
      <c r="M753" t="s">
        <v>3029</v>
      </c>
      <c r="N753" t="s">
        <v>121</v>
      </c>
      <c r="O753" t="s">
        <v>3030</v>
      </c>
      <c r="P753" t="s">
        <v>3031</v>
      </c>
      <c r="Q753" t="s">
        <v>3032</v>
      </c>
      <c r="R753" t="s">
        <v>3032</v>
      </c>
      <c r="S753" t="s">
        <v>3032</v>
      </c>
      <c r="T753" t="s">
        <v>3032</v>
      </c>
      <c r="U753" t="s">
        <v>3032</v>
      </c>
      <c r="V753" t="s">
        <v>3016</v>
      </c>
      <c r="W753" t="s">
        <v>760</v>
      </c>
      <c r="X753" t="s">
        <v>3033</v>
      </c>
      <c r="Y753" t="s">
        <v>128</v>
      </c>
      <c r="Z753" t="s">
        <v>128</v>
      </c>
      <c r="AA753" t="s">
        <v>128</v>
      </c>
      <c r="AB753" s="2">
        <v>-1.4E-2</v>
      </c>
      <c r="AC753" s="2">
        <v>4.7000000000000002E-3</v>
      </c>
      <c r="AD753" s="2">
        <v>-1.4999999999999999E-2</v>
      </c>
      <c r="AE753" s="2">
        <v>-3.7400000000000003E-2</v>
      </c>
      <c r="AF753" s="2">
        <v>-3.7400000000000003E-2</v>
      </c>
      <c r="AG753" s="2">
        <v>-3.7400000000000003E-2</v>
      </c>
      <c r="AH753" t="s">
        <v>3034</v>
      </c>
      <c r="AI753" t="s">
        <v>130</v>
      </c>
      <c r="AJ753" t="s">
        <v>131</v>
      </c>
      <c r="AK753" t="s">
        <v>40</v>
      </c>
      <c r="AL753">
        <v>1</v>
      </c>
      <c r="AM753" t="s">
        <v>41</v>
      </c>
      <c r="AN753" t="s">
        <v>42</v>
      </c>
      <c r="AO753" t="s">
        <v>3030</v>
      </c>
      <c r="AP753" t="s">
        <v>3035</v>
      </c>
      <c r="AQ753" t="s">
        <v>3035</v>
      </c>
      <c r="AR753" t="s">
        <v>1612</v>
      </c>
      <c r="AS753" t="s">
        <v>1612</v>
      </c>
    </row>
    <row r="754" spans="1:54" x14ac:dyDescent="0.4">
      <c r="A754" t="s">
        <v>592</v>
      </c>
      <c r="B754" t="s">
        <v>10</v>
      </c>
      <c r="C754" t="s">
        <v>1289</v>
      </c>
      <c r="D754" t="s">
        <v>11</v>
      </c>
      <c r="E754" s="2">
        <v>-2.0000000000000001E-4</v>
      </c>
      <c r="F754" t="s">
        <v>12</v>
      </c>
      <c r="G754" s="4">
        <f>-0.02 / -0.02%</f>
        <v>100</v>
      </c>
      <c r="H754" t="s">
        <v>1289</v>
      </c>
      <c r="I754" t="s">
        <v>7534</v>
      </c>
      <c r="J754" t="s">
        <v>7535</v>
      </c>
      <c r="K754" t="s">
        <v>23</v>
      </c>
      <c r="L754" s="2">
        <v>4.7500000000000001E-2</v>
      </c>
      <c r="M754" t="s">
        <v>569</v>
      </c>
      <c r="N754" t="s">
        <v>28</v>
      </c>
      <c r="O754" t="s">
        <v>7536</v>
      </c>
      <c r="P754" t="s">
        <v>1289</v>
      </c>
      <c r="Q754" t="s">
        <v>1289</v>
      </c>
      <c r="R754" t="s">
        <v>1488</v>
      </c>
      <c r="S754" t="s">
        <v>775</v>
      </c>
      <c r="T754" t="s">
        <v>2261</v>
      </c>
      <c r="U754" t="s">
        <v>2261</v>
      </c>
      <c r="V754" t="s">
        <v>1756</v>
      </c>
      <c r="W754" t="s">
        <v>3164</v>
      </c>
      <c r="X754" t="s">
        <v>3164</v>
      </c>
      <c r="Y754" t="s">
        <v>2641</v>
      </c>
      <c r="Z754" t="s">
        <v>2641</v>
      </c>
      <c r="AA754" t="s">
        <v>2641</v>
      </c>
      <c r="AB754" s="2">
        <v>-2.8999999999999998E-3</v>
      </c>
      <c r="AC754" s="2">
        <v>-4.1000000000000003E-3</v>
      </c>
      <c r="AD754" s="2">
        <v>2.8E-3</v>
      </c>
      <c r="AE754" s="2">
        <v>2.0000000000000001E-4</v>
      </c>
      <c r="AF754" s="2">
        <v>1.17E-2</v>
      </c>
      <c r="AG754" s="2">
        <v>1.34E-2</v>
      </c>
      <c r="AH754" t="s">
        <v>7537</v>
      </c>
      <c r="AI754" t="s">
        <v>130</v>
      </c>
      <c r="AJ754" t="s">
        <v>131</v>
      </c>
      <c r="AK754" t="s">
        <v>40</v>
      </c>
      <c r="AL754">
        <v>100</v>
      </c>
      <c r="AM754" t="s">
        <v>41</v>
      </c>
      <c r="AN754" t="s">
        <v>42</v>
      </c>
      <c r="AO754" t="s">
        <v>7536</v>
      </c>
      <c r="AP754" t="s">
        <v>407</v>
      </c>
      <c r="AQ754">
        <v>100</v>
      </c>
      <c r="BA754" t="s">
        <v>174</v>
      </c>
      <c r="BB754" t="s">
        <v>61</v>
      </c>
    </row>
    <row r="755" spans="1:54" x14ac:dyDescent="0.4">
      <c r="A755" t="s">
        <v>76</v>
      </c>
      <c r="B755" t="s">
        <v>10</v>
      </c>
      <c r="C755" t="s">
        <v>1419</v>
      </c>
      <c r="D755" t="s">
        <v>11</v>
      </c>
      <c r="E755" s="2">
        <v>-5.0000000000000001E-4</v>
      </c>
      <c r="F755" t="s">
        <v>12</v>
      </c>
      <c r="G755" s="4">
        <f>-0.05 / -0.05%</f>
        <v>100</v>
      </c>
      <c r="H755" t="s">
        <v>1419</v>
      </c>
      <c r="I755" t="s">
        <v>5730</v>
      </c>
      <c r="J755" t="s">
        <v>5731</v>
      </c>
      <c r="K755" t="s">
        <v>23</v>
      </c>
      <c r="L755" s="2">
        <v>6.2500000000000003E-3</v>
      </c>
      <c r="M755" t="s">
        <v>1294</v>
      </c>
      <c r="N755" t="s">
        <v>28</v>
      </c>
      <c r="O755" t="s">
        <v>5732</v>
      </c>
      <c r="P755" t="s">
        <v>403</v>
      </c>
      <c r="Q755" t="s">
        <v>4679</v>
      </c>
      <c r="R755" s="1">
        <v>94525</v>
      </c>
      <c r="S755" t="s">
        <v>4761</v>
      </c>
      <c r="T755" t="s">
        <v>5733</v>
      </c>
      <c r="U755" t="s">
        <v>5733</v>
      </c>
      <c r="V755" t="s">
        <v>1519</v>
      </c>
      <c r="W755" t="s">
        <v>2577</v>
      </c>
      <c r="X755" t="s">
        <v>2577</v>
      </c>
      <c r="Y755" t="s">
        <v>2577</v>
      </c>
      <c r="Z755" t="s">
        <v>2577</v>
      </c>
      <c r="AA755" t="s">
        <v>1033</v>
      </c>
      <c r="AB755" s="2">
        <v>-5.9999999999999995E-4</v>
      </c>
      <c r="AC755" s="2">
        <v>2.5999999999999999E-3</v>
      </c>
      <c r="AD755" s="2">
        <v>2.24E-2</v>
      </c>
      <c r="AE755" s="2">
        <v>3.3500000000000002E-2</v>
      </c>
      <c r="AF755" s="2">
        <v>5.6399999999999999E-2</v>
      </c>
      <c r="AG755" s="2">
        <v>-5.6300000000000003E-2</v>
      </c>
      <c r="AH755" t="s">
        <v>5734</v>
      </c>
      <c r="AI755" t="s">
        <v>130</v>
      </c>
      <c r="AJ755" t="s">
        <v>131</v>
      </c>
      <c r="AK755" t="s">
        <v>40</v>
      </c>
      <c r="AL755">
        <v>100</v>
      </c>
      <c r="AM755" t="s">
        <v>41</v>
      </c>
      <c r="AN755" t="s">
        <v>42</v>
      </c>
      <c r="AO755" t="s">
        <v>5732</v>
      </c>
      <c r="AP755" t="s">
        <v>225</v>
      </c>
      <c r="AQ755" t="s">
        <v>225</v>
      </c>
      <c r="AR755" t="s">
        <v>48</v>
      </c>
      <c r="AS755" t="s">
        <v>48</v>
      </c>
    </row>
    <row r="756" spans="1:54" x14ac:dyDescent="0.4">
      <c r="A756" t="s">
        <v>4453</v>
      </c>
      <c r="B756" t="s">
        <v>10</v>
      </c>
      <c r="C756" t="s">
        <v>6232</v>
      </c>
      <c r="D756" t="s">
        <v>11</v>
      </c>
      <c r="E756" s="2">
        <v>-8.0000000000000002E-3</v>
      </c>
      <c r="F756" t="s">
        <v>310</v>
      </c>
      <c r="G756" s="4">
        <f>-0.57 / -0.8%</f>
        <v>71.249999999999986</v>
      </c>
      <c r="H756" t="s">
        <v>6232</v>
      </c>
      <c r="I756" t="s">
        <v>6233</v>
      </c>
      <c r="J756" t="s">
        <v>6234</v>
      </c>
      <c r="K756" t="s">
        <v>23</v>
      </c>
      <c r="L756" s="2">
        <v>3.7499999999999999E-2</v>
      </c>
      <c r="M756" t="s">
        <v>4350</v>
      </c>
      <c r="N756" t="s">
        <v>121</v>
      </c>
      <c r="O756" t="s">
        <v>2221</v>
      </c>
      <c r="P756" t="s">
        <v>6235</v>
      </c>
      <c r="Q756" t="s">
        <v>6235</v>
      </c>
      <c r="R756" t="s">
        <v>6235</v>
      </c>
      <c r="S756" t="s">
        <v>6235</v>
      </c>
      <c r="T756" t="s">
        <v>6236</v>
      </c>
      <c r="U756" t="s">
        <v>6236</v>
      </c>
      <c r="V756" t="s">
        <v>6237</v>
      </c>
      <c r="W756" t="s">
        <v>6238</v>
      </c>
      <c r="X756" t="s">
        <v>6239</v>
      </c>
      <c r="Y756" t="s">
        <v>6239</v>
      </c>
      <c r="Z756" t="s">
        <v>6239</v>
      </c>
      <c r="AA756" t="s">
        <v>3344</v>
      </c>
      <c r="AB756" s="2">
        <v>-2.1999999999999999E-2</v>
      </c>
      <c r="AC756" s="2">
        <v>-4.41E-2</v>
      </c>
      <c r="AD756" s="2">
        <v>-3.04E-2</v>
      </c>
      <c r="AE756" s="2">
        <v>-2.1000000000000001E-2</v>
      </c>
      <c r="AF756" s="2">
        <v>-8.4699999999999998E-2</v>
      </c>
      <c r="AG756" s="2">
        <v>-0.32379999999999998</v>
      </c>
      <c r="AH756" t="s">
        <v>6240</v>
      </c>
      <c r="AI756" t="s">
        <v>130</v>
      </c>
      <c r="AJ756" t="s">
        <v>131</v>
      </c>
      <c r="AK756" t="s">
        <v>40</v>
      </c>
      <c r="AL756">
        <v>2</v>
      </c>
      <c r="AM756" t="s">
        <v>41</v>
      </c>
      <c r="AN756" t="s">
        <v>42</v>
      </c>
      <c r="AO756" t="s">
        <v>2221</v>
      </c>
      <c r="AP756" t="s">
        <v>357</v>
      </c>
      <c r="AQ756" t="s">
        <v>357</v>
      </c>
      <c r="AR756" t="s">
        <v>133</v>
      </c>
      <c r="AS756" t="s">
        <v>133</v>
      </c>
    </row>
    <row r="757" spans="1:54" x14ac:dyDescent="0.4">
      <c r="A757" t="s">
        <v>4746</v>
      </c>
      <c r="B757" t="s">
        <v>10</v>
      </c>
      <c r="C757" t="s">
        <v>429</v>
      </c>
      <c r="D757" t="s">
        <v>11</v>
      </c>
      <c r="E757" s="2">
        <v>0</v>
      </c>
      <c r="F757" t="s">
        <v>12</v>
      </c>
      <c r="G757" s="4" t="e">
        <f>-0.005 / 0%</f>
        <v>#DIV/0!</v>
      </c>
      <c r="H757" t="s">
        <v>429</v>
      </c>
      <c r="I757" t="s">
        <v>6089</v>
      </c>
      <c r="J757" t="s">
        <v>6090</v>
      </c>
      <c r="K757" t="s">
        <v>23</v>
      </c>
      <c r="L757" s="2">
        <v>4.4999999999999998E-2</v>
      </c>
      <c r="M757" t="s">
        <v>6091</v>
      </c>
      <c r="N757" t="s">
        <v>28</v>
      </c>
      <c r="O757" t="s">
        <v>1223</v>
      </c>
      <c r="P757" t="s">
        <v>1764</v>
      </c>
      <c r="Q757" t="s">
        <v>1764</v>
      </c>
      <c r="R757" t="s">
        <v>1764</v>
      </c>
      <c r="S757" t="s">
        <v>342</v>
      </c>
      <c r="T757" s="1">
        <v>98005</v>
      </c>
      <c r="U757" s="1">
        <v>98005</v>
      </c>
      <c r="V757" s="1">
        <v>102385</v>
      </c>
      <c r="W757" t="s">
        <v>3306</v>
      </c>
      <c r="X757" t="s">
        <v>3306</v>
      </c>
      <c r="Y757" t="s">
        <v>3306</v>
      </c>
      <c r="Z757" t="s">
        <v>3306</v>
      </c>
      <c r="AA757" t="s">
        <v>3306</v>
      </c>
      <c r="AB757" s="2">
        <v>-3.5999999999999999E-3</v>
      </c>
      <c r="AC757" s="2">
        <v>-7.3000000000000001E-3</v>
      </c>
      <c r="AD757" s="2">
        <v>1.2999999999999999E-3</v>
      </c>
      <c r="AE757" s="2">
        <v>5.3E-3</v>
      </c>
      <c r="AF757" s="2">
        <v>2.4400000000000002E-2</v>
      </c>
      <c r="AG757" s="2">
        <v>2.4400000000000002E-2</v>
      </c>
      <c r="AH757" t="s">
        <v>601</v>
      </c>
      <c r="AI757" t="s">
        <v>130</v>
      </c>
      <c r="AJ757" t="s">
        <v>131</v>
      </c>
      <c r="AK757" t="s">
        <v>40</v>
      </c>
      <c r="AL757">
        <v>1</v>
      </c>
      <c r="AM757" t="s">
        <v>41</v>
      </c>
      <c r="AN757" t="s">
        <v>42</v>
      </c>
      <c r="AO757" t="s">
        <v>1223</v>
      </c>
      <c r="AP757" t="s">
        <v>357</v>
      </c>
      <c r="AQ757" t="s">
        <v>357</v>
      </c>
      <c r="AR757" t="s">
        <v>48</v>
      </c>
      <c r="AS757" t="s">
        <v>48</v>
      </c>
    </row>
    <row r="758" spans="1:54" x14ac:dyDescent="0.4">
      <c r="A758" t="s">
        <v>592</v>
      </c>
      <c r="B758" t="s">
        <v>10</v>
      </c>
      <c r="C758" t="s">
        <v>593</v>
      </c>
      <c r="D758" t="s">
        <v>11</v>
      </c>
      <c r="E758" s="2">
        <v>-1.5E-3</v>
      </c>
      <c r="F758" t="s">
        <v>12</v>
      </c>
      <c r="G758" s="4">
        <f>-0.15 / -0.15%</f>
        <v>100</v>
      </c>
      <c r="H758" t="s">
        <v>593</v>
      </c>
      <c r="I758" t="s">
        <v>594</v>
      </c>
      <c r="J758" t="s">
        <v>595</v>
      </c>
      <c r="K758" t="s">
        <v>23</v>
      </c>
      <c r="L758" s="2">
        <v>3.875E-2</v>
      </c>
      <c r="M758" t="s">
        <v>596</v>
      </c>
      <c r="N758" t="s">
        <v>28</v>
      </c>
      <c r="O758" t="s">
        <v>597</v>
      </c>
      <c r="P758" t="s">
        <v>598</v>
      </c>
      <c r="Q758" t="s">
        <v>598</v>
      </c>
      <c r="R758" t="s">
        <v>598</v>
      </c>
      <c r="S758" t="s">
        <v>598</v>
      </c>
      <c r="T758" t="s">
        <v>598</v>
      </c>
      <c r="U758" t="s">
        <v>598</v>
      </c>
      <c r="V758" t="s">
        <v>599</v>
      </c>
      <c r="W758" t="s">
        <v>600</v>
      </c>
      <c r="X758" t="s">
        <v>600</v>
      </c>
      <c r="Y758" t="s">
        <v>600</v>
      </c>
      <c r="Z758" t="s">
        <v>600</v>
      </c>
      <c r="AA758" t="s">
        <v>600</v>
      </c>
      <c r="AB758" s="2">
        <v>-3.5000000000000001E-3</v>
      </c>
      <c r="AC758" s="2">
        <v>-4.0000000000000001E-3</v>
      </c>
      <c r="AD758" s="2">
        <v>6.7000000000000002E-3</v>
      </c>
      <c r="AE758" s="2">
        <v>6.7000000000000002E-3</v>
      </c>
      <c r="AF758" s="2">
        <v>6.7000000000000002E-3</v>
      </c>
      <c r="AG758" s="2">
        <v>6.7000000000000002E-3</v>
      </c>
      <c r="AH758" t="s">
        <v>601</v>
      </c>
      <c r="AI758" t="s">
        <v>130</v>
      </c>
      <c r="AJ758" t="s">
        <v>131</v>
      </c>
      <c r="AK758" t="s">
        <v>40</v>
      </c>
      <c r="AL758">
        <v>1</v>
      </c>
      <c r="AM758" t="s">
        <v>41</v>
      </c>
      <c r="AN758" t="s">
        <v>42</v>
      </c>
      <c r="AO758" t="s">
        <v>597</v>
      </c>
      <c r="AP758" t="s">
        <v>602</v>
      </c>
      <c r="AQ758" t="s">
        <v>602</v>
      </c>
      <c r="AR758" t="s">
        <v>48</v>
      </c>
      <c r="AS758" t="s">
        <v>48</v>
      </c>
    </row>
    <row r="759" spans="1:54" x14ac:dyDescent="0.4">
      <c r="A759" t="s">
        <v>592</v>
      </c>
      <c r="B759" t="s">
        <v>10</v>
      </c>
      <c r="C759" t="s">
        <v>1655</v>
      </c>
      <c r="D759" t="s">
        <v>11</v>
      </c>
      <c r="E759" s="2">
        <v>-5.0000000000000001E-4</v>
      </c>
      <c r="F759" t="s">
        <v>12</v>
      </c>
      <c r="G759" s="4">
        <f>-0.05 / -0.05%</f>
        <v>100</v>
      </c>
      <c r="H759" t="s">
        <v>1655</v>
      </c>
      <c r="I759" t="s">
        <v>1656</v>
      </c>
      <c r="J759" t="s">
        <v>1657</v>
      </c>
      <c r="K759" t="s">
        <v>23</v>
      </c>
      <c r="L759" s="2">
        <v>3.875E-2</v>
      </c>
      <c r="M759" t="s">
        <v>1658</v>
      </c>
      <c r="N759" t="s">
        <v>28</v>
      </c>
      <c r="O759" t="s">
        <v>1470</v>
      </c>
      <c r="P759" t="s">
        <v>1659</v>
      </c>
      <c r="Q759" t="s">
        <v>1659</v>
      </c>
      <c r="R759" t="s">
        <v>1659</v>
      </c>
      <c r="S759" s="1">
        <v>98545</v>
      </c>
      <c r="T759" s="1">
        <v>98545</v>
      </c>
      <c r="U759" s="1">
        <v>98545</v>
      </c>
      <c r="V759" t="s">
        <v>1291</v>
      </c>
      <c r="W759" t="s">
        <v>1660</v>
      </c>
      <c r="X759" t="s">
        <v>1660</v>
      </c>
      <c r="Y759" t="s">
        <v>1660</v>
      </c>
      <c r="Z759" t="s">
        <v>1660</v>
      </c>
      <c r="AA759" t="s">
        <v>1660</v>
      </c>
      <c r="AB759" s="2">
        <v>-4.4000000000000003E-3</v>
      </c>
      <c r="AC759" s="2">
        <v>-1.01E-2</v>
      </c>
      <c r="AD759" s="2">
        <v>4.7999999999999996E-3</v>
      </c>
      <c r="AE759" s="2">
        <v>1.9300000000000001E-2</v>
      </c>
      <c r="AF759" s="2">
        <v>1.7500000000000002E-2</v>
      </c>
      <c r="AG759" s="2">
        <v>1.7500000000000002E-2</v>
      </c>
      <c r="AH759" t="s">
        <v>601</v>
      </c>
      <c r="AI759" t="s">
        <v>130</v>
      </c>
      <c r="AJ759" t="s">
        <v>131</v>
      </c>
      <c r="AK759" t="s">
        <v>40</v>
      </c>
      <c r="AL759">
        <v>1</v>
      </c>
      <c r="AM759" t="s">
        <v>41</v>
      </c>
      <c r="AN759" t="s">
        <v>42</v>
      </c>
      <c r="AO759" t="s">
        <v>1470</v>
      </c>
      <c r="AP759" t="s">
        <v>527</v>
      </c>
      <c r="AQ759" t="s">
        <v>527</v>
      </c>
      <c r="AR759" t="s">
        <v>48</v>
      </c>
      <c r="AS759" t="s">
        <v>48</v>
      </c>
    </row>
    <row r="760" spans="1:54" x14ac:dyDescent="0.4">
      <c r="A760" t="s">
        <v>4440</v>
      </c>
      <c r="B760" t="s">
        <v>10</v>
      </c>
      <c r="C760" t="s">
        <v>4441</v>
      </c>
      <c r="D760" t="s">
        <v>11</v>
      </c>
      <c r="E760" s="2">
        <v>0</v>
      </c>
      <c r="F760" t="s">
        <v>363</v>
      </c>
      <c r="G760" s="4" t="s">
        <v>15</v>
      </c>
      <c r="H760" t="s">
        <v>4441</v>
      </c>
      <c r="I760" t="s">
        <v>4442</v>
      </c>
      <c r="J760" t="s">
        <v>4443</v>
      </c>
      <c r="K760" t="s">
        <v>23</v>
      </c>
      <c r="L760" s="2">
        <v>7.2499999999999995E-2</v>
      </c>
      <c r="M760" t="s">
        <v>4444</v>
      </c>
      <c r="N760" t="s">
        <v>28</v>
      </c>
      <c r="O760" t="s">
        <v>4445</v>
      </c>
      <c r="P760" t="s">
        <v>4441</v>
      </c>
      <c r="Q760" t="s">
        <v>4441</v>
      </c>
      <c r="R760" t="s">
        <v>4441</v>
      </c>
      <c r="S760" t="s">
        <v>4441</v>
      </c>
      <c r="T760" t="s">
        <v>4441</v>
      </c>
      <c r="U760" t="s">
        <v>4441</v>
      </c>
      <c r="V760" t="s">
        <v>4441</v>
      </c>
      <c r="W760" t="s">
        <v>4446</v>
      </c>
      <c r="X760" t="s">
        <v>4033</v>
      </c>
      <c r="Y760" t="s">
        <v>2989</v>
      </c>
      <c r="Z760" t="s">
        <v>3798</v>
      </c>
      <c r="AA760" t="s">
        <v>3798</v>
      </c>
      <c r="AB760" s="2">
        <v>0</v>
      </c>
      <c r="AC760" s="2">
        <v>0</v>
      </c>
      <c r="AD760" s="2">
        <v>-9.0899999999999995E-2</v>
      </c>
      <c r="AE760" s="2">
        <v>-0.93979999999999997</v>
      </c>
      <c r="AF760" s="2">
        <v>-0.99</v>
      </c>
      <c r="AG760" s="2">
        <v>-0.95</v>
      </c>
      <c r="AH760" t="s">
        <v>4447</v>
      </c>
      <c r="AI760" t="s">
        <v>232</v>
      </c>
      <c r="AJ760" t="s">
        <v>131</v>
      </c>
      <c r="AK760" t="s">
        <v>40</v>
      </c>
      <c r="AL760">
        <v>1</v>
      </c>
      <c r="AM760" t="s">
        <v>41</v>
      </c>
      <c r="AN760" t="s">
        <v>42</v>
      </c>
      <c r="AO760" t="s">
        <v>4445</v>
      </c>
      <c r="AP760" t="s">
        <v>1486</v>
      </c>
      <c r="BA760" t="s">
        <v>197</v>
      </c>
      <c r="BB760" t="s">
        <v>61</v>
      </c>
    </row>
    <row r="761" spans="1:54" x14ac:dyDescent="0.4">
      <c r="A761" t="s">
        <v>4746</v>
      </c>
      <c r="B761" t="s">
        <v>10</v>
      </c>
      <c r="C761" t="s">
        <v>4747</v>
      </c>
      <c r="D761" t="s">
        <v>11</v>
      </c>
      <c r="E761" s="2">
        <v>2.0000000000000001E-4</v>
      </c>
      <c r="F761" t="s">
        <v>12</v>
      </c>
      <c r="G761" s="4" t="s">
        <v>4292</v>
      </c>
      <c r="H761" t="s">
        <v>4747</v>
      </c>
      <c r="I761" t="s">
        <v>4748</v>
      </c>
      <c r="J761" t="s">
        <v>4749</v>
      </c>
      <c r="K761" t="s">
        <v>23</v>
      </c>
      <c r="L761" s="2">
        <v>1.125E-2</v>
      </c>
      <c r="M761" t="s">
        <v>4750</v>
      </c>
      <c r="N761" t="s">
        <v>28</v>
      </c>
      <c r="O761" t="s">
        <v>4751</v>
      </c>
      <c r="P761" t="s">
        <v>4752</v>
      </c>
      <c r="Q761" t="s">
        <v>1934</v>
      </c>
      <c r="R761" s="1">
        <v>90665</v>
      </c>
      <c r="S761" s="1">
        <v>90035</v>
      </c>
      <c r="T761" t="s">
        <v>4753</v>
      </c>
      <c r="U761" s="1">
        <v>72325</v>
      </c>
      <c r="V761" t="s">
        <v>3133</v>
      </c>
      <c r="W761" s="1">
        <v>94295</v>
      </c>
      <c r="X761" s="1">
        <v>94295</v>
      </c>
      <c r="Y761" s="1">
        <v>94295</v>
      </c>
      <c r="Z761" s="1">
        <v>94295</v>
      </c>
      <c r="AA761" s="1">
        <v>94295</v>
      </c>
      <c r="AB761" s="2">
        <v>-3.8999999999999998E-3</v>
      </c>
      <c r="AC761" s="2">
        <v>1.38E-2</v>
      </c>
      <c r="AD761" s="2">
        <v>2.9000000000000001E-2</v>
      </c>
      <c r="AE761" s="2">
        <v>4.0099999999999997E-2</v>
      </c>
      <c r="AF761" s="2">
        <v>0.12239999999999999</v>
      </c>
      <c r="AG761" s="2">
        <v>1.37E-2</v>
      </c>
      <c r="AH761" t="s">
        <v>4754</v>
      </c>
      <c r="AI761" t="s">
        <v>130</v>
      </c>
      <c r="AJ761" t="s">
        <v>131</v>
      </c>
      <c r="AK761" t="s">
        <v>40</v>
      </c>
      <c r="AL761">
        <v>100</v>
      </c>
      <c r="AM761" t="s">
        <v>41</v>
      </c>
      <c r="AN761" t="s">
        <v>42</v>
      </c>
      <c r="AO761" t="s">
        <v>4751</v>
      </c>
      <c r="AP761" t="s">
        <v>225</v>
      </c>
      <c r="AQ761" t="s">
        <v>225</v>
      </c>
      <c r="AR761" t="s">
        <v>48</v>
      </c>
      <c r="AS761" t="s">
        <v>48</v>
      </c>
    </row>
    <row r="762" spans="1:54" x14ac:dyDescent="0.4">
      <c r="A762" t="s">
        <v>4746</v>
      </c>
      <c r="B762" t="s">
        <v>10</v>
      </c>
      <c r="C762" t="s">
        <v>4567</v>
      </c>
      <c r="D762" t="s">
        <v>11</v>
      </c>
      <c r="E762" s="2">
        <v>1E-3</v>
      </c>
      <c r="F762" t="s">
        <v>12</v>
      </c>
      <c r="G762" s="4" t="s">
        <v>5161</v>
      </c>
      <c r="H762" t="s">
        <v>4567</v>
      </c>
      <c r="I762" t="s">
        <v>5162</v>
      </c>
      <c r="J762" t="s">
        <v>5163</v>
      </c>
      <c r="K762" t="s">
        <v>23</v>
      </c>
      <c r="L762" s="2">
        <v>5.2499999999999998E-2</v>
      </c>
      <c r="M762" t="s">
        <v>5164</v>
      </c>
      <c r="N762" t="s">
        <v>121</v>
      </c>
      <c r="O762" t="s">
        <v>4866</v>
      </c>
      <c r="P762" s="1">
        <v>104165</v>
      </c>
      <c r="Q762" t="s">
        <v>5165</v>
      </c>
      <c r="R762" s="1">
        <v>101885</v>
      </c>
      <c r="S762" t="s">
        <v>890</v>
      </c>
      <c r="T762" s="1">
        <v>96495</v>
      </c>
      <c r="U762" s="1">
        <v>96495</v>
      </c>
      <c r="V762" t="s">
        <v>285</v>
      </c>
      <c r="W762" t="s">
        <v>1544</v>
      </c>
      <c r="X762" t="s">
        <v>1544</v>
      </c>
      <c r="Y762" t="s">
        <v>1544</v>
      </c>
      <c r="Z762" t="s">
        <v>1544</v>
      </c>
      <c r="AA762" t="s">
        <v>1544</v>
      </c>
      <c r="AB762" s="2">
        <v>-1.1999999999999999E-3</v>
      </c>
      <c r="AC762" s="2">
        <v>5.4000000000000003E-3</v>
      </c>
      <c r="AD762" s="2">
        <v>1.3599999999999999E-2</v>
      </c>
      <c r="AE762" s="2">
        <v>1.6799999999999999E-2</v>
      </c>
      <c r="AF762" s="2">
        <v>4.82E-2</v>
      </c>
      <c r="AG762" s="2">
        <v>4.82E-2</v>
      </c>
      <c r="AH762" t="s">
        <v>5166</v>
      </c>
      <c r="AI762" t="s">
        <v>130</v>
      </c>
      <c r="AJ762" t="s">
        <v>131</v>
      </c>
      <c r="AK762" t="s">
        <v>40</v>
      </c>
      <c r="AL762">
        <v>100</v>
      </c>
      <c r="AM762" t="s">
        <v>41</v>
      </c>
      <c r="AN762" t="s">
        <v>42</v>
      </c>
      <c r="AO762" t="s">
        <v>4866</v>
      </c>
      <c r="AP762" t="s">
        <v>4863</v>
      </c>
      <c r="AQ762" t="s">
        <v>4863</v>
      </c>
      <c r="AR762" t="s">
        <v>48</v>
      </c>
      <c r="AS762" t="s">
        <v>48</v>
      </c>
    </row>
    <row r="763" spans="1:54" x14ac:dyDescent="0.4">
      <c r="A763" t="s">
        <v>2578</v>
      </c>
      <c r="B763" t="s">
        <v>10</v>
      </c>
      <c r="C763" t="s">
        <v>2373</v>
      </c>
      <c r="D763" t="s">
        <v>11</v>
      </c>
      <c r="E763" s="2">
        <v>6.1999999999999998E-3</v>
      </c>
      <c r="F763" t="s">
        <v>1057</v>
      </c>
      <c r="G763" s="4" t="s">
        <v>2579</v>
      </c>
      <c r="H763" t="s">
        <v>2373</v>
      </c>
      <c r="I763" t="s">
        <v>2580</v>
      </c>
      <c r="J763" t="s">
        <v>2581</v>
      </c>
      <c r="K763" t="s">
        <v>23</v>
      </c>
      <c r="L763" s="2">
        <v>2.375E-2</v>
      </c>
      <c r="M763" t="s">
        <v>448</v>
      </c>
      <c r="N763" t="s">
        <v>28</v>
      </c>
      <c r="O763" t="s">
        <v>449</v>
      </c>
      <c r="P763" t="s">
        <v>31</v>
      </c>
      <c r="Q763" t="s">
        <v>31</v>
      </c>
      <c r="R763" t="s">
        <v>31</v>
      </c>
      <c r="S763" t="s">
        <v>31</v>
      </c>
      <c r="T763" t="s">
        <v>31</v>
      </c>
      <c r="U763" t="s">
        <v>31</v>
      </c>
      <c r="V763" t="s">
        <v>609</v>
      </c>
      <c r="W763" t="s">
        <v>609</v>
      </c>
      <c r="X763" t="s">
        <v>609</v>
      </c>
      <c r="Y763" t="s">
        <v>609</v>
      </c>
      <c r="Z763" t="s">
        <v>609</v>
      </c>
      <c r="AA763" t="s">
        <v>609</v>
      </c>
      <c r="AB763" s="2">
        <v>3.5000000000000001E-3</v>
      </c>
      <c r="AC763" s="2">
        <v>3.5000000000000001E-3</v>
      </c>
      <c r="AD763" s="2">
        <v>3.5000000000000001E-3</v>
      </c>
      <c r="AE763" s="2">
        <v>3.5000000000000001E-3</v>
      </c>
      <c r="AF763" s="2">
        <v>3.5000000000000001E-3</v>
      </c>
      <c r="AG763" s="2">
        <v>3.5000000000000001E-3</v>
      </c>
      <c r="AH763" t="s">
        <v>2582</v>
      </c>
      <c r="AI763" t="s">
        <v>36</v>
      </c>
      <c r="AJ763" t="s">
        <v>38</v>
      </c>
      <c r="AK763" t="s">
        <v>40</v>
      </c>
      <c r="AL763">
        <v>1</v>
      </c>
      <c r="AM763" t="s">
        <v>41</v>
      </c>
      <c r="AN763" t="s">
        <v>42</v>
      </c>
      <c r="AO763" t="s">
        <v>449</v>
      </c>
      <c r="AP763" t="s">
        <v>193</v>
      </c>
      <c r="AQ763" t="s">
        <v>193</v>
      </c>
      <c r="AR763" t="s">
        <v>48</v>
      </c>
      <c r="AS763" t="s">
        <v>48</v>
      </c>
    </row>
    <row r="764" spans="1:54" x14ac:dyDescent="0.4">
      <c r="A764" t="s">
        <v>4278</v>
      </c>
      <c r="B764" t="s">
        <v>10</v>
      </c>
      <c r="C764" t="s">
        <v>4279</v>
      </c>
      <c r="D764" t="s">
        <v>11</v>
      </c>
      <c r="E764" s="2">
        <v>6.3E-3</v>
      </c>
      <c r="F764" t="s">
        <v>12</v>
      </c>
      <c r="G764" s="4" t="s">
        <v>4280</v>
      </c>
      <c r="H764" t="s">
        <v>4279</v>
      </c>
      <c r="I764" t="s">
        <v>4281</v>
      </c>
      <c r="J764" t="s">
        <v>4282</v>
      </c>
      <c r="K764" t="s">
        <v>23</v>
      </c>
      <c r="L764" s="2">
        <v>8.8749999999999996E-2</v>
      </c>
      <c r="M764" t="s">
        <v>4283</v>
      </c>
      <c r="N764" t="s">
        <v>28</v>
      </c>
      <c r="O764" t="s">
        <v>4284</v>
      </c>
      <c r="P764" t="s">
        <v>3798</v>
      </c>
      <c r="Q764" t="s">
        <v>3798</v>
      </c>
      <c r="R764" t="s">
        <v>3798</v>
      </c>
      <c r="S764" t="s">
        <v>3798</v>
      </c>
      <c r="T764" t="s">
        <v>3798</v>
      </c>
      <c r="U764" t="s">
        <v>4285</v>
      </c>
      <c r="V764" t="s">
        <v>4286</v>
      </c>
      <c r="W764" t="s">
        <v>4287</v>
      </c>
      <c r="X764" t="s">
        <v>4288</v>
      </c>
      <c r="Y764" t="s">
        <v>4289</v>
      </c>
      <c r="Z764" t="s">
        <v>4289</v>
      </c>
      <c r="AA764" t="s">
        <v>4289</v>
      </c>
      <c r="AB764" s="2">
        <v>-0.34289999999999998</v>
      </c>
      <c r="AC764" s="2">
        <v>-0.35859999999999997</v>
      </c>
      <c r="AD764" s="2">
        <v>-0.3</v>
      </c>
      <c r="AE764" s="2">
        <v>-0.46329999999999999</v>
      </c>
      <c r="AF764" s="2">
        <v>-0.24410000000000001</v>
      </c>
      <c r="AG764" s="2">
        <v>0.61</v>
      </c>
      <c r="AH764" t="s">
        <v>4290</v>
      </c>
      <c r="AI764" t="s">
        <v>232</v>
      </c>
      <c r="AJ764" t="s">
        <v>131</v>
      </c>
      <c r="AK764" t="s">
        <v>40</v>
      </c>
      <c r="AL764">
        <v>1</v>
      </c>
      <c r="AM764" t="s">
        <v>41</v>
      </c>
      <c r="AN764" t="s">
        <v>42</v>
      </c>
      <c r="AO764" t="s">
        <v>4284</v>
      </c>
      <c r="AP764" t="s">
        <v>4291</v>
      </c>
      <c r="AQ764">
        <v>1</v>
      </c>
      <c r="BA764" t="s">
        <v>360</v>
      </c>
      <c r="BB764" t="s">
        <v>61</v>
      </c>
    </row>
    <row r="765" spans="1:54" x14ac:dyDescent="0.4">
      <c r="A765" t="s">
        <v>2162</v>
      </c>
      <c r="B765" t="s">
        <v>10</v>
      </c>
      <c r="C765" t="s">
        <v>110</v>
      </c>
      <c r="D765" t="s">
        <v>11</v>
      </c>
      <c r="E765" s="2">
        <v>0</v>
      </c>
      <c r="F765" t="s">
        <v>178</v>
      </c>
      <c r="G765" s="4" t="s">
        <v>15</v>
      </c>
      <c r="H765" t="s">
        <v>110</v>
      </c>
      <c r="I765" t="s">
        <v>2163</v>
      </c>
      <c r="J765" t="s">
        <v>2164</v>
      </c>
      <c r="K765" t="s">
        <v>23</v>
      </c>
      <c r="N765" t="s">
        <v>1142</v>
      </c>
      <c r="O765" t="s">
        <v>2165</v>
      </c>
      <c r="P765" t="s">
        <v>2166</v>
      </c>
      <c r="Q765" t="s">
        <v>2167</v>
      </c>
      <c r="R765" t="s">
        <v>2167</v>
      </c>
      <c r="S765" t="s">
        <v>2167</v>
      </c>
      <c r="T765" t="s">
        <v>2167</v>
      </c>
      <c r="U765" t="s">
        <v>2167</v>
      </c>
      <c r="V765" t="s">
        <v>110</v>
      </c>
      <c r="W765" t="s">
        <v>110</v>
      </c>
      <c r="X765" t="s">
        <v>110</v>
      </c>
      <c r="Y765" t="s">
        <v>110</v>
      </c>
      <c r="Z765" t="s">
        <v>110</v>
      </c>
      <c r="AA765" t="s">
        <v>110</v>
      </c>
      <c r="AB765" s="2">
        <v>1</v>
      </c>
      <c r="AC765" s="2">
        <v>1.01E-2</v>
      </c>
      <c r="AD765" s="2">
        <v>1.01E-2</v>
      </c>
      <c r="AE765" s="2">
        <v>1.01E-2</v>
      </c>
      <c r="AF765" s="2">
        <v>1.01E-2</v>
      </c>
      <c r="AG765" s="2">
        <v>1.01E-2</v>
      </c>
      <c r="AH765" t="s">
        <v>2168</v>
      </c>
      <c r="AI765" t="s">
        <v>130</v>
      </c>
      <c r="AJ765" t="s">
        <v>131</v>
      </c>
      <c r="AK765" t="s">
        <v>40</v>
      </c>
      <c r="AL765">
        <v>50</v>
      </c>
      <c r="AM765" t="s">
        <v>41</v>
      </c>
      <c r="AN765" t="s">
        <v>42</v>
      </c>
      <c r="AO765" t="s">
        <v>2169</v>
      </c>
      <c r="AP765" t="s">
        <v>2170</v>
      </c>
      <c r="AQ765" t="s">
        <v>2170</v>
      </c>
      <c r="BB765" t="s">
        <v>61</v>
      </c>
    </row>
    <row r="766" spans="1:54" x14ac:dyDescent="0.4">
      <c r="A766" t="s">
        <v>4746</v>
      </c>
      <c r="B766" t="s">
        <v>10</v>
      </c>
      <c r="C766" t="s">
        <v>1774</v>
      </c>
      <c r="D766" t="s">
        <v>11</v>
      </c>
      <c r="E766" s="2">
        <v>-2.0999999999999999E-3</v>
      </c>
      <c r="F766" t="s">
        <v>12</v>
      </c>
      <c r="G766" s="4">
        <f>-0.2 / -0.21%</f>
        <v>95.238095238095255</v>
      </c>
      <c r="H766" t="s">
        <v>1774</v>
      </c>
      <c r="I766" t="s">
        <v>6332</v>
      </c>
      <c r="J766" t="s">
        <v>6333</v>
      </c>
      <c r="K766" t="s">
        <v>23</v>
      </c>
      <c r="L766" s="2">
        <v>2.375E-2</v>
      </c>
      <c r="M766" t="s">
        <v>6334</v>
      </c>
      <c r="N766" t="s">
        <v>28</v>
      </c>
      <c r="O766" t="s">
        <v>510</v>
      </c>
      <c r="P766" t="s">
        <v>1006</v>
      </c>
      <c r="Q766" t="s">
        <v>2248</v>
      </c>
      <c r="R766" t="s">
        <v>6335</v>
      </c>
      <c r="S766" t="s">
        <v>6336</v>
      </c>
      <c r="T766" t="s">
        <v>6337</v>
      </c>
      <c r="U766" t="s">
        <v>6338</v>
      </c>
      <c r="V766" t="s">
        <v>2335</v>
      </c>
      <c r="W766" t="s">
        <v>2335</v>
      </c>
      <c r="X766" t="s">
        <v>2335</v>
      </c>
      <c r="Y766" t="s">
        <v>2335</v>
      </c>
      <c r="Z766" t="s">
        <v>2335</v>
      </c>
      <c r="AA766" t="s">
        <v>987</v>
      </c>
      <c r="AB766" s="2">
        <v>-4.7000000000000002E-3</v>
      </c>
      <c r="AC766" s="2">
        <v>8.6999999999999994E-3</v>
      </c>
      <c r="AD766" s="2">
        <v>4.2200000000000001E-2</v>
      </c>
      <c r="AE766" s="2">
        <v>8.8400000000000006E-2</v>
      </c>
      <c r="AF766" s="2">
        <v>9.8000000000000004E-2</v>
      </c>
      <c r="AG766" s="2">
        <v>-9.6500000000000002E-2</v>
      </c>
      <c r="AH766" t="s">
        <v>6339</v>
      </c>
      <c r="AI766" t="s">
        <v>130</v>
      </c>
      <c r="AJ766" t="s">
        <v>131</v>
      </c>
      <c r="AK766" t="s">
        <v>40</v>
      </c>
      <c r="AL766">
        <v>100</v>
      </c>
      <c r="AM766" t="s">
        <v>41</v>
      </c>
      <c r="AN766" t="s">
        <v>42</v>
      </c>
      <c r="AO766" t="s">
        <v>510</v>
      </c>
      <c r="AP766" t="s">
        <v>643</v>
      </c>
      <c r="AQ766">
        <v>100</v>
      </c>
      <c r="BA766" t="s">
        <v>360</v>
      </c>
      <c r="BB766" t="s">
        <v>61</v>
      </c>
    </row>
    <row r="767" spans="1:54" x14ac:dyDescent="0.4">
      <c r="A767" t="s">
        <v>4462</v>
      </c>
      <c r="B767" t="s">
        <v>10</v>
      </c>
      <c r="C767" t="s">
        <v>5746</v>
      </c>
      <c r="D767" t="s">
        <v>11</v>
      </c>
      <c r="E767" s="2">
        <v>0</v>
      </c>
      <c r="F767" t="s">
        <v>178</v>
      </c>
      <c r="G767" s="4" t="s">
        <v>15</v>
      </c>
      <c r="H767" t="s">
        <v>5746</v>
      </c>
      <c r="I767" t="s">
        <v>5747</v>
      </c>
      <c r="J767" t="s">
        <v>5748</v>
      </c>
      <c r="K767" t="s">
        <v>23</v>
      </c>
      <c r="L767" s="2">
        <v>8.7499999999999994E-2</v>
      </c>
      <c r="M767" t="s">
        <v>5749</v>
      </c>
      <c r="N767" t="s">
        <v>121</v>
      </c>
      <c r="O767" t="s">
        <v>5750</v>
      </c>
      <c r="P767" t="s">
        <v>2989</v>
      </c>
      <c r="Q767" t="s">
        <v>2989</v>
      </c>
      <c r="R767" t="s">
        <v>4033</v>
      </c>
      <c r="S767" t="s">
        <v>4033</v>
      </c>
      <c r="T767" t="s">
        <v>4033</v>
      </c>
      <c r="U767" t="s">
        <v>4033</v>
      </c>
      <c r="V767" t="s">
        <v>5751</v>
      </c>
      <c r="W767" t="s">
        <v>5752</v>
      </c>
      <c r="X767" t="s">
        <v>5753</v>
      </c>
      <c r="Y767" t="s">
        <v>5753</v>
      </c>
      <c r="Z767" t="s">
        <v>5754</v>
      </c>
      <c r="AA767" t="s">
        <v>5754</v>
      </c>
      <c r="AB767" s="2">
        <v>5.0500000000000003E-2</v>
      </c>
      <c r="AC767" s="2">
        <v>-0.2409</v>
      </c>
      <c r="AD767" s="2">
        <v>7.6666999999999996</v>
      </c>
      <c r="AE767" s="2">
        <v>0.28399999999999997</v>
      </c>
      <c r="AF767" s="2">
        <v>-0.90359999999999996</v>
      </c>
      <c r="AG767" s="2">
        <v>-0.80810000000000004</v>
      </c>
      <c r="AH767" t="s">
        <v>5755</v>
      </c>
      <c r="AI767" t="s">
        <v>130</v>
      </c>
      <c r="AJ767" t="s">
        <v>131</v>
      </c>
      <c r="AK767" t="s">
        <v>40</v>
      </c>
      <c r="AL767">
        <v>200</v>
      </c>
      <c r="AM767" t="s">
        <v>41</v>
      </c>
      <c r="AN767" t="s">
        <v>42</v>
      </c>
      <c r="AO767" t="s">
        <v>5750</v>
      </c>
      <c r="AP767" t="s">
        <v>2382</v>
      </c>
      <c r="BA767" t="s">
        <v>197</v>
      </c>
      <c r="BB767" t="s">
        <v>61</v>
      </c>
    </row>
    <row r="768" spans="1:54" x14ac:dyDescent="0.4">
      <c r="A768" t="s">
        <v>9</v>
      </c>
      <c r="B768" t="s">
        <v>10</v>
      </c>
      <c r="C768" s="1">
        <v>95955</v>
      </c>
      <c r="D768" t="s">
        <v>11</v>
      </c>
      <c r="E768" s="2">
        <v>-4.0000000000000002E-4</v>
      </c>
      <c r="F768" t="s">
        <v>12</v>
      </c>
      <c r="G768" s="4">
        <f>-0.043 / -0.04%</f>
        <v>107.49999999999999</v>
      </c>
      <c r="H768" s="1">
        <v>95955</v>
      </c>
      <c r="I768" t="s">
        <v>6388</v>
      </c>
      <c r="J768" t="s">
        <v>6389</v>
      </c>
      <c r="K768" t="s">
        <v>23</v>
      </c>
      <c r="L768" s="2">
        <v>1E-4</v>
      </c>
      <c r="M768" t="s">
        <v>1564</v>
      </c>
      <c r="N768" t="s">
        <v>28</v>
      </c>
      <c r="O768" t="s">
        <v>6390</v>
      </c>
      <c r="P768" t="s">
        <v>6016</v>
      </c>
      <c r="Q768" t="s">
        <v>1110</v>
      </c>
      <c r="R768" t="s">
        <v>695</v>
      </c>
      <c r="S768" t="s">
        <v>6391</v>
      </c>
      <c r="T768" s="1">
        <v>87595</v>
      </c>
      <c r="U768" s="1">
        <v>87595</v>
      </c>
      <c r="V768" t="s">
        <v>1215</v>
      </c>
      <c r="W768" t="s">
        <v>2831</v>
      </c>
      <c r="X768" t="s">
        <v>2831</v>
      </c>
      <c r="Y768" t="s">
        <v>2831</v>
      </c>
      <c r="Z768" t="s">
        <v>2831</v>
      </c>
      <c r="AA768" t="s">
        <v>362</v>
      </c>
      <c r="AB768" s="2">
        <v>-4.0000000000000002E-4</v>
      </c>
      <c r="AC768" s="2">
        <v>3.7000000000000002E-3</v>
      </c>
      <c r="AD768" s="2">
        <v>2.47E-2</v>
      </c>
      <c r="AE768" s="2">
        <v>4.1300000000000003E-2</v>
      </c>
      <c r="AF768" s="2">
        <v>7.4200000000000002E-2</v>
      </c>
      <c r="AG768" s="2">
        <v>-3.56E-2</v>
      </c>
      <c r="AH768" t="s">
        <v>6392</v>
      </c>
      <c r="AI768" t="s">
        <v>130</v>
      </c>
      <c r="AJ768" t="s">
        <v>131</v>
      </c>
      <c r="AK768" t="s">
        <v>40</v>
      </c>
      <c r="AL768">
        <v>100</v>
      </c>
      <c r="AM768" t="s">
        <v>41</v>
      </c>
      <c r="AN768" t="s">
        <v>42</v>
      </c>
      <c r="AO768" t="s">
        <v>6390</v>
      </c>
      <c r="AP768" t="s">
        <v>357</v>
      </c>
      <c r="AQ768" t="s">
        <v>357</v>
      </c>
      <c r="AR768" t="s">
        <v>48</v>
      </c>
      <c r="AS768" t="s">
        <v>48</v>
      </c>
    </row>
    <row r="769" spans="1:54" x14ac:dyDescent="0.4">
      <c r="A769" t="s">
        <v>4462</v>
      </c>
      <c r="B769" t="s">
        <v>10</v>
      </c>
      <c r="C769" t="s">
        <v>1278</v>
      </c>
      <c r="D769" t="s">
        <v>11</v>
      </c>
      <c r="E769" s="2">
        <v>-8.9999999999999998E-4</v>
      </c>
      <c r="F769" t="s">
        <v>178</v>
      </c>
      <c r="G769" s="4">
        <f>-0.08 / -0.09%</f>
        <v>88.8888888888889</v>
      </c>
      <c r="H769" t="s">
        <v>1278</v>
      </c>
      <c r="I769" t="s">
        <v>7455</v>
      </c>
      <c r="J769" t="s">
        <v>7456</v>
      </c>
      <c r="K769" t="s">
        <v>23</v>
      </c>
      <c r="L769" s="2">
        <v>1.4999999999999999E-2</v>
      </c>
      <c r="M769" t="s">
        <v>7457</v>
      </c>
      <c r="N769" t="s">
        <v>28</v>
      </c>
      <c r="O769" t="s">
        <v>7458</v>
      </c>
      <c r="P769" t="s">
        <v>3071</v>
      </c>
      <c r="Q769" t="s">
        <v>3071</v>
      </c>
      <c r="R769" t="s">
        <v>1438</v>
      </c>
      <c r="S769" t="s">
        <v>7175</v>
      </c>
      <c r="T769" t="s">
        <v>7459</v>
      </c>
      <c r="U769" t="s">
        <v>7460</v>
      </c>
      <c r="V769" t="s">
        <v>5516</v>
      </c>
      <c r="W769" t="s">
        <v>7246</v>
      </c>
      <c r="X769" t="s">
        <v>7246</v>
      </c>
      <c r="Y769" t="s">
        <v>7246</v>
      </c>
      <c r="Z769" t="s">
        <v>7246</v>
      </c>
      <c r="AA769" t="s">
        <v>5139</v>
      </c>
      <c r="AB769" s="2">
        <v>-8.3000000000000001E-3</v>
      </c>
      <c r="AC769" s="2">
        <v>-8.6999999999999994E-3</v>
      </c>
      <c r="AD769" s="2">
        <v>2.3E-2</v>
      </c>
      <c r="AE769" s="2">
        <v>3.2199999999999999E-2</v>
      </c>
      <c r="AF769" s="2">
        <v>7.3300000000000004E-2</v>
      </c>
      <c r="AG769" s="2">
        <v>-0.14660000000000001</v>
      </c>
      <c r="AH769" t="s">
        <v>7461</v>
      </c>
      <c r="AI769" t="s">
        <v>130</v>
      </c>
      <c r="AJ769" t="s">
        <v>131</v>
      </c>
      <c r="AK769" t="s">
        <v>40</v>
      </c>
      <c r="AL769">
        <v>100</v>
      </c>
      <c r="AM769" t="s">
        <v>41</v>
      </c>
      <c r="AN769" t="s">
        <v>42</v>
      </c>
      <c r="AO769" t="s">
        <v>7458</v>
      </c>
      <c r="AP769" t="s">
        <v>225</v>
      </c>
      <c r="AQ769" t="s">
        <v>225</v>
      </c>
      <c r="AR769" t="s">
        <v>48</v>
      </c>
      <c r="AS769" t="s">
        <v>48</v>
      </c>
    </row>
    <row r="770" spans="1:54" x14ac:dyDescent="0.4">
      <c r="A770" t="s">
        <v>4462</v>
      </c>
      <c r="B770" t="s">
        <v>10</v>
      </c>
      <c r="C770" s="1">
        <v>78565</v>
      </c>
      <c r="D770" t="s">
        <v>11</v>
      </c>
      <c r="E770" s="2">
        <v>-6.9999999999999999E-4</v>
      </c>
      <c r="F770" t="s">
        <v>178</v>
      </c>
      <c r="G770" s="4">
        <f>-0.055 / -0.07%</f>
        <v>78.571428571428555</v>
      </c>
      <c r="H770" s="1">
        <v>78565</v>
      </c>
      <c r="I770" t="s">
        <v>4472</v>
      </c>
      <c r="J770" t="s">
        <v>236</v>
      </c>
      <c r="K770" t="s">
        <v>23</v>
      </c>
      <c r="L770" s="2">
        <v>3.6499999999999998E-2</v>
      </c>
      <c r="M770" t="s">
        <v>4473</v>
      </c>
      <c r="N770" t="s">
        <v>28</v>
      </c>
      <c r="O770" t="s">
        <v>4474</v>
      </c>
      <c r="AH770" t="s">
        <v>321</v>
      </c>
      <c r="AI770" t="s">
        <v>130</v>
      </c>
      <c r="AJ770" t="s">
        <v>131</v>
      </c>
      <c r="AK770" t="s">
        <v>40</v>
      </c>
      <c r="AL770">
        <v>5</v>
      </c>
      <c r="AM770" t="s">
        <v>41</v>
      </c>
      <c r="AN770" t="s">
        <v>42</v>
      </c>
      <c r="AO770" t="s">
        <v>4474</v>
      </c>
      <c r="AP770" t="s">
        <v>4475</v>
      </c>
      <c r="AQ770" t="s">
        <v>4475</v>
      </c>
      <c r="AR770" t="s">
        <v>4476</v>
      </c>
      <c r="AS770" t="s">
        <v>4476</v>
      </c>
      <c r="AZ770">
        <v>5</v>
      </c>
      <c r="BA770" t="s">
        <v>197</v>
      </c>
      <c r="BB770" t="s">
        <v>61</v>
      </c>
    </row>
    <row r="771" spans="1:54" x14ac:dyDescent="0.4">
      <c r="A771" t="s">
        <v>4462</v>
      </c>
      <c r="B771" t="s">
        <v>10</v>
      </c>
      <c r="C771" t="s">
        <v>1242</v>
      </c>
      <c r="D771" t="s">
        <v>11</v>
      </c>
      <c r="E771" s="2">
        <v>5.9999999999999995E-4</v>
      </c>
      <c r="F771" t="s">
        <v>363</v>
      </c>
      <c r="G771" s="4" t="s">
        <v>6092</v>
      </c>
      <c r="H771" t="s">
        <v>1242</v>
      </c>
      <c r="I771" t="s">
        <v>6093</v>
      </c>
      <c r="J771" t="s">
        <v>236</v>
      </c>
      <c r="K771" t="s">
        <v>23</v>
      </c>
      <c r="L771" s="2">
        <v>5.8000000000000003E-2</v>
      </c>
      <c r="M771" t="s">
        <v>6094</v>
      </c>
      <c r="N771" t="s">
        <v>28</v>
      </c>
      <c r="O771" t="s">
        <v>6095</v>
      </c>
      <c r="AH771" t="s">
        <v>321</v>
      </c>
      <c r="AI771" t="s">
        <v>130</v>
      </c>
      <c r="AJ771" t="s">
        <v>131</v>
      </c>
      <c r="AK771" t="s">
        <v>40</v>
      </c>
      <c r="AL771">
        <v>10</v>
      </c>
      <c r="AM771" t="s">
        <v>41</v>
      </c>
      <c r="AN771" t="s">
        <v>42</v>
      </c>
      <c r="AO771" t="s">
        <v>6095</v>
      </c>
      <c r="AP771" t="s">
        <v>6096</v>
      </c>
      <c r="AQ771" t="s">
        <v>6096</v>
      </c>
      <c r="AR771" t="s">
        <v>4476</v>
      </c>
      <c r="AS771" t="s">
        <v>4476</v>
      </c>
      <c r="AZ771">
        <v>10</v>
      </c>
      <c r="BA771" t="s">
        <v>197</v>
      </c>
      <c r="BB771" t="s">
        <v>61</v>
      </c>
    </row>
    <row r="772" spans="1:54" x14ac:dyDescent="0.4">
      <c r="A772" t="s">
        <v>308</v>
      </c>
      <c r="B772" t="s">
        <v>10</v>
      </c>
      <c r="C772" t="s">
        <v>309</v>
      </c>
      <c r="D772" t="s">
        <v>11</v>
      </c>
      <c r="E772" s="2">
        <v>1.7600000000000001E-2</v>
      </c>
      <c r="F772" t="s">
        <v>310</v>
      </c>
      <c r="G772" s="4" t="s">
        <v>311</v>
      </c>
      <c r="H772" t="s">
        <v>309</v>
      </c>
      <c r="I772" t="s">
        <v>312</v>
      </c>
      <c r="J772" t="s">
        <v>313</v>
      </c>
      <c r="K772" t="s">
        <v>23</v>
      </c>
      <c r="L772" s="2">
        <v>6.6250000000000003E-2</v>
      </c>
      <c r="M772" t="s">
        <v>314</v>
      </c>
      <c r="N772" t="s">
        <v>28</v>
      </c>
      <c r="O772" t="s">
        <v>315</v>
      </c>
      <c r="P772" t="s">
        <v>316</v>
      </c>
      <c r="Q772" t="s">
        <v>316</v>
      </c>
      <c r="R772" t="s">
        <v>316</v>
      </c>
      <c r="S772" t="s">
        <v>316</v>
      </c>
      <c r="T772" t="s">
        <v>110</v>
      </c>
      <c r="U772" t="s">
        <v>317</v>
      </c>
      <c r="V772" t="s">
        <v>318</v>
      </c>
      <c r="W772" t="s">
        <v>319</v>
      </c>
      <c r="X772" t="s">
        <v>320</v>
      </c>
      <c r="Y772" t="s">
        <v>320</v>
      </c>
      <c r="Z772" t="s">
        <v>320</v>
      </c>
      <c r="AA772" t="s">
        <v>320</v>
      </c>
      <c r="AB772" s="2">
        <v>1.9E-3</v>
      </c>
      <c r="AC772" s="2">
        <v>-1.2800000000000001E-2</v>
      </c>
      <c r="AD772" s="2">
        <v>2.9999999999999997E-4</v>
      </c>
      <c r="AE772" s="2">
        <v>1.4800000000000001E-2</v>
      </c>
      <c r="AF772" s="2">
        <v>4.3999999999999997E-2</v>
      </c>
      <c r="AG772" s="2">
        <v>8.1299999999999997E-2</v>
      </c>
      <c r="AH772" t="s">
        <v>321</v>
      </c>
      <c r="AI772" t="s">
        <v>130</v>
      </c>
      <c r="AJ772" t="s">
        <v>131</v>
      </c>
      <c r="AK772" t="s">
        <v>40</v>
      </c>
      <c r="AL772">
        <v>100</v>
      </c>
      <c r="AM772" t="s">
        <v>41</v>
      </c>
      <c r="AN772" t="s">
        <v>42</v>
      </c>
      <c r="AO772" t="s">
        <v>315</v>
      </c>
      <c r="AP772" t="s">
        <v>322</v>
      </c>
      <c r="AQ772" t="s">
        <v>322</v>
      </c>
      <c r="AR772" t="s">
        <v>48</v>
      </c>
      <c r="AS772" t="s">
        <v>48</v>
      </c>
    </row>
    <row r="773" spans="1:54" x14ac:dyDescent="0.4">
      <c r="A773" t="s">
        <v>9</v>
      </c>
      <c r="B773" t="s">
        <v>10</v>
      </c>
      <c r="C773" t="s">
        <v>721</v>
      </c>
      <c r="D773" t="s">
        <v>11</v>
      </c>
      <c r="E773" s="2">
        <v>-4.3E-3</v>
      </c>
      <c r="F773" t="s">
        <v>12</v>
      </c>
      <c r="G773" s="4">
        <f>-0.4 / -0.43%</f>
        <v>93.023255813953497</v>
      </c>
      <c r="H773" t="s">
        <v>721</v>
      </c>
      <c r="I773" t="s">
        <v>722</v>
      </c>
      <c r="J773" t="s">
        <v>723</v>
      </c>
      <c r="K773" t="s">
        <v>23</v>
      </c>
      <c r="L773" s="2">
        <v>0.06</v>
      </c>
      <c r="M773" t="s">
        <v>724</v>
      </c>
      <c r="N773" t="s">
        <v>28</v>
      </c>
      <c r="O773" t="s">
        <v>725</v>
      </c>
      <c r="P773" t="s">
        <v>721</v>
      </c>
      <c r="Q773" t="s">
        <v>721</v>
      </c>
      <c r="R773" t="s">
        <v>721</v>
      </c>
      <c r="S773" t="s">
        <v>721</v>
      </c>
      <c r="T773" t="s">
        <v>721</v>
      </c>
      <c r="U773" t="s">
        <v>721</v>
      </c>
      <c r="V773" t="s">
        <v>726</v>
      </c>
      <c r="W773" t="s">
        <v>727</v>
      </c>
      <c r="X773" t="s">
        <v>95</v>
      </c>
      <c r="Y773" t="s">
        <v>95</v>
      </c>
      <c r="Z773" t="s">
        <v>95</v>
      </c>
      <c r="AA773" t="s">
        <v>95</v>
      </c>
      <c r="AB773" s="2">
        <v>-4.3999999999999997E-2</v>
      </c>
      <c r="AC773" s="2">
        <v>-7.6999999999999999E-2</v>
      </c>
      <c r="AD773" s="2">
        <v>-6.7000000000000004E-2</v>
      </c>
      <c r="AE773" s="2">
        <v>-6.7000000000000004E-2</v>
      </c>
      <c r="AF773" s="2">
        <v>-6.7000000000000004E-2</v>
      </c>
      <c r="AG773" s="2">
        <v>-6.7000000000000004E-2</v>
      </c>
      <c r="AH773" t="s">
        <v>321</v>
      </c>
      <c r="AI773" t="s">
        <v>130</v>
      </c>
      <c r="AJ773" t="s">
        <v>131</v>
      </c>
      <c r="AK773" t="s">
        <v>40</v>
      </c>
      <c r="AL773">
        <v>1</v>
      </c>
      <c r="AM773" t="s">
        <v>41</v>
      </c>
      <c r="AN773" t="s">
        <v>42</v>
      </c>
      <c r="AO773" t="s">
        <v>725</v>
      </c>
      <c r="AP773" t="s">
        <v>728</v>
      </c>
      <c r="AQ773" t="s">
        <v>728</v>
      </c>
      <c r="AR773" t="s">
        <v>48</v>
      </c>
      <c r="AS773" t="s">
        <v>48</v>
      </c>
    </row>
    <row r="774" spans="1:54" x14ac:dyDescent="0.4">
      <c r="A774" t="s">
        <v>2254</v>
      </c>
      <c r="B774" t="s">
        <v>10</v>
      </c>
      <c r="C774" t="s">
        <v>2255</v>
      </c>
      <c r="D774" t="s">
        <v>11</v>
      </c>
      <c r="E774" s="2">
        <v>2.2000000000000001E-3</v>
      </c>
      <c r="F774" t="s">
        <v>12</v>
      </c>
      <c r="G774" s="4" t="s">
        <v>2256</v>
      </c>
      <c r="H774" t="s">
        <v>2255</v>
      </c>
      <c r="I774" t="s">
        <v>2257</v>
      </c>
      <c r="J774" t="s">
        <v>2258</v>
      </c>
      <c r="K774" t="s">
        <v>23</v>
      </c>
      <c r="L774" s="2">
        <v>5.6250000000000001E-2</v>
      </c>
      <c r="M774" t="s">
        <v>2259</v>
      </c>
      <c r="N774" t="s">
        <v>28</v>
      </c>
      <c r="O774" t="s">
        <v>1262</v>
      </c>
      <c r="P774" t="s">
        <v>2260</v>
      </c>
      <c r="Q774" t="s">
        <v>2260</v>
      </c>
      <c r="R774" t="s">
        <v>2260</v>
      </c>
      <c r="S774" t="s">
        <v>2260</v>
      </c>
      <c r="T774" t="s">
        <v>2260</v>
      </c>
      <c r="U774" t="s">
        <v>2260</v>
      </c>
      <c r="V774" t="s">
        <v>2261</v>
      </c>
      <c r="W774" t="s">
        <v>2262</v>
      </c>
      <c r="X774" t="s">
        <v>760</v>
      </c>
      <c r="Y774" t="s">
        <v>760</v>
      </c>
      <c r="Z774" t="s">
        <v>760</v>
      </c>
      <c r="AA774" t="s">
        <v>760</v>
      </c>
      <c r="AB774" s="2">
        <v>-2.47E-2</v>
      </c>
      <c r="AC774" s="2">
        <v>-5.4399999999999997E-2</v>
      </c>
      <c r="AD774" s="2">
        <v>-4.1000000000000002E-2</v>
      </c>
      <c r="AE774" s="2">
        <v>-5.8999999999999997E-2</v>
      </c>
      <c r="AF774" s="2">
        <v>-5.8999999999999997E-2</v>
      </c>
      <c r="AG774" s="2">
        <v>-5.8999999999999997E-2</v>
      </c>
      <c r="AH774" t="s">
        <v>321</v>
      </c>
      <c r="AI774" t="s">
        <v>130</v>
      </c>
      <c r="AJ774" t="s">
        <v>131</v>
      </c>
      <c r="AK774" t="s">
        <v>40</v>
      </c>
      <c r="AL774">
        <v>1</v>
      </c>
      <c r="AM774" t="s">
        <v>41</v>
      </c>
      <c r="AN774" t="s">
        <v>42</v>
      </c>
      <c r="AO774" t="s">
        <v>1262</v>
      </c>
      <c r="AP774" t="s">
        <v>2263</v>
      </c>
      <c r="AQ774" t="s">
        <v>2263</v>
      </c>
      <c r="AR774" t="s">
        <v>48</v>
      </c>
      <c r="AS774" t="s">
        <v>48</v>
      </c>
    </row>
    <row r="775" spans="1:54" x14ac:dyDescent="0.4">
      <c r="A775" t="s">
        <v>961</v>
      </c>
      <c r="B775" t="s">
        <v>10</v>
      </c>
      <c r="C775" t="s">
        <v>2860</v>
      </c>
      <c r="D775" t="s">
        <v>11</v>
      </c>
      <c r="E775" s="2">
        <v>-1.9E-3</v>
      </c>
      <c r="F775" t="s">
        <v>12</v>
      </c>
      <c r="G775" s="4">
        <f>-0.15 / -0.19%</f>
        <v>78.94736842105263</v>
      </c>
      <c r="H775" t="s">
        <v>2860</v>
      </c>
      <c r="I775" t="s">
        <v>2861</v>
      </c>
      <c r="J775" t="s">
        <v>2862</v>
      </c>
      <c r="K775" t="s">
        <v>23</v>
      </c>
      <c r="L775" s="2">
        <v>4.1250000000000002E-2</v>
      </c>
      <c r="M775" t="s">
        <v>2863</v>
      </c>
      <c r="N775" t="s">
        <v>28</v>
      </c>
      <c r="O775" t="s">
        <v>2864</v>
      </c>
      <c r="P775" t="s">
        <v>2860</v>
      </c>
      <c r="Q775" t="s">
        <v>2860</v>
      </c>
      <c r="R775" t="s">
        <v>2860</v>
      </c>
      <c r="S775" t="s">
        <v>2860</v>
      </c>
      <c r="T775" t="s">
        <v>2865</v>
      </c>
      <c r="U775" t="s">
        <v>2866</v>
      </c>
      <c r="V775" t="s">
        <v>2867</v>
      </c>
      <c r="W775" t="s">
        <v>2868</v>
      </c>
      <c r="X775" t="s">
        <v>2869</v>
      </c>
      <c r="Y775" t="s">
        <v>2870</v>
      </c>
      <c r="Z775" t="s">
        <v>2870</v>
      </c>
      <c r="AA775" t="s">
        <v>1474</v>
      </c>
      <c r="AB775" s="2">
        <v>-4.2500000000000003E-2</v>
      </c>
      <c r="AC775" s="2">
        <v>-7.2800000000000004E-2</v>
      </c>
      <c r="AD775" s="2">
        <v>-7.3099999999999998E-2</v>
      </c>
      <c r="AE775" s="2">
        <v>-6.0199999999999997E-2</v>
      </c>
      <c r="AF775" s="2">
        <v>2.4400000000000002E-2</v>
      </c>
      <c r="AG775" s="2">
        <v>-0.25219999999999998</v>
      </c>
      <c r="AH775" t="s">
        <v>321</v>
      </c>
      <c r="AI775" t="s">
        <v>130</v>
      </c>
      <c r="AJ775" t="s">
        <v>131</v>
      </c>
      <c r="AK775" t="s">
        <v>40</v>
      </c>
      <c r="AL775">
        <v>1</v>
      </c>
      <c r="AM775" t="s">
        <v>41</v>
      </c>
      <c r="AN775" t="s">
        <v>42</v>
      </c>
      <c r="AO775" t="s">
        <v>2864</v>
      </c>
      <c r="AP775" t="s">
        <v>171</v>
      </c>
      <c r="AQ775" t="s">
        <v>171</v>
      </c>
      <c r="AR775" t="s">
        <v>48</v>
      </c>
      <c r="AS775" t="s">
        <v>48</v>
      </c>
    </row>
    <row r="776" spans="1:54" x14ac:dyDescent="0.4">
      <c r="A776" t="s">
        <v>2449</v>
      </c>
      <c r="B776" t="s">
        <v>10</v>
      </c>
      <c r="C776" t="s">
        <v>2450</v>
      </c>
      <c r="D776" t="s">
        <v>11</v>
      </c>
      <c r="E776" s="2">
        <v>1.66E-2</v>
      </c>
      <c r="F776" t="s">
        <v>1057</v>
      </c>
      <c r="G776" s="4" t="s">
        <v>2451</v>
      </c>
      <c r="H776" t="s">
        <v>2450</v>
      </c>
      <c r="I776" t="s">
        <v>2452</v>
      </c>
      <c r="J776" t="s">
        <v>2453</v>
      </c>
      <c r="K776" t="s">
        <v>23</v>
      </c>
      <c r="L776" s="2">
        <v>3.875E-2</v>
      </c>
      <c r="M776" t="s">
        <v>2454</v>
      </c>
      <c r="N776" t="s">
        <v>28</v>
      </c>
      <c r="O776" t="s">
        <v>2455</v>
      </c>
      <c r="P776" t="s">
        <v>2456</v>
      </c>
      <c r="Q776" t="s">
        <v>2456</v>
      </c>
      <c r="R776" t="s">
        <v>2456</v>
      </c>
      <c r="S776" t="s">
        <v>2456</v>
      </c>
      <c r="T776" t="s">
        <v>2457</v>
      </c>
      <c r="U776" t="s">
        <v>2458</v>
      </c>
      <c r="V776" t="s">
        <v>2459</v>
      </c>
      <c r="W776" t="s">
        <v>2460</v>
      </c>
      <c r="X776" t="s">
        <v>2461</v>
      </c>
      <c r="Y776" t="s">
        <v>2461</v>
      </c>
      <c r="Z776" t="s">
        <v>2461</v>
      </c>
      <c r="AA776" t="s">
        <v>800</v>
      </c>
      <c r="AB776" s="2">
        <v>-1.2E-2</v>
      </c>
      <c r="AC776" s="2">
        <v>-4.3400000000000001E-2</v>
      </c>
      <c r="AD776" s="2">
        <v>-4.2599999999999999E-2</v>
      </c>
      <c r="AE776" s="2">
        <v>-1.44E-2</v>
      </c>
      <c r="AF776" s="2">
        <v>4.4499999999999998E-2</v>
      </c>
      <c r="AG776" s="2">
        <v>-0.21310000000000001</v>
      </c>
      <c r="AH776" t="s">
        <v>321</v>
      </c>
      <c r="AI776" t="s">
        <v>130</v>
      </c>
      <c r="AJ776" t="s">
        <v>131</v>
      </c>
      <c r="AK776" t="s">
        <v>40</v>
      </c>
      <c r="AL776">
        <v>1</v>
      </c>
      <c r="AM776" t="s">
        <v>41</v>
      </c>
      <c r="AN776" t="s">
        <v>42</v>
      </c>
      <c r="AO776" t="s">
        <v>2455</v>
      </c>
      <c r="AP776" t="s">
        <v>2462</v>
      </c>
      <c r="AQ776" t="s">
        <v>2462</v>
      </c>
      <c r="AR776" t="s">
        <v>48</v>
      </c>
      <c r="AS776" t="s">
        <v>48</v>
      </c>
    </row>
    <row r="777" spans="1:54" x14ac:dyDescent="0.4">
      <c r="A777" t="s">
        <v>630</v>
      </c>
      <c r="B777" t="s">
        <v>10</v>
      </c>
      <c r="C777" t="s">
        <v>3517</v>
      </c>
      <c r="D777" t="s">
        <v>11</v>
      </c>
      <c r="E777" s="2">
        <v>-2.8E-3</v>
      </c>
      <c r="F777" t="s">
        <v>12</v>
      </c>
      <c r="G777" s="4">
        <f>-0.27 / -0.28%</f>
        <v>96.428571428571416</v>
      </c>
      <c r="H777" t="s">
        <v>3517</v>
      </c>
      <c r="I777" t="s">
        <v>3518</v>
      </c>
      <c r="J777" t="s">
        <v>3519</v>
      </c>
      <c r="K777" t="s">
        <v>23</v>
      </c>
      <c r="L777" s="2">
        <v>2.8750000000000001E-2</v>
      </c>
      <c r="M777" t="s">
        <v>953</v>
      </c>
      <c r="N777" t="s">
        <v>28</v>
      </c>
      <c r="O777" t="s">
        <v>3520</v>
      </c>
      <c r="P777" t="s">
        <v>3517</v>
      </c>
      <c r="Q777" t="s">
        <v>3517</v>
      </c>
      <c r="R777" t="s">
        <v>3517</v>
      </c>
      <c r="S777" t="s">
        <v>631</v>
      </c>
      <c r="T777" t="s">
        <v>3521</v>
      </c>
      <c r="U777" t="s">
        <v>3522</v>
      </c>
      <c r="V777" t="s">
        <v>1185</v>
      </c>
      <c r="W777" t="s">
        <v>2577</v>
      </c>
      <c r="X777" t="s">
        <v>2577</v>
      </c>
      <c r="Y777" t="s">
        <v>2577</v>
      </c>
      <c r="Z777" t="s">
        <v>2577</v>
      </c>
      <c r="AA777" t="s">
        <v>3523</v>
      </c>
      <c r="AB777" s="2">
        <v>-5.8999999999999999E-3</v>
      </c>
      <c r="AC777" s="2">
        <v>-1.24E-2</v>
      </c>
      <c r="AD777" s="2">
        <v>-4.0000000000000002E-4</v>
      </c>
      <c r="AE777" s="2">
        <v>1.9900000000000001E-2</v>
      </c>
      <c r="AF777" s="2">
        <v>7.3899999999999993E-2</v>
      </c>
      <c r="AG777" s="2">
        <v>-0.1007</v>
      </c>
      <c r="AH777" t="s">
        <v>321</v>
      </c>
      <c r="AI777" t="s">
        <v>130</v>
      </c>
      <c r="AJ777" t="s">
        <v>131</v>
      </c>
      <c r="AK777" t="s">
        <v>40</v>
      </c>
      <c r="AL777">
        <v>1</v>
      </c>
      <c r="AM777" t="s">
        <v>41</v>
      </c>
      <c r="AN777" t="s">
        <v>42</v>
      </c>
      <c r="AO777" t="s">
        <v>3520</v>
      </c>
      <c r="AP777" t="s">
        <v>3524</v>
      </c>
      <c r="AQ777" t="s">
        <v>3524</v>
      </c>
      <c r="AR777" t="s">
        <v>48</v>
      </c>
      <c r="AS777" t="s">
        <v>48</v>
      </c>
    </row>
    <row r="778" spans="1:54" x14ac:dyDescent="0.4">
      <c r="A778" t="s">
        <v>3938</v>
      </c>
      <c r="B778" t="s">
        <v>10</v>
      </c>
      <c r="C778" t="s">
        <v>3939</v>
      </c>
      <c r="D778" t="s">
        <v>11</v>
      </c>
      <c r="E778" s="2">
        <v>3.2000000000000002E-3</v>
      </c>
      <c r="F778" t="s">
        <v>12</v>
      </c>
      <c r="G778" s="4" t="s">
        <v>3940</v>
      </c>
      <c r="H778" t="s">
        <v>3939</v>
      </c>
      <c r="I778" t="s">
        <v>3941</v>
      </c>
      <c r="J778" t="s">
        <v>3942</v>
      </c>
      <c r="K778" t="s">
        <v>23</v>
      </c>
      <c r="L778" s="2">
        <v>2.5000000000000001E-2</v>
      </c>
      <c r="M778" t="s">
        <v>3943</v>
      </c>
      <c r="N778" t="s">
        <v>28</v>
      </c>
      <c r="O778" t="s">
        <v>3944</v>
      </c>
      <c r="P778" t="s">
        <v>3945</v>
      </c>
      <c r="Q778" t="s">
        <v>3945</v>
      </c>
      <c r="R778" t="s">
        <v>1312</v>
      </c>
      <c r="S778" t="s">
        <v>2932</v>
      </c>
      <c r="T778" t="s">
        <v>3946</v>
      </c>
      <c r="U778" t="s">
        <v>3947</v>
      </c>
      <c r="V778" s="1">
        <v>90225</v>
      </c>
      <c r="W778" t="s">
        <v>1348</v>
      </c>
      <c r="X778" t="s">
        <v>1348</v>
      </c>
      <c r="Y778" t="s">
        <v>1348</v>
      </c>
      <c r="Z778" t="s">
        <v>1348</v>
      </c>
      <c r="AA778" t="s">
        <v>2262</v>
      </c>
      <c r="AB778" s="2">
        <v>-1.3899999999999999E-2</v>
      </c>
      <c r="AC778" s="2">
        <v>-2.3E-2</v>
      </c>
      <c r="AD778" s="2">
        <v>6.0000000000000001E-3</v>
      </c>
      <c r="AE778" s="2">
        <v>2.35E-2</v>
      </c>
      <c r="AF778" s="2">
        <v>0.1069</v>
      </c>
      <c r="AG778" s="2">
        <v>-0.1009</v>
      </c>
      <c r="AH778" t="s">
        <v>321</v>
      </c>
      <c r="AI778" t="s">
        <v>130</v>
      </c>
      <c r="AJ778" t="s">
        <v>131</v>
      </c>
      <c r="AK778" t="s">
        <v>40</v>
      </c>
      <c r="AL778">
        <v>1</v>
      </c>
      <c r="AM778" t="s">
        <v>41</v>
      </c>
      <c r="AN778" t="s">
        <v>42</v>
      </c>
      <c r="AO778" t="s">
        <v>3944</v>
      </c>
      <c r="AP778" t="s">
        <v>357</v>
      </c>
      <c r="AQ778" t="s">
        <v>3948</v>
      </c>
      <c r="AR778" t="s">
        <v>48</v>
      </c>
      <c r="AS778" t="s">
        <v>48</v>
      </c>
    </row>
    <row r="779" spans="1:54" x14ac:dyDescent="0.4">
      <c r="A779" t="s">
        <v>76</v>
      </c>
      <c r="B779" t="s">
        <v>10</v>
      </c>
      <c r="C779" t="s">
        <v>2413</v>
      </c>
      <c r="D779" t="s">
        <v>11</v>
      </c>
      <c r="E779" s="2">
        <v>-5.0000000000000001E-4</v>
      </c>
      <c r="F779" t="s">
        <v>12</v>
      </c>
      <c r="G779" s="4">
        <f>-0.05 / -0.05%</f>
        <v>100</v>
      </c>
      <c r="H779" t="s">
        <v>2413</v>
      </c>
      <c r="I779" t="s">
        <v>2414</v>
      </c>
      <c r="J779" t="s">
        <v>2415</v>
      </c>
      <c r="K779" t="s">
        <v>23</v>
      </c>
      <c r="L779" s="2">
        <v>7.1249999999999994E-2</v>
      </c>
      <c r="M779" t="s">
        <v>2416</v>
      </c>
      <c r="N779" t="s">
        <v>121</v>
      </c>
      <c r="O779" t="s">
        <v>809</v>
      </c>
      <c r="P779" t="s">
        <v>1492</v>
      </c>
      <c r="Q779" t="s">
        <v>1492</v>
      </c>
      <c r="R779" t="s">
        <v>1492</v>
      </c>
      <c r="S779" t="s">
        <v>1492</v>
      </c>
      <c r="T779" t="s">
        <v>2417</v>
      </c>
      <c r="U779" t="s">
        <v>2417</v>
      </c>
      <c r="V779" t="s">
        <v>2418</v>
      </c>
      <c r="W779" t="s">
        <v>2419</v>
      </c>
      <c r="X779" t="s">
        <v>2420</v>
      </c>
      <c r="Y779" t="s">
        <v>2420</v>
      </c>
      <c r="Z779" t="s">
        <v>2421</v>
      </c>
      <c r="AA779" t="s">
        <v>2421</v>
      </c>
      <c r="AB779" s="2">
        <v>-2.1299999999999999E-2</v>
      </c>
      <c r="AC779" s="2">
        <v>-7.3899999999999993E-2</v>
      </c>
      <c r="AD779" s="2">
        <v>-6.59E-2</v>
      </c>
      <c r="AE779" s="2">
        <v>-5.7599999999999998E-2</v>
      </c>
      <c r="AF779" s="2">
        <v>-6.0999999999999999E-2</v>
      </c>
      <c r="AG779" s="2">
        <v>-2.35E-2</v>
      </c>
      <c r="AH779" t="s">
        <v>321</v>
      </c>
      <c r="AI779" t="s">
        <v>130</v>
      </c>
      <c r="AJ779" t="s">
        <v>131</v>
      </c>
      <c r="AK779" t="s">
        <v>40</v>
      </c>
      <c r="AL779">
        <v>2</v>
      </c>
      <c r="AM779" t="s">
        <v>41</v>
      </c>
      <c r="AN779" t="s">
        <v>42</v>
      </c>
      <c r="AO779" t="s">
        <v>809</v>
      </c>
      <c r="AP779" t="s">
        <v>2422</v>
      </c>
      <c r="AQ779" t="s">
        <v>2422</v>
      </c>
      <c r="AR779" t="s">
        <v>133</v>
      </c>
      <c r="AS779" t="s">
        <v>133</v>
      </c>
    </row>
    <row r="780" spans="1:54" x14ac:dyDescent="0.4">
      <c r="A780" t="s">
        <v>2746</v>
      </c>
      <c r="B780" t="s">
        <v>10</v>
      </c>
      <c r="C780" t="s">
        <v>70</v>
      </c>
      <c r="D780" t="s">
        <v>11</v>
      </c>
      <c r="E780" s="2">
        <v>4.4999999999999997E-3</v>
      </c>
      <c r="F780" t="s">
        <v>12</v>
      </c>
      <c r="G780" s="4" t="s">
        <v>2747</v>
      </c>
      <c r="H780" t="s">
        <v>70</v>
      </c>
      <c r="I780" t="s">
        <v>2748</v>
      </c>
      <c r="J780" t="s">
        <v>2749</v>
      </c>
      <c r="K780" t="s">
        <v>23</v>
      </c>
      <c r="L780" s="2">
        <v>7.1249999999999994E-2</v>
      </c>
      <c r="M780" t="s">
        <v>2416</v>
      </c>
      <c r="N780" t="s">
        <v>121</v>
      </c>
      <c r="O780" t="s">
        <v>809</v>
      </c>
      <c r="P780" t="s">
        <v>2750</v>
      </c>
      <c r="Q780" t="s">
        <v>2750</v>
      </c>
      <c r="R780" t="s">
        <v>2750</v>
      </c>
      <c r="S780" t="s">
        <v>2750</v>
      </c>
      <c r="T780" t="s">
        <v>2750</v>
      </c>
      <c r="U780" t="s">
        <v>2750</v>
      </c>
      <c r="V780" t="s">
        <v>738</v>
      </c>
      <c r="W780" t="s">
        <v>2751</v>
      </c>
      <c r="X780" t="s">
        <v>2752</v>
      </c>
      <c r="Y780" t="s">
        <v>2752</v>
      </c>
      <c r="Z780" t="s">
        <v>2752</v>
      </c>
      <c r="AA780" t="s">
        <v>2752</v>
      </c>
      <c r="AB780" s="2">
        <v>-1.38E-2</v>
      </c>
      <c r="AC780" s="2">
        <v>-6.7299999999999999E-2</v>
      </c>
      <c r="AD780" s="2">
        <v>-7.3700000000000002E-2</v>
      </c>
      <c r="AE780" s="2">
        <v>-7.3700000000000002E-2</v>
      </c>
      <c r="AF780" s="2">
        <v>-7.3700000000000002E-2</v>
      </c>
      <c r="AG780" s="2">
        <v>-7.3700000000000002E-2</v>
      </c>
      <c r="AH780" t="s">
        <v>321</v>
      </c>
      <c r="AI780" t="s">
        <v>130</v>
      </c>
      <c r="AJ780" t="s">
        <v>131</v>
      </c>
      <c r="AK780" t="s">
        <v>40</v>
      </c>
      <c r="AL780">
        <v>2</v>
      </c>
      <c r="AM780" t="s">
        <v>41</v>
      </c>
      <c r="AN780" t="s">
        <v>42</v>
      </c>
      <c r="AO780" t="s">
        <v>809</v>
      </c>
      <c r="AP780" t="s">
        <v>2753</v>
      </c>
      <c r="AQ780" t="s">
        <v>2753</v>
      </c>
      <c r="AR780" t="s">
        <v>133</v>
      </c>
      <c r="AS780" t="s">
        <v>133</v>
      </c>
    </row>
    <row r="781" spans="1:54" x14ac:dyDescent="0.4">
      <c r="A781" t="s">
        <v>76</v>
      </c>
      <c r="B781" t="s">
        <v>10</v>
      </c>
      <c r="C781" t="s">
        <v>564</v>
      </c>
      <c r="D781" t="s">
        <v>11</v>
      </c>
      <c r="E781" s="2">
        <v>-1.4E-3</v>
      </c>
      <c r="F781" t="s">
        <v>12</v>
      </c>
      <c r="G781" s="4">
        <f>-0.14 / -0.14%</f>
        <v>100</v>
      </c>
      <c r="H781" t="s">
        <v>564</v>
      </c>
      <c r="I781" t="s">
        <v>1929</v>
      </c>
      <c r="J781" t="s">
        <v>1930</v>
      </c>
      <c r="K781" t="s">
        <v>23</v>
      </c>
      <c r="L781" s="2">
        <v>4.1250000000000002E-2</v>
      </c>
      <c r="M781" t="s">
        <v>1931</v>
      </c>
      <c r="N781" t="s">
        <v>28</v>
      </c>
      <c r="O781" t="s">
        <v>1932</v>
      </c>
      <c r="P781" t="s">
        <v>1933</v>
      </c>
      <c r="Q781" t="s">
        <v>1933</v>
      </c>
      <c r="R781" t="s">
        <v>1933</v>
      </c>
      <c r="S781" t="s">
        <v>727</v>
      </c>
      <c r="T781" t="s">
        <v>1934</v>
      </c>
      <c r="U781" t="s">
        <v>1934</v>
      </c>
      <c r="V781" t="s">
        <v>392</v>
      </c>
      <c r="W781" t="s">
        <v>1935</v>
      </c>
      <c r="X781" t="s">
        <v>1935</v>
      </c>
      <c r="Y781" t="s">
        <v>1935</v>
      </c>
      <c r="Z781" t="s">
        <v>1935</v>
      </c>
      <c r="AA781" t="s">
        <v>1935</v>
      </c>
      <c r="AB781" s="2">
        <v>-1.6299999999999999E-2</v>
      </c>
      <c r="AC781" s="2">
        <v>-1.6500000000000001E-2</v>
      </c>
      <c r="AD781" s="2">
        <v>-8.0000000000000004E-4</v>
      </c>
      <c r="AE781" s="2">
        <v>3.5000000000000001E-3</v>
      </c>
      <c r="AF781" s="2">
        <v>3.0300000000000001E-2</v>
      </c>
      <c r="AG781" s="2">
        <v>3.0300000000000001E-2</v>
      </c>
      <c r="AH781" t="s">
        <v>629</v>
      </c>
      <c r="AI781" t="s">
        <v>232</v>
      </c>
      <c r="AJ781" t="s">
        <v>131</v>
      </c>
      <c r="AK781" t="s">
        <v>40</v>
      </c>
      <c r="AL781">
        <v>1</v>
      </c>
      <c r="AM781" t="s">
        <v>41</v>
      </c>
      <c r="AN781" t="s">
        <v>42</v>
      </c>
      <c r="AO781" t="s">
        <v>1932</v>
      </c>
      <c r="AP781" t="s">
        <v>225</v>
      </c>
      <c r="AQ781" t="s">
        <v>225</v>
      </c>
      <c r="AR781" t="s">
        <v>48</v>
      </c>
      <c r="AS781" t="s">
        <v>48</v>
      </c>
    </row>
    <row r="782" spans="1:54" x14ac:dyDescent="0.4">
      <c r="A782" t="s">
        <v>592</v>
      </c>
      <c r="B782" t="s">
        <v>10</v>
      </c>
      <c r="C782" t="s">
        <v>3421</v>
      </c>
      <c r="D782" t="s">
        <v>11</v>
      </c>
      <c r="E782" s="2">
        <v>5.9999999999999995E-4</v>
      </c>
      <c r="F782" t="s">
        <v>12</v>
      </c>
      <c r="G782" s="4" t="s">
        <v>708</v>
      </c>
      <c r="H782" t="s">
        <v>3421</v>
      </c>
      <c r="I782" t="s">
        <v>3866</v>
      </c>
      <c r="J782" t="s">
        <v>3867</v>
      </c>
      <c r="K782" t="s">
        <v>23</v>
      </c>
      <c r="L782" s="2">
        <v>3.6249999999999998E-2</v>
      </c>
      <c r="M782" t="s">
        <v>1931</v>
      </c>
      <c r="N782" t="s">
        <v>28</v>
      </c>
      <c r="O782" t="s">
        <v>1932</v>
      </c>
      <c r="P782" t="s">
        <v>3868</v>
      </c>
      <c r="Q782" t="s">
        <v>3868</v>
      </c>
      <c r="R782" t="s">
        <v>3868</v>
      </c>
      <c r="S782" s="1">
        <v>100215</v>
      </c>
      <c r="T782" t="s">
        <v>3189</v>
      </c>
      <c r="U782" t="s">
        <v>3189</v>
      </c>
      <c r="V782" t="s">
        <v>3869</v>
      </c>
      <c r="W782" t="s">
        <v>3870</v>
      </c>
      <c r="X782" t="s">
        <v>3870</v>
      </c>
      <c r="Y782" t="s">
        <v>3870</v>
      </c>
      <c r="Z782" t="s">
        <v>3870</v>
      </c>
      <c r="AA782" t="s">
        <v>3870</v>
      </c>
      <c r="AB782" s="2">
        <v>-6.8999999999999999E-3</v>
      </c>
      <c r="AC782" s="2">
        <v>-1.3299999999999999E-2</v>
      </c>
      <c r="AD782" s="2">
        <v>-6.0000000000000001E-3</v>
      </c>
      <c r="AE782" s="2">
        <v>7.9000000000000008E-3</v>
      </c>
      <c r="AF782" s="2">
        <v>2.2499999999999999E-2</v>
      </c>
      <c r="AG782" s="2">
        <v>2.2499999999999999E-2</v>
      </c>
      <c r="AH782" t="s">
        <v>629</v>
      </c>
      <c r="AI782" t="s">
        <v>232</v>
      </c>
      <c r="AJ782" t="s">
        <v>131</v>
      </c>
      <c r="AK782" t="s">
        <v>40</v>
      </c>
      <c r="AL782">
        <v>1</v>
      </c>
      <c r="AM782" t="s">
        <v>41</v>
      </c>
      <c r="AN782" t="s">
        <v>42</v>
      </c>
      <c r="AO782" t="s">
        <v>1932</v>
      </c>
      <c r="AP782" t="s">
        <v>225</v>
      </c>
      <c r="AQ782" t="s">
        <v>225</v>
      </c>
      <c r="AR782" t="s">
        <v>48</v>
      </c>
      <c r="AS782" t="s">
        <v>48</v>
      </c>
    </row>
    <row r="783" spans="1:54" x14ac:dyDescent="0.4">
      <c r="A783" t="s">
        <v>3458</v>
      </c>
      <c r="B783" t="s">
        <v>10</v>
      </c>
      <c r="C783" t="s">
        <v>1552</v>
      </c>
      <c r="D783" t="s">
        <v>11</v>
      </c>
      <c r="E783" s="2">
        <v>0</v>
      </c>
      <c r="F783" t="s">
        <v>178</v>
      </c>
      <c r="G783" s="4" t="s">
        <v>15</v>
      </c>
      <c r="H783" t="s">
        <v>1552</v>
      </c>
      <c r="I783" t="s">
        <v>2872</v>
      </c>
      <c r="J783" t="s">
        <v>3459</v>
      </c>
      <c r="K783" t="s">
        <v>23</v>
      </c>
      <c r="L783" s="2">
        <v>2.75E-2</v>
      </c>
      <c r="M783" t="s">
        <v>623</v>
      </c>
      <c r="N783" t="s">
        <v>28</v>
      </c>
      <c r="O783" t="s">
        <v>624</v>
      </c>
      <c r="P783" t="s">
        <v>3460</v>
      </c>
      <c r="Q783" t="s">
        <v>3460</v>
      </c>
      <c r="R783" t="s">
        <v>507</v>
      </c>
      <c r="S783" t="s">
        <v>398</v>
      </c>
      <c r="T783" t="s">
        <v>1328</v>
      </c>
      <c r="U783" t="s">
        <v>3220</v>
      </c>
      <c r="V783" t="s">
        <v>970</v>
      </c>
      <c r="W783" t="s">
        <v>217</v>
      </c>
      <c r="X783" t="s">
        <v>217</v>
      </c>
      <c r="Y783" t="s">
        <v>217</v>
      </c>
      <c r="Z783" t="s">
        <v>217</v>
      </c>
      <c r="AA783" t="s">
        <v>3461</v>
      </c>
      <c r="AB783" s="2">
        <v>-1.17E-2</v>
      </c>
      <c r="AC783" s="2">
        <v>0</v>
      </c>
      <c r="AD783" s="2">
        <v>7.7000000000000002E-3</v>
      </c>
      <c r="AE783" s="2">
        <v>3.3000000000000002E-2</v>
      </c>
      <c r="AF783" s="2">
        <v>5.6000000000000001E-2</v>
      </c>
      <c r="AG783" s="2">
        <v>-1.8100000000000002E-2</v>
      </c>
      <c r="AH783" t="s">
        <v>629</v>
      </c>
      <c r="AI783" t="s">
        <v>232</v>
      </c>
      <c r="AJ783" t="s">
        <v>131</v>
      </c>
      <c r="AK783" t="s">
        <v>40</v>
      </c>
      <c r="AL783">
        <v>1</v>
      </c>
      <c r="AM783" t="s">
        <v>41</v>
      </c>
      <c r="AN783" t="s">
        <v>42</v>
      </c>
      <c r="AO783" t="s">
        <v>624</v>
      </c>
      <c r="AP783" t="s">
        <v>407</v>
      </c>
      <c r="AQ783" t="s">
        <v>407</v>
      </c>
      <c r="AR783" t="s">
        <v>48</v>
      </c>
      <c r="AS783" t="s">
        <v>48</v>
      </c>
    </row>
    <row r="784" spans="1:54" x14ac:dyDescent="0.4">
      <c r="A784" t="s">
        <v>1986</v>
      </c>
      <c r="B784" t="s">
        <v>10</v>
      </c>
      <c r="C784" t="s">
        <v>871</v>
      </c>
      <c r="D784" t="s">
        <v>11</v>
      </c>
      <c r="E784" s="2">
        <v>0</v>
      </c>
      <c r="F784" t="s">
        <v>178</v>
      </c>
      <c r="G784" s="4" t="s">
        <v>15</v>
      </c>
      <c r="H784" t="s">
        <v>871</v>
      </c>
      <c r="I784" t="s">
        <v>1987</v>
      </c>
      <c r="J784" t="s">
        <v>1988</v>
      </c>
      <c r="K784" t="s">
        <v>23</v>
      </c>
      <c r="L784" s="2">
        <v>2.5000000000000001E-2</v>
      </c>
      <c r="M784" t="s">
        <v>1645</v>
      </c>
      <c r="N784" t="s">
        <v>28</v>
      </c>
      <c r="O784" t="s">
        <v>1989</v>
      </c>
      <c r="P784" t="s">
        <v>153</v>
      </c>
      <c r="Q784" t="s">
        <v>153</v>
      </c>
      <c r="R784" t="s">
        <v>1458</v>
      </c>
      <c r="S784" t="s">
        <v>1990</v>
      </c>
      <c r="T784" t="s">
        <v>1299</v>
      </c>
      <c r="U784" t="s">
        <v>1217</v>
      </c>
      <c r="V784" t="s">
        <v>1991</v>
      </c>
      <c r="W784" t="s">
        <v>1991</v>
      </c>
      <c r="X784" t="s">
        <v>1991</v>
      </c>
      <c r="Y784" t="s">
        <v>1991</v>
      </c>
      <c r="Z784" t="s">
        <v>1991</v>
      </c>
      <c r="AA784" t="s">
        <v>1807</v>
      </c>
      <c r="AB784" s="2">
        <v>8.0000000000000004E-4</v>
      </c>
      <c r="AC784" s="2">
        <v>-1.6999999999999999E-3</v>
      </c>
      <c r="AD784" s="2">
        <v>9.4999999999999998E-3</v>
      </c>
      <c r="AE784" s="2">
        <v>1.37E-2</v>
      </c>
      <c r="AF784" s="2">
        <v>1.35E-2</v>
      </c>
      <c r="AG784" s="2">
        <v>2.9999999999999997E-4</v>
      </c>
      <c r="AH784" t="s">
        <v>629</v>
      </c>
      <c r="AI784" t="s">
        <v>232</v>
      </c>
      <c r="AJ784" t="s">
        <v>131</v>
      </c>
      <c r="AK784" t="s">
        <v>40</v>
      </c>
      <c r="AL784">
        <v>1</v>
      </c>
      <c r="AM784" t="s">
        <v>41</v>
      </c>
      <c r="AN784" t="s">
        <v>42</v>
      </c>
      <c r="AO784" t="s">
        <v>1989</v>
      </c>
      <c r="AP784" t="s">
        <v>193</v>
      </c>
      <c r="AQ784" t="s">
        <v>193</v>
      </c>
      <c r="AR784" t="s">
        <v>48</v>
      </c>
      <c r="AS784" t="s">
        <v>48</v>
      </c>
    </row>
    <row r="785" spans="1:54" x14ac:dyDescent="0.4">
      <c r="A785" t="s">
        <v>115</v>
      </c>
      <c r="B785" t="s">
        <v>10</v>
      </c>
      <c r="C785" s="1">
        <v>98936</v>
      </c>
      <c r="D785" t="s">
        <v>11</v>
      </c>
      <c r="E785" s="2">
        <v>-1.6999999999999999E-3</v>
      </c>
      <c r="F785" t="s">
        <v>12</v>
      </c>
      <c r="G785" s="4">
        <f>-0.164 / -0.17%</f>
        <v>96.470588235294116</v>
      </c>
      <c r="H785" s="1">
        <v>98936</v>
      </c>
      <c r="I785" t="s">
        <v>621</v>
      </c>
      <c r="J785" t="s">
        <v>622</v>
      </c>
      <c r="K785" t="s">
        <v>23</v>
      </c>
      <c r="L785" s="2">
        <v>2.1250000000000002E-2</v>
      </c>
      <c r="M785" t="s">
        <v>623</v>
      </c>
      <c r="N785" t="s">
        <v>28</v>
      </c>
      <c r="O785" t="s">
        <v>624</v>
      </c>
      <c r="P785" s="1">
        <v>98825</v>
      </c>
      <c r="Q785" t="s">
        <v>404</v>
      </c>
      <c r="R785" t="s">
        <v>625</v>
      </c>
      <c r="S785" t="s">
        <v>626</v>
      </c>
      <c r="T785" t="s">
        <v>627</v>
      </c>
      <c r="U785" t="s">
        <v>628</v>
      </c>
      <c r="V785" s="1">
        <v>99252</v>
      </c>
      <c r="W785" s="1">
        <v>99355</v>
      </c>
      <c r="X785" s="1">
        <v>99355</v>
      </c>
      <c r="Y785" s="1">
        <v>99355</v>
      </c>
      <c r="Z785" s="1">
        <v>99355</v>
      </c>
      <c r="AA785" s="1">
        <v>100375</v>
      </c>
      <c r="AB785" s="2">
        <v>-1.2999999999999999E-3</v>
      </c>
      <c r="AC785" s="2">
        <v>1.1000000000000001E-3</v>
      </c>
      <c r="AD785" s="2">
        <v>8.6999999999999994E-3</v>
      </c>
      <c r="AE785" s="2">
        <v>2.01E-2</v>
      </c>
      <c r="AF785" s="2">
        <v>3.3000000000000002E-2</v>
      </c>
      <c r="AG785" s="2">
        <v>-1.06E-2</v>
      </c>
      <c r="AH785" t="s">
        <v>629</v>
      </c>
      <c r="AI785" t="s">
        <v>232</v>
      </c>
      <c r="AJ785" t="s">
        <v>131</v>
      </c>
      <c r="AK785" t="s">
        <v>40</v>
      </c>
      <c r="AL785">
        <v>1</v>
      </c>
      <c r="AM785" t="s">
        <v>41</v>
      </c>
      <c r="AN785" t="s">
        <v>42</v>
      </c>
      <c r="AO785" t="s">
        <v>624</v>
      </c>
      <c r="AP785" t="s">
        <v>407</v>
      </c>
      <c r="AQ785" t="s">
        <v>407</v>
      </c>
      <c r="AR785" t="s">
        <v>48</v>
      </c>
      <c r="AS785" t="s">
        <v>48</v>
      </c>
    </row>
    <row r="786" spans="1:54" x14ac:dyDescent="0.4">
      <c r="A786" t="s">
        <v>961</v>
      </c>
      <c r="B786" t="s">
        <v>10</v>
      </c>
      <c r="C786" t="s">
        <v>962</v>
      </c>
      <c r="D786" t="s">
        <v>11</v>
      </c>
      <c r="E786" s="2">
        <v>-1.0699999999999999E-2</v>
      </c>
      <c r="F786" t="s">
        <v>12</v>
      </c>
      <c r="G786" s="4">
        <f>-0.9 / -1.07%</f>
        <v>84.112149532710276</v>
      </c>
      <c r="H786" t="s">
        <v>962</v>
      </c>
      <c r="I786" t="s">
        <v>963</v>
      </c>
      <c r="J786" t="s">
        <v>964</v>
      </c>
      <c r="K786" t="s">
        <v>23</v>
      </c>
      <c r="L786" s="2">
        <v>5.7829999999999999E-2</v>
      </c>
      <c r="M786" t="s">
        <v>965</v>
      </c>
      <c r="N786" t="s">
        <v>636</v>
      </c>
      <c r="O786" t="s">
        <v>966</v>
      </c>
      <c r="P786" t="s">
        <v>967</v>
      </c>
      <c r="Q786" t="s">
        <v>967</v>
      </c>
      <c r="R786" t="s">
        <v>967</v>
      </c>
      <c r="S786" t="s">
        <v>967</v>
      </c>
      <c r="T786" t="s">
        <v>967</v>
      </c>
      <c r="U786" s="1">
        <v>73881</v>
      </c>
      <c r="V786" s="1">
        <v>90053</v>
      </c>
      <c r="W786" t="s">
        <v>507</v>
      </c>
      <c r="X786" t="s">
        <v>968</v>
      </c>
      <c r="Y786" t="s">
        <v>968</v>
      </c>
      <c r="Z786" t="s">
        <v>968</v>
      </c>
      <c r="AA786" t="s">
        <v>968</v>
      </c>
      <c r="AB786" s="2">
        <v>-6.7400000000000002E-2</v>
      </c>
      <c r="AC786" s="2">
        <v>-0.1351</v>
      </c>
      <c r="AD786" s="2">
        <v>-0.16500000000000001</v>
      </c>
      <c r="AE786" s="2">
        <v>-0.1522</v>
      </c>
      <c r="AF786" s="2">
        <v>-7.7799999999999994E-2</v>
      </c>
      <c r="AG786" s="2">
        <v>-5.0200000000000002E-2</v>
      </c>
      <c r="AH786" t="s">
        <v>969</v>
      </c>
      <c r="AI786" t="s">
        <v>130</v>
      </c>
      <c r="AJ786" t="s">
        <v>131</v>
      </c>
      <c r="AK786" t="s">
        <v>40</v>
      </c>
      <c r="AL786">
        <v>1</v>
      </c>
      <c r="AM786" t="s">
        <v>41</v>
      </c>
      <c r="AN786" t="s">
        <v>42</v>
      </c>
      <c r="AO786" t="s">
        <v>966</v>
      </c>
      <c r="AP786" t="s">
        <v>527</v>
      </c>
      <c r="AQ786">
        <v>1</v>
      </c>
      <c r="BA786" t="s">
        <v>136</v>
      </c>
      <c r="BB786" t="s">
        <v>61</v>
      </c>
    </row>
    <row r="787" spans="1:54" x14ac:dyDescent="0.4">
      <c r="A787" t="s">
        <v>1507</v>
      </c>
      <c r="B787" t="s">
        <v>10</v>
      </c>
      <c r="C787" t="s">
        <v>1508</v>
      </c>
      <c r="D787" t="s">
        <v>11</v>
      </c>
      <c r="E787">
        <v>0</v>
      </c>
      <c r="F787" t="s">
        <v>12</v>
      </c>
      <c r="G787" s="4" t="s">
        <v>16</v>
      </c>
      <c r="H787" t="s">
        <v>1508</v>
      </c>
      <c r="I787" t="s">
        <v>1509</v>
      </c>
      <c r="J787" t="s">
        <v>236</v>
      </c>
      <c r="K787" t="s">
        <v>23</v>
      </c>
      <c r="L787" s="2">
        <v>4.1250000000000002E-2</v>
      </c>
      <c r="M787" t="s">
        <v>1510</v>
      </c>
      <c r="N787" t="s">
        <v>28</v>
      </c>
      <c r="O787" t="s">
        <v>1511</v>
      </c>
      <c r="AH787" t="s">
        <v>969</v>
      </c>
      <c r="AI787" t="s">
        <v>130</v>
      </c>
      <c r="AJ787" t="s">
        <v>131</v>
      </c>
      <c r="AK787" t="s">
        <v>40</v>
      </c>
      <c r="AL787">
        <v>1</v>
      </c>
      <c r="AM787" t="s">
        <v>41</v>
      </c>
      <c r="AN787" t="s">
        <v>42</v>
      </c>
      <c r="AO787" t="s">
        <v>1511</v>
      </c>
      <c r="AP787" t="s">
        <v>225</v>
      </c>
      <c r="AQ787" t="s">
        <v>225</v>
      </c>
      <c r="AR787" t="s">
        <v>48</v>
      </c>
      <c r="AS787" t="s">
        <v>48</v>
      </c>
      <c r="AT787" s="3">
        <v>45686</v>
      </c>
      <c r="AZ787">
        <v>1</v>
      </c>
      <c r="BA787" t="s">
        <v>59</v>
      </c>
    </row>
    <row r="788" spans="1:54" x14ac:dyDescent="0.4">
      <c r="A788" t="s">
        <v>6496</v>
      </c>
      <c r="B788" t="s">
        <v>10</v>
      </c>
      <c r="C788" t="s">
        <v>6497</v>
      </c>
      <c r="D788" t="s">
        <v>11</v>
      </c>
      <c r="E788" s="2">
        <v>-4.0000000000000001E-3</v>
      </c>
      <c r="F788" t="s">
        <v>6496</v>
      </c>
      <c r="G788" s="4">
        <f>-0.35 / -0.4%</f>
        <v>87.499999999999986</v>
      </c>
      <c r="H788" t="s">
        <v>6497</v>
      </c>
      <c r="I788" t="s">
        <v>6498</v>
      </c>
      <c r="J788" t="s">
        <v>6499</v>
      </c>
      <c r="K788" t="s">
        <v>214</v>
      </c>
      <c r="L788" s="2">
        <v>1E-4</v>
      </c>
      <c r="M788" t="s">
        <v>6472</v>
      </c>
      <c r="N788" t="s">
        <v>28</v>
      </c>
      <c r="O788" t="s">
        <v>6473</v>
      </c>
      <c r="P788" t="s">
        <v>4478</v>
      </c>
      <c r="Q788" t="s">
        <v>4478</v>
      </c>
      <c r="R788" s="1">
        <v>86565</v>
      </c>
      <c r="S788" t="s">
        <v>6500</v>
      </c>
      <c r="T788" t="s">
        <v>6501</v>
      </c>
      <c r="U788" t="s">
        <v>6501</v>
      </c>
      <c r="V788" t="s">
        <v>4690</v>
      </c>
      <c r="W788" t="s">
        <v>6101</v>
      </c>
      <c r="X788" t="s">
        <v>6101</v>
      </c>
      <c r="Y788" t="s">
        <v>6101</v>
      </c>
      <c r="Z788" t="s">
        <v>6101</v>
      </c>
      <c r="AA788" t="s">
        <v>1525</v>
      </c>
      <c r="AB788" s="2">
        <v>-7.9000000000000008E-3</v>
      </c>
      <c r="AC788" s="2">
        <v>-9.4000000000000004E-3</v>
      </c>
      <c r="AD788" s="2">
        <v>1.77E-2</v>
      </c>
      <c r="AE788" s="2">
        <v>2.93E-2</v>
      </c>
      <c r="AF788" s="2">
        <v>5.7799999999999997E-2</v>
      </c>
      <c r="AG788" s="2">
        <v>-0.107</v>
      </c>
      <c r="AH788" t="s">
        <v>5240</v>
      </c>
      <c r="AI788" t="s">
        <v>36</v>
      </c>
      <c r="AJ788" t="s">
        <v>38</v>
      </c>
      <c r="AK788" t="s">
        <v>40</v>
      </c>
      <c r="AM788" t="s">
        <v>41</v>
      </c>
      <c r="AN788" t="s">
        <v>42</v>
      </c>
      <c r="AO788" t="s">
        <v>6473</v>
      </c>
      <c r="AP788" t="s">
        <v>225</v>
      </c>
      <c r="AQ788" t="s">
        <v>225</v>
      </c>
      <c r="AR788" t="s">
        <v>48</v>
      </c>
      <c r="AS788" t="s">
        <v>48</v>
      </c>
      <c r="AT788" t="s">
        <v>6473</v>
      </c>
    </row>
    <row r="789" spans="1:54" x14ac:dyDescent="0.4">
      <c r="A789" t="s">
        <v>6502</v>
      </c>
      <c r="B789" t="s">
        <v>10</v>
      </c>
      <c r="C789" t="s">
        <v>6503</v>
      </c>
      <c r="D789" t="s">
        <v>11</v>
      </c>
      <c r="E789" s="2">
        <v>-1.6000000000000001E-3</v>
      </c>
      <c r="F789" t="s">
        <v>2480</v>
      </c>
      <c r="G789" s="4">
        <f>-0.12 / -0.16%</f>
        <v>75</v>
      </c>
      <c r="H789" t="s">
        <v>6503</v>
      </c>
      <c r="I789" t="s">
        <v>6504</v>
      </c>
      <c r="J789" t="s">
        <v>6505</v>
      </c>
      <c r="K789" t="s">
        <v>214</v>
      </c>
      <c r="L789" s="2">
        <v>1E-4</v>
      </c>
      <c r="M789" t="s">
        <v>6506</v>
      </c>
      <c r="N789" t="s">
        <v>28</v>
      </c>
      <c r="O789" t="s">
        <v>6507</v>
      </c>
      <c r="P789" t="s">
        <v>6508</v>
      </c>
      <c r="Q789" t="s">
        <v>6508</v>
      </c>
      <c r="R789" t="s">
        <v>6509</v>
      </c>
      <c r="S789" t="s">
        <v>6510</v>
      </c>
      <c r="T789" t="s">
        <v>6511</v>
      </c>
      <c r="U789" t="s">
        <v>6511</v>
      </c>
      <c r="V789" t="s">
        <v>6512</v>
      </c>
      <c r="W789" t="s">
        <v>2359</v>
      </c>
      <c r="X789" t="s">
        <v>2359</v>
      </c>
      <c r="Y789" t="s">
        <v>2359</v>
      </c>
      <c r="Z789" t="s">
        <v>2359</v>
      </c>
      <c r="AA789" t="s">
        <v>2882</v>
      </c>
      <c r="AB789" s="2">
        <v>-1.8800000000000001E-2</v>
      </c>
      <c r="AC789" s="2">
        <v>-1.7500000000000002E-2</v>
      </c>
      <c r="AD789" s="2">
        <v>1.7500000000000002E-2</v>
      </c>
      <c r="AE789" s="2">
        <v>3.1199999999999999E-2</v>
      </c>
      <c r="AF789" s="2">
        <v>6.5299999999999997E-2</v>
      </c>
      <c r="AG789" s="2">
        <v>-0.2157</v>
      </c>
      <c r="AH789" t="s">
        <v>5240</v>
      </c>
      <c r="AI789" t="s">
        <v>36</v>
      </c>
      <c r="AJ789" t="s">
        <v>38</v>
      </c>
      <c r="AK789" t="s">
        <v>40</v>
      </c>
      <c r="AM789" t="s">
        <v>41</v>
      </c>
      <c r="AN789" t="s">
        <v>42</v>
      </c>
      <c r="AO789" t="s">
        <v>6507</v>
      </c>
      <c r="AP789" t="s">
        <v>225</v>
      </c>
      <c r="AQ789" t="s">
        <v>225</v>
      </c>
      <c r="AR789" t="s">
        <v>48</v>
      </c>
      <c r="AS789" t="s">
        <v>48</v>
      </c>
      <c r="AT789" t="s">
        <v>5780</v>
      </c>
    </row>
    <row r="790" spans="1:54" x14ac:dyDescent="0.4">
      <c r="A790" t="s">
        <v>4648</v>
      </c>
      <c r="B790" t="s">
        <v>10</v>
      </c>
      <c r="C790" t="s">
        <v>1098</v>
      </c>
      <c r="D790" t="s">
        <v>11</v>
      </c>
      <c r="E790" s="2">
        <v>-1.1900000000000001E-2</v>
      </c>
      <c r="F790" t="s">
        <v>5876</v>
      </c>
      <c r="G790" s="4">
        <f>-1.12 / -1.19%</f>
        <v>94.11764705882355</v>
      </c>
      <c r="H790" t="s">
        <v>1098</v>
      </c>
      <c r="I790" t="s">
        <v>5877</v>
      </c>
      <c r="J790" t="s">
        <v>5878</v>
      </c>
      <c r="K790" t="s">
        <v>214</v>
      </c>
      <c r="L790" s="2">
        <v>1E-4</v>
      </c>
      <c r="M790" t="s">
        <v>5879</v>
      </c>
      <c r="N790" t="s">
        <v>28</v>
      </c>
      <c r="O790" t="s">
        <v>230</v>
      </c>
      <c r="P790" t="s">
        <v>5880</v>
      </c>
      <c r="Q790" s="1">
        <v>92935</v>
      </c>
      <c r="R790" s="1">
        <v>91385</v>
      </c>
      <c r="S790" s="1">
        <v>89905</v>
      </c>
      <c r="T790" t="s">
        <v>5881</v>
      </c>
      <c r="U790" t="s">
        <v>5881</v>
      </c>
      <c r="V790" t="s">
        <v>2031</v>
      </c>
      <c r="W790" t="s">
        <v>2031</v>
      </c>
      <c r="X790" t="s">
        <v>2031</v>
      </c>
      <c r="Y790" t="s">
        <v>2031</v>
      </c>
      <c r="Z790" t="s">
        <v>2031</v>
      </c>
      <c r="AA790" s="1">
        <v>99735</v>
      </c>
      <c r="AB790" s="2">
        <v>-3.8999999999999998E-3</v>
      </c>
      <c r="AC790" s="2">
        <v>-2E-3</v>
      </c>
      <c r="AD790" s="2">
        <v>2.1299999999999999E-2</v>
      </c>
      <c r="AE790" s="2">
        <v>3.2199999999999999E-2</v>
      </c>
      <c r="AF790" s="2">
        <v>6.2799999999999995E-2</v>
      </c>
      <c r="AG790" s="2">
        <v>-6.4199999999999993E-2</v>
      </c>
      <c r="AH790" t="s">
        <v>5240</v>
      </c>
      <c r="AI790" t="s">
        <v>36</v>
      </c>
      <c r="AJ790" t="s">
        <v>38</v>
      </c>
      <c r="AK790" t="s">
        <v>40</v>
      </c>
      <c r="AM790" t="s">
        <v>41</v>
      </c>
      <c r="AN790" t="s">
        <v>42</v>
      </c>
      <c r="AO790" t="s">
        <v>230</v>
      </c>
      <c r="AP790" t="s">
        <v>225</v>
      </c>
      <c r="AQ790" t="s">
        <v>225</v>
      </c>
      <c r="AR790" t="s">
        <v>48</v>
      </c>
      <c r="AS790" t="s">
        <v>48</v>
      </c>
      <c r="AT790" t="s">
        <v>5882</v>
      </c>
    </row>
    <row r="791" spans="1:54" x14ac:dyDescent="0.4">
      <c r="A791" t="s">
        <v>592</v>
      </c>
      <c r="B791" t="s">
        <v>10</v>
      </c>
      <c r="C791" t="s">
        <v>1302</v>
      </c>
      <c r="D791" t="s">
        <v>11</v>
      </c>
      <c r="E791" s="2">
        <v>3.3999999999999998E-3</v>
      </c>
      <c r="F791" t="s">
        <v>12</v>
      </c>
      <c r="G791" s="4" t="s">
        <v>6513</v>
      </c>
      <c r="H791" t="s">
        <v>1302</v>
      </c>
      <c r="I791" t="s">
        <v>6514</v>
      </c>
      <c r="J791" t="s">
        <v>6515</v>
      </c>
      <c r="K791" t="s">
        <v>23</v>
      </c>
      <c r="L791" s="2">
        <v>4.0000000000000001E-3</v>
      </c>
      <c r="M791" t="s">
        <v>6516</v>
      </c>
      <c r="N791" t="s">
        <v>28</v>
      </c>
      <c r="O791" t="s">
        <v>1045</v>
      </c>
      <c r="P791" t="s">
        <v>3730</v>
      </c>
      <c r="Q791" t="s">
        <v>3730</v>
      </c>
      <c r="R791" t="s">
        <v>3730</v>
      </c>
      <c r="S791" t="s">
        <v>6517</v>
      </c>
      <c r="T791" t="s">
        <v>6518</v>
      </c>
      <c r="U791" t="s">
        <v>6518</v>
      </c>
      <c r="V791" t="s">
        <v>771</v>
      </c>
      <c r="W791" t="s">
        <v>2122</v>
      </c>
      <c r="X791" t="s">
        <v>2122</v>
      </c>
      <c r="Y791" t="s">
        <v>2122</v>
      </c>
      <c r="Z791" t="s">
        <v>2122</v>
      </c>
      <c r="AA791" t="s">
        <v>2145</v>
      </c>
      <c r="AB791" s="2">
        <v>-4.82E-2</v>
      </c>
      <c r="AC791" s="2">
        <v>-4.7399999999999998E-2</v>
      </c>
      <c r="AD791" s="2">
        <v>-1.55E-2</v>
      </c>
      <c r="AE791" s="2">
        <v>-9.9000000000000008E-3</v>
      </c>
      <c r="AF791" s="2">
        <v>1.1999999999999999E-3</v>
      </c>
      <c r="AG791" s="2">
        <v>-0.25729999999999997</v>
      </c>
      <c r="AH791" t="s">
        <v>5240</v>
      </c>
      <c r="AI791" t="s">
        <v>36</v>
      </c>
      <c r="AJ791" t="s">
        <v>38</v>
      </c>
      <c r="AK791" t="s">
        <v>40</v>
      </c>
      <c r="AL791">
        <v>1</v>
      </c>
      <c r="AM791" t="s">
        <v>41</v>
      </c>
      <c r="AN791" t="s">
        <v>42</v>
      </c>
      <c r="AO791" t="s">
        <v>1045</v>
      </c>
      <c r="AP791" t="s">
        <v>225</v>
      </c>
      <c r="AQ791" t="s">
        <v>225</v>
      </c>
      <c r="AR791" t="s">
        <v>48</v>
      </c>
      <c r="AS791" t="s">
        <v>48</v>
      </c>
    </row>
    <row r="792" spans="1:54" x14ac:dyDescent="0.4">
      <c r="A792" t="s">
        <v>4453</v>
      </c>
      <c r="B792" t="s">
        <v>10</v>
      </c>
      <c r="C792" t="s">
        <v>2413</v>
      </c>
      <c r="D792" t="s">
        <v>11</v>
      </c>
      <c r="E792" s="2">
        <v>1E-4</v>
      </c>
      <c r="F792" t="s">
        <v>310</v>
      </c>
      <c r="G792" s="4" t="s">
        <v>148</v>
      </c>
      <c r="H792" t="s">
        <v>2413</v>
      </c>
      <c r="I792" t="s">
        <v>5235</v>
      </c>
      <c r="J792" t="s">
        <v>5236</v>
      </c>
      <c r="K792" t="s">
        <v>23</v>
      </c>
      <c r="L792" s="2">
        <v>1E-4</v>
      </c>
      <c r="M792" t="s">
        <v>397</v>
      </c>
      <c r="N792" t="s">
        <v>28</v>
      </c>
      <c r="O792" t="s">
        <v>267</v>
      </c>
      <c r="P792" t="s">
        <v>2576</v>
      </c>
      <c r="Q792" t="s">
        <v>5237</v>
      </c>
      <c r="R792" t="s">
        <v>5238</v>
      </c>
      <c r="S792" t="s">
        <v>5239</v>
      </c>
      <c r="T792" t="s">
        <v>2260</v>
      </c>
      <c r="U792" s="1">
        <v>90725</v>
      </c>
      <c r="V792" t="s">
        <v>2413</v>
      </c>
      <c r="W792" t="s">
        <v>1719</v>
      </c>
      <c r="X792" t="s">
        <v>98</v>
      </c>
      <c r="Y792" t="s">
        <v>98</v>
      </c>
      <c r="Z792" t="s">
        <v>1444</v>
      </c>
      <c r="AA792" t="s">
        <v>1444</v>
      </c>
      <c r="AB792" s="2">
        <v>2.5999999999999999E-3</v>
      </c>
      <c r="AC792" s="2">
        <v>7.4999999999999997E-3</v>
      </c>
      <c r="AD792" s="2">
        <v>1.5599999999999999E-2</v>
      </c>
      <c r="AE792" s="2">
        <v>3.0300000000000001E-2</v>
      </c>
      <c r="AF792" s="2">
        <v>6.3200000000000006E-2</v>
      </c>
      <c r="AG792" s="2">
        <v>-1.6999999999999999E-3</v>
      </c>
      <c r="AH792" t="s">
        <v>5240</v>
      </c>
      <c r="AI792" t="s">
        <v>36</v>
      </c>
      <c r="AJ792" t="s">
        <v>38</v>
      </c>
      <c r="AK792" t="s">
        <v>40</v>
      </c>
      <c r="AL792">
        <v>1</v>
      </c>
      <c r="AM792" t="s">
        <v>41</v>
      </c>
      <c r="AN792" t="s">
        <v>42</v>
      </c>
      <c r="AO792" t="s">
        <v>267</v>
      </c>
      <c r="AP792" t="s">
        <v>225</v>
      </c>
      <c r="AQ792" t="s">
        <v>225</v>
      </c>
      <c r="AR792" t="s">
        <v>48</v>
      </c>
      <c r="AS792" t="s">
        <v>48</v>
      </c>
    </row>
    <row r="793" spans="1:54" x14ac:dyDescent="0.4">
      <c r="A793" t="s">
        <v>4453</v>
      </c>
      <c r="B793" t="s">
        <v>10</v>
      </c>
      <c r="C793" t="s">
        <v>4663</v>
      </c>
      <c r="D793" t="s">
        <v>11</v>
      </c>
      <c r="E793" s="2">
        <v>1E-4</v>
      </c>
      <c r="F793" t="s">
        <v>310</v>
      </c>
      <c r="G793" s="4" t="s">
        <v>148</v>
      </c>
      <c r="H793" t="s">
        <v>4663</v>
      </c>
      <c r="I793" t="s">
        <v>5872</v>
      </c>
      <c r="J793" t="s">
        <v>5873</v>
      </c>
      <c r="K793" t="s">
        <v>23</v>
      </c>
      <c r="L793" s="2">
        <v>1E-4</v>
      </c>
      <c r="M793" t="s">
        <v>5874</v>
      </c>
      <c r="N793" t="s">
        <v>28</v>
      </c>
      <c r="O793" t="s">
        <v>2881</v>
      </c>
      <c r="P793" t="s">
        <v>625</v>
      </c>
      <c r="Q793" t="s">
        <v>2269</v>
      </c>
      <c r="R793" t="s">
        <v>2036</v>
      </c>
      <c r="S793" t="s">
        <v>4401</v>
      </c>
      <c r="T793" t="s">
        <v>5875</v>
      </c>
      <c r="U793" t="s">
        <v>5875</v>
      </c>
      <c r="V793" t="s">
        <v>1964</v>
      </c>
      <c r="W793" t="s">
        <v>1964</v>
      </c>
      <c r="X793" t="s">
        <v>1964</v>
      </c>
      <c r="Y793" t="s">
        <v>1964</v>
      </c>
      <c r="Z793" t="s">
        <v>1964</v>
      </c>
      <c r="AA793" t="s">
        <v>3256</v>
      </c>
      <c r="AB793" s="2">
        <v>1.9E-3</v>
      </c>
      <c r="AC793" s="2">
        <v>6.1999999999999998E-3</v>
      </c>
      <c r="AD793" s="2">
        <v>1.9800000000000002E-2</v>
      </c>
      <c r="AE793" s="2">
        <v>2.4299999999999999E-2</v>
      </c>
      <c r="AF793" s="2">
        <v>5.74E-2</v>
      </c>
      <c r="AG793" s="2">
        <v>-1.9800000000000002E-2</v>
      </c>
      <c r="AH793" t="s">
        <v>5240</v>
      </c>
      <c r="AI793" t="s">
        <v>36</v>
      </c>
      <c r="AJ793" t="s">
        <v>38</v>
      </c>
      <c r="AK793" t="s">
        <v>40</v>
      </c>
      <c r="AL793">
        <v>1</v>
      </c>
      <c r="AM793" t="s">
        <v>41</v>
      </c>
      <c r="AN793" t="s">
        <v>42</v>
      </c>
      <c r="AO793" t="s">
        <v>2881</v>
      </c>
      <c r="AP793" t="s">
        <v>225</v>
      </c>
      <c r="AQ793" t="s">
        <v>225</v>
      </c>
      <c r="AR793" t="s">
        <v>48</v>
      </c>
      <c r="AS793" t="s">
        <v>48</v>
      </c>
    </row>
    <row r="794" spans="1:54" x14ac:dyDescent="0.4">
      <c r="A794" t="s">
        <v>4518</v>
      </c>
      <c r="B794" t="s">
        <v>10</v>
      </c>
      <c r="C794" t="s">
        <v>7057</v>
      </c>
      <c r="D794" t="s">
        <v>11</v>
      </c>
      <c r="E794" s="2">
        <v>-5.9999999999999995E-4</v>
      </c>
      <c r="F794" t="s">
        <v>12</v>
      </c>
      <c r="G794" s="4">
        <f>-0.055 / -0.06%</f>
        <v>91.666666666666671</v>
      </c>
      <c r="H794" t="s">
        <v>7057</v>
      </c>
      <c r="I794" t="s">
        <v>7058</v>
      </c>
      <c r="J794" t="s">
        <v>7059</v>
      </c>
      <c r="K794" t="s">
        <v>23</v>
      </c>
      <c r="L794" s="2">
        <v>1E-4</v>
      </c>
      <c r="M794" t="s">
        <v>5423</v>
      </c>
      <c r="N794" t="s">
        <v>28</v>
      </c>
      <c r="O794" t="s">
        <v>3154</v>
      </c>
      <c r="P794" t="s">
        <v>5535</v>
      </c>
      <c r="Q794" t="s">
        <v>5535</v>
      </c>
      <c r="R794" s="1">
        <v>83335</v>
      </c>
      <c r="S794" t="s">
        <v>7060</v>
      </c>
      <c r="T794" t="s">
        <v>7061</v>
      </c>
      <c r="U794" t="s">
        <v>4922</v>
      </c>
      <c r="V794" s="1">
        <v>85445</v>
      </c>
      <c r="W794" s="1">
        <v>86445</v>
      </c>
      <c r="X794" s="1">
        <v>86445</v>
      </c>
      <c r="Y794" s="1">
        <v>86445</v>
      </c>
      <c r="Z794" s="1">
        <v>86445</v>
      </c>
      <c r="AA794" t="s">
        <v>2269</v>
      </c>
      <c r="AB794" s="2">
        <v>-8.5000000000000006E-3</v>
      </c>
      <c r="AC794" s="2">
        <v>-5.1999999999999998E-3</v>
      </c>
      <c r="AD794" s="2">
        <v>1.72E-2</v>
      </c>
      <c r="AE794" s="2">
        <v>2.93E-2</v>
      </c>
      <c r="AF794" s="2">
        <v>6.1499999999999999E-2</v>
      </c>
      <c r="AG794" s="2">
        <v>-0.1323</v>
      </c>
      <c r="AH794" t="s">
        <v>5240</v>
      </c>
      <c r="AI794" t="s">
        <v>36</v>
      </c>
      <c r="AJ794" t="s">
        <v>38</v>
      </c>
      <c r="AK794" t="s">
        <v>40</v>
      </c>
      <c r="AL794">
        <v>1</v>
      </c>
      <c r="AM794" t="s">
        <v>41</v>
      </c>
      <c r="AN794" t="s">
        <v>42</v>
      </c>
      <c r="AO794" t="s">
        <v>3154</v>
      </c>
      <c r="AP794" t="s">
        <v>225</v>
      </c>
      <c r="AQ794" t="s">
        <v>225</v>
      </c>
      <c r="AR794" t="s">
        <v>48</v>
      </c>
      <c r="AS794" t="s">
        <v>48</v>
      </c>
    </row>
    <row r="795" spans="1:54" x14ac:dyDescent="0.4">
      <c r="A795" t="s">
        <v>4746</v>
      </c>
      <c r="B795" t="s">
        <v>10</v>
      </c>
      <c r="C795" t="s">
        <v>3003</v>
      </c>
      <c r="D795" t="s">
        <v>11</v>
      </c>
      <c r="E795" s="2">
        <v>-5.0000000000000001E-4</v>
      </c>
      <c r="F795" t="s">
        <v>12</v>
      </c>
      <c r="G795" s="4">
        <f>-0.055 / -0.05%</f>
        <v>110</v>
      </c>
      <c r="H795" t="s">
        <v>3003</v>
      </c>
      <c r="I795" t="s">
        <v>6717</v>
      </c>
      <c r="J795" t="s">
        <v>6718</v>
      </c>
      <c r="K795" t="s">
        <v>23</v>
      </c>
      <c r="L795" s="2">
        <v>3.3750000000000002E-2</v>
      </c>
      <c r="M795" t="s">
        <v>6719</v>
      </c>
      <c r="N795" t="s">
        <v>28</v>
      </c>
      <c r="O795" t="s">
        <v>4627</v>
      </c>
      <c r="P795" s="1">
        <v>99765</v>
      </c>
      <c r="Q795" s="1">
        <v>99765</v>
      </c>
      <c r="R795" s="1">
        <v>99765</v>
      </c>
      <c r="S795" t="s">
        <v>1508</v>
      </c>
      <c r="T795" s="1">
        <v>97475</v>
      </c>
      <c r="U795" s="1">
        <v>97475</v>
      </c>
      <c r="V795" t="s">
        <v>1945</v>
      </c>
      <c r="W795" t="s">
        <v>1966</v>
      </c>
      <c r="X795" t="s">
        <v>1862</v>
      </c>
      <c r="Y795" s="1">
        <v>102725</v>
      </c>
      <c r="Z795" t="s">
        <v>6720</v>
      </c>
      <c r="AA795" t="s">
        <v>6720</v>
      </c>
      <c r="AB795" s="2">
        <v>-9.1999999999999998E-3</v>
      </c>
      <c r="AC795" s="2">
        <v>-9.4999999999999998E-3</v>
      </c>
      <c r="AD795" s="2">
        <v>2.8E-3</v>
      </c>
      <c r="AE795" s="2">
        <v>-8.2000000000000007E-3</v>
      </c>
      <c r="AF795" s="2">
        <v>-5.9999999999999995E-4</v>
      </c>
      <c r="AG795" s="2">
        <v>-5.9999999999999995E-4</v>
      </c>
      <c r="AH795" t="s">
        <v>6721</v>
      </c>
      <c r="AI795" t="s">
        <v>130</v>
      </c>
      <c r="AJ795" t="s">
        <v>131</v>
      </c>
      <c r="AK795" t="s">
        <v>40</v>
      </c>
      <c r="AL795">
        <v>100</v>
      </c>
      <c r="AM795" t="s">
        <v>41</v>
      </c>
      <c r="AN795" t="s">
        <v>42</v>
      </c>
      <c r="AO795" t="s">
        <v>4627</v>
      </c>
      <c r="AP795" t="s">
        <v>225</v>
      </c>
      <c r="AQ795" t="s">
        <v>225</v>
      </c>
      <c r="AR795" t="s">
        <v>48</v>
      </c>
      <c r="AS795" t="s">
        <v>48</v>
      </c>
    </row>
    <row r="796" spans="1:54" x14ac:dyDescent="0.4">
      <c r="A796" t="s">
        <v>4453</v>
      </c>
      <c r="B796" t="s">
        <v>10</v>
      </c>
      <c r="C796" t="s">
        <v>4605</v>
      </c>
      <c r="D796" t="s">
        <v>11</v>
      </c>
      <c r="E796" s="2">
        <v>-6.9999999999999999E-4</v>
      </c>
      <c r="F796" t="s">
        <v>310</v>
      </c>
      <c r="G796" s="4">
        <f>-0.06 / -0.07%</f>
        <v>85.714285714285694</v>
      </c>
      <c r="H796" t="s">
        <v>4605</v>
      </c>
      <c r="I796" t="s">
        <v>5761</v>
      </c>
      <c r="J796" t="s">
        <v>5762</v>
      </c>
      <c r="K796" t="s">
        <v>23</v>
      </c>
      <c r="L796" s="2">
        <v>5.0000000000000001E-4</v>
      </c>
      <c r="M796" t="s">
        <v>5763</v>
      </c>
      <c r="N796" t="s">
        <v>28</v>
      </c>
      <c r="O796" t="s">
        <v>3141</v>
      </c>
      <c r="P796" t="s">
        <v>2655</v>
      </c>
      <c r="Q796" t="s">
        <v>2655</v>
      </c>
      <c r="R796" t="s">
        <v>3179</v>
      </c>
      <c r="S796" t="s">
        <v>5764</v>
      </c>
      <c r="T796" t="s">
        <v>5765</v>
      </c>
      <c r="U796" t="s">
        <v>2054</v>
      </c>
      <c r="V796" t="s">
        <v>5766</v>
      </c>
      <c r="W796" t="s">
        <v>5767</v>
      </c>
      <c r="X796" t="s">
        <v>5767</v>
      </c>
      <c r="Y796" t="s">
        <v>5767</v>
      </c>
      <c r="Z796" t="s">
        <v>5767</v>
      </c>
      <c r="AA796" t="s">
        <v>2324</v>
      </c>
      <c r="AB796" s="2">
        <v>-4.4999999999999997E-3</v>
      </c>
      <c r="AC796" s="2">
        <v>-5.1000000000000004E-3</v>
      </c>
      <c r="AD796" s="2">
        <v>2.1999999999999999E-2</v>
      </c>
      <c r="AE796" s="2">
        <v>3.2399999999999998E-2</v>
      </c>
      <c r="AF796" s="2">
        <v>6.5199999999999994E-2</v>
      </c>
      <c r="AG796" s="2">
        <v>-0.10780000000000001</v>
      </c>
      <c r="AH796" t="s">
        <v>5768</v>
      </c>
      <c r="AI796" t="s">
        <v>232</v>
      </c>
      <c r="AJ796" t="s">
        <v>131</v>
      </c>
      <c r="AK796" t="s">
        <v>40</v>
      </c>
      <c r="AL796">
        <v>100</v>
      </c>
      <c r="AM796" t="s">
        <v>41</v>
      </c>
      <c r="AN796" t="s">
        <v>42</v>
      </c>
      <c r="AO796" t="s">
        <v>3141</v>
      </c>
      <c r="AP796" t="s">
        <v>225</v>
      </c>
      <c r="AQ796" t="s">
        <v>225</v>
      </c>
      <c r="AR796" t="s">
        <v>48</v>
      </c>
      <c r="AS796" t="s">
        <v>48</v>
      </c>
    </row>
    <row r="797" spans="1:54" x14ac:dyDescent="0.4">
      <c r="A797" t="s">
        <v>76</v>
      </c>
      <c r="B797" t="s">
        <v>10</v>
      </c>
      <c r="C797" s="1">
        <v>99686</v>
      </c>
      <c r="D797" t="s">
        <v>11</v>
      </c>
      <c r="E797" s="2">
        <v>-2.9999999999999997E-4</v>
      </c>
      <c r="F797" t="s">
        <v>12</v>
      </c>
      <c r="G797" s="4">
        <f>-0.033 / -0.03%</f>
        <v>110.00000000000001</v>
      </c>
      <c r="H797" s="1">
        <v>99686</v>
      </c>
      <c r="I797" t="s">
        <v>3698</v>
      </c>
      <c r="J797" t="s">
        <v>3699</v>
      </c>
      <c r="K797" t="s">
        <v>23</v>
      </c>
      <c r="L797" s="2">
        <v>4.4999999999999998E-2</v>
      </c>
      <c r="M797" t="s">
        <v>3700</v>
      </c>
      <c r="N797" t="s">
        <v>121</v>
      </c>
      <c r="O797" t="s">
        <v>245</v>
      </c>
      <c r="P797" t="s">
        <v>680</v>
      </c>
      <c r="Q797" s="1">
        <v>99175</v>
      </c>
      <c r="R797" t="s">
        <v>3701</v>
      </c>
      <c r="S797" t="s">
        <v>203</v>
      </c>
      <c r="T797" t="s">
        <v>3135</v>
      </c>
      <c r="U797" t="s">
        <v>3702</v>
      </c>
      <c r="V797" s="1">
        <v>99793</v>
      </c>
      <c r="W797" s="1">
        <v>99793</v>
      </c>
      <c r="X797" s="1">
        <v>99793</v>
      </c>
      <c r="Y797" s="1">
        <v>99793</v>
      </c>
      <c r="Z797" s="1">
        <v>99793</v>
      </c>
      <c r="AA797" t="s">
        <v>3703</v>
      </c>
      <c r="AB797" s="2">
        <v>2.0000000000000001E-4</v>
      </c>
      <c r="AC797" s="2">
        <v>2.8999999999999998E-3</v>
      </c>
      <c r="AD797" s="2">
        <v>7.6E-3</v>
      </c>
      <c r="AE797" s="2">
        <v>1.4800000000000001E-2</v>
      </c>
      <c r="AF797" s="2">
        <v>1.2800000000000001E-2</v>
      </c>
      <c r="AG797" s="2">
        <v>-6.6299999999999998E-2</v>
      </c>
      <c r="AH797" t="s">
        <v>3704</v>
      </c>
      <c r="AI797" t="s">
        <v>130</v>
      </c>
      <c r="AJ797" t="s">
        <v>131</v>
      </c>
      <c r="AK797" t="s">
        <v>40</v>
      </c>
      <c r="AL797">
        <v>2</v>
      </c>
      <c r="AM797" t="s">
        <v>41</v>
      </c>
      <c r="AN797" t="s">
        <v>42</v>
      </c>
      <c r="AO797" t="s">
        <v>245</v>
      </c>
      <c r="AP797" t="s">
        <v>750</v>
      </c>
      <c r="AQ797" t="s">
        <v>750</v>
      </c>
      <c r="AR797" t="s">
        <v>133</v>
      </c>
      <c r="AS797" t="s">
        <v>133</v>
      </c>
    </row>
    <row r="798" spans="1:54" x14ac:dyDescent="0.4">
      <c r="A798" t="s">
        <v>2622</v>
      </c>
      <c r="B798" t="s">
        <v>10</v>
      </c>
      <c r="C798" t="s">
        <v>680</v>
      </c>
      <c r="D798" t="s">
        <v>11</v>
      </c>
      <c r="E798" s="2">
        <v>3.0999999999999999E-3</v>
      </c>
      <c r="F798" t="s">
        <v>310</v>
      </c>
      <c r="G798" s="4" t="s">
        <v>2623</v>
      </c>
      <c r="H798" t="s">
        <v>680</v>
      </c>
      <c r="I798" t="s">
        <v>2624</v>
      </c>
      <c r="J798" t="s">
        <v>2625</v>
      </c>
      <c r="K798" t="s">
        <v>23</v>
      </c>
      <c r="L798" s="2">
        <v>1.7500000000000002E-2</v>
      </c>
      <c r="M798" t="s">
        <v>2626</v>
      </c>
      <c r="N798" t="s">
        <v>28</v>
      </c>
      <c r="O798" t="s">
        <v>2627</v>
      </c>
      <c r="P798" t="s">
        <v>191</v>
      </c>
      <c r="Q798" t="s">
        <v>2628</v>
      </c>
      <c r="R798" t="s">
        <v>559</v>
      </c>
      <c r="S798" t="s">
        <v>1121</v>
      </c>
      <c r="T798" t="s">
        <v>2629</v>
      </c>
      <c r="U798" t="s">
        <v>2629</v>
      </c>
      <c r="V798" t="s">
        <v>680</v>
      </c>
      <c r="W798" t="s">
        <v>1385</v>
      </c>
      <c r="X798" t="s">
        <v>609</v>
      </c>
      <c r="Y798" t="s">
        <v>609</v>
      </c>
      <c r="Z798" t="s">
        <v>1834</v>
      </c>
      <c r="AA798" t="s">
        <v>2630</v>
      </c>
      <c r="AB798" s="2">
        <v>4.4000000000000003E-3</v>
      </c>
      <c r="AC798" s="2">
        <v>9.9000000000000008E-3</v>
      </c>
      <c r="AD798" s="2">
        <v>1.9599999999999999E-2</v>
      </c>
      <c r="AE798" s="2">
        <v>1.6E-2</v>
      </c>
      <c r="AF798" s="2">
        <v>1.4E-2</v>
      </c>
      <c r="AG798" s="2">
        <v>-7.7899999999999997E-2</v>
      </c>
      <c r="AH798" t="s">
        <v>2631</v>
      </c>
      <c r="AI798" t="s">
        <v>232</v>
      </c>
      <c r="AJ798" t="s">
        <v>131</v>
      </c>
      <c r="AK798" t="s">
        <v>40</v>
      </c>
      <c r="AL798">
        <v>1</v>
      </c>
      <c r="AM798" t="s">
        <v>41</v>
      </c>
      <c r="AN798" t="s">
        <v>42</v>
      </c>
      <c r="AO798" t="s">
        <v>2627</v>
      </c>
      <c r="AP798" t="s">
        <v>407</v>
      </c>
      <c r="AQ798" t="s">
        <v>407</v>
      </c>
      <c r="AR798" t="s">
        <v>48</v>
      </c>
      <c r="AS798" t="s">
        <v>48</v>
      </c>
    </row>
    <row r="799" spans="1:54" x14ac:dyDescent="0.4">
      <c r="A799" t="s">
        <v>592</v>
      </c>
      <c r="B799" t="s">
        <v>10</v>
      </c>
      <c r="C799" s="1">
        <v>99535</v>
      </c>
      <c r="D799" t="s">
        <v>11</v>
      </c>
      <c r="E799" s="2">
        <v>1E-4</v>
      </c>
      <c r="F799" t="s">
        <v>12</v>
      </c>
      <c r="G799" s="4" t="s">
        <v>148</v>
      </c>
      <c r="H799" s="1">
        <v>99535</v>
      </c>
      <c r="I799" t="s">
        <v>3012</v>
      </c>
      <c r="J799" t="s">
        <v>3013</v>
      </c>
      <c r="K799" t="s">
        <v>23</v>
      </c>
      <c r="L799" s="2">
        <v>0.01</v>
      </c>
      <c r="M799" t="s">
        <v>3014</v>
      </c>
      <c r="N799" t="s">
        <v>28</v>
      </c>
      <c r="O799" t="s">
        <v>3015</v>
      </c>
      <c r="P799" s="1">
        <v>99425</v>
      </c>
      <c r="Q799" s="1">
        <v>99065</v>
      </c>
      <c r="R799" s="1">
        <v>98185</v>
      </c>
      <c r="S799" s="1">
        <v>97505</v>
      </c>
      <c r="T799" s="1">
        <v>95605</v>
      </c>
      <c r="U799" s="1">
        <v>95605</v>
      </c>
      <c r="V799" t="s">
        <v>2664</v>
      </c>
      <c r="W799" t="s">
        <v>2664</v>
      </c>
      <c r="X799" t="s">
        <v>2664</v>
      </c>
      <c r="Y799" t="s">
        <v>2664</v>
      </c>
      <c r="Z799" t="s">
        <v>2664</v>
      </c>
      <c r="AA799" s="1">
        <v>103155</v>
      </c>
      <c r="AB799" s="2">
        <v>1.1999999999999999E-3</v>
      </c>
      <c r="AC799" s="2">
        <v>4.5999999999999999E-3</v>
      </c>
      <c r="AD799" s="2">
        <v>1.3599999999999999E-2</v>
      </c>
      <c r="AE799" s="2">
        <v>1.84E-2</v>
      </c>
      <c r="AF799" s="2">
        <v>1.7600000000000001E-2</v>
      </c>
      <c r="AG799" s="2">
        <v>-3.5000000000000003E-2</v>
      </c>
      <c r="AH799" t="s">
        <v>2631</v>
      </c>
      <c r="AI799" t="s">
        <v>232</v>
      </c>
      <c r="AJ799" t="s">
        <v>131</v>
      </c>
      <c r="AK799" t="s">
        <v>40</v>
      </c>
      <c r="AL799">
        <v>1</v>
      </c>
      <c r="AM799" t="s">
        <v>41</v>
      </c>
      <c r="AN799" t="s">
        <v>42</v>
      </c>
      <c r="AO799" t="s">
        <v>3015</v>
      </c>
      <c r="AP799" t="s">
        <v>171</v>
      </c>
      <c r="AQ799" t="s">
        <v>171</v>
      </c>
      <c r="AR799" t="s">
        <v>48</v>
      </c>
      <c r="AS799" t="s">
        <v>48</v>
      </c>
    </row>
    <row r="800" spans="1:54" x14ac:dyDescent="0.4">
      <c r="A800" t="s">
        <v>1827</v>
      </c>
      <c r="B800" t="s">
        <v>10</v>
      </c>
      <c r="C800" s="1">
        <v>100425</v>
      </c>
      <c r="D800" t="s">
        <v>11</v>
      </c>
      <c r="E800" s="2">
        <v>2.0000000000000001E-4</v>
      </c>
      <c r="F800" t="s">
        <v>12</v>
      </c>
      <c r="G800" s="4" t="s">
        <v>1828</v>
      </c>
      <c r="H800" s="1">
        <v>100425</v>
      </c>
      <c r="I800" t="s">
        <v>1829</v>
      </c>
      <c r="J800" t="s">
        <v>1830</v>
      </c>
      <c r="K800" t="s">
        <v>23</v>
      </c>
      <c r="L800" s="2">
        <v>4.65E-2</v>
      </c>
      <c r="M800" t="s">
        <v>1831</v>
      </c>
      <c r="N800" t="s">
        <v>121</v>
      </c>
      <c r="O800" t="s">
        <v>1832</v>
      </c>
      <c r="P800" t="s">
        <v>1833</v>
      </c>
      <c r="Q800" t="s">
        <v>1833</v>
      </c>
      <c r="R800" t="s">
        <v>1833</v>
      </c>
      <c r="S800" t="s">
        <v>1833</v>
      </c>
      <c r="T800" t="s">
        <v>1833</v>
      </c>
      <c r="U800" t="s">
        <v>1833</v>
      </c>
      <c r="V800" t="s">
        <v>1834</v>
      </c>
      <c r="W800" t="s">
        <v>1834</v>
      </c>
      <c r="X800" t="s">
        <v>1834</v>
      </c>
      <c r="Y800" t="s">
        <v>1834</v>
      </c>
      <c r="Z800" t="s">
        <v>1834</v>
      </c>
      <c r="AA800" t="s">
        <v>1834</v>
      </c>
      <c r="AB800" s="2">
        <v>6.1999999999999998E-3</v>
      </c>
      <c r="AC800" s="2">
        <v>6.1999999999999998E-3</v>
      </c>
      <c r="AD800" s="2">
        <v>6.1999999999999998E-3</v>
      </c>
      <c r="AE800" s="2">
        <v>6.1999999999999998E-3</v>
      </c>
      <c r="AF800" s="2">
        <v>6.1999999999999998E-3</v>
      </c>
      <c r="AG800" s="2">
        <v>6.1999999999999998E-3</v>
      </c>
      <c r="AH800" t="s">
        <v>1835</v>
      </c>
      <c r="AI800" t="s">
        <v>130</v>
      </c>
      <c r="AJ800" t="s">
        <v>131</v>
      </c>
      <c r="AK800" t="s">
        <v>40</v>
      </c>
      <c r="AL800">
        <v>5</v>
      </c>
      <c r="AM800" t="s">
        <v>41</v>
      </c>
      <c r="AN800" t="s">
        <v>42</v>
      </c>
      <c r="AO800" t="s">
        <v>1832</v>
      </c>
      <c r="AP800" t="s">
        <v>407</v>
      </c>
      <c r="AQ800" t="s">
        <v>407</v>
      </c>
      <c r="AR800" t="s">
        <v>133</v>
      </c>
      <c r="AS800" t="s">
        <v>133</v>
      </c>
    </row>
    <row r="801" spans="1:54" x14ac:dyDescent="0.4">
      <c r="A801" t="s">
        <v>4746</v>
      </c>
      <c r="B801" t="s">
        <v>10</v>
      </c>
      <c r="C801" t="s">
        <v>1264</v>
      </c>
      <c r="D801" t="s">
        <v>11</v>
      </c>
      <c r="E801" s="2">
        <v>-8.0000000000000004E-4</v>
      </c>
      <c r="F801" t="s">
        <v>12</v>
      </c>
      <c r="G801" s="4">
        <f>-0.085 / -0.08%</f>
        <v>106.25</v>
      </c>
      <c r="H801" t="s">
        <v>1264</v>
      </c>
      <c r="I801" t="s">
        <v>7191</v>
      </c>
      <c r="J801" t="s">
        <v>7192</v>
      </c>
      <c r="K801" t="s">
        <v>23</v>
      </c>
      <c r="L801" s="2">
        <v>4.1279999999999997E-2</v>
      </c>
      <c r="M801" t="s">
        <v>7193</v>
      </c>
      <c r="N801" t="s">
        <v>28</v>
      </c>
      <c r="O801" t="s">
        <v>3901</v>
      </c>
      <c r="P801" s="1">
        <v>100765</v>
      </c>
      <c r="Q801" s="1">
        <v>100765</v>
      </c>
      <c r="R801" t="s">
        <v>63</v>
      </c>
      <c r="S801" s="1">
        <v>96045</v>
      </c>
      <c r="T801" s="1">
        <v>96045</v>
      </c>
      <c r="U801" s="1">
        <v>96045</v>
      </c>
      <c r="V801" s="1">
        <v>101545</v>
      </c>
      <c r="W801" s="1">
        <v>103355</v>
      </c>
      <c r="X801" s="1">
        <v>103355</v>
      </c>
      <c r="Y801" s="1">
        <v>103355</v>
      </c>
      <c r="Z801" s="1">
        <v>103355</v>
      </c>
      <c r="AA801" s="1">
        <v>103355</v>
      </c>
      <c r="AB801" s="2">
        <v>-4.4000000000000003E-3</v>
      </c>
      <c r="AC801" s="2">
        <v>-1.24E-2</v>
      </c>
      <c r="AD801" s="2">
        <v>6.7999999999999996E-3</v>
      </c>
      <c r="AE801" s="2">
        <v>1.6500000000000001E-2</v>
      </c>
      <c r="AF801" s="2">
        <v>1.6500000000000001E-2</v>
      </c>
      <c r="AG801" s="2">
        <v>1.6500000000000001E-2</v>
      </c>
      <c r="AH801" t="s">
        <v>7194</v>
      </c>
      <c r="AI801" t="s">
        <v>130</v>
      </c>
      <c r="AJ801" t="s">
        <v>131</v>
      </c>
      <c r="AK801" t="s">
        <v>40</v>
      </c>
      <c r="AL801">
        <v>100</v>
      </c>
      <c r="AM801" t="s">
        <v>41</v>
      </c>
      <c r="AN801" t="s">
        <v>42</v>
      </c>
      <c r="AO801" t="s">
        <v>3901</v>
      </c>
      <c r="AP801" t="s">
        <v>2404</v>
      </c>
      <c r="AQ801" t="s">
        <v>2404</v>
      </c>
      <c r="AR801" t="s">
        <v>48</v>
      </c>
      <c r="AS801" t="s">
        <v>48</v>
      </c>
    </row>
    <row r="802" spans="1:54" x14ac:dyDescent="0.4">
      <c r="A802" t="s">
        <v>4315</v>
      </c>
      <c r="B802" t="s">
        <v>10</v>
      </c>
      <c r="C802" t="s">
        <v>4316</v>
      </c>
      <c r="D802" t="s">
        <v>11</v>
      </c>
      <c r="E802" s="2">
        <v>7.6899999999999996E-2</v>
      </c>
      <c r="F802" t="s">
        <v>12</v>
      </c>
      <c r="G802" s="4" t="s">
        <v>4317</v>
      </c>
      <c r="H802" t="s">
        <v>4316</v>
      </c>
      <c r="I802" t="s">
        <v>4318</v>
      </c>
      <c r="J802" t="s">
        <v>4319</v>
      </c>
      <c r="K802" t="s">
        <v>23</v>
      </c>
      <c r="L802" s="2">
        <v>6.7500000000000004E-2</v>
      </c>
      <c r="M802" t="s">
        <v>4320</v>
      </c>
      <c r="N802" t="s">
        <v>121</v>
      </c>
      <c r="O802" t="s">
        <v>4321</v>
      </c>
      <c r="P802" t="s">
        <v>3917</v>
      </c>
      <c r="Q802" t="s">
        <v>3917</v>
      </c>
      <c r="R802" t="s">
        <v>3917</v>
      </c>
      <c r="S802" t="s">
        <v>3917</v>
      </c>
      <c r="T802" t="s">
        <v>3917</v>
      </c>
      <c r="U802" t="s">
        <v>3917</v>
      </c>
      <c r="V802" t="s">
        <v>4316</v>
      </c>
      <c r="W802" t="s">
        <v>4322</v>
      </c>
      <c r="X802" t="s">
        <v>4323</v>
      </c>
      <c r="Y802" t="s">
        <v>4324</v>
      </c>
      <c r="Z802" t="s">
        <v>1310</v>
      </c>
      <c r="AA802" t="s">
        <v>2231</v>
      </c>
      <c r="AB802" s="2">
        <v>0.32329999999999998</v>
      </c>
      <c r="AC802" s="2">
        <v>0.14749999999999999</v>
      </c>
      <c r="AD802" s="2">
        <v>-0.73080000000000001</v>
      </c>
      <c r="AE802" s="2">
        <v>-0.93</v>
      </c>
      <c r="AF802" s="2">
        <v>-0.94440000000000002</v>
      </c>
      <c r="AG802" s="2">
        <v>-0.96109999999999995</v>
      </c>
      <c r="AH802" t="s">
        <v>4325</v>
      </c>
      <c r="AI802" t="s">
        <v>232</v>
      </c>
      <c r="AJ802" t="s">
        <v>131</v>
      </c>
      <c r="AK802" t="s">
        <v>40</v>
      </c>
      <c r="AL802">
        <v>1</v>
      </c>
      <c r="AM802" t="s">
        <v>41</v>
      </c>
      <c r="AN802" t="s">
        <v>42</v>
      </c>
      <c r="AO802" t="s">
        <v>4321</v>
      </c>
      <c r="AP802" t="s">
        <v>2055</v>
      </c>
      <c r="AQ802">
        <v>1</v>
      </c>
      <c r="BA802" t="s">
        <v>136</v>
      </c>
      <c r="BB802" t="s">
        <v>61</v>
      </c>
    </row>
    <row r="803" spans="1:54" x14ac:dyDescent="0.4">
      <c r="A803" t="s">
        <v>251</v>
      </c>
      <c r="B803" t="s">
        <v>10</v>
      </c>
      <c r="C803" s="1">
        <v>106805</v>
      </c>
      <c r="D803" t="s">
        <v>11</v>
      </c>
      <c r="E803" s="2">
        <v>-6.1000000000000004E-3</v>
      </c>
      <c r="F803" t="s">
        <v>12</v>
      </c>
      <c r="G803" s="4">
        <f>-0.655 / -0.61%</f>
        <v>107.37704918032789</v>
      </c>
      <c r="H803" s="1">
        <v>106805</v>
      </c>
      <c r="I803" t="s">
        <v>1682</v>
      </c>
      <c r="J803" t="s">
        <v>1683</v>
      </c>
      <c r="K803" t="s">
        <v>23</v>
      </c>
      <c r="L803" s="2">
        <v>3.2500000000000001E-2</v>
      </c>
      <c r="M803" t="s">
        <v>1684</v>
      </c>
      <c r="N803" t="s">
        <v>28</v>
      </c>
      <c r="O803" t="s">
        <v>1685</v>
      </c>
      <c r="P803" s="1">
        <v>106805</v>
      </c>
      <c r="Q803" s="1">
        <v>106805</v>
      </c>
      <c r="R803" s="1">
        <v>106235</v>
      </c>
      <c r="S803" s="1">
        <v>105615</v>
      </c>
      <c r="T803" s="1">
        <v>105615</v>
      </c>
      <c r="U803" s="1">
        <v>105615</v>
      </c>
      <c r="V803" t="s">
        <v>1686</v>
      </c>
      <c r="W803" t="s">
        <v>1687</v>
      </c>
      <c r="X803" t="s">
        <v>1688</v>
      </c>
      <c r="Y803" t="s">
        <v>1688</v>
      </c>
      <c r="Z803" t="s">
        <v>1689</v>
      </c>
      <c r="AA803" t="s">
        <v>1690</v>
      </c>
      <c r="AB803" s="2">
        <v>-1.12E-2</v>
      </c>
      <c r="AC803" s="2">
        <v>-6.7000000000000002E-3</v>
      </c>
      <c r="AD803" s="2">
        <v>-4.5999999999999999E-3</v>
      </c>
      <c r="AE803" s="2">
        <v>-4.1999999999999997E-3</v>
      </c>
      <c r="AF803" s="2">
        <v>-2.0799999999999999E-2</v>
      </c>
      <c r="AG803" s="2">
        <v>-0.1008</v>
      </c>
      <c r="AH803" t="s">
        <v>1691</v>
      </c>
      <c r="AI803" t="s">
        <v>130</v>
      </c>
      <c r="AJ803" t="s">
        <v>131</v>
      </c>
      <c r="AK803" t="s">
        <v>40</v>
      </c>
      <c r="AL803">
        <v>1</v>
      </c>
      <c r="AM803" t="s">
        <v>41</v>
      </c>
      <c r="AN803" t="s">
        <v>42</v>
      </c>
      <c r="AO803" t="s">
        <v>1685</v>
      </c>
      <c r="AP803" t="s">
        <v>1692</v>
      </c>
      <c r="AQ803" t="s">
        <v>1693</v>
      </c>
      <c r="AR803" t="s">
        <v>1694</v>
      </c>
      <c r="AS803" t="s">
        <v>1694</v>
      </c>
    </row>
    <row r="804" spans="1:54" x14ac:dyDescent="0.4">
      <c r="A804" t="s">
        <v>980</v>
      </c>
      <c r="B804" t="s">
        <v>10</v>
      </c>
      <c r="C804" t="s">
        <v>981</v>
      </c>
      <c r="D804" t="s">
        <v>11</v>
      </c>
      <c r="E804" s="2">
        <v>1.4E-3</v>
      </c>
      <c r="F804" t="s">
        <v>12</v>
      </c>
      <c r="G804" s="4" t="s">
        <v>982</v>
      </c>
      <c r="H804" t="s">
        <v>981</v>
      </c>
      <c r="I804" t="s">
        <v>983</v>
      </c>
      <c r="J804" t="s">
        <v>984</v>
      </c>
      <c r="K804" t="s">
        <v>23</v>
      </c>
      <c r="L804" s="2">
        <v>5.7500000000000002E-2</v>
      </c>
      <c r="M804" t="s">
        <v>985</v>
      </c>
      <c r="N804" t="s">
        <v>28</v>
      </c>
      <c r="O804" t="s">
        <v>986</v>
      </c>
      <c r="P804" t="s">
        <v>987</v>
      </c>
      <c r="Q804" t="s">
        <v>429</v>
      </c>
      <c r="R804" t="s">
        <v>110</v>
      </c>
      <c r="S804" t="s">
        <v>110</v>
      </c>
      <c r="T804" t="s">
        <v>110</v>
      </c>
      <c r="U804" t="s">
        <v>110</v>
      </c>
      <c r="V804" t="s">
        <v>988</v>
      </c>
      <c r="W804" t="s">
        <v>988</v>
      </c>
      <c r="X804" t="s">
        <v>988</v>
      </c>
      <c r="Y804" t="s">
        <v>988</v>
      </c>
      <c r="Z804" t="s">
        <v>988</v>
      </c>
      <c r="AA804" t="s">
        <v>988</v>
      </c>
      <c r="AB804" s="2">
        <v>8.6E-3</v>
      </c>
      <c r="AC804" s="2">
        <v>1.1900000000000001E-2</v>
      </c>
      <c r="AD804" s="2">
        <v>5.7500000000000002E-2</v>
      </c>
      <c r="AE804" s="2">
        <v>5.7500000000000002E-2</v>
      </c>
      <c r="AF804" s="2">
        <v>5.7500000000000002E-2</v>
      </c>
      <c r="AG804" s="2">
        <v>5.7500000000000002E-2</v>
      </c>
      <c r="AH804" t="s">
        <v>989</v>
      </c>
      <c r="AI804" t="s">
        <v>232</v>
      </c>
      <c r="AJ804" t="s">
        <v>131</v>
      </c>
      <c r="AK804" t="s">
        <v>40</v>
      </c>
      <c r="AL804">
        <v>1</v>
      </c>
      <c r="AM804" t="s">
        <v>41</v>
      </c>
      <c r="AN804" t="s">
        <v>42</v>
      </c>
      <c r="AO804" t="s">
        <v>986</v>
      </c>
      <c r="AP804" t="s">
        <v>990</v>
      </c>
      <c r="AQ804" t="s">
        <v>990</v>
      </c>
      <c r="AR804" t="s">
        <v>48</v>
      </c>
      <c r="AS804" t="s">
        <v>48</v>
      </c>
    </row>
    <row r="805" spans="1:54" x14ac:dyDescent="0.4">
      <c r="A805" t="s">
        <v>4453</v>
      </c>
      <c r="B805" t="s">
        <v>10</v>
      </c>
      <c r="C805" t="s">
        <v>2218</v>
      </c>
      <c r="D805" t="s">
        <v>11</v>
      </c>
      <c r="E805" s="2">
        <v>-1E-4</v>
      </c>
      <c r="F805" t="s">
        <v>1057</v>
      </c>
      <c r="G805" s="4">
        <f>-0.01 / -0.01%</f>
        <v>100</v>
      </c>
      <c r="H805" t="s">
        <v>2218</v>
      </c>
      <c r="I805" t="s">
        <v>6359</v>
      </c>
      <c r="J805" t="s">
        <v>6360</v>
      </c>
      <c r="K805" t="s">
        <v>23</v>
      </c>
      <c r="L805" s="2">
        <v>7.7499999999999999E-2</v>
      </c>
      <c r="M805" t="s">
        <v>4350</v>
      </c>
      <c r="N805" t="s">
        <v>121</v>
      </c>
      <c r="O805" t="s">
        <v>2221</v>
      </c>
      <c r="P805" t="s">
        <v>3538</v>
      </c>
      <c r="Q805" t="s">
        <v>3538</v>
      </c>
      <c r="R805" t="s">
        <v>1552</v>
      </c>
      <c r="S805" t="s">
        <v>701</v>
      </c>
      <c r="T805" t="s">
        <v>6361</v>
      </c>
      <c r="U805" t="s">
        <v>3048</v>
      </c>
      <c r="V805" t="s">
        <v>2659</v>
      </c>
      <c r="W805" t="s">
        <v>2893</v>
      </c>
      <c r="X805" t="s">
        <v>2893</v>
      </c>
      <c r="Y805" t="s">
        <v>2893</v>
      </c>
      <c r="Z805" t="s">
        <v>2893</v>
      </c>
      <c r="AA805" t="s">
        <v>110</v>
      </c>
      <c r="AB805" s="2">
        <v>-5.7000000000000002E-3</v>
      </c>
      <c r="AC805" s="2">
        <v>-2.5999999999999999E-3</v>
      </c>
      <c r="AD805" s="2">
        <v>9.2999999999999992E-3</v>
      </c>
      <c r="AE805" s="2">
        <v>7.6899999999999996E-2</v>
      </c>
      <c r="AF805" s="2">
        <v>0.11169999999999999</v>
      </c>
      <c r="AG805" s="2">
        <v>-5.5999999999999999E-3</v>
      </c>
      <c r="AH805" t="s">
        <v>6362</v>
      </c>
      <c r="AI805" t="s">
        <v>130</v>
      </c>
      <c r="AJ805" t="s">
        <v>131</v>
      </c>
      <c r="AK805" t="s">
        <v>40</v>
      </c>
      <c r="AL805">
        <v>200</v>
      </c>
      <c r="AM805" t="s">
        <v>41</v>
      </c>
      <c r="AN805" t="s">
        <v>42</v>
      </c>
      <c r="AO805" t="s">
        <v>2221</v>
      </c>
      <c r="AP805" t="s">
        <v>333</v>
      </c>
      <c r="AQ805" t="s">
        <v>333</v>
      </c>
      <c r="AR805" t="s">
        <v>133</v>
      </c>
      <c r="AS805" t="s">
        <v>133</v>
      </c>
    </row>
    <row r="806" spans="1:54" x14ac:dyDescent="0.4">
      <c r="A806" t="s">
        <v>4769</v>
      </c>
      <c r="B806" t="s">
        <v>10</v>
      </c>
      <c r="C806" t="s">
        <v>1552</v>
      </c>
      <c r="D806" t="s">
        <v>11</v>
      </c>
      <c r="E806" s="2">
        <v>-1.1000000000000001E-3</v>
      </c>
      <c r="F806" t="s">
        <v>12</v>
      </c>
      <c r="G806" s="4">
        <f>-0.11 / -0.11%</f>
        <v>100</v>
      </c>
      <c r="H806" t="s">
        <v>1552</v>
      </c>
      <c r="I806" t="s">
        <v>2872</v>
      </c>
      <c r="J806" t="s">
        <v>5190</v>
      </c>
      <c r="K806" t="s">
        <v>23</v>
      </c>
      <c r="L806" s="2">
        <v>0.06</v>
      </c>
      <c r="M806" t="s">
        <v>66</v>
      </c>
      <c r="N806" t="s">
        <v>121</v>
      </c>
      <c r="O806" t="s">
        <v>80</v>
      </c>
      <c r="P806" t="s">
        <v>1553</v>
      </c>
      <c r="Q806" t="s">
        <v>1553</v>
      </c>
      <c r="R806" t="s">
        <v>1553</v>
      </c>
      <c r="S806" t="s">
        <v>1553</v>
      </c>
      <c r="T806" t="s">
        <v>1553</v>
      </c>
      <c r="U806" t="s">
        <v>1553</v>
      </c>
      <c r="V806" t="s">
        <v>404</v>
      </c>
      <c r="W806" t="s">
        <v>3420</v>
      </c>
      <c r="X806" t="s">
        <v>3752</v>
      </c>
      <c r="Y806" t="s">
        <v>3752</v>
      </c>
      <c r="Z806" t="s">
        <v>3752</v>
      </c>
      <c r="AA806" t="s">
        <v>3752</v>
      </c>
      <c r="AB806" s="2">
        <v>0</v>
      </c>
      <c r="AC806" s="2">
        <v>-3.0700000000000002E-2</v>
      </c>
      <c r="AD806" s="2">
        <v>-4.4000000000000003E-3</v>
      </c>
      <c r="AE806" s="2">
        <v>8.3000000000000001E-3</v>
      </c>
      <c r="AF806" s="2">
        <v>8.3000000000000001E-3</v>
      </c>
      <c r="AG806" s="2">
        <v>8.3000000000000001E-3</v>
      </c>
      <c r="AH806" t="s">
        <v>5191</v>
      </c>
      <c r="AI806" t="s">
        <v>130</v>
      </c>
      <c r="AJ806" t="s">
        <v>131</v>
      </c>
      <c r="AK806" t="s">
        <v>40</v>
      </c>
      <c r="AL806">
        <v>200</v>
      </c>
      <c r="AM806" t="s">
        <v>41</v>
      </c>
      <c r="AN806" t="s">
        <v>42</v>
      </c>
      <c r="AO806" t="s">
        <v>80</v>
      </c>
      <c r="AP806" t="s">
        <v>500</v>
      </c>
      <c r="AQ806" t="s">
        <v>500</v>
      </c>
      <c r="AR806" t="s">
        <v>133</v>
      </c>
      <c r="AS806" t="s">
        <v>133</v>
      </c>
    </row>
    <row r="807" spans="1:54" x14ac:dyDescent="0.4">
      <c r="A807" t="s">
        <v>4453</v>
      </c>
      <c r="B807" t="s">
        <v>10</v>
      </c>
      <c r="C807" t="s">
        <v>461</v>
      </c>
      <c r="D807" t="s">
        <v>11</v>
      </c>
      <c r="E807" s="2">
        <v>2.0000000000000001E-4</v>
      </c>
      <c r="F807" t="s">
        <v>178</v>
      </c>
      <c r="G807" s="4" t="s">
        <v>3463</v>
      </c>
      <c r="H807" t="s">
        <v>461</v>
      </c>
      <c r="I807" t="s">
        <v>7491</v>
      </c>
      <c r="J807" t="s">
        <v>7492</v>
      </c>
      <c r="K807" t="s">
        <v>23</v>
      </c>
      <c r="L807" s="2">
        <v>1.4999999999999999E-2</v>
      </c>
      <c r="M807" t="s">
        <v>930</v>
      </c>
      <c r="N807" t="s">
        <v>121</v>
      </c>
      <c r="O807" t="s">
        <v>2332</v>
      </c>
      <c r="P807" t="s">
        <v>830</v>
      </c>
      <c r="Q807" t="s">
        <v>994</v>
      </c>
      <c r="R807" t="s">
        <v>1621</v>
      </c>
      <c r="S807" t="s">
        <v>7493</v>
      </c>
      <c r="T807" t="s">
        <v>5651</v>
      </c>
      <c r="U807" t="s">
        <v>7494</v>
      </c>
      <c r="V807" t="s">
        <v>461</v>
      </c>
      <c r="W807" t="s">
        <v>461</v>
      </c>
      <c r="X807" t="s">
        <v>461</v>
      </c>
      <c r="Y807" t="s">
        <v>461</v>
      </c>
      <c r="Z807" t="s">
        <v>461</v>
      </c>
      <c r="AA807" t="s">
        <v>461</v>
      </c>
      <c r="AB807" s="2">
        <v>3.8999999999999998E-3</v>
      </c>
      <c r="AC807" s="2">
        <v>8.6E-3</v>
      </c>
      <c r="AD807" s="2">
        <v>2.0299999999999999E-2</v>
      </c>
      <c r="AE807" s="2">
        <v>3.9199999999999999E-2</v>
      </c>
      <c r="AF807" s="2">
        <v>7.2900000000000006E-2</v>
      </c>
      <c r="AG807" s="2">
        <v>6.08E-2</v>
      </c>
      <c r="AH807" t="s">
        <v>7495</v>
      </c>
      <c r="AI807" t="s">
        <v>130</v>
      </c>
      <c r="AJ807" t="s">
        <v>131</v>
      </c>
      <c r="AK807" t="s">
        <v>40</v>
      </c>
      <c r="AL807">
        <v>200</v>
      </c>
      <c r="AM807" t="s">
        <v>41</v>
      </c>
      <c r="AN807" t="s">
        <v>42</v>
      </c>
      <c r="AO807" t="s">
        <v>2332</v>
      </c>
      <c r="AP807" t="s">
        <v>643</v>
      </c>
      <c r="AQ807" t="s">
        <v>643</v>
      </c>
      <c r="AR807" t="s">
        <v>133</v>
      </c>
      <c r="AS807" t="s">
        <v>133</v>
      </c>
    </row>
    <row r="808" spans="1:54" x14ac:dyDescent="0.4">
      <c r="A808" t="s">
        <v>3265</v>
      </c>
      <c r="B808" t="s">
        <v>10</v>
      </c>
      <c r="C808" t="s">
        <v>787</v>
      </c>
      <c r="D808" t="s">
        <v>11</v>
      </c>
      <c r="E808" s="2">
        <v>0</v>
      </c>
      <c r="F808" t="s">
        <v>12</v>
      </c>
      <c r="G808" s="4" t="s">
        <v>15</v>
      </c>
      <c r="H808" t="s">
        <v>787</v>
      </c>
      <c r="I808" t="s">
        <v>3266</v>
      </c>
      <c r="J808" t="s">
        <v>3267</v>
      </c>
      <c r="K808" t="s">
        <v>23</v>
      </c>
      <c r="L808" s="2">
        <v>4.4999999999999998E-2</v>
      </c>
      <c r="M808" t="s">
        <v>3268</v>
      </c>
      <c r="N808" t="s">
        <v>121</v>
      </c>
      <c r="O808" t="s">
        <v>3269</v>
      </c>
      <c r="P808" t="s">
        <v>1909</v>
      </c>
      <c r="Q808" t="s">
        <v>1909</v>
      </c>
      <c r="R808" t="s">
        <v>1909</v>
      </c>
      <c r="S808" t="s">
        <v>1309</v>
      </c>
      <c r="T808" t="s">
        <v>3270</v>
      </c>
      <c r="U808" t="s">
        <v>3271</v>
      </c>
      <c r="V808" t="s">
        <v>3272</v>
      </c>
      <c r="W808" t="s">
        <v>3273</v>
      </c>
      <c r="X808" t="s">
        <v>1310</v>
      </c>
      <c r="Y808" t="s">
        <v>1910</v>
      </c>
      <c r="Z808" t="s">
        <v>687</v>
      </c>
      <c r="AA808" t="s">
        <v>687</v>
      </c>
      <c r="AB808" s="2">
        <v>0</v>
      </c>
      <c r="AC808" s="2">
        <v>7.9000000000000008E-3</v>
      </c>
      <c r="AD808" s="2">
        <v>2.4E-2</v>
      </c>
      <c r="AE808" s="2">
        <v>-4.48E-2</v>
      </c>
      <c r="AF808" s="2">
        <v>-1.54E-2</v>
      </c>
      <c r="AG808" s="2">
        <v>-6.5699999999999995E-2</v>
      </c>
      <c r="AH808" t="s">
        <v>3274</v>
      </c>
      <c r="AI808" t="s">
        <v>232</v>
      </c>
      <c r="AJ808" t="s">
        <v>131</v>
      </c>
      <c r="AK808" t="s">
        <v>40</v>
      </c>
      <c r="AL808">
        <v>100</v>
      </c>
      <c r="AM808" t="s">
        <v>41</v>
      </c>
      <c r="AN808" t="s">
        <v>42</v>
      </c>
      <c r="AO808" t="s">
        <v>3269</v>
      </c>
      <c r="AP808" t="s">
        <v>3275</v>
      </c>
      <c r="AQ808">
        <v>100</v>
      </c>
      <c r="BA808" t="s">
        <v>360</v>
      </c>
      <c r="BB808" t="s">
        <v>61</v>
      </c>
    </row>
    <row r="809" spans="1:54" x14ac:dyDescent="0.4">
      <c r="A809" t="s">
        <v>115</v>
      </c>
      <c r="B809" t="s">
        <v>10</v>
      </c>
      <c r="C809" t="s">
        <v>4459</v>
      </c>
      <c r="D809" t="s">
        <v>11</v>
      </c>
      <c r="E809" s="2">
        <v>1.9E-3</v>
      </c>
      <c r="F809" t="s">
        <v>12</v>
      </c>
      <c r="G809" s="4" t="s">
        <v>6294</v>
      </c>
      <c r="H809" t="s">
        <v>4459</v>
      </c>
      <c r="I809" t="s">
        <v>6295</v>
      </c>
      <c r="J809" t="s">
        <v>6296</v>
      </c>
      <c r="K809" t="s">
        <v>23</v>
      </c>
      <c r="L809" s="2">
        <v>2.9499999999999998E-2</v>
      </c>
      <c r="M809" t="s">
        <v>6297</v>
      </c>
      <c r="N809" t="s">
        <v>121</v>
      </c>
      <c r="O809" t="s">
        <v>6298</v>
      </c>
      <c r="P809" t="s">
        <v>6299</v>
      </c>
      <c r="Q809" t="s">
        <v>5431</v>
      </c>
      <c r="R809" t="s">
        <v>5431</v>
      </c>
      <c r="S809" t="s">
        <v>5431</v>
      </c>
      <c r="T809" t="s">
        <v>5431</v>
      </c>
      <c r="U809" t="s">
        <v>5643</v>
      </c>
      <c r="V809" s="1">
        <v>92805</v>
      </c>
      <c r="W809" t="s">
        <v>5976</v>
      </c>
      <c r="X809" t="s">
        <v>660</v>
      </c>
      <c r="Y809" t="s">
        <v>660</v>
      </c>
      <c r="Z809" t="s">
        <v>660</v>
      </c>
      <c r="AA809" t="s">
        <v>6028</v>
      </c>
      <c r="AB809" s="2">
        <v>6.1999999999999998E-3</v>
      </c>
      <c r="AC809" s="2">
        <v>-1.7000000000000001E-2</v>
      </c>
      <c r="AD809" s="2">
        <v>-5.7999999999999996E-3</v>
      </c>
      <c r="AE809" s="2">
        <v>7.7000000000000002E-3</v>
      </c>
      <c r="AF809" s="2">
        <v>2.2000000000000001E-3</v>
      </c>
      <c r="AG809" s="2">
        <v>-9.3700000000000006E-2</v>
      </c>
      <c r="AH809" t="s">
        <v>6300</v>
      </c>
      <c r="AI809" t="s">
        <v>130</v>
      </c>
      <c r="AJ809" t="s">
        <v>131</v>
      </c>
      <c r="AK809" t="s">
        <v>40</v>
      </c>
      <c r="AL809" t="s">
        <v>6301</v>
      </c>
      <c r="AM809" t="s">
        <v>41</v>
      </c>
      <c r="AN809" t="s">
        <v>42</v>
      </c>
      <c r="AO809" t="s">
        <v>6298</v>
      </c>
      <c r="AP809" t="s">
        <v>527</v>
      </c>
      <c r="AQ809" t="s">
        <v>527</v>
      </c>
      <c r="AR809" t="s">
        <v>133</v>
      </c>
      <c r="AS809" t="s">
        <v>133</v>
      </c>
    </row>
    <row r="810" spans="1:54" x14ac:dyDescent="0.4">
      <c r="A810" t="s">
        <v>592</v>
      </c>
      <c r="B810" t="s">
        <v>10</v>
      </c>
      <c r="C810" t="s">
        <v>3167</v>
      </c>
      <c r="D810" t="s">
        <v>11</v>
      </c>
      <c r="E810" s="2">
        <v>-1.6999999999999999E-3</v>
      </c>
      <c r="F810" t="s">
        <v>12</v>
      </c>
      <c r="G810" s="4">
        <f>-0.17 / -0.17%</f>
        <v>100</v>
      </c>
      <c r="H810" t="s">
        <v>3167</v>
      </c>
      <c r="I810" t="s">
        <v>3168</v>
      </c>
      <c r="J810" t="s">
        <v>3169</v>
      </c>
      <c r="K810" t="s">
        <v>23</v>
      </c>
      <c r="L810" s="2">
        <v>3.7499999999999999E-2</v>
      </c>
      <c r="M810" t="s">
        <v>3170</v>
      </c>
      <c r="N810" t="s">
        <v>28</v>
      </c>
      <c r="O810" t="s">
        <v>1394</v>
      </c>
      <c r="P810" t="s">
        <v>3171</v>
      </c>
      <c r="Q810" t="s">
        <v>3172</v>
      </c>
      <c r="R810" t="s">
        <v>3172</v>
      </c>
      <c r="S810" t="s">
        <v>1424</v>
      </c>
      <c r="T810" t="s">
        <v>2003</v>
      </c>
      <c r="U810" t="s">
        <v>2003</v>
      </c>
      <c r="V810" t="s">
        <v>2874</v>
      </c>
      <c r="W810" t="s">
        <v>416</v>
      </c>
      <c r="X810" t="s">
        <v>416</v>
      </c>
      <c r="Y810" t="s">
        <v>416</v>
      </c>
      <c r="Z810" t="s">
        <v>416</v>
      </c>
      <c r="AA810" t="s">
        <v>416</v>
      </c>
      <c r="AB810" s="2">
        <v>-9.1999999999999998E-3</v>
      </c>
      <c r="AC810" s="2">
        <v>-2E-3</v>
      </c>
      <c r="AD810" s="2">
        <v>3.2000000000000002E-3</v>
      </c>
      <c r="AE810" s="2">
        <v>1.9800000000000002E-2</v>
      </c>
      <c r="AF810" s="2">
        <v>1.8800000000000001E-2</v>
      </c>
      <c r="AG810" s="2">
        <v>1.8800000000000001E-2</v>
      </c>
      <c r="AH810" t="s">
        <v>3173</v>
      </c>
      <c r="AI810" t="s">
        <v>232</v>
      </c>
      <c r="AJ810" t="s">
        <v>131</v>
      </c>
      <c r="AK810" t="s">
        <v>40</v>
      </c>
      <c r="AL810">
        <v>1</v>
      </c>
      <c r="AM810" t="s">
        <v>41</v>
      </c>
      <c r="AN810" t="s">
        <v>42</v>
      </c>
      <c r="AO810" t="s">
        <v>1394</v>
      </c>
      <c r="AP810" t="s">
        <v>225</v>
      </c>
      <c r="AQ810" t="s">
        <v>225</v>
      </c>
      <c r="AR810" t="s">
        <v>48</v>
      </c>
      <c r="AS810" t="s">
        <v>48</v>
      </c>
    </row>
    <row r="811" spans="1:54" x14ac:dyDescent="0.4">
      <c r="A811" t="s">
        <v>4453</v>
      </c>
      <c r="B811" t="s">
        <v>10</v>
      </c>
      <c r="C811" t="s">
        <v>6370</v>
      </c>
      <c r="D811" t="s">
        <v>11</v>
      </c>
      <c r="E811" s="2">
        <v>-2.9999999999999997E-4</v>
      </c>
      <c r="F811" t="s">
        <v>178</v>
      </c>
      <c r="G811" s="4">
        <f>-0.03 / -0.03%</f>
        <v>100</v>
      </c>
      <c r="H811" t="s">
        <v>6370</v>
      </c>
      <c r="I811" t="s">
        <v>6371</v>
      </c>
      <c r="J811" t="s">
        <v>6372</v>
      </c>
      <c r="K811" t="s">
        <v>23</v>
      </c>
      <c r="L811" s="2">
        <v>3.7499999999999999E-3</v>
      </c>
      <c r="M811" t="s">
        <v>6373</v>
      </c>
      <c r="N811" t="s">
        <v>28</v>
      </c>
      <c r="O811" t="s">
        <v>6374</v>
      </c>
      <c r="P811" t="s">
        <v>6375</v>
      </c>
      <c r="Q811" t="s">
        <v>4760</v>
      </c>
      <c r="R811" t="s">
        <v>6376</v>
      </c>
      <c r="S811" t="s">
        <v>6377</v>
      </c>
      <c r="T811" t="s">
        <v>6378</v>
      </c>
      <c r="U811" t="s">
        <v>2279</v>
      </c>
      <c r="V811" t="s">
        <v>4694</v>
      </c>
      <c r="W811" t="s">
        <v>3546</v>
      </c>
      <c r="X811" t="s">
        <v>3546</v>
      </c>
      <c r="Y811" t="s">
        <v>3546</v>
      </c>
      <c r="Z811" t="s">
        <v>3546</v>
      </c>
      <c r="AA811" t="s">
        <v>461</v>
      </c>
      <c r="AB811" s="2">
        <v>-1.2999999999999999E-3</v>
      </c>
      <c r="AC811" s="2">
        <v>-2.3E-3</v>
      </c>
      <c r="AD811" s="2">
        <v>2.69E-2</v>
      </c>
      <c r="AE811" s="2">
        <v>5.5899999999999998E-2</v>
      </c>
      <c r="AF811" s="2">
        <v>8.4500000000000006E-2</v>
      </c>
      <c r="AG811" s="2">
        <v>-6.9800000000000001E-2</v>
      </c>
      <c r="AH811" t="s">
        <v>6379</v>
      </c>
      <c r="AI811" t="s">
        <v>130</v>
      </c>
      <c r="AJ811" t="s">
        <v>131</v>
      </c>
      <c r="AK811" t="s">
        <v>40</v>
      </c>
      <c r="AL811">
        <v>200</v>
      </c>
      <c r="AM811" t="s">
        <v>41</v>
      </c>
      <c r="AN811" t="s">
        <v>42</v>
      </c>
      <c r="AO811" t="s">
        <v>6374</v>
      </c>
      <c r="AP811" t="s">
        <v>407</v>
      </c>
      <c r="AQ811" t="s">
        <v>407</v>
      </c>
      <c r="AR811" t="s">
        <v>48</v>
      </c>
      <c r="AS811" t="s">
        <v>48</v>
      </c>
      <c r="BB811" t="s">
        <v>61</v>
      </c>
    </row>
    <row r="812" spans="1:54" x14ac:dyDescent="0.4">
      <c r="A812" t="s">
        <v>115</v>
      </c>
      <c r="B812" t="s">
        <v>10</v>
      </c>
      <c r="C812" t="s">
        <v>639</v>
      </c>
      <c r="D812" t="s">
        <v>11</v>
      </c>
      <c r="E812" s="2">
        <v>0</v>
      </c>
      <c r="F812" t="s">
        <v>12</v>
      </c>
      <c r="G812" s="4" t="s">
        <v>15</v>
      </c>
      <c r="H812" t="s">
        <v>639</v>
      </c>
      <c r="I812" t="s">
        <v>5505</v>
      </c>
      <c r="J812" t="s">
        <v>5506</v>
      </c>
      <c r="K812" t="s">
        <v>23</v>
      </c>
      <c r="L812" s="2">
        <v>9.7850000000000006E-2</v>
      </c>
      <c r="M812" t="s">
        <v>5507</v>
      </c>
      <c r="N812" t="s">
        <v>636</v>
      </c>
      <c r="O812" t="s">
        <v>5508</v>
      </c>
      <c r="P812" t="s">
        <v>1122</v>
      </c>
      <c r="Q812" t="s">
        <v>631</v>
      </c>
      <c r="R812" t="s">
        <v>631</v>
      </c>
      <c r="S812" t="s">
        <v>631</v>
      </c>
      <c r="T812" t="s">
        <v>631</v>
      </c>
      <c r="U812" t="s">
        <v>631</v>
      </c>
      <c r="V812" t="s">
        <v>1553</v>
      </c>
      <c r="W812" t="s">
        <v>669</v>
      </c>
      <c r="X812" t="s">
        <v>832</v>
      </c>
      <c r="Y812" t="s">
        <v>832</v>
      </c>
      <c r="Z812" t="s">
        <v>832</v>
      </c>
      <c r="AA812" t="s">
        <v>832</v>
      </c>
      <c r="AB812" s="2">
        <v>1.06E-2</v>
      </c>
      <c r="AC812" s="2">
        <v>-1.8100000000000002E-2</v>
      </c>
      <c r="AD812" s="2">
        <v>-5.4699999999999999E-2</v>
      </c>
      <c r="AE812" s="2">
        <v>-4.7600000000000003E-2</v>
      </c>
      <c r="AF812" s="2">
        <v>-4.7600000000000003E-2</v>
      </c>
      <c r="AG812" s="2">
        <v>-4.7600000000000003E-2</v>
      </c>
      <c r="AH812" t="s">
        <v>5509</v>
      </c>
      <c r="AI812" t="s">
        <v>232</v>
      </c>
      <c r="AJ812" t="s">
        <v>131</v>
      </c>
      <c r="AK812" t="s">
        <v>40</v>
      </c>
      <c r="AL812">
        <v>1</v>
      </c>
      <c r="AM812" t="s">
        <v>41</v>
      </c>
      <c r="AN812" t="s">
        <v>42</v>
      </c>
      <c r="AO812" t="s">
        <v>5508</v>
      </c>
      <c r="AP812" t="s">
        <v>2477</v>
      </c>
      <c r="AQ812" t="s">
        <v>2477</v>
      </c>
      <c r="AR812" t="s">
        <v>48</v>
      </c>
      <c r="AS812" t="s">
        <v>48</v>
      </c>
    </row>
    <row r="813" spans="1:54" x14ac:dyDescent="0.4">
      <c r="A813" t="s">
        <v>4453</v>
      </c>
      <c r="B813" t="s">
        <v>10</v>
      </c>
      <c r="C813" t="s">
        <v>6870</v>
      </c>
      <c r="D813" t="s">
        <v>11</v>
      </c>
      <c r="E813" s="2">
        <v>2.0000000000000001E-4</v>
      </c>
      <c r="F813" t="s">
        <v>310</v>
      </c>
      <c r="G813" s="4" t="s">
        <v>3463</v>
      </c>
      <c r="H813" t="s">
        <v>6870</v>
      </c>
      <c r="I813" t="s">
        <v>6871</v>
      </c>
      <c r="J813" t="s">
        <v>6872</v>
      </c>
      <c r="K813" t="s">
        <v>23</v>
      </c>
      <c r="L813" s="2">
        <v>5.6250000000000001E-2</v>
      </c>
      <c r="M813" t="s">
        <v>1549</v>
      </c>
      <c r="N813" t="s">
        <v>121</v>
      </c>
      <c r="O813" t="s">
        <v>1550</v>
      </c>
      <c r="P813" t="s">
        <v>6873</v>
      </c>
      <c r="Q813" t="s">
        <v>6873</v>
      </c>
      <c r="R813" t="s">
        <v>6873</v>
      </c>
      <c r="S813" t="s">
        <v>6873</v>
      </c>
      <c r="T813" t="s">
        <v>6873</v>
      </c>
      <c r="U813" t="s">
        <v>6873</v>
      </c>
      <c r="V813" t="s">
        <v>2466</v>
      </c>
      <c r="W813" t="s">
        <v>1163</v>
      </c>
      <c r="X813" t="s">
        <v>4644</v>
      </c>
      <c r="Y813" t="s">
        <v>4644</v>
      </c>
      <c r="Z813" t="s">
        <v>4644</v>
      </c>
      <c r="AA813" t="s">
        <v>4644</v>
      </c>
      <c r="AB813" s="2">
        <v>-2.3999999999999998E-3</v>
      </c>
      <c r="AC813" s="2">
        <v>-1.46E-2</v>
      </c>
      <c r="AD813" s="2">
        <v>-1.7600000000000001E-2</v>
      </c>
      <c r="AE813" s="2">
        <v>-1.7600000000000001E-2</v>
      </c>
      <c r="AF813" s="2">
        <v>-1.7600000000000001E-2</v>
      </c>
      <c r="AG813" s="2">
        <v>-1.7600000000000001E-2</v>
      </c>
      <c r="AH813" t="s">
        <v>6874</v>
      </c>
      <c r="AI813" t="s">
        <v>130</v>
      </c>
      <c r="AJ813" t="s">
        <v>131</v>
      </c>
      <c r="AK813" t="s">
        <v>40</v>
      </c>
      <c r="AL813">
        <v>200</v>
      </c>
      <c r="AM813" t="s">
        <v>41</v>
      </c>
      <c r="AN813" t="s">
        <v>42</v>
      </c>
      <c r="AO813" t="s">
        <v>1550</v>
      </c>
      <c r="AP813" t="s">
        <v>3387</v>
      </c>
      <c r="AQ813" t="s">
        <v>3387</v>
      </c>
      <c r="AR813" t="s">
        <v>133</v>
      </c>
      <c r="AS813" t="s">
        <v>133</v>
      </c>
    </row>
    <row r="814" spans="1:54" x14ac:dyDescent="0.4">
      <c r="A814" t="s">
        <v>4453</v>
      </c>
      <c r="B814" t="s">
        <v>10</v>
      </c>
      <c r="C814" t="s">
        <v>927</v>
      </c>
      <c r="D814" t="s">
        <v>11</v>
      </c>
      <c r="E814" s="2">
        <v>-4.7999999999999996E-3</v>
      </c>
      <c r="F814" t="s">
        <v>310</v>
      </c>
      <c r="G814" s="4">
        <f>-0.46 / -0.48%</f>
        <v>95.833333333333343</v>
      </c>
      <c r="H814" t="s">
        <v>927</v>
      </c>
      <c r="I814" t="s">
        <v>6894</v>
      </c>
      <c r="J814" t="s">
        <v>6895</v>
      </c>
      <c r="K814" t="s">
        <v>23</v>
      </c>
      <c r="L814" s="2">
        <v>4.1250000000000002E-2</v>
      </c>
      <c r="M814" t="s">
        <v>6896</v>
      </c>
      <c r="N814" t="s">
        <v>28</v>
      </c>
      <c r="O814" t="s">
        <v>6897</v>
      </c>
      <c r="P814" t="s">
        <v>6898</v>
      </c>
      <c r="Q814" t="s">
        <v>6898</v>
      </c>
      <c r="R814" t="s">
        <v>6898</v>
      </c>
      <c r="S814" t="s">
        <v>6898</v>
      </c>
      <c r="T814" t="s">
        <v>6899</v>
      </c>
      <c r="U814" t="s">
        <v>6899</v>
      </c>
      <c r="V814" t="s">
        <v>362</v>
      </c>
      <c r="W814" t="s">
        <v>6900</v>
      </c>
      <c r="X814" t="s">
        <v>6900</v>
      </c>
      <c r="Y814" t="s">
        <v>1281</v>
      </c>
      <c r="Z814" t="s">
        <v>6901</v>
      </c>
      <c r="AA814" t="s">
        <v>6902</v>
      </c>
      <c r="AB814" s="2">
        <v>-2.7799999999999998E-2</v>
      </c>
      <c r="AC814" s="2">
        <v>-3.5499999999999997E-2</v>
      </c>
      <c r="AD814" s="2">
        <v>-3.8399999999999997E-2</v>
      </c>
      <c r="AE814" s="2">
        <v>-8.5199999999999998E-2</v>
      </c>
      <c r="AF814" s="2">
        <v>-0.13719999999999999</v>
      </c>
      <c r="AG814" s="2">
        <v>-0.48039999999999999</v>
      </c>
      <c r="AH814" t="s">
        <v>6903</v>
      </c>
      <c r="AI814" t="s">
        <v>130</v>
      </c>
      <c r="AJ814" t="s">
        <v>131</v>
      </c>
      <c r="AK814" t="s">
        <v>40</v>
      </c>
      <c r="AL814">
        <v>100</v>
      </c>
      <c r="AM814" t="s">
        <v>41</v>
      </c>
      <c r="AN814" t="s">
        <v>42</v>
      </c>
      <c r="AO814" t="s">
        <v>6897</v>
      </c>
      <c r="AP814" t="s">
        <v>193</v>
      </c>
      <c r="AQ814" t="s">
        <v>193</v>
      </c>
      <c r="AR814" t="s">
        <v>48</v>
      </c>
      <c r="AS814" t="s">
        <v>48</v>
      </c>
    </row>
    <row r="815" spans="1:54" x14ac:dyDescent="0.4">
      <c r="A815" t="s">
        <v>4453</v>
      </c>
      <c r="B815" t="s">
        <v>10</v>
      </c>
      <c r="C815" t="s">
        <v>4080</v>
      </c>
      <c r="D815" t="s">
        <v>11</v>
      </c>
      <c r="E815" s="2">
        <v>-6.9999999999999999E-4</v>
      </c>
      <c r="F815" t="s">
        <v>1057</v>
      </c>
      <c r="G815" s="4">
        <f>-0.07 / -0.07%</f>
        <v>100</v>
      </c>
      <c r="H815" t="s">
        <v>4080</v>
      </c>
      <c r="I815" t="s">
        <v>7030</v>
      </c>
      <c r="J815" t="s">
        <v>7031</v>
      </c>
      <c r="K815" t="s">
        <v>23</v>
      </c>
      <c r="L815" s="2">
        <v>2.5000000000000001E-3</v>
      </c>
      <c r="M815" t="s">
        <v>3069</v>
      </c>
      <c r="N815" t="s">
        <v>28</v>
      </c>
      <c r="O815" t="s">
        <v>3070</v>
      </c>
      <c r="P815" t="s">
        <v>2178</v>
      </c>
      <c r="Q815" t="s">
        <v>1587</v>
      </c>
      <c r="R815" s="1">
        <v>95805</v>
      </c>
      <c r="S815" s="1">
        <v>93615</v>
      </c>
      <c r="T815" t="s">
        <v>7032</v>
      </c>
      <c r="U815" s="1">
        <v>85015</v>
      </c>
      <c r="V815" t="s">
        <v>4705</v>
      </c>
      <c r="W815" t="s">
        <v>4705</v>
      </c>
      <c r="X815" t="s">
        <v>4705</v>
      </c>
      <c r="Y815" t="s">
        <v>4705</v>
      </c>
      <c r="Z815" t="s">
        <v>4705</v>
      </c>
      <c r="AA815" t="s">
        <v>4705</v>
      </c>
      <c r="AB815" s="2">
        <v>-2.5999999999999999E-3</v>
      </c>
      <c r="AC815" s="2">
        <v>7.4000000000000003E-3</v>
      </c>
      <c r="AD815" s="2">
        <v>1.8700000000000001E-2</v>
      </c>
      <c r="AE815" s="2">
        <v>4.1500000000000002E-2</v>
      </c>
      <c r="AF815" s="2">
        <v>7.9799999999999996E-2</v>
      </c>
      <c r="AG815" s="2">
        <v>-3.2000000000000002E-3</v>
      </c>
      <c r="AH815" t="s">
        <v>4768</v>
      </c>
      <c r="AI815" t="s">
        <v>130</v>
      </c>
      <c r="AJ815" t="s">
        <v>131</v>
      </c>
      <c r="AK815" t="s">
        <v>40</v>
      </c>
      <c r="AL815">
        <v>200</v>
      </c>
      <c r="AM815" t="s">
        <v>41</v>
      </c>
      <c r="AN815" t="s">
        <v>42</v>
      </c>
      <c r="AO815" t="s">
        <v>3070</v>
      </c>
      <c r="AP815" t="s">
        <v>7033</v>
      </c>
      <c r="AQ815" t="s">
        <v>7033</v>
      </c>
      <c r="AR815" t="s">
        <v>1694</v>
      </c>
      <c r="AS815" t="s">
        <v>1694</v>
      </c>
      <c r="BB815" t="s">
        <v>61</v>
      </c>
    </row>
    <row r="816" spans="1:54" x14ac:dyDescent="0.4">
      <c r="A816" t="s">
        <v>4453</v>
      </c>
      <c r="B816" t="s">
        <v>10</v>
      </c>
      <c r="C816" t="s">
        <v>392</v>
      </c>
      <c r="D816" t="s">
        <v>11</v>
      </c>
      <c r="E816" s="2">
        <v>-2.0000000000000001E-4</v>
      </c>
      <c r="F816" t="s">
        <v>178</v>
      </c>
      <c r="G816" s="4">
        <f>-0.02 / -0.02%</f>
        <v>100</v>
      </c>
      <c r="H816" t="s">
        <v>392</v>
      </c>
      <c r="I816" t="s">
        <v>5693</v>
      </c>
      <c r="J816" t="s">
        <v>5694</v>
      </c>
      <c r="K816" t="s">
        <v>23</v>
      </c>
      <c r="L816" s="2">
        <v>9.375E-2</v>
      </c>
      <c r="M816" t="s">
        <v>864</v>
      </c>
      <c r="N816" t="s">
        <v>121</v>
      </c>
      <c r="O816" t="s">
        <v>1718</v>
      </c>
      <c r="P816" t="s">
        <v>2337</v>
      </c>
      <c r="Q816" t="s">
        <v>2337</v>
      </c>
      <c r="R816" t="s">
        <v>5528</v>
      </c>
      <c r="S816" t="s">
        <v>1659</v>
      </c>
      <c r="T816" t="s">
        <v>3180</v>
      </c>
      <c r="U816" t="s">
        <v>3180</v>
      </c>
      <c r="V816" t="s">
        <v>5695</v>
      </c>
      <c r="W816" t="s">
        <v>1677</v>
      </c>
      <c r="X816" t="s">
        <v>1544</v>
      </c>
      <c r="Y816" t="s">
        <v>1544</v>
      </c>
      <c r="Z816" t="s">
        <v>5696</v>
      </c>
      <c r="AA816" t="s">
        <v>5696</v>
      </c>
      <c r="AB816" s="2">
        <v>9.9000000000000008E-3</v>
      </c>
      <c r="AC816" s="2">
        <v>1.1000000000000001E-3</v>
      </c>
      <c r="AD816" s="2">
        <v>1.8499999999999999E-2</v>
      </c>
      <c r="AE816" s="2">
        <v>1.37E-2</v>
      </c>
      <c r="AF816" s="2">
        <v>-1.8599999999999998E-2</v>
      </c>
      <c r="AG816" s="2">
        <v>3.7199999999999997E-2</v>
      </c>
      <c r="AH816" t="s">
        <v>4768</v>
      </c>
      <c r="AI816" t="s">
        <v>130</v>
      </c>
      <c r="AJ816" t="s">
        <v>131</v>
      </c>
      <c r="AK816" t="s">
        <v>40</v>
      </c>
      <c r="AL816">
        <v>200</v>
      </c>
      <c r="AM816" t="s">
        <v>41</v>
      </c>
      <c r="AN816" t="s">
        <v>42</v>
      </c>
      <c r="AO816" t="s">
        <v>1718</v>
      </c>
      <c r="AP816" t="s">
        <v>500</v>
      </c>
      <c r="AQ816">
        <v>200</v>
      </c>
      <c r="BA816" t="s">
        <v>197</v>
      </c>
      <c r="BB816" t="s">
        <v>61</v>
      </c>
    </row>
    <row r="817" spans="1:54" x14ac:dyDescent="0.4">
      <c r="A817" t="s">
        <v>4453</v>
      </c>
      <c r="B817" t="s">
        <v>10</v>
      </c>
      <c r="C817" t="s">
        <v>2857</v>
      </c>
      <c r="D817" t="s">
        <v>11</v>
      </c>
      <c r="E817" s="2">
        <v>-2.9999999999999997E-4</v>
      </c>
      <c r="F817" t="s">
        <v>178</v>
      </c>
      <c r="G817" s="4">
        <f>-0.03 / -0.03%</f>
        <v>100</v>
      </c>
      <c r="H817" t="s">
        <v>2857</v>
      </c>
      <c r="I817" t="s">
        <v>4764</v>
      </c>
      <c r="J817" t="s">
        <v>4765</v>
      </c>
      <c r="K817" t="s">
        <v>23</v>
      </c>
      <c r="L817" s="2">
        <v>1.25E-3</v>
      </c>
      <c r="M817" t="s">
        <v>3740</v>
      </c>
      <c r="N817" t="s">
        <v>28</v>
      </c>
      <c r="O817" t="s">
        <v>3741</v>
      </c>
      <c r="P817" t="s">
        <v>3495</v>
      </c>
      <c r="Q817" t="s">
        <v>4148</v>
      </c>
      <c r="R817" t="s">
        <v>1899</v>
      </c>
      <c r="S817" t="s">
        <v>3832</v>
      </c>
      <c r="T817" t="s">
        <v>2961</v>
      </c>
      <c r="U817" t="s">
        <v>4766</v>
      </c>
      <c r="V817" t="s">
        <v>4767</v>
      </c>
      <c r="W817" t="s">
        <v>3126</v>
      </c>
      <c r="X817" t="s">
        <v>3126</v>
      </c>
      <c r="Y817" t="s">
        <v>3126</v>
      </c>
      <c r="Z817" t="s">
        <v>3126</v>
      </c>
      <c r="AA817" t="s">
        <v>203</v>
      </c>
      <c r="AB817" s="2">
        <v>1.6000000000000001E-3</v>
      </c>
      <c r="AC817" s="2">
        <v>2.7000000000000001E-3</v>
      </c>
      <c r="AD817" s="2">
        <v>3.1300000000000001E-2</v>
      </c>
      <c r="AE817" s="2">
        <v>4.7300000000000002E-2</v>
      </c>
      <c r="AF817" s="2">
        <v>8.7800000000000003E-2</v>
      </c>
      <c r="AG817" s="2">
        <v>-5.6899999999999999E-2</v>
      </c>
      <c r="AH817" t="s">
        <v>4768</v>
      </c>
      <c r="AI817" t="s">
        <v>130</v>
      </c>
      <c r="AJ817" t="s">
        <v>131</v>
      </c>
      <c r="AK817" t="s">
        <v>40</v>
      </c>
      <c r="AL817">
        <v>100</v>
      </c>
      <c r="AM817" t="s">
        <v>41</v>
      </c>
      <c r="AN817" t="s">
        <v>42</v>
      </c>
      <c r="AO817" t="s">
        <v>3741</v>
      </c>
      <c r="AP817" t="s">
        <v>407</v>
      </c>
      <c r="AQ817" t="s">
        <v>407</v>
      </c>
      <c r="AR817" t="s">
        <v>48</v>
      </c>
      <c r="AS817" t="s">
        <v>48</v>
      </c>
    </row>
    <row r="818" spans="1:54" x14ac:dyDescent="0.4">
      <c r="A818" t="s">
        <v>4453</v>
      </c>
      <c r="B818" t="s">
        <v>10</v>
      </c>
      <c r="C818" t="s">
        <v>5471</v>
      </c>
      <c r="D818" t="s">
        <v>11</v>
      </c>
      <c r="E818" s="2">
        <v>-8.0000000000000004E-4</v>
      </c>
      <c r="F818" t="s">
        <v>178</v>
      </c>
      <c r="G818" s="4">
        <f>-0.07 / -0.08%</f>
        <v>87.5</v>
      </c>
      <c r="H818" t="s">
        <v>5471</v>
      </c>
      <c r="I818" t="s">
        <v>5472</v>
      </c>
      <c r="J818" t="s">
        <v>5473</v>
      </c>
      <c r="K818" t="s">
        <v>23</v>
      </c>
      <c r="L818" s="2">
        <v>1E-4</v>
      </c>
      <c r="M818" t="s">
        <v>1906</v>
      </c>
      <c r="N818" t="s">
        <v>28</v>
      </c>
      <c r="O818" t="s">
        <v>1907</v>
      </c>
      <c r="P818" t="s">
        <v>2520</v>
      </c>
      <c r="Q818" t="s">
        <v>2520</v>
      </c>
      <c r="R818" t="s">
        <v>1958</v>
      </c>
      <c r="S818" t="s">
        <v>5474</v>
      </c>
      <c r="T818" t="s">
        <v>5475</v>
      </c>
      <c r="U818" t="s">
        <v>5476</v>
      </c>
      <c r="V818" t="s">
        <v>4266</v>
      </c>
      <c r="W818" t="s">
        <v>5477</v>
      </c>
      <c r="X818" t="s">
        <v>5477</v>
      </c>
      <c r="Y818" t="s">
        <v>5477</v>
      </c>
      <c r="Z818" t="s">
        <v>5477</v>
      </c>
      <c r="AA818" t="s">
        <v>5478</v>
      </c>
      <c r="AB818" s="2">
        <v>-4.4999999999999997E-3</v>
      </c>
      <c r="AC818" s="2">
        <v>-7.6E-3</v>
      </c>
      <c r="AD818" s="2">
        <v>2.0400000000000001E-2</v>
      </c>
      <c r="AE818" s="2">
        <v>3.44E-2</v>
      </c>
      <c r="AF818" s="2">
        <v>6.2700000000000006E-2</v>
      </c>
      <c r="AG818" s="2">
        <v>-0.13969999999999999</v>
      </c>
      <c r="AH818" t="s">
        <v>5479</v>
      </c>
      <c r="AI818" t="s">
        <v>130</v>
      </c>
      <c r="AJ818" t="s">
        <v>131</v>
      </c>
      <c r="AK818" t="s">
        <v>40</v>
      </c>
      <c r="AL818">
        <v>100</v>
      </c>
      <c r="AM818" t="s">
        <v>41</v>
      </c>
      <c r="AN818" t="s">
        <v>42</v>
      </c>
      <c r="AO818" t="s">
        <v>1907</v>
      </c>
      <c r="AP818" t="s">
        <v>357</v>
      </c>
      <c r="AQ818" t="s">
        <v>357</v>
      </c>
      <c r="AR818" t="s">
        <v>48</v>
      </c>
      <c r="AS818" t="s">
        <v>48</v>
      </c>
    </row>
    <row r="819" spans="1:54" x14ac:dyDescent="0.4">
      <c r="A819" t="s">
        <v>7011</v>
      </c>
      <c r="B819" t="s">
        <v>10</v>
      </c>
      <c r="C819" s="1">
        <v>99863</v>
      </c>
      <c r="D819" t="s">
        <v>11</v>
      </c>
      <c r="E819" s="2">
        <v>-6.9999999999999999E-4</v>
      </c>
      <c r="F819" t="s">
        <v>7012</v>
      </c>
      <c r="K819" t="s">
        <v>214</v>
      </c>
      <c r="L819" s="2">
        <v>3.3000000000000002E-2</v>
      </c>
      <c r="M819" t="s">
        <v>7013</v>
      </c>
      <c r="N819" t="s">
        <v>28</v>
      </c>
      <c r="O819" t="s">
        <v>7014</v>
      </c>
      <c r="P819" t="s">
        <v>13</v>
      </c>
      <c r="Q819" t="s">
        <v>13</v>
      </c>
      <c r="R819" t="s">
        <v>13</v>
      </c>
      <c r="S819" t="s">
        <v>13</v>
      </c>
      <c r="V819" s="1">
        <v>99963</v>
      </c>
      <c r="W819" s="1">
        <v>99963</v>
      </c>
      <c r="X819" s="1">
        <v>100115</v>
      </c>
      <c r="Y819" s="1">
        <v>109075</v>
      </c>
      <c r="AB819" s="2">
        <v>4.1999999999999997E-3</v>
      </c>
      <c r="AC819" s="2">
        <v>2.5000000000000001E-3</v>
      </c>
      <c r="AD819" s="2">
        <v>5.5999999999999999E-3</v>
      </c>
      <c r="AE819" s="2">
        <v>-8.4500000000000006E-2</v>
      </c>
      <c r="AH819" t="s">
        <v>7015</v>
      </c>
      <c r="AI819" t="s">
        <v>130</v>
      </c>
      <c r="AJ819" t="s">
        <v>131</v>
      </c>
      <c r="AK819" t="s">
        <v>40</v>
      </c>
      <c r="AM819" t="s">
        <v>41</v>
      </c>
      <c r="AN819" t="s">
        <v>42</v>
      </c>
      <c r="AO819" t="s">
        <v>7014</v>
      </c>
      <c r="AP819" t="s">
        <v>2055</v>
      </c>
      <c r="AQ819" t="s">
        <v>2055</v>
      </c>
      <c r="AR819" t="s">
        <v>48</v>
      </c>
      <c r="AS819" t="s">
        <v>48</v>
      </c>
      <c r="AT819" t="s">
        <v>7016</v>
      </c>
    </row>
    <row r="820" spans="1:54" x14ac:dyDescent="0.4">
      <c r="A820" t="s">
        <v>592</v>
      </c>
      <c r="B820" t="s">
        <v>10</v>
      </c>
      <c r="C820" t="s">
        <v>868</v>
      </c>
      <c r="D820" t="s">
        <v>11</v>
      </c>
      <c r="E820" s="2">
        <v>-2.9999999999999997E-4</v>
      </c>
      <c r="F820" t="s">
        <v>12</v>
      </c>
      <c r="G820" s="4">
        <f>-0.03 / -0.03%</f>
        <v>100</v>
      </c>
      <c r="H820" t="s">
        <v>868</v>
      </c>
      <c r="I820" t="s">
        <v>5625</v>
      </c>
      <c r="J820" t="s">
        <v>5626</v>
      </c>
      <c r="K820" t="s">
        <v>23</v>
      </c>
      <c r="L820" s="2">
        <v>6.5000000000000002E-2</v>
      </c>
      <c r="M820" t="s">
        <v>3317</v>
      </c>
      <c r="N820" t="s">
        <v>121</v>
      </c>
      <c r="O820" t="s">
        <v>3711</v>
      </c>
      <c r="P820" t="s">
        <v>1198</v>
      </c>
      <c r="Q820" t="s">
        <v>1198</v>
      </c>
      <c r="R820" t="s">
        <v>1198</v>
      </c>
      <c r="S820" t="s">
        <v>1807</v>
      </c>
      <c r="T820" t="s">
        <v>4555</v>
      </c>
      <c r="U820" t="s">
        <v>4555</v>
      </c>
      <c r="V820" t="s">
        <v>4644</v>
      </c>
      <c r="W820" t="s">
        <v>5627</v>
      </c>
      <c r="X820" t="s">
        <v>5628</v>
      </c>
      <c r="Y820" t="s">
        <v>5628</v>
      </c>
      <c r="Z820" t="s">
        <v>5628</v>
      </c>
      <c r="AA820" t="s">
        <v>5628</v>
      </c>
      <c r="AB820" s="2">
        <v>-1.09E-2</v>
      </c>
      <c r="AC820" s="2">
        <v>-2.0299999999999999E-2</v>
      </c>
      <c r="AD820" s="2">
        <v>-2.1499999999999998E-2</v>
      </c>
      <c r="AE820" s="2">
        <v>-5.5999999999999999E-3</v>
      </c>
      <c r="AF820" s="2">
        <v>3.2300000000000002E-2</v>
      </c>
      <c r="AG820" s="2">
        <v>3.2300000000000002E-2</v>
      </c>
      <c r="AH820" t="s">
        <v>5629</v>
      </c>
      <c r="AI820" t="s">
        <v>130</v>
      </c>
      <c r="AJ820" t="s">
        <v>131</v>
      </c>
      <c r="AK820" t="s">
        <v>40</v>
      </c>
      <c r="AL820">
        <v>200</v>
      </c>
      <c r="AM820" t="s">
        <v>41</v>
      </c>
      <c r="AN820" t="s">
        <v>42</v>
      </c>
      <c r="AO820" t="s">
        <v>3711</v>
      </c>
      <c r="AS820" t="s">
        <v>133</v>
      </c>
      <c r="AT820" t="s">
        <v>3711</v>
      </c>
      <c r="AU820" t="s">
        <v>5630</v>
      </c>
    </row>
    <row r="821" spans="1:54" x14ac:dyDescent="0.4">
      <c r="A821" t="s">
        <v>4453</v>
      </c>
      <c r="B821" t="s">
        <v>10</v>
      </c>
      <c r="C821" t="s">
        <v>2152</v>
      </c>
      <c r="D821" t="s">
        <v>11</v>
      </c>
      <c r="E821" s="2">
        <v>-2.5999999999999999E-3</v>
      </c>
      <c r="F821" t="s">
        <v>310</v>
      </c>
      <c r="G821" s="4">
        <f>-0.27 / -0.26%</f>
        <v>103.84615384615385</v>
      </c>
      <c r="H821" t="s">
        <v>2152</v>
      </c>
      <c r="I821" t="s">
        <v>6875</v>
      </c>
      <c r="J821" t="s">
        <v>6876</v>
      </c>
      <c r="K821" t="s">
        <v>23</v>
      </c>
      <c r="L821" s="2">
        <v>6.5000000000000002E-2</v>
      </c>
      <c r="M821" t="s">
        <v>3317</v>
      </c>
      <c r="N821" t="s">
        <v>121</v>
      </c>
      <c r="O821" t="s">
        <v>3711</v>
      </c>
      <c r="P821" t="s">
        <v>434</v>
      </c>
      <c r="Q821" t="s">
        <v>434</v>
      </c>
      <c r="R821" t="s">
        <v>434</v>
      </c>
      <c r="S821" t="s">
        <v>1659</v>
      </c>
      <c r="T821" t="s">
        <v>5237</v>
      </c>
      <c r="U821" t="s">
        <v>5237</v>
      </c>
      <c r="V821" t="s">
        <v>1700</v>
      </c>
      <c r="W821" t="s">
        <v>2536</v>
      </c>
      <c r="X821" t="s">
        <v>6877</v>
      </c>
      <c r="Y821" t="s">
        <v>6877</v>
      </c>
      <c r="Z821" t="s">
        <v>6877</v>
      </c>
      <c r="AA821" t="s">
        <v>6877</v>
      </c>
      <c r="AB821" s="2">
        <v>-1.26E-2</v>
      </c>
      <c r="AC821" s="2">
        <v>-2.29E-2</v>
      </c>
      <c r="AD821" s="2">
        <v>-2.2700000000000001E-2</v>
      </c>
      <c r="AE821" s="2">
        <v>-4.8999999999999998E-3</v>
      </c>
      <c r="AF821" s="2">
        <v>2.69E-2</v>
      </c>
      <c r="AG821" s="2">
        <v>2.69E-2</v>
      </c>
      <c r="AH821" t="s">
        <v>5629</v>
      </c>
      <c r="AI821" t="s">
        <v>130</v>
      </c>
      <c r="AJ821" t="s">
        <v>131</v>
      </c>
      <c r="AK821" t="s">
        <v>40</v>
      </c>
      <c r="AL821">
        <v>200</v>
      </c>
      <c r="AM821" t="s">
        <v>41</v>
      </c>
      <c r="AN821" t="s">
        <v>42</v>
      </c>
      <c r="AO821" t="s">
        <v>3711</v>
      </c>
      <c r="AP821" t="s">
        <v>357</v>
      </c>
      <c r="AQ821" t="s">
        <v>357</v>
      </c>
      <c r="AR821" t="s">
        <v>133</v>
      </c>
      <c r="AS821" t="s">
        <v>133</v>
      </c>
    </row>
    <row r="822" spans="1:54" x14ac:dyDescent="0.4">
      <c r="A822" t="s">
        <v>4432</v>
      </c>
      <c r="B822" t="s">
        <v>10</v>
      </c>
      <c r="C822" t="s">
        <v>4196</v>
      </c>
      <c r="D822" t="s">
        <v>11</v>
      </c>
      <c r="E822" s="2">
        <v>0</v>
      </c>
      <c r="F822" t="s">
        <v>12</v>
      </c>
      <c r="G822" s="4" t="s">
        <v>15</v>
      </c>
      <c r="H822" t="s">
        <v>4196</v>
      </c>
      <c r="I822" t="s">
        <v>4433</v>
      </c>
      <c r="J822" t="s">
        <v>4434</v>
      </c>
      <c r="K822" t="s">
        <v>23</v>
      </c>
      <c r="L822" s="2">
        <v>7.0000000000000007E-2</v>
      </c>
      <c r="M822" t="s">
        <v>4435</v>
      </c>
      <c r="N822" t="s">
        <v>636</v>
      </c>
      <c r="O822" t="s">
        <v>4436</v>
      </c>
      <c r="P822" t="s">
        <v>4191</v>
      </c>
      <c r="Q822" t="s">
        <v>3801</v>
      </c>
      <c r="R822" t="s">
        <v>3801</v>
      </c>
      <c r="S822" t="s">
        <v>3801</v>
      </c>
      <c r="T822" t="s">
        <v>3801</v>
      </c>
      <c r="U822" t="s">
        <v>3801</v>
      </c>
      <c r="V822" t="s">
        <v>4332</v>
      </c>
      <c r="W822" t="s">
        <v>4332</v>
      </c>
      <c r="X822" t="s">
        <v>4428</v>
      </c>
      <c r="Y822" t="s">
        <v>4198</v>
      </c>
      <c r="Z822" t="s">
        <v>4437</v>
      </c>
      <c r="AA822" t="s">
        <v>3271</v>
      </c>
      <c r="AB822" s="2">
        <v>-0.2258</v>
      </c>
      <c r="AC822" s="2">
        <v>5</v>
      </c>
      <c r="AD822" s="2">
        <v>-0.6</v>
      </c>
      <c r="AE822" s="2">
        <v>-0.7</v>
      </c>
      <c r="AF822" s="2">
        <v>-0.76</v>
      </c>
      <c r="AG822" s="2">
        <v>-0.76</v>
      </c>
      <c r="AH822" t="s">
        <v>4438</v>
      </c>
      <c r="AI822" t="s">
        <v>232</v>
      </c>
      <c r="AJ822" t="s">
        <v>131</v>
      </c>
      <c r="AK822" t="s">
        <v>40</v>
      </c>
      <c r="AL822">
        <v>1</v>
      </c>
      <c r="AM822" t="s">
        <v>41</v>
      </c>
      <c r="AN822" t="s">
        <v>4439</v>
      </c>
      <c r="AO822" t="s">
        <v>4436</v>
      </c>
      <c r="AP822">
        <v>387.05500000000001</v>
      </c>
      <c r="BA822" t="s">
        <v>360</v>
      </c>
      <c r="BB822" t="s">
        <v>61</v>
      </c>
    </row>
    <row r="823" spans="1:54" x14ac:dyDescent="0.4">
      <c r="A823" t="s">
        <v>115</v>
      </c>
      <c r="B823" t="s">
        <v>10</v>
      </c>
      <c r="C823" s="1">
        <v>95545</v>
      </c>
      <c r="D823" t="s">
        <v>11</v>
      </c>
      <c r="E823" s="2">
        <v>2.0999999999999999E-3</v>
      </c>
      <c r="F823" t="s">
        <v>12</v>
      </c>
      <c r="G823" s="4" t="s">
        <v>1799</v>
      </c>
      <c r="H823" s="1">
        <v>95545</v>
      </c>
      <c r="I823" t="s">
        <v>4207</v>
      </c>
      <c r="J823" t="s">
        <v>4208</v>
      </c>
      <c r="K823" t="s">
        <v>23</v>
      </c>
      <c r="L823" s="2">
        <v>0.08</v>
      </c>
      <c r="M823" t="s">
        <v>4209</v>
      </c>
      <c r="N823" t="s">
        <v>121</v>
      </c>
      <c r="O823" t="s">
        <v>4210</v>
      </c>
      <c r="P823" s="1">
        <v>94345</v>
      </c>
      <c r="Q823" t="s">
        <v>205</v>
      </c>
      <c r="R823" t="s">
        <v>4211</v>
      </c>
      <c r="S823" t="s">
        <v>4212</v>
      </c>
      <c r="T823" s="1">
        <v>84595</v>
      </c>
      <c r="U823" t="s">
        <v>4213</v>
      </c>
      <c r="V823" s="1">
        <v>96195</v>
      </c>
      <c r="W823" t="s">
        <v>4214</v>
      </c>
      <c r="X823" t="s">
        <v>3189</v>
      </c>
      <c r="Y823" t="s">
        <v>3189</v>
      </c>
      <c r="Z823" t="s">
        <v>3189</v>
      </c>
      <c r="AA823" t="s">
        <v>3189</v>
      </c>
      <c r="AB823" s="2">
        <v>5.0000000000000001E-3</v>
      </c>
      <c r="AC823" s="2">
        <v>1.32E-2</v>
      </c>
      <c r="AD823" s="2">
        <v>1.9400000000000001E-2</v>
      </c>
      <c r="AE823" s="2">
        <v>3.5999999999999997E-2</v>
      </c>
      <c r="AF823" s="2">
        <v>4.5900000000000003E-2</v>
      </c>
      <c r="AG823" s="2">
        <v>3.04E-2</v>
      </c>
      <c r="AH823" t="s">
        <v>3222</v>
      </c>
      <c r="AI823" t="s">
        <v>130</v>
      </c>
      <c r="AJ823" t="s">
        <v>131</v>
      </c>
      <c r="AK823" t="s">
        <v>40</v>
      </c>
      <c r="AL823">
        <v>10</v>
      </c>
      <c r="AM823" t="s">
        <v>41</v>
      </c>
      <c r="AN823" t="s">
        <v>42</v>
      </c>
      <c r="AO823" t="s">
        <v>4210</v>
      </c>
      <c r="AP823" t="s">
        <v>4215</v>
      </c>
      <c r="AQ823" t="s">
        <v>4215</v>
      </c>
      <c r="AR823" t="s">
        <v>2148</v>
      </c>
      <c r="AS823" t="s">
        <v>2148</v>
      </c>
    </row>
    <row r="824" spans="1:54" x14ac:dyDescent="0.4">
      <c r="A824" t="s">
        <v>961</v>
      </c>
      <c r="B824" t="s">
        <v>10</v>
      </c>
      <c r="C824" t="s">
        <v>3209</v>
      </c>
      <c r="D824" t="s">
        <v>11</v>
      </c>
      <c r="E824" s="2">
        <v>4.7999999999999996E-3</v>
      </c>
      <c r="F824" t="s">
        <v>12</v>
      </c>
      <c r="G824" s="4" t="s">
        <v>3210</v>
      </c>
      <c r="H824" t="s">
        <v>3209</v>
      </c>
      <c r="I824" t="s">
        <v>3211</v>
      </c>
      <c r="J824" t="s">
        <v>3212</v>
      </c>
      <c r="K824" t="s">
        <v>23</v>
      </c>
      <c r="L824" s="2">
        <v>0.09</v>
      </c>
      <c r="M824" t="s">
        <v>3213</v>
      </c>
      <c r="N824" t="s">
        <v>121</v>
      </c>
      <c r="O824" t="s">
        <v>3214</v>
      </c>
      <c r="P824" t="s">
        <v>3215</v>
      </c>
      <c r="Q824" t="s">
        <v>3215</v>
      </c>
      <c r="R824" t="s">
        <v>1088</v>
      </c>
      <c r="S824" t="s">
        <v>3216</v>
      </c>
      <c r="T824" t="s">
        <v>3217</v>
      </c>
      <c r="U824" t="s">
        <v>3217</v>
      </c>
      <c r="V824" t="s">
        <v>3218</v>
      </c>
      <c r="W824" t="s">
        <v>3219</v>
      </c>
      <c r="X824" t="s">
        <v>3220</v>
      </c>
      <c r="Y824" t="s">
        <v>3220</v>
      </c>
      <c r="Z824" t="s">
        <v>3220</v>
      </c>
      <c r="AA824" t="s">
        <v>3221</v>
      </c>
      <c r="AB824" s="2">
        <v>2.8E-3</v>
      </c>
      <c r="AC824" s="2">
        <v>1.23E-2</v>
      </c>
      <c r="AD824" s="2">
        <v>3.0200000000000001E-2</v>
      </c>
      <c r="AE824" s="2">
        <v>8.4099999999999994E-2</v>
      </c>
      <c r="AF824" s="2">
        <v>2.2599999999999999E-2</v>
      </c>
      <c r="AG824" s="2">
        <v>-3.7699999999999997E-2</v>
      </c>
      <c r="AH824" t="s">
        <v>3222</v>
      </c>
      <c r="AI824" t="s">
        <v>130</v>
      </c>
      <c r="AJ824" t="s">
        <v>131</v>
      </c>
      <c r="AK824" t="s">
        <v>40</v>
      </c>
      <c r="AL824">
        <v>1</v>
      </c>
      <c r="AM824" t="s">
        <v>41</v>
      </c>
      <c r="AN824" t="s">
        <v>42</v>
      </c>
      <c r="AO824" t="s">
        <v>3214</v>
      </c>
      <c r="AP824" t="s">
        <v>3223</v>
      </c>
      <c r="AQ824" t="s">
        <v>3223</v>
      </c>
      <c r="AR824" t="s">
        <v>2148</v>
      </c>
      <c r="AS824" t="s">
        <v>2148</v>
      </c>
    </row>
    <row r="825" spans="1:54" x14ac:dyDescent="0.4">
      <c r="A825" t="s">
        <v>4453</v>
      </c>
      <c r="B825" t="s">
        <v>10</v>
      </c>
      <c r="C825" t="s">
        <v>6241</v>
      </c>
      <c r="D825" t="s">
        <v>11</v>
      </c>
      <c r="E825" s="2">
        <v>-2.9999999999999997E-4</v>
      </c>
      <c r="F825" t="s">
        <v>310</v>
      </c>
      <c r="G825" s="4">
        <f>-0.02 / -0.03%</f>
        <v>66.666666666666671</v>
      </c>
      <c r="H825" t="s">
        <v>6241</v>
      </c>
      <c r="I825" t="s">
        <v>6242</v>
      </c>
      <c r="J825" t="s">
        <v>6243</v>
      </c>
      <c r="K825" t="s">
        <v>23</v>
      </c>
      <c r="L825" s="2">
        <v>3.95E-2</v>
      </c>
      <c r="M825" t="s">
        <v>6244</v>
      </c>
      <c r="N825" t="s">
        <v>121</v>
      </c>
      <c r="O825" t="s">
        <v>6245</v>
      </c>
      <c r="P825" t="s">
        <v>6246</v>
      </c>
      <c r="Q825" t="s">
        <v>6247</v>
      </c>
      <c r="R825" t="s">
        <v>6247</v>
      </c>
      <c r="S825" t="s">
        <v>6247</v>
      </c>
      <c r="T825" t="s">
        <v>6248</v>
      </c>
      <c r="U825" t="s">
        <v>6248</v>
      </c>
      <c r="V825" t="s">
        <v>4539</v>
      </c>
      <c r="W825" t="s">
        <v>6249</v>
      </c>
      <c r="X825" t="s">
        <v>6250</v>
      </c>
      <c r="Y825" t="s">
        <v>6250</v>
      </c>
      <c r="Z825" t="s">
        <v>6250</v>
      </c>
      <c r="AA825" t="s">
        <v>6251</v>
      </c>
      <c r="AB825" s="2">
        <v>-9.1000000000000004E-3</v>
      </c>
      <c r="AC825" s="2">
        <v>-2.6599999999999999E-2</v>
      </c>
      <c r="AD825" s="2">
        <v>1.37E-2</v>
      </c>
      <c r="AE825" s="2">
        <v>5.7999999999999996E-3</v>
      </c>
      <c r="AF825" s="2">
        <v>-2.1899999999999999E-2</v>
      </c>
      <c r="AG825" s="2">
        <v>-0.26919999999999999</v>
      </c>
      <c r="AH825" t="s">
        <v>6252</v>
      </c>
      <c r="AI825" t="s">
        <v>130</v>
      </c>
      <c r="AJ825" t="s">
        <v>131</v>
      </c>
      <c r="AK825" t="s">
        <v>40</v>
      </c>
      <c r="AL825">
        <v>2</v>
      </c>
      <c r="AM825" t="s">
        <v>41</v>
      </c>
      <c r="AN825" t="s">
        <v>42</v>
      </c>
      <c r="AO825" t="s">
        <v>6245</v>
      </c>
      <c r="AP825" t="s">
        <v>5189</v>
      </c>
      <c r="AQ825" t="s">
        <v>5189</v>
      </c>
      <c r="AR825" t="s">
        <v>133</v>
      </c>
      <c r="AS825" t="s">
        <v>133</v>
      </c>
    </row>
    <row r="826" spans="1:54" x14ac:dyDescent="0.4">
      <c r="A826" t="s">
        <v>961</v>
      </c>
      <c r="B826" t="s">
        <v>10</v>
      </c>
      <c r="C826" t="s">
        <v>939</v>
      </c>
      <c r="D826" t="s">
        <v>11</v>
      </c>
      <c r="E826" s="2">
        <v>5.5999999999999999E-3</v>
      </c>
      <c r="F826" t="s">
        <v>12</v>
      </c>
      <c r="G826" s="4" t="s">
        <v>2491</v>
      </c>
      <c r="H826" t="s">
        <v>939</v>
      </c>
      <c r="I826" t="s">
        <v>2492</v>
      </c>
      <c r="J826" t="s">
        <v>2493</v>
      </c>
      <c r="K826" t="s">
        <v>23</v>
      </c>
      <c r="L826" s="2">
        <v>0.08</v>
      </c>
      <c r="M826" t="s">
        <v>2494</v>
      </c>
      <c r="N826" t="s">
        <v>28</v>
      </c>
      <c r="O826" t="s">
        <v>2495</v>
      </c>
      <c r="P826" t="s">
        <v>2496</v>
      </c>
      <c r="Q826" t="s">
        <v>2496</v>
      </c>
      <c r="R826" t="s">
        <v>962</v>
      </c>
      <c r="S826" t="s">
        <v>1310</v>
      </c>
      <c r="T826" t="s">
        <v>2497</v>
      </c>
      <c r="U826" t="s">
        <v>2497</v>
      </c>
      <c r="V826" t="s">
        <v>1121</v>
      </c>
      <c r="W826" t="s">
        <v>1121</v>
      </c>
      <c r="X826" t="s">
        <v>1121</v>
      </c>
      <c r="Y826" t="s">
        <v>1121</v>
      </c>
      <c r="Z826" t="s">
        <v>2337</v>
      </c>
      <c r="AA826" t="s">
        <v>1765</v>
      </c>
      <c r="AB826" s="2">
        <v>1.4500000000000001E-2</v>
      </c>
      <c r="AC826" s="2">
        <v>1.12E-2</v>
      </c>
      <c r="AD826" s="2">
        <v>5.2600000000000001E-2</v>
      </c>
      <c r="AE826" s="2">
        <v>3.5900000000000001E-2</v>
      </c>
      <c r="AF826" s="2">
        <v>-0.1045</v>
      </c>
      <c r="AG826" s="2">
        <v>-0.1108</v>
      </c>
      <c r="AH826" t="s">
        <v>2498</v>
      </c>
      <c r="AI826" t="s">
        <v>232</v>
      </c>
      <c r="AJ826" t="s">
        <v>131</v>
      </c>
      <c r="AK826" t="s">
        <v>40</v>
      </c>
      <c r="AL826">
        <v>700</v>
      </c>
      <c r="AM826" t="s">
        <v>41</v>
      </c>
      <c r="AN826" t="s">
        <v>42</v>
      </c>
      <c r="AO826" t="s">
        <v>2495</v>
      </c>
      <c r="AP826" t="s">
        <v>1486</v>
      </c>
      <c r="AQ826">
        <v>700</v>
      </c>
      <c r="BA826" t="s">
        <v>136</v>
      </c>
      <c r="BB826" t="s">
        <v>61</v>
      </c>
    </row>
    <row r="827" spans="1:54" x14ac:dyDescent="0.4">
      <c r="A827" t="s">
        <v>961</v>
      </c>
      <c r="B827" t="s">
        <v>10</v>
      </c>
      <c r="C827" t="s">
        <v>1912</v>
      </c>
      <c r="D827" t="s">
        <v>11</v>
      </c>
      <c r="E827" s="2">
        <v>0</v>
      </c>
      <c r="F827" t="s">
        <v>12</v>
      </c>
      <c r="G827" s="4" t="s">
        <v>15</v>
      </c>
      <c r="H827" t="s">
        <v>1912</v>
      </c>
      <c r="I827" t="s">
        <v>2767</v>
      </c>
      <c r="J827" t="s">
        <v>2768</v>
      </c>
      <c r="K827" t="s">
        <v>23</v>
      </c>
      <c r="L827" s="2">
        <v>0.08</v>
      </c>
      <c r="M827" t="s">
        <v>2769</v>
      </c>
      <c r="N827" t="s">
        <v>28</v>
      </c>
      <c r="O827" t="s">
        <v>2770</v>
      </c>
      <c r="P827" t="s">
        <v>687</v>
      </c>
      <c r="Q827" t="s">
        <v>687</v>
      </c>
      <c r="R827" t="s">
        <v>687</v>
      </c>
      <c r="S827" t="s">
        <v>2771</v>
      </c>
      <c r="T827" t="s">
        <v>2772</v>
      </c>
      <c r="U827" t="s">
        <v>2772</v>
      </c>
      <c r="V827" t="s">
        <v>639</v>
      </c>
      <c r="W827" t="s">
        <v>639</v>
      </c>
      <c r="X827" t="s">
        <v>1121</v>
      </c>
      <c r="Y827" t="s">
        <v>1121</v>
      </c>
      <c r="Z827" t="s">
        <v>1538</v>
      </c>
      <c r="AA827" t="s">
        <v>1538</v>
      </c>
      <c r="AB827" s="2">
        <v>8.2400000000000001E-2</v>
      </c>
      <c r="AC827" s="2">
        <v>-1.0800000000000001E-2</v>
      </c>
      <c r="AD827" s="2">
        <v>2.7900000000000001E-2</v>
      </c>
      <c r="AE827" s="2">
        <v>8.2400000000000001E-2</v>
      </c>
      <c r="AF827" s="2">
        <v>-0.08</v>
      </c>
      <c r="AG827" s="2">
        <v>-0.08</v>
      </c>
      <c r="AH827" t="s">
        <v>2498</v>
      </c>
      <c r="AI827" t="s">
        <v>232</v>
      </c>
      <c r="AJ827" t="s">
        <v>131</v>
      </c>
      <c r="AK827" t="s">
        <v>40</v>
      </c>
      <c r="AL827">
        <v>1</v>
      </c>
      <c r="AM827" t="s">
        <v>41</v>
      </c>
      <c r="AN827" t="s">
        <v>42</v>
      </c>
      <c r="AO827" t="s">
        <v>2770</v>
      </c>
      <c r="AP827" t="s">
        <v>2055</v>
      </c>
      <c r="AQ827" t="s">
        <v>2055</v>
      </c>
      <c r="AR827" t="s">
        <v>48</v>
      </c>
      <c r="AS827" t="s">
        <v>48</v>
      </c>
    </row>
    <row r="828" spans="1:54" x14ac:dyDescent="0.4">
      <c r="A828" t="s">
        <v>76</v>
      </c>
      <c r="B828" t="s">
        <v>10</v>
      </c>
      <c r="C828" t="s">
        <v>1769</v>
      </c>
      <c r="D828" t="s">
        <v>11</v>
      </c>
      <c r="E828" s="2">
        <v>-2.9999999999999997E-4</v>
      </c>
      <c r="F828" t="s">
        <v>12</v>
      </c>
      <c r="G828" s="4">
        <f>-0.025 / -0.03%</f>
        <v>83.333333333333343</v>
      </c>
      <c r="H828" t="s">
        <v>1769</v>
      </c>
      <c r="I828" t="s">
        <v>1770</v>
      </c>
      <c r="J828" t="s">
        <v>1771</v>
      </c>
      <c r="K828" t="s">
        <v>23</v>
      </c>
      <c r="M828" t="s">
        <v>1772</v>
      </c>
      <c r="N828" t="s">
        <v>28</v>
      </c>
      <c r="O828" t="s">
        <v>1773</v>
      </c>
      <c r="P828" t="s">
        <v>1651</v>
      </c>
      <c r="Q828" t="s">
        <v>1774</v>
      </c>
      <c r="R828" t="s">
        <v>1775</v>
      </c>
      <c r="S828" t="s">
        <v>1776</v>
      </c>
      <c r="T828" s="1">
        <v>87505</v>
      </c>
      <c r="U828" s="1">
        <v>87505</v>
      </c>
      <c r="V828" t="s">
        <v>1777</v>
      </c>
      <c r="W828" t="s">
        <v>1778</v>
      </c>
      <c r="X828" t="s">
        <v>1778</v>
      </c>
      <c r="Y828" t="s">
        <v>1778</v>
      </c>
      <c r="Z828" t="s">
        <v>1778</v>
      </c>
      <c r="AA828" s="1">
        <v>99765</v>
      </c>
      <c r="AB828" s="2">
        <v>-2E-3</v>
      </c>
      <c r="AC828" s="2">
        <v>2.7000000000000001E-3</v>
      </c>
      <c r="AD828" s="2">
        <v>2.41E-2</v>
      </c>
      <c r="AE828" s="2">
        <v>3.61E-2</v>
      </c>
      <c r="AF828" s="2">
        <v>6.1499999999999999E-2</v>
      </c>
      <c r="AG828" s="2">
        <v>-4.5199999999999997E-2</v>
      </c>
      <c r="AH828" t="s">
        <v>920</v>
      </c>
      <c r="AI828" t="s">
        <v>130</v>
      </c>
      <c r="AJ828" t="s">
        <v>131</v>
      </c>
      <c r="AK828" t="s">
        <v>40</v>
      </c>
      <c r="AL828">
        <v>1</v>
      </c>
      <c r="AM828" t="s">
        <v>41</v>
      </c>
      <c r="AN828" t="s">
        <v>42</v>
      </c>
      <c r="AO828" t="s">
        <v>1773</v>
      </c>
      <c r="AP828" t="s">
        <v>1779</v>
      </c>
      <c r="AQ828" t="s">
        <v>1779</v>
      </c>
      <c r="AR828" t="s">
        <v>48</v>
      </c>
      <c r="AS828" t="s">
        <v>48</v>
      </c>
      <c r="AT828" t="s">
        <v>1780</v>
      </c>
    </row>
    <row r="829" spans="1:54" x14ac:dyDescent="0.4">
      <c r="A829" t="s">
        <v>906</v>
      </c>
      <c r="B829" t="s">
        <v>10</v>
      </c>
      <c r="C829" t="s">
        <v>907</v>
      </c>
      <c r="D829" t="s">
        <v>11</v>
      </c>
      <c r="E829" s="2">
        <v>2.8E-3</v>
      </c>
      <c r="F829" t="s">
        <v>310</v>
      </c>
      <c r="G829" s="4" t="s">
        <v>908</v>
      </c>
      <c r="H829" t="s">
        <v>907</v>
      </c>
      <c r="I829" t="s">
        <v>909</v>
      </c>
      <c r="J829" t="s">
        <v>910</v>
      </c>
      <c r="K829" t="s">
        <v>23</v>
      </c>
      <c r="M829" t="s">
        <v>911</v>
      </c>
      <c r="N829" t="s">
        <v>28</v>
      </c>
      <c r="O829" t="s">
        <v>912</v>
      </c>
      <c r="P829" t="s">
        <v>913</v>
      </c>
      <c r="Q829" t="s">
        <v>914</v>
      </c>
      <c r="R829" t="s">
        <v>915</v>
      </c>
      <c r="S829" t="s">
        <v>916</v>
      </c>
      <c r="T829" t="s">
        <v>917</v>
      </c>
      <c r="U829" t="s">
        <v>917</v>
      </c>
      <c r="V829" t="s">
        <v>918</v>
      </c>
      <c r="W829" t="s">
        <v>918</v>
      </c>
      <c r="X829" t="s">
        <v>918</v>
      </c>
      <c r="Y829" t="s">
        <v>918</v>
      </c>
      <c r="Z829" t="s">
        <v>918</v>
      </c>
      <c r="AA829" t="s">
        <v>919</v>
      </c>
      <c r="AB829" s="2">
        <v>5.4999999999999997E-3</v>
      </c>
      <c r="AC829" s="2">
        <v>1.06E-2</v>
      </c>
      <c r="AD829" s="2">
        <v>2.6599999999999999E-2</v>
      </c>
      <c r="AE829" s="2">
        <v>3.9E-2</v>
      </c>
      <c r="AF829" s="2">
        <v>6.13E-2</v>
      </c>
      <c r="AG829" s="2">
        <v>-2.6200000000000001E-2</v>
      </c>
      <c r="AH829" t="s">
        <v>920</v>
      </c>
      <c r="AI829" t="s">
        <v>130</v>
      </c>
      <c r="AJ829" t="s">
        <v>131</v>
      </c>
      <c r="AK829" t="s">
        <v>40</v>
      </c>
      <c r="AL829">
        <v>1</v>
      </c>
      <c r="AM829" t="s">
        <v>41</v>
      </c>
      <c r="AN829" t="s">
        <v>42</v>
      </c>
      <c r="AO829" t="s">
        <v>912</v>
      </c>
      <c r="AP829" t="s">
        <v>921</v>
      </c>
      <c r="AQ829" t="s">
        <v>921</v>
      </c>
      <c r="AR829" t="s">
        <v>48</v>
      </c>
      <c r="AS829" t="s">
        <v>48</v>
      </c>
      <c r="AT829" t="s">
        <v>922</v>
      </c>
    </row>
    <row r="830" spans="1:54" x14ac:dyDescent="0.4">
      <c r="A830" t="s">
        <v>1695</v>
      </c>
      <c r="B830" t="s">
        <v>10</v>
      </c>
      <c r="C830" s="1">
        <v>103235</v>
      </c>
      <c r="D830" t="s">
        <v>11</v>
      </c>
      <c r="E830" s="2">
        <v>-1.1999999999999999E-3</v>
      </c>
      <c r="F830" t="s">
        <v>12</v>
      </c>
      <c r="G830" s="4">
        <f>-0.12 / -0.12%</f>
        <v>100</v>
      </c>
      <c r="H830" s="1">
        <v>103235</v>
      </c>
      <c r="I830" t="s">
        <v>1696</v>
      </c>
      <c r="J830" t="s">
        <v>1697</v>
      </c>
      <c r="K830" t="s">
        <v>23</v>
      </c>
      <c r="L830" s="2">
        <v>3.5000000000000003E-2</v>
      </c>
      <c r="M830" t="s">
        <v>1698</v>
      </c>
      <c r="N830" t="s">
        <v>28</v>
      </c>
      <c r="O830" t="s">
        <v>1699</v>
      </c>
      <c r="P830" t="s">
        <v>1700</v>
      </c>
      <c r="Q830" t="s">
        <v>1700</v>
      </c>
      <c r="R830" s="1">
        <v>102725</v>
      </c>
      <c r="S830" s="1">
        <v>101415</v>
      </c>
      <c r="T830" s="1">
        <v>100305</v>
      </c>
      <c r="U830" s="1">
        <v>100305</v>
      </c>
      <c r="V830" t="s">
        <v>1701</v>
      </c>
      <c r="W830" t="s">
        <v>1702</v>
      </c>
      <c r="X830" t="s">
        <v>1702</v>
      </c>
      <c r="Y830" t="s">
        <v>1702</v>
      </c>
      <c r="Z830" t="s">
        <v>1702</v>
      </c>
      <c r="AA830" t="s">
        <v>1702</v>
      </c>
      <c r="AB830" s="2">
        <v>-8.2000000000000007E-3</v>
      </c>
      <c r="AC830" s="2">
        <v>-1.1599999999999999E-2</v>
      </c>
      <c r="AD830" s="2">
        <v>4.4999999999999997E-3</v>
      </c>
      <c r="AE830" s="2">
        <v>2.7000000000000001E-3</v>
      </c>
      <c r="AF830" s="2">
        <v>2.2100000000000002E-2</v>
      </c>
      <c r="AG830" s="2">
        <v>2.2100000000000002E-2</v>
      </c>
      <c r="AH830" t="s">
        <v>920</v>
      </c>
      <c r="AI830" t="s">
        <v>130</v>
      </c>
      <c r="AJ830" t="s">
        <v>131</v>
      </c>
      <c r="AK830" t="s">
        <v>40</v>
      </c>
      <c r="AL830">
        <v>1</v>
      </c>
      <c r="AM830" t="s">
        <v>41</v>
      </c>
      <c r="AN830" t="s">
        <v>42</v>
      </c>
      <c r="AO830" t="s">
        <v>1699</v>
      </c>
      <c r="AP830" t="s">
        <v>1703</v>
      </c>
      <c r="AQ830" t="s">
        <v>1703</v>
      </c>
      <c r="AR830" t="s">
        <v>48</v>
      </c>
      <c r="AS830" t="s">
        <v>48</v>
      </c>
    </row>
    <row r="831" spans="1:54" x14ac:dyDescent="0.4">
      <c r="A831" t="s">
        <v>961</v>
      </c>
      <c r="B831" t="s">
        <v>10</v>
      </c>
      <c r="C831" t="s">
        <v>3003</v>
      </c>
      <c r="D831" t="s">
        <v>11</v>
      </c>
      <c r="E831" s="2">
        <v>-2E-3</v>
      </c>
      <c r="F831" t="s">
        <v>12</v>
      </c>
      <c r="G831" s="4">
        <f>-0.2 / -0.2%</f>
        <v>100</v>
      </c>
      <c r="H831" t="s">
        <v>3003</v>
      </c>
      <c r="I831" t="s">
        <v>4069</v>
      </c>
      <c r="J831" t="s">
        <v>4070</v>
      </c>
      <c r="K831" t="s">
        <v>23</v>
      </c>
      <c r="L831" s="2">
        <v>3.15E-2</v>
      </c>
      <c r="M831" t="s">
        <v>2252</v>
      </c>
      <c r="N831" t="s">
        <v>28</v>
      </c>
      <c r="O831" t="s">
        <v>4071</v>
      </c>
      <c r="P831" t="s">
        <v>998</v>
      </c>
      <c r="Q831" t="s">
        <v>998</v>
      </c>
      <c r="R831" t="s">
        <v>998</v>
      </c>
      <c r="S831" t="s">
        <v>461</v>
      </c>
      <c r="T831" t="s">
        <v>4072</v>
      </c>
      <c r="U831" t="s">
        <v>4072</v>
      </c>
      <c r="V831" t="s">
        <v>169</v>
      </c>
      <c r="W831" t="s">
        <v>4073</v>
      </c>
      <c r="X831" t="s">
        <v>4073</v>
      </c>
      <c r="Y831" t="s">
        <v>4073</v>
      </c>
      <c r="Z831" t="s">
        <v>4073</v>
      </c>
      <c r="AA831" t="s">
        <v>4073</v>
      </c>
      <c r="AB831" s="2">
        <v>-1.29E-2</v>
      </c>
      <c r="AC831" s="2">
        <v>-1.9800000000000002E-2</v>
      </c>
      <c r="AD831" s="2">
        <v>4.7999999999999996E-3</v>
      </c>
      <c r="AE831" s="2">
        <v>1.1299999999999999E-2</v>
      </c>
      <c r="AF831" s="2">
        <v>2.63E-2</v>
      </c>
      <c r="AG831" s="2">
        <v>2.63E-2</v>
      </c>
      <c r="AH831" t="s">
        <v>920</v>
      </c>
      <c r="AI831" t="s">
        <v>130</v>
      </c>
      <c r="AJ831" t="s">
        <v>131</v>
      </c>
      <c r="AK831" t="s">
        <v>40</v>
      </c>
      <c r="AL831">
        <v>1</v>
      </c>
      <c r="AM831" t="s">
        <v>41</v>
      </c>
      <c r="AN831" t="s">
        <v>42</v>
      </c>
      <c r="AO831" t="s">
        <v>4071</v>
      </c>
      <c r="AP831" t="s">
        <v>4074</v>
      </c>
      <c r="AQ831" t="s">
        <v>4074</v>
      </c>
      <c r="AR831" t="s">
        <v>48</v>
      </c>
      <c r="AS831" t="s">
        <v>48</v>
      </c>
    </row>
    <row r="832" spans="1:54" x14ac:dyDescent="0.4">
      <c r="A832" t="s">
        <v>2351</v>
      </c>
      <c r="B832" t="s">
        <v>10</v>
      </c>
      <c r="C832" t="s">
        <v>2352</v>
      </c>
      <c r="D832" t="s">
        <v>11</v>
      </c>
      <c r="E832" s="2">
        <v>6.9999999999999999E-4</v>
      </c>
      <c r="F832" t="s">
        <v>12</v>
      </c>
      <c r="G832" s="4" t="s">
        <v>2353</v>
      </c>
      <c r="H832" t="s">
        <v>2352</v>
      </c>
      <c r="I832" t="s">
        <v>2354</v>
      </c>
      <c r="J832" t="s">
        <v>2355</v>
      </c>
      <c r="K832" t="s">
        <v>23</v>
      </c>
      <c r="L832" s="2">
        <v>2.9000000000000001E-2</v>
      </c>
      <c r="M832" t="s">
        <v>2267</v>
      </c>
      <c r="N832" t="s">
        <v>28</v>
      </c>
      <c r="O832" t="s">
        <v>2356</v>
      </c>
      <c r="P832" t="s">
        <v>2357</v>
      </c>
      <c r="Q832" t="s">
        <v>2357</v>
      </c>
      <c r="R832" t="s">
        <v>2357</v>
      </c>
      <c r="S832" t="s">
        <v>2358</v>
      </c>
      <c r="T832" t="s">
        <v>2359</v>
      </c>
      <c r="U832" t="s">
        <v>2359</v>
      </c>
      <c r="V832" t="s">
        <v>2360</v>
      </c>
      <c r="W832" t="s">
        <v>842</v>
      </c>
      <c r="X832" t="s">
        <v>842</v>
      </c>
      <c r="Y832" t="s">
        <v>842</v>
      </c>
      <c r="Z832" t="s">
        <v>842</v>
      </c>
      <c r="AA832" t="s">
        <v>2361</v>
      </c>
      <c r="AB832" s="2">
        <v>-2.9399999999999999E-2</v>
      </c>
      <c r="AC832" s="2">
        <v>-2.3199999999999998E-2</v>
      </c>
      <c r="AD832" s="2">
        <v>1.3299999999999999E-2</v>
      </c>
      <c r="AE832" s="2">
        <v>2.2200000000000001E-2</v>
      </c>
      <c r="AF832" s="2">
        <v>-3.0800000000000001E-2</v>
      </c>
      <c r="AG832" s="2">
        <v>-0.34039999999999998</v>
      </c>
      <c r="AH832" t="s">
        <v>920</v>
      </c>
      <c r="AI832" t="s">
        <v>130</v>
      </c>
      <c r="AJ832" t="s">
        <v>131</v>
      </c>
      <c r="AK832" t="s">
        <v>40</v>
      </c>
      <c r="AL832">
        <v>1</v>
      </c>
      <c r="AM832" t="s">
        <v>41</v>
      </c>
      <c r="AN832" t="s">
        <v>42</v>
      </c>
      <c r="AO832" t="s">
        <v>2356</v>
      </c>
      <c r="AP832" t="s">
        <v>2362</v>
      </c>
      <c r="AQ832" t="s">
        <v>2362</v>
      </c>
      <c r="AR832" t="s">
        <v>48</v>
      </c>
      <c r="AS832" t="s">
        <v>48</v>
      </c>
    </row>
    <row r="833" spans="1:54" x14ac:dyDescent="0.4">
      <c r="A833" t="s">
        <v>1226</v>
      </c>
      <c r="B833" t="s">
        <v>10</v>
      </c>
      <c r="C833" t="s">
        <v>1227</v>
      </c>
      <c r="D833" t="s">
        <v>11</v>
      </c>
      <c r="E833" s="2">
        <v>-1E-3</v>
      </c>
      <c r="F833" t="s">
        <v>12</v>
      </c>
      <c r="G833" s="4">
        <f>-0.1 / -0.1%</f>
        <v>100</v>
      </c>
      <c r="H833" t="s">
        <v>1227</v>
      </c>
      <c r="I833" t="s">
        <v>1228</v>
      </c>
      <c r="J833" t="s">
        <v>1229</v>
      </c>
      <c r="K833" t="s">
        <v>23</v>
      </c>
      <c r="L833" s="2">
        <v>2.5499999999999998E-2</v>
      </c>
      <c r="M833" t="s">
        <v>1230</v>
      </c>
      <c r="N833" t="s">
        <v>28</v>
      </c>
      <c r="O833" t="s">
        <v>1231</v>
      </c>
      <c r="P833" t="s">
        <v>1232</v>
      </c>
      <c r="Q833" t="s">
        <v>1232</v>
      </c>
      <c r="R833" t="s">
        <v>1232</v>
      </c>
      <c r="S833" t="s">
        <v>1006</v>
      </c>
      <c r="T833" t="s">
        <v>1233</v>
      </c>
      <c r="U833" t="s">
        <v>1233</v>
      </c>
      <c r="V833" t="s">
        <v>886</v>
      </c>
      <c r="W833" t="s">
        <v>96</v>
      </c>
      <c r="X833" t="s">
        <v>96</v>
      </c>
      <c r="Y833" t="s">
        <v>96</v>
      </c>
      <c r="Z833" t="s">
        <v>96</v>
      </c>
      <c r="AA833" t="s">
        <v>1234</v>
      </c>
      <c r="AB833" s="2">
        <v>-1.1599999999999999E-2</v>
      </c>
      <c r="AC833" s="2">
        <v>-1.7399999999999999E-2</v>
      </c>
      <c r="AD833" s="2">
        <v>8.0000000000000002E-3</v>
      </c>
      <c r="AE833" s="2">
        <v>1.5800000000000002E-2</v>
      </c>
      <c r="AF833" s="2">
        <v>1.89E-2</v>
      </c>
      <c r="AG833" s="2">
        <v>-1.6799999999999999E-2</v>
      </c>
      <c r="AH833" t="s">
        <v>920</v>
      </c>
      <c r="AI833" t="s">
        <v>130</v>
      </c>
      <c r="AJ833" t="s">
        <v>131</v>
      </c>
      <c r="AK833" t="s">
        <v>40</v>
      </c>
      <c r="AL833">
        <v>1</v>
      </c>
      <c r="AM833" t="s">
        <v>41</v>
      </c>
      <c r="AN833" t="s">
        <v>42</v>
      </c>
      <c r="AO833" t="s">
        <v>1231</v>
      </c>
      <c r="AP833" t="s">
        <v>1235</v>
      </c>
      <c r="AQ833" t="s">
        <v>1235</v>
      </c>
      <c r="AR833" t="s">
        <v>48</v>
      </c>
      <c r="AS833" t="s">
        <v>48</v>
      </c>
    </row>
    <row r="834" spans="1:54" x14ac:dyDescent="0.4">
      <c r="A834" t="s">
        <v>592</v>
      </c>
      <c r="B834" t="s">
        <v>10</v>
      </c>
      <c r="C834" t="s">
        <v>2264</v>
      </c>
      <c r="D834" t="s">
        <v>11</v>
      </c>
      <c r="E834" s="2">
        <v>-5.0000000000000001E-4</v>
      </c>
      <c r="F834" t="s">
        <v>12</v>
      </c>
      <c r="G834" s="4">
        <f>-0.05 / -0.05%</f>
        <v>100</v>
      </c>
      <c r="H834" t="s">
        <v>2264</v>
      </c>
      <c r="I834" t="s">
        <v>2265</v>
      </c>
      <c r="J834" t="s">
        <v>2266</v>
      </c>
      <c r="K834" t="s">
        <v>23</v>
      </c>
      <c r="L834" s="2">
        <v>1.2999999999999999E-2</v>
      </c>
      <c r="M834" t="s">
        <v>2267</v>
      </c>
      <c r="N834" t="s">
        <v>28</v>
      </c>
      <c r="O834" t="s">
        <v>2268</v>
      </c>
      <c r="P834" t="s">
        <v>2207</v>
      </c>
      <c r="Q834" t="s">
        <v>2269</v>
      </c>
      <c r="R834" t="s">
        <v>2270</v>
      </c>
      <c r="S834" t="s">
        <v>639</v>
      </c>
      <c r="T834" t="s">
        <v>1934</v>
      </c>
      <c r="U834" t="s">
        <v>1934</v>
      </c>
      <c r="V834" t="s">
        <v>1386</v>
      </c>
      <c r="W834" t="s">
        <v>1501</v>
      </c>
      <c r="X834" t="s">
        <v>1501</v>
      </c>
      <c r="Y834" t="s">
        <v>1501</v>
      </c>
      <c r="Z834" t="s">
        <v>1501</v>
      </c>
      <c r="AA834" t="s">
        <v>2271</v>
      </c>
      <c r="AB834" s="2">
        <v>-2.5000000000000001E-3</v>
      </c>
      <c r="AC834" s="2">
        <v>-3.0999999999999999E-3</v>
      </c>
      <c r="AD834" s="2">
        <v>1.5699999999999999E-2</v>
      </c>
      <c r="AE834" s="2">
        <v>2.1700000000000001E-2</v>
      </c>
      <c r="AF834" s="2">
        <v>2.98E-2</v>
      </c>
      <c r="AG834" s="2">
        <v>-7.9699999999999993E-2</v>
      </c>
      <c r="AH834" t="s">
        <v>920</v>
      </c>
      <c r="AI834" t="s">
        <v>130</v>
      </c>
      <c r="AJ834" t="s">
        <v>131</v>
      </c>
      <c r="AK834" t="s">
        <v>40</v>
      </c>
      <c r="AL834">
        <v>1</v>
      </c>
      <c r="AM834" t="s">
        <v>41</v>
      </c>
      <c r="AN834" t="s">
        <v>42</v>
      </c>
      <c r="AO834" t="s">
        <v>2268</v>
      </c>
      <c r="AP834" t="s">
        <v>2272</v>
      </c>
      <c r="AQ834" t="s">
        <v>2272</v>
      </c>
      <c r="AR834" t="s">
        <v>48</v>
      </c>
      <c r="AS834" t="s">
        <v>48</v>
      </c>
    </row>
    <row r="835" spans="1:54" x14ac:dyDescent="0.4">
      <c r="A835" t="s">
        <v>4118</v>
      </c>
      <c r="B835" t="s">
        <v>10</v>
      </c>
      <c r="C835" s="1">
        <v>91805</v>
      </c>
      <c r="D835" t="s">
        <v>11</v>
      </c>
      <c r="E835" s="2">
        <v>-2.3E-3</v>
      </c>
      <c r="F835" t="s">
        <v>12</v>
      </c>
      <c r="G835" s="4">
        <f>-0.215 / -0.23%</f>
        <v>93.478260869565219</v>
      </c>
      <c r="H835" s="1">
        <v>91805</v>
      </c>
      <c r="I835" t="s">
        <v>4119</v>
      </c>
      <c r="J835" t="s">
        <v>4120</v>
      </c>
      <c r="K835" t="s">
        <v>23</v>
      </c>
      <c r="L835" s="2">
        <v>1.2500000000000001E-2</v>
      </c>
      <c r="M835" t="s">
        <v>3599</v>
      </c>
      <c r="N835" t="s">
        <v>28</v>
      </c>
      <c r="O835" t="s">
        <v>385</v>
      </c>
      <c r="P835" s="1">
        <v>91175</v>
      </c>
      <c r="Q835" s="1">
        <v>91175</v>
      </c>
      <c r="R835" s="1">
        <v>90485</v>
      </c>
      <c r="S835" t="s">
        <v>4121</v>
      </c>
      <c r="T835" t="s">
        <v>4122</v>
      </c>
      <c r="U835" t="s">
        <v>4122</v>
      </c>
      <c r="V835" s="1">
        <v>92595</v>
      </c>
      <c r="W835" s="1">
        <v>93715</v>
      </c>
      <c r="X835" s="1">
        <v>93715</v>
      </c>
      <c r="Y835" s="1">
        <v>93715</v>
      </c>
      <c r="Z835" s="1">
        <v>93715</v>
      </c>
      <c r="AA835" t="s">
        <v>4123</v>
      </c>
      <c r="AB835" s="2">
        <v>-9.7000000000000003E-3</v>
      </c>
      <c r="AC835" s="2">
        <v>-7.1000000000000004E-3</v>
      </c>
      <c r="AD835" s="2">
        <v>1.3599999999999999E-2</v>
      </c>
      <c r="AE835" s="2">
        <v>2.7E-2</v>
      </c>
      <c r="AF835" s="2">
        <v>3.8399999999999997E-2</v>
      </c>
      <c r="AG835" s="2">
        <v>-0.1391</v>
      </c>
      <c r="AH835" t="s">
        <v>920</v>
      </c>
      <c r="AI835" t="s">
        <v>130</v>
      </c>
      <c r="AJ835" t="s">
        <v>131</v>
      </c>
      <c r="AK835" t="s">
        <v>40</v>
      </c>
      <c r="AL835">
        <v>1</v>
      </c>
      <c r="AM835" t="s">
        <v>41</v>
      </c>
      <c r="AN835" t="s">
        <v>42</v>
      </c>
      <c r="AO835" t="s">
        <v>385</v>
      </c>
      <c r="AP835" t="s">
        <v>4124</v>
      </c>
      <c r="AQ835" t="s">
        <v>4124</v>
      </c>
      <c r="AR835" t="s">
        <v>48</v>
      </c>
      <c r="AS835" t="s">
        <v>48</v>
      </c>
    </row>
    <row r="836" spans="1:54" x14ac:dyDescent="0.4">
      <c r="A836" t="s">
        <v>3725</v>
      </c>
      <c r="B836" t="s">
        <v>10</v>
      </c>
      <c r="C836" t="s">
        <v>3726</v>
      </c>
      <c r="D836" t="s">
        <v>11</v>
      </c>
      <c r="E836" s="2">
        <v>-2.8E-3</v>
      </c>
      <c r="F836" t="s">
        <v>12</v>
      </c>
      <c r="G836" s="4">
        <f>-0.21 / -0.28%</f>
        <v>74.999999999999986</v>
      </c>
      <c r="H836" t="s">
        <v>3726</v>
      </c>
      <c r="I836" t="s">
        <v>3727</v>
      </c>
      <c r="J836" t="s">
        <v>3728</v>
      </c>
      <c r="K836" t="s">
        <v>23</v>
      </c>
      <c r="L836" s="2">
        <v>8.5000000000000006E-3</v>
      </c>
      <c r="M836" t="s">
        <v>3729</v>
      </c>
      <c r="N836" t="s">
        <v>28</v>
      </c>
      <c r="O836" t="s">
        <v>3367</v>
      </c>
      <c r="P836" t="s">
        <v>3730</v>
      </c>
      <c r="Q836" t="s">
        <v>3730</v>
      </c>
      <c r="R836" t="s">
        <v>3731</v>
      </c>
      <c r="S836" t="s">
        <v>3732</v>
      </c>
      <c r="T836" t="s">
        <v>3733</v>
      </c>
      <c r="U836" t="s">
        <v>3733</v>
      </c>
      <c r="V836" t="s">
        <v>3734</v>
      </c>
      <c r="W836" t="s">
        <v>2053</v>
      </c>
      <c r="X836" t="s">
        <v>2053</v>
      </c>
      <c r="Y836" t="s">
        <v>2053</v>
      </c>
      <c r="Z836" t="s">
        <v>2053</v>
      </c>
      <c r="AA836" t="s">
        <v>935</v>
      </c>
      <c r="AB836" s="2">
        <v>-1.77E-2</v>
      </c>
      <c r="AC836" s="2">
        <v>-7.3000000000000001E-3</v>
      </c>
      <c r="AD836" s="2">
        <v>1.9E-2</v>
      </c>
      <c r="AE836" s="2">
        <v>4.58E-2</v>
      </c>
      <c r="AF836" s="2">
        <v>6.0199999999999997E-2</v>
      </c>
      <c r="AG836" s="2">
        <v>-0.2339</v>
      </c>
      <c r="AH836" t="s">
        <v>920</v>
      </c>
      <c r="AI836" t="s">
        <v>130</v>
      </c>
      <c r="AJ836" t="s">
        <v>131</v>
      </c>
      <c r="AK836" t="s">
        <v>40</v>
      </c>
      <c r="AL836">
        <v>1</v>
      </c>
      <c r="AM836" t="s">
        <v>41</v>
      </c>
      <c r="AN836" t="s">
        <v>42</v>
      </c>
      <c r="AO836" t="s">
        <v>3367</v>
      </c>
      <c r="AP836" t="s">
        <v>3735</v>
      </c>
      <c r="AQ836" t="s">
        <v>3735</v>
      </c>
      <c r="AR836" t="s">
        <v>48</v>
      </c>
      <c r="AS836" t="s">
        <v>48</v>
      </c>
    </row>
    <row r="837" spans="1:54" x14ac:dyDescent="0.4">
      <c r="A837" t="s">
        <v>1992</v>
      </c>
      <c r="B837" t="s">
        <v>10</v>
      </c>
      <c r="C837" t="s">
        <v>186</v>
      </c>
      <c r="D837" t="s">
        <v>11</v>
      </c>
      <c r="E837" s="2">
        <v>-5.9999999999999995E-4</v>
      </c>
      <c r="F837" t="s">
        <v>12</v>
      </c>
      <c r="G837" s="4">
        <f>-0.05 / -0.06%</f>
        <v>83.333333333333343</v>
      </c>
      <c r="H837" t="s">
        <v>186</v>
      </c>
      <c r="I837" t="s">
        <v>1993</v>
      </c>
      <c r="J837" t="s">
        <v>1994</v>
      </c>
      <c r="K837" t="s">
        <v>23</v>
      </c>
      <c r="L837" s="2">
        <v>6.0000000000000001E-3</v>
      </c>
      <c r="M837" t="s">
        <v>1995</v>
      </c>
      <c r="N837" t="s">
        <v>28</v>
      </c>
      <c r="O837" t="s">
        <v>934</v>
      </c>
      <c r="P837" t="s">
        <v>1423</v>
      </c>
      <c r="Q837" t="s">
        <v>1423</v>
      </c>
      <c r="R837" t="s">
        <v>1996</v>
      </c>
      <c r="S837" t="s">
        <v>1997</v>
      </c>
      <c r="T837" t="s">
        <v>1998</v>
      </c>
      <c r="U837" t="s">
        <v>1998</v>
      </c>
      <c r="V837" t="s">
        <v>1999</v>
      </c>
      <c r="W837" t="s">
        <v>2000</v>
      </c>
      <c r="X837" t="s">
        <v>2000</v>
      </c>
      <c r="Y837" t="s">
        <v>2000</v>
      </c>
      <c r="Z837" t="s">
        <v>2000</v>
      </c>
      <c r="AA837" t="s">
        <v>2001</v>
      </c>
      <c r="AB837" s="2">
        <v>-7.1000000000000004E-3</v>
      </c>
      <c r="AC837" s="2">
        <v>-9.4000000000000004E-3</v>
      </c>
      <c r="AD837" s="2">
        <v>2.01E-2</v>
      </c>
      <c r="AE837" s="2">
        <v>2.9899999999999999E-2</v>
      </c>
      <c r="AF837" s="2">
        <v>4.7199999999999999E-2</v>
      </c>
      <c r="AG837" s="2">
        <v>-0.1128</v>
      </c>
      <c r="AH837" t="s">
        <v>920</v>
      </c>
      <c r="AI837" t="s">
        <v>130</v>
      </c>
      <c r="AJ837" t="s">
        <v>131</v>
      </c>
      <c r="AK837" t="s">
        <v>40</v>
      </c>
      <c r="AL837">
        <v>1</v>
      </c>
      <c r="AM837" t="s">
        <v>41</v>
      </c>
      <c r="AN837" t="s">
        <v>42</v>
      </c>
      <c r="AO837" t="s">
        <v>934</v>
      </c>
      <c r="AP837" t="s">
        <v>2002</v>
      </c>
      <c r="AQ837" t="s">
        <v>2002</v>
      </c>
      <c r="AR837" t="s">
        <v>48</v>
      </c>
      <c r="AS837" t="s">
        <v>48</v>
      </c>
    </row>
    <row r="838" spans="1:54" x14ac:dyDescent="0.4">
      <c r="A838" t="s">
        <v>76</v>
      </c>
      <c r="B838" t="s">
        <v>10</v>
      </c>
      <c r="C838" s="1">
        <v>89085</v>
      </c>
      <c r="D838" t="s">
        <v>11</v>
      </c>
      <c r="E838" s="2">
        <v>-5.9999999999999995E-4</v>
      </c>
      <c r="F838" t="s">
        <v>12</v>
      </c>
      <c r="G838" s="4">
        <f>-0.055 / -0.06%</f>
        <v>91.666666666666671</v>
      </c>
      <c r="H838" s="1">
        <v>89085</v>
      </c>
      <c r="I838" t="s">
        <v>3775</v>
      </c>
      <c r="J838" t="s">
        <v>3776</v>
      </c>
      <c r="K838" t="s">
        <v>23</v>
      </c>
      <c r="L838" s="2">
        <v>5.0000000000000001E-3</v>
      </c>
      <c r="M838" t="s">
        <v>385</v>
      </c>
      <c r="N838" t="s">
        <v>28</v>
      </c>
      <c r="O838" t="s">
        <v>2654</v>
      </c>
      <c r="P838" t="s">
        <v>3777</v>
      </c>
      <c r="Q838" t="s">
        <v>3777</v>
      </c>
      <c r="R838" t="s">
        <v>3778</v>
      </c>
      <c r="S838" s="1">
        <v>85665</v>
      </c>
      <c r="T838" t="s">
        <v>967</v>
      </c>
      <c r="U838" t="s">
        <v>967</v>
      </c>
      <c r="V838" t="s">
        <v>3779</v>
      </c>
      <c r="W838" t="s">
        <v>3780</v>
      </c>
      <c r="X838" t="s">
        <v>3780</v>
      </c>
      <c r="Y838" t="s">
        <v>3780</v>
      </c>
      <c r="Z838" t="s">
        <v>3780</v>
      </c>
      <c r="AA838" t="s">
        <v>3781</v>
      </c>
      <c r="AB838" s="2">
        <v>-8.8000000000000005E-3</v>
      </c>
      <c r="AC838" s="2">
        <v>-8.0999999999999996E-3</v>
      </c>
      <c r="AD838" s="2">
        <v>1.83E-2</v>
      </c>
      <c r="AE838" s="2">
        <v>3.2899999999999999E-2</v>
      </c>
      <c r="AF838" s="2">
        <v>5.16E-2</v>
      </c>
      <c r="AG838" s="2">
        <v>-0.1157</v>
      </c>
      <c r="AH838" t="s">
        <v>920</v>
      </c>
      <c r="AI838" t="s">
        <v>130</v>
      </c>
      <c r="AJ838" t="s">
        <v>131</v>
      </c>
      <c r="AK838" t="s">
        <v>40</v>
      </c>
      <c r="AL838">
        <v>1</v>
      </c>
      <c r="AM838" t="s">
        <v>41</v>
      </c>
      <c r="AN838" t="s">
        <v>42</v>
      </c>
      <c r="AO838" t="s">
        <v>2654</v>
      </c>
      <c r="AP838" t="s">
        <v>3782</v>
      </c>
      <c r="AQ838" t="s">
        <v>3782</v>
      </c>
      <c r="AR838" t="s">
        <v>48</v>
      </c>
      <c r="AS838" t="s">
        <v>48</v>
      </c>
    </row>
    <row r="839" spans="1:54" x14ac:dyDescent="0.4">
      <c r="A839" t="s">
        <v>592</v>
      </c>
      <c r="B839" t="s">
        <v>10</v>
      </c>
      <c r="C839" t="s">
        <v>1495</v>
      </c>
      <c r="D839" t="s">
        <v>11</v>
      </c>
      <c r="E839" s="2">
        <v>6.9999999999999999E-4</v>
      </c>
      <c r="F839" t="s">
        <v>12</v>
      </c>
      <c r="G839" s="4" t="s">
        <v>892</v>
      </c>
      <c r="H839" t="s">
        <v>1495</v>
      </c>
      <c r="I839" t="s">
        <v>2375</v>
      </c>
      <c r="J839" t="s">
        <v>2376</v>
      </c>
      <c r="K839" t="s">
        <v>23</v>
      </c>
      <c r="L839" s="2">
        <v>5.2499999999999998E-2</v>
      </c>
      <c r="M839" t="s">
        <v>2377</v>
      </c>
      <c r="N839" t="s">
        <v>28</v>
      </c>
      <c r="O839" t="s">
        <v>2378</v>
      </c>
      <c r="P839" t="s">
        <v>1197</v>
      </c>
      <c r="Q839" t="s">
        <v>1197</v>
      </c>
      <c r="R839" t="s">
        <v>1197</v>
      </c>
      <c r="S839" t="s">
        <v>1197</v>
      </c>
      <c r="T839" t="s">
        <v>1197</v>
      </c>
      <c r="U839" t="s">
        <v>1197</v>
      </c>
      <c r="V839" t="s">
        <v>2379</v>
      </c>
      <c r="W839" t="s">
        <v>2380</v>
      </c>
      <c r="X839" t="s">
        <v>2381</v>
      </c>
      <c r="Y839" t="s">
        <v>2381</v>
      </c>
      <c r="Z839" t="s">
        <v>2381</v>
      </c>
      <c r="AA839" t="s">
        <v>2381</v>
      </c>
      <c r="AB839" s="2">
        <v>-8.0000000000000004E-4</v>
      </c>
      <c r="AC839" s="2">
        <v>-1.04E-2</v>
      </c>
      <c r="AD839" s="2">
        <v>-1.06E-2</v>
      </c>
      <c r="AE839" s="2">
        <v>-8.0000000000000002E-3</v>
      </c>
      <c r="AF839" s="2">
        <v>-8.0000000000000002E-3</v>
      </c>
      <c r="AG839" s="2">
        <v>-8.0000000000000002E-3</v>
      </c>
      <c r="AH839" t="s">
        <v>920</v>
      </c>
      <c r="AI839" t="s">
        <v>130</v>
      </c>
      <c r="AJ839" t="s">
        <v>131</v>
      </c>
      <c r="AK839" t="s">
        <v>40</v>
      </c>
      <c r="AL839">
        <v>1</v>
      </c>
      <c r="AM839" t="s">
        <v>41</v>
      </c>
      <c r="AN839" t="s">
        <v>42</v>
      </c>
      <c r="AO839" t="s">
        <v>2378</v>
      </c>
      <c r="AP839" t="s">
        <v>2382</v>
      </c>
      <c r="AQ839" t="s">
        <v>2382</v>
      </c>
      <c r="AR839" t="s">
        <v>2350</v>
      </c>
      <c r="AS839" t="s">
        <v>2350</v>
      </c>
    </row>
    <row r="840" spans="1:54" x14ac:dyDescent="0.4">
      <c r="A840" t="s">
        <v>4462</v>
      </c>
      <c r="B840" t="s">
        <v>10</v>
      </c>
      <c r="C840" t="s">
        <v>1859</v>
      </c>
      <c r="D840" t="s">
        <v>11</v>
      </c>
      <c r="E840" s="2">
        <v>-4.5999999999999999E-3</v>
      </c>
      <c r="F840" t="s">
        <v>1057</v>
      </c>
      <c r="G840" s="4">
        <f>-0.44 / -0.46%</f>
        <v>95.652173913043484</v>
      </c>
      <c r="H840" t="s">
        <v>1859</v>
      </c>
      <c r="I840" t="s">
        <v>4994</v>
      </c>
      <c r="J840" t="s">
        <v>4995</v>
      </c>
      <c r="K840" t="s">
        <v>23</v>
      </c>
      <c r="L840" s="2">
        <v>5.7000000000000002E-2</v>
      </c>
      <c r="M840" t="s">
        <v>4996</v>
      </c>
      <c r="N840" t="s">
        <v>121</v>
      </c>
      <c r="O840" t="s">
        <v>4997</v>
      </c>
      <c r="P840" t="s">
        <v>3997</v>
      </c>
      <c r="Q840" t="s">
        <v>3997</v>
      </c>
      <c r="R840" t="s">
        <v>3997</v>
      </c>
      <c r="S840" t="s">
        <v>4998</v>
      </c>
      <c r="T840" t="s">
        <v>4999</v>
      </c>
      <c r="U840" t="s">
        <v>4999</v>
      </c>
      <c r="V840" t="s">
        <v>2270</v>
      </c>
      <c r="W840" t="s">
        <v>5000</v>
      </c>
      <c r="X840" t="s">
        <v>5001</v>
      </c>
      <c r="Y840" t="s">
        <v>5001</v>
      </c>
      <c r="Z840" t="s">
        <v>5001</v>
      </c>
      <c r="AA840" t="s">
        <v>5002</v>
      </c>
      <c r="AB840" s="2">
        <v>-2.0899999999999998E-2</v>
      </c>
      <c r="AC840" s="2">
        <v>-5.5300000000000002E-2</v>
      </c>
      <c r="AD840" s="2">
        <v>-1.95E-2</v>
      </c>
      <c r="AE840" s="2">
        <v>8.9999999999999998E-4</v>
      </c>
      <c r="AF840" s="2">
        <v>-2.23E-2</v>
      </c>
      <c r="AG840" s="2">
        <v>-0.2233</v>
      </c>
      <c r="AH840" t="s">
        <v>5003</v>
      </c>
      <c r="AI840" t="s">
        <v>130</v>
      </c>
      <c r="AJ840" t="s">
        <v>131</v>
      </c>
      <c r="AK840" t="s">
        <v>40</v>
      </c>
      <c r="AL840">
        <v>200</v>
      </c>
      <c r="AM840" t="s">
        <v>41</v>
      </c>
      <c r="AN840" t="s">
        <v>42</v>
      </c>
      <c r="AO840" t="s">
        <v>4997</v>
      </c>
      <c r="AP840" t="s">
        <v>1825</v>
      </c>
      <c r="AQ840" t="s">
        <v>1825</v>
      </c>
      <c r="AR840" t="s">
        <v>133</v>
      </c>
      <c r="AS840" t="s">
        <v>133</v>
      </c>
      <c r="BB840" t="s">
        <v>61</v>
      </c>
    </row>
    <row r="841" spans="1:54" x14ac:dyDescent="0.4">
      <c r="A841" t="s">
        <v>4453</v>
      </c>
      <c r="B841" t="s">
        <v>10</v>
      </c>
      <c r="C841" t="s">
        <v>5723</v>
      </c>
      <c r="D841" t="s">
        <v>11</v>
      </c>
      <c r="E841" s="2">
        <v>0</v>
      </c>
      <c r="F841" t="s">
        <v>363</v>
      </c>
      <c r="G841" s="4" t="s">
        <v>15</v>
      </c>
      <c r="H841" t="s">
        <v>5723</v>
      </c>
      <c r="I841" t="s">
        <v>5724</v>
      </c>
      <c r="J841" t="s">
        <v>5757</v>
      </c>
      <c r="K841" t="s">
        <v>23</v>
      </c>
      <c r="L841" s="2">
        <v>8.5000000000000006E-3</v>
      </c>
      <c r="M841" t="s">
        <v>1915</v>
      </c>
      <c r="N841" t="s">
        <v>28</v>
      </c>
      <c r="O841" t="s">
        <v>3178</v>
      </c>
      <c r="P841" t="s">
        <v>3296</v>
      </c>
      <c r="Q841" t="s">
        <v>2758</v>
      </c>
      <c r="R841" t="s">
        <v>5758</v>
      </c>
      <c r="S841" t="s">
        <v>5375</v>
      </c>
      <c r="T841" t="s">
        <v>5759</v>
      </c>
      <c r="U841" t="s">
        <v>5760</v>
      </c>
      <c r="V841" t="s">
        <v>5723</v>
      </c>
      <c r="W841" t="s">
        <v>3089</v>
      </c>
      <c r="X841" t="s">
        <v>3089</v>
      </c>
      <c r="Y841" t="s">
        <v>3089</v>
      </c>
      <c r="Z841" t="s">
        <v>3089</v>
      </c>
      <c r="AA841" t="s">
        <v>1991</v>
      </c>
      <c r="AB841" s="2">
        <v>5.0000000000000001E-4</v>
      </c>
      <c r="AC841" s="2">
        <v>5.5999999999999999E-3</v>
      </c>
      <c r="AD841" s="2">
        <v>2.6100000000000002E-2</v>
      </c>
      <c r="AE841" s="2">
        <v>4.9200000000000001E-2</v>
      </c>
      <c r="AF841" s="2">
        <v>9.4600000000000004E-2</v>
      </c>
      <c r="AG841" s="2">
        <v>-4.4900000000000002E-2</v>
      </c>
      <c r="AH841" t="s">
        <v>5003</v>
      </c>
      <c r="AI841" t="s">
        <v>130</v>
      </c>
      <c r="AJ841" t="s">
        <v>131</v>
      </c>
      <c r="AK841" t="s">
        <v>40</v>
      </c>
      <c r="AL841">
        <v>100</v>
      </c>
      <c r="AM841" t="s">
        <v>41</v>
      </c>
      <c r="AN841" t="s">
        <v>42</v>
      </c>
      <c r="AO841" t="s">
        <v>3178</v>
      </c>
      <c r="AP841" t="s">
        <v>357</v>
      </c>
      <c r="AQ841">
        <v>100</v>
      </c>
      <c r="BA841" t="s">
        <v>197</v>
      </c>
      <c r="BB841" t="s">
        <v>61</v>
      </c>
    </row>
    <row r="842" spans="1:54" x14ac:dyDescent="0.4">
      <c r="A842" t="s">
        <v>115</v>
      </c>
      <c r="B842" t="s">
        <v>10</v>
      </c>
      <c r="C842" s="1">
        <v>99021</v>
      </c>
      <c r="D842" t="s">
        <v>11</v>
      </c>
      <c r="E842" s="2">
        <v>-4.7000000000000002E-3</v>
      </c>
      <c r="F842" t="s">
        <v>12</v>
      </c>
      <c r="G842" s="4">
        <f>-0.464 / -0.47%</f>
        <v>98.723404255319167</v>
      </c>
      <c r="H842" s="1">
        <v>99021</v>
      </c>
      <c r="I842" t="s">
        <v>6327</v>
      </c>
      <c r="J842" t="s">
        <v>6328</v>
      </c>
      <c r="K842" t="s">
        <v>23</v>
      </c>
      <c r="L842" s="2">
        <v>3.2000000000000001E-2</v>
      </c>
      <c r="M842" t="s">
        <v>6329</v>
      </c>
      <c r="N842" t="s">
        <v>121</v>
      </c>
      <c r="O842" t="s">
        <v>6330</v>
      </c>
      <c r="P842" s="1">
        <v>98891</v>
      </c>
      <c r="Q842" t="s">
        <v>2806</v>
      </c>
      <c r="R842" s="1">
        <v>97951</v>
      </c>
      <c r="S842" s="1">
        <v>96136</v>
      </c>
      <c r="T842" s="1">
        <v>93685</v>
      </c>
      <c r="U842" t="s">
        <v>6331</v>
      </c>
      <c r="V842" s="1">
        <v>99531</v>
      </c>
      <c r="W842" s="1">
        <v>99531</v>
      </c>
      <c r="X842" s="1">
        <v>99531</v>
      </c>
      <c r="Y842" s="1">
        <v>99531</v>
      </c>
      <c r="Z842" s="1">
        <v>99531</v>
      </c>
      <c r="AA842" s="1">
        <v>102985</v>
      </c>
      <c r="AB842" s="2">
        <v>2.0999999999999999E-3</v>
      </c>
      <c r="AC842" s="2">
        <v>2.0000000000000001E-4</v>
      </c>
      <c r="AD842" s="2">
        <v>1.09E-2</v>
      </c>
      <c r="AE842" s="2">
        <v>2.1000000000000001E-2</v>
      </c>
      <c r="AF842" s="2">
        <v>3.3700000000000001E-2</v>
      </c>
      <c r="AG842" s="2">
        <v>-3.85E-2</v>
      </c>
      <c r="AH842" t="s">
        <v>5003</v>
      </c>
      <c r="AI842" t="s">
        <v>130</v>
      </c>
      <c r="AJ842" t="s">
        <v>131</v>
      </c>
      <c r="AK842" t="s">
        <v>40</v>
      </c>
      <c r="AL842">
        <v>200</v>
      </c>
      <c r="AM842" t="s">
        <v>41</v>
      </c>
      <c r="AN842" t="s">
        <v>42</v>
      </c>
      <c r="AO842" t="s">
        <v>6330</v>
      </c>
      <c r="AP842" t="s">
        <v>357</v>
      </c>
      <c r="AQ842" t="s">
        <v>357</v>
      </c>
      <c r="AR842" t="s">
        <v>133</v>
      </c>
      <c r="AS842" t="s">
        <v>133</v>
      </c>
    </row>
    <row r="843" spans="1:54" x14ac:dyDescent="0.4">
      <c r="A843" t="s">
        <v>9</v>
      </c>
      <c r="B843" t="s">
        <v>10</v>
      </c>
      <c r="C843" t="s">
        <v>763</v>
      </c>
      <c r="D843" t="s">
        <v>11</v>
      </c>
      <c r="E843" s="2">
        <v>-2.0999999999999999E-3</v>
      </c>
      <c r="F843" t="s">
        <v>12</v>
      </c>
      <c r="G843" s="4">
        <f>-0.18 / -0.21%</f>
        <v>85.714285714285722</v>
      </c>
      <c r="H843" t="s">
        <v>763</v>
      </c>
      <c r="I843" t="s">
        <v>764</v>
      </c>
      <c r="J843" t="s">
        <v>765</v>
      </c>
      <c r="K843" t="s">
        <v>23</v>
      </c>
      <c r="L843" s="2">
        <v>0.01</v>
      </c>
      <c r="M843" t="s">
        <v>766</v>
      </c>
      <c r="N843" t="s">
        <v>28</v>
      </c>
      <c r="O843" t="s">
        <v>767</v>
      </c>
      <c r="P843" t="s">
        <v>768</v>
      </c>
      <c r="Q843" t="s">
        <v>768</v>
      </c>
      <c r="R843" t="s">
        <v>769</v>
      </c>
      <c r="S843" t="s">
        <v>770</v>
      </c>
      <c r="T843" t="s">
        <v>771</v>
      </c>
      <c r="U843" t="s">
        <v>772</v>
      </c>
      <c r="V843" t="s">
        <v>773</v>
      </c>
      <c r="W843" t="s">
        <v>774</v>
      </c>
      <c r="X843" t="s">
        <v>774</v>
      </c>
      <c r="Y843" t="s">
        <v>774</v>
      </c>
      <c r="Z843" t="s">
        <v>774</v>
      </c>
      <c r="AA843" t="s">
        <v>775</v>
      </c>
      <c r="AB843" s="2">
        <v>-1.4500000000000001E-2</v>
      </c>
      <c r="AC843" s="2">
        <v>-1.0500000000000001E-2</v>
      </c>
      <c r="AD843" s="2">
        <v>1.9300000000000001E-2</v>
      </c>
      <c r="AE843" s="2">
        <v>3.61E-2</v>
      </c>
      <c r="AF843" s="2">
        <v>6.08E-2</v>
      </c>
      <c r="AG843" s="2">
        <v>-0.13539999999999999</v>
      </c>
      <c r="AH843" t="s">
        <v>776</v>
      </c>
      <c r="AI843" t="s">
        <v>130</v>
      </c>
      <c r="AJ843" t="s">
        <v>131</v>
      </c>
      <c r="AK843" t="s">
        <v>40</v>
      </c>
      <c r="AL843">
        <v>100</v>
      </c>
      <c r="AM843" t="s">
        <v>41</v>
      </c>
      <c r="AN843" t="s">
        <v>42</v>
      </c>
      <c r="AO843" t="s">
        <v>767</v>
      </c>
      <c r="AP843" t="s">
        <v>357</v>
      </c>
      <c r="AQ843" t="s">
        <v>357</v>
      </c>
      <c r="AR843" t="s">
        <v>48</v>
      </c>
      <c r="AS843" t="s">
        <v>48</v>
      </c>
    </row>
    <row r="844" spans="1:54" x14ac:dyDescent="0.4">
      <c r="A844" t="s">
        <v>76</v>
      </c>
      <c r="B844" t="s">
        <v>10</v>
      </c>
      <c r="C844" t="s">
        <v>581</v>
      </c>
      <c r="D844" t="s">
        <v>11</v>
      </c>
      <c r="E844" s="2">
        <v>-5.0000000000000001E-4</v>
      </c>
      <c r="F844" t="s">
        <v>12</v>
      </c>
      <c r="G844" s="4">
        <f>-0.05 / -0.05%</f>
        <v>100</v>
      </c>
      <c r="H844" t="s">
        <v>581</v>
      </c>
      <c r="I844" t="s">
        <v>6466</v>
      </c>
      <c r="J844" t="s">
        <v>6467</v>
      </c>
      <c r="K844" t="s">
        <v>23</v>
      </c>
      <c r="L844" s="2">
        <v>8.7500000000000008E-3</v>
      </c>
      <c r="M844" t="s">
        <v>2405</v>
      </c>
      <c r="N844" t="s">
        <v>28</v>
      </c>
      <c r="O844" t="s">
        <v>6468</v>
      </c>
      <c r="P844" t="s">
        <v>2850</v>
      </c>
      <c r="Q844" t="s">
        <v>2850</v>
      </c>
      <c r="R844" t="s">
        <v>1665</v>
      </c>
      <c r="S844" t="s">
        <v>2060</v>
      </c>
      <c r="T844" t="s">
        <v>6351</v>
      </c>
      <c r="U844" t="s">
        <v>6469</v>
      </c>
      <c r="V844" t="s">
        <v>4095</v>
      </c>
      <c r="W844" t="s">
        <v>4095</v>
      </c>
      <c r="X844" t="s">
        <v>4095</v>
      </c>
      <c r="Y844" t="s">
        <v>4095</v>
      </c>
      <c r="Z844" t="s">
        <v>4095</v>
      </c>
      <c r="AA844" t="s">
        <v>1488</v>
      </c>
      <c r="AB844" s="2">
        <v>-9.4999999999999998E-3</v>
      </c>
      <c r="AC844" s="2">
        <v>5.9999999999999995E-4</v>
      </c>
      <c r="AD844" s="2">
        <v>1.32E-2</v>
      </c>
      <c r="AE844" s="2">
        <v>2.7300000000000001E-2</v>
      </c>
      <c r="AF844" s="2">
        <v>6.3E-2</v>
      </c>
      <c r="AG844" s="2">
        <v>-2.1700000000000001E-2</v>
      </c>
      <c r="AH844" t="s">
        <v>6470</v>
      </c>
      <c r="AI844" t="s">
        <v>130</v>
      </c>
      <c r="AJ844" t="s">
        <v>131</v>
      </c>
      <c r="AK844" t="s">
        <v>40</v>
      </c>
      <c r="AL844">
        <v>5</v>
      </c>
      <c r="AM844" t="s">
        <v>41</v>
      </c>
      <c r="AN844" t="s">
        <v>42</v>
      </c>
      <c r="AO844" t="s">
        <v>6468</v>
      </c>
      <c r="AP844" t="s">
        <v>2382</v>
      </c>
      <c r="AQ844" t="s">
        <v>2382</v>
      </c>
      <c r="AR844" t="s">
        <v>1694</v>
      </c>
      <c r="AS844" t="s">
        <v>1694</v>
      </c>
    </row>
    <row r="845" spans="1:54" x14ac:dyDescent="0.4">
      <c r="A845" t="s">
        <v>4453</v>
      </c>
      <c r="B845" t="s">
        <v>10</v>
      </c>
      <c r="C845" t="s">
        <v>5631</v>
      </c>
      <c r="D845" t="s">
        <v>11</v>
      </c>
      <c r="E845" s="2">
        <v>6.9999999999999999E-4</v>
      </c>
      <c r="F845" t="s">
        <v>178</v>
      </c>
      <c r="G845" s="4" t="s">
        <v>5632</v>
      </c>
      <c r="H845" t="s">
        <v>5631</v>
      </c>
      <c r="I845" t="s">
        <v>5633</v>
      </c>
      <c r="J845" t="s">
        <v>5634</v>
      </c>
      <c r="K845" t="s">
        <v>23</v>
      </c>
      <c r="L845" s="2">
        <v>2.5000000000000001E-3</v>
      </c>
      <c r="M845" t="s">
        <v>2118</v>
      </c>
      <c r="N845" t="s">
        <v>121</v>
      </c>
      <c r="O845" t="s">
        <v>1093</v>
      </c>
      <c r="P845" t="s">
        <v>3662</v>
      </c>
      <c r="Q845" t="s">
        <v>3662</v>
      </c>
      <c r="R845" t="s">
        <v>3662</v>
      </c>
      <c r="S845" t="s">
        <v>3662</v>
      </c>
      <c r="T845" t="s">
        <v>3662</v>
      </c>
      <c r="U845" t="s">
        <v>3662</v>
      </c>
      <c r="V845" t="s">
        <v>5635</v>
      </c>
      <c r="W845" t="s">
        <v>5636</v>
      </c>
      <c r="X845" t="s">
        <v>5636</v>
      </c>
      <c r="Y845" t="s">
        <v>5636</v>
      </c>
      <c r="Z845" t="s">
        <v>5636</v>
      </c>
      <c r="AA845" t="s">
        <v>5636</v>
      </c>
      <c r="AB845" s="2">
        <v>6.3E-3</v>
      </c>
      <c r="AC845" s="2">
        <v>-3.0700000000000002E-2</v>
      </c>
      <c r="AD845" s="2">
        <v>-3.0700000000000002E-2</v>
      </c>
      <c r="AE845" s="2">
        <v>-3.0700000000000002E-2</v>
      </c>
      <c r="AF845" s="2">
        <v>-3.0700000000000002E-2</v>
      </c>
      <c r="AG845" s="2">
        <v>-3.0700000000000002E-2</v>
      </c>
      <c r="AH845" t="s">
        <v>5637</v>
      </c>
      <c r="AI845" t="s">
        <v>4794</v>
      </c>
      <c r="AJ845" t="s">
        <v>131</v>
      </c>
      <c r="AK845" t="s">
        <v>40</v>
      </c>
      <c r="AL845">
        <v>1</v>
      </c>
      <c r="AM845" t="s">
        <v>41</v>
      </c>
      <c r="AN845" t="s">
        <v>42</v>
      </c>
      <c r="AO845" t="s">
        <v>1093</v>
      </c>
      <c r="AP845" t="s">
        <v>233</v>
      </c>
      <c r="AQ845" t="s">
        <v>233</v>
      </c>
      <c r="AR845" t="s">
        <v>133</v>
      </c>
      <c r="AS845" t="s">
        <v>133</v>
      </c>
    </row>
    <row r="846" spans="1:54" x14ac:dyDescent="0.4">
      <c r="A846" t="s">
        <v>4453</v>
      </c>
      <c r="B846" t="s">
        <v>10</v>
      </c>
      <c r="C846" t="s">
        <v>5264</v>
      </c>
      <c r="D846" t="s">
        <v>11</v>
      </c>
      <c r="E846" s="2">
        <v>-6.9999999999999999E-4</v>
      </c>
      <c r="F846" t="s">
        <v>310</v>
      </c>
      <c r="G846" s="4">
        <f>-0.06 / -0.07%</f>
        <v>85.714285714285694</v>
      </c>
      <c r="H846" t="s">
        <v>5264</v>
      </c>
      <c r="I846" t="s">
        <v>6346</v>
      </c>
      <c r="J846" t="s">
        <v>6347</v>
      </c>
      <c r="K846" t="s">
        <v>23</v>
      </c>
      <c r="L846" s="2">
        <v>3.7499999999999999E-3</v>
      </c>
      <c r="M846" t="s">
        <v>3657</v>
      </c>
      <c r="N846" t="s">
        <v>28</v>
      </c>
      <c r="O846" t="s">
        <v>6348</v>
      </c>
      <c r="P846" t="s">
        <v>6349</v>
      </c>
      <c r="Q846" t="s">
        <v>6349</v>
      </c>
      <c r="R846" t="s">
        <v>4129</v>
      </c>
      <c r="S846" t="s">
        <v>6317</v>
      </c>
      <c r="T846" t="s">
        <v>6350</v>
      </c>
      <c r="U846" t="s">
        <v>6350</v>
      </c>
      <c r="V846" t="s">
        <v>2924</v>
      </c>
      <c r="W846" t="s">
        <v>6351</v>
      </c>
      <c r="X846" t="s">
        <v>6351</v>
      </c>
      <c r="Y846" t="s">
        <v>6351</v>
      </c>
      <c r="Z846" t="s">
        <v>6351</v>
      </c>
      <c r="AA846" t="s">
        <v>2240</v>
      </c>
      <c r="AB846" s="2">
        <v>-4.1000000000000003E-3</v>
      </c>
      <c r="AC846" s="2">
        <v>-2.7000000000000001E-3</v>
      </c>
      <c r="AD846" s="2">
        <v>2.4500000000000001E-2</v>
      </c>
      <c r="AE846" s="2">
        <v>4.3200000000000002E-2</v>
      </c>
      <c r="AF846" s="2">
        <v>6.3500000000000001E-2</v>
      </c>
      <c r="AG846" s="2">
        <v>-0.1042</v>
      </c>
      <c r="AH846" t="s">
        <v>6352</v>
      </c>
      <c r="AI846" t="s">
        <v>130</v>
      </c>
      <c r="AJ846" t="s">
        <v>131</v>
      </c>
      <c r="AK846" t="s">
        <v>40</v>
      </c>
      <c r="AL846">
        <v>100</v>
      </c>
      <c r="AM846" t="s">
        <v>41</v>
      </c>
      <c r="AN846" t="s">
        <v>42</v>
      </c>
      <c r="AO846" t="s">
        <v>6348</v>
      </c>
      <c r="AP846" t="s">
        <v>225</v>
      </c>
      <c r="AQ846" t="s">
        <v>225</v>
      </c>
      <c r="AR846" t="s">
        <v>48</v>
      </c>
      <c r="AS846" t="s">
        <v>48</v>
      </c>
    </row>
    <row r="847" spans="1:54" x14ac:dyDescent="0.4">
      <c r="A847" t="s">
        <v>4453</v>
      </c>
      <c r="B847" t="s">
        <v>10</v>
      </c>
      <c r="C847" t="s">
        <v>1538</v>
      </c>
      <c r="D847" t="s">
        <v>11</v>
      </c>
      <c r="E847" s="2">
        <v>2.9999999999999997E-4</v>
      </c>
      <c r="F847" t="s">
        <v>310</v>
      </c>
      <c r="G847" s="4" t="s">
        <v>2299</v>
      </c>
      <c r="H847" t="s">
        <v>1538</v>
      </c>
      <c r="I847" t="s">
        <v>7298</v>
      </c>
      <c r="J847" t="s">
        <v>7299</v>
      </c>
      <c r="K847" t="s">
        <v>23</v>
      </c>
      <c r="L847" s="2">
        <v>7.0000000000000007E-2</v>
      </c>
      <c r="M847" t="s">
        <v>7300</v>
      </c>
      <c r="N847" t="s">
        <v>121</v>
      </c>
      <c r="O847" t="s">
        <v>7301</v>
      </c>
      <c r="P847" t="s">
        <v>6706</v>
      </c>
      <c r="Q847" t="s">
        <v>6706</v>
      </c>
      <c r="R847" t="s">
        <v>6276</v>
      </c>
      <c r="S847" t="s">
        <v>5528</v>
      </c>
      <c r="T847" t="s">
        <v>1751</v>
      </c>
      <c r="U847" t="s">
        <v>1751</v>
      </c>
      <c r="V847" t="s">
        <v>7302</v>
      </c>
      <c r="W847" t="s">
        <v>1635</v>
      </c>
      <c r="X847" t="s">
        <v>1635</v>
      </c>
      <c r="Y847" t="s">
        <v>1635</v>
      </c>
      <c r="Z847" t="s">
        <v>7303</v>
      </c>
      <c r="AA847" t="s">
        <v>7304</v>
      </c>
      <c r="AB847" s="2">
        <v>2.9999999999999997E-4</v>
      </c>
      <c r="AC847" s="2">
        <v>-4.1999999999999997E-3</v>
      </c>
      <c r="AD847" s="2">
        <v>-5.0000000000000001E-4</v>
      </c>
      <c r="AE847" s="2">
        <v>-7.3000000000000001E-3</v>
      </c>
      <c r="AF847" s="2">
        <v>-3.15E-2</v>
      </c>
      <c r="AG847" s="2">
        <v>-0.1389</v>
      </c>
      <c r="AH847" t="s">
        <v>7305</v>
      </c>
      <c r="AI847" t="s">
        <v>130</v>
      </c>
      <c r="AJ847" t="s">
        <v>131</v>
      </c>
      <c r="AK847" t="s">
        <v>40</v>
      </c>
      <c r="AL847">
        <v>1</v>
      </c>
      <c r="AM847" t="s">
        <v>41</v>
      </c>
      <c r="AN847" t="s">
        <v>42</v>
      </c>
      <c r="AO847" t="s">
        <v>7301</v>
      </c>
      <c r="AP847" t="s">
        <v>171</v>
      </c>
      <c r="AQ847" t="s">
        <v>171</v>
      </c>
      <c r="AR847" t="s">
        <v>133</v>
      </c>
      <c r="AS847" t="s">
        <v>133</v>
      </c>
    </row>
    <row r="848" spans="1:54" x14ac:dyDescent="0.4">
      <c r="A848" t="s">
        <v>4453</v>
      </c>
      <c r="B848" t="s">
        <v>10</v>
      </c>
      <c r="C848" t="s">
        <v>6771</v>
      </c>
      <c r="D848" t="s">
        <v>11</v>
      </c>
      <c r="E848" s="2">
        <v>-1E-4</v>
      </c>
      <c r="F848" t="s">
        <v>178</v>
      </c>
      <c r="G848" s="4">
        <f>-0.01 / -0.01%</f>
        <v>100</v>
      </c>
      <c r="H848" t="s">
        <v>6771</v>
      </c>
      <c r="I848" t="s">
        <v>7548</v>
      </c>
      <c r="J848" t="s">
        <v>7549</v>
      </c>
      <c r="K848" t="s">
        <v>23</v>
      </c>
      <c r="L848" s="2">
        <v>4.1250000000000002E-2</v>
      </c>
      <c r="M848" t="s">
        <v>597</v>
      </c>
      <c r="N848" t="s">
        <v>28</v>
      </c>
      <c r="O848" t="s">
        <v>1698</v>
      </c>
      <c r="P848" t="s">
        <v>2379</v>
      </c>
      <c r="Q848" t="s">
        <v>2379</v>
      </c>
      <c r="R848" t="s">
        <v>674</v>
      </c>
      <c r="S848" t="s">
        <v>70</v>
      </c>
      <c r="T848" t="s">
        <v>70</v>
      </c>
      <c r="U848" t="s">
        <v>70</v>
      </c>
      <c r="V848" t="s">
        <v>558</v>
      </c>
      <c r="W848" t="s">
        <v>346</v>
      </c>
      <c r="X848" t="s">
        <v>346</v>
      </c>
      <c r="Y848" t="s">
        <v>346</v>
      </c>
      <c r="Z848" t="s">
        <v>346</v>
      </c>
      <c r="AA848" t="s">
        <v>346</v>
      </c>
      <c r="AB848" s="2">
        <v>-3.3E-3</v>
      </c>
      <c r="AC848" s="2">
        <v>-6.1000000000000004E-3</v>
      </c>
      <c r="AD848" s="2">
        <v>8.6E-3</v>
      </c>
      <c r="AE848" s="2">
        <v>2.0500000000000001E-2</v>
      </c>
      <c r="AF848" s="2">
        <v>2.0500000000000001E-2</v>
      </c>
      <c r="AG848" s="2">
        <v>2.0500000000000001E-2</v>
      </c>
      <c r="AH848" t="s">
        <v>7550</v>
      </c>
      <c r="AI848" t="s">
        <v>130</v>
      </c>
      <c r="AJ848" t="s">
        <v>131</v>
      </c>
      <c r="AK848" t="s">
        <v>40</v>
      </c>
      <c r="AL848">
        <v>100</v>
      </c>
      <c r="AM848" t="s">
        <v>41</v>
      </c>
      <c r="AN848" t="s">
        <v>42</v>
      </c>
      <c r="AO848" t="s">
        <v>1698</v>
      </c>
      <c r="AP848" t="s">
        <v>225</v>
      </c>
      <c r="AQ848" t="s">
        <v>225</v>
      </c>
      <c r="AR848" t="s">
        <v>48</v>
      </c>
      <c r="AS848" t="s">
        <v>48</v>
      </c>
      <c r="AT848" t="s">
        <v>1788</v>
      </c>
      <c r="AU848" t="s">
        <v>7551</v>
      </c>
      <c r="AV848" t="s">
        <v>173</v>
      </c>
      <c r="AX848" t="s">
        <v>196</v>
      </c>
      <c r="AZ848">
        <v>100</v>
      </c>
      <c r="BA848" t="s">
        <v>197</v>
      </c>
      <c r="BB848" t="s">
        <v>61</v>
      </c>
    </row>
    <row r="849" spans="1:54" x14ac:dyDescent="0.4">
      <c r="A849" t="s">
        <v>961</v>
      </c>
      <c r="B849" t="s">
        <v>10</v>
      </c>
      <c r="C849" t="s">
        <v>2963</v>
      </c>
      <c r="D849" t="s">
        <v>11</v>
      </c>
      <c r="E849" s="2">
        <v>-3.7000000000000002E-3</v>
      </c>
      <c r="F849" t="s">
        <v>12</v>
      </c>
      <c r="G849" s="4">
        <f>-0.35 / -0.37%</f>
        <v>94.594594594594582</v>
      </c>
      <c r="H849" t="s">
        <v>2963</v>
      </c>
      <c r="I849" t="s">
        <v>2964</v>
      </c>
      <c r="J849" t="s">
        <v>2965</v>
      </c>
      <c r="K849" t="s">
        <v>23</v>
      </c>
      <c r="L849" s="2">
        <v>1.375E-2</v>
      </c>
      <c r="M849" t="s">
        <v>471</v>
      </c>
      <c r="N849" t="s">
        <v>28</v>
      </c>
      <c r="O849" t="s">
        <v>472</v>
      </c>
      <c r="P849" t="s">
        <v>1029</v>
      </c>
      <c r="Q849" t="s">
        <v>1029</v>
      </c>
      <c r="R849" s="1">
        <v>94165</v>
      </c>
      <c r="S849" s="1">
        <v>91935</v>
      </c>
      <c r="T849" t="s">
        <v>2966</v>
      </c>
      <c r="U849" t="s">
        <v>2967</v>
      </c>
      <c r="V849" s="1">
        <v>96655</v>
      </c>
      <c r="W849" t="s">
        <v>1654</v>
      </c>
      <c r="X849" t="s">
        <v>1654</v>
      </c>
      <c r="Y849" t="s">
        <v>1654</v>
      </c>
      <c r="Z849" t="s">
        <v>1654</v>
      </c>
      <c r="AA849" s="1">
        <v>103655</v>
      </c>
      <c r="AB849" s="2">
        <v>-7.6E-3</v>
      </c>
      <c r="AC849" s="2">
        <v>-5.8999999999999999E-3</v>
      </c>
      <c r="AD849" s="2">
        <v>7.3000000000000001E-3</v>
      </c>
      <c r="AE849" s="2">
        <v>2.2499999999999999E-2</v>
      </c>
      <c r="AF849" s="2">
        <v>5.0299999999999997E-2</v>
      </c>
      <c r="AG849" s="2">
        <v>-7.85E-2</v>
      </c>
      <c r="AH849" t="s">
        <v>2391</v>
      </c>
      <c r="AI849" t="s">
        <v>232</v>
      </c>
      <c r="AJ849" t="s">
        <v>131</v>
      </c>
      <c r="AK849" t="s">
        <v>40</v>
      </c>
      <c r="AL849">
        <v>1</v>
      </c>
      <c r="AM849" t="s">
        <v>41</v>
      </c>
      <c r="AN849" t="s">
        <v>42</v>
      </c>
      <c r="AO849" t="s">
        <v>472</v>
      </c>
      <c r="AP849" t="s">
        <v>225</v>
      </c>
      <c r="AQ849" t="s">
        <v>225</v>
      </c>
      <c r="AR849" t="s">
        <v>48</v>
      </c>
      <c r="AS849" t="s">
        <v>48</v>
      </c>
    </row>
    <row r="850" spans="1:54" x14ac:dyDescent="0.4">
      <c r="A850" t="s">
        <v>1450</v>
      </c>
      <c r="B850" t="s">
        <v>10</v>
      </c>
      <c r="C850" t="s">
        <v>1990</v>
      </c>
      <c r="D850" t="s">
        <v>11</v>
      </c>
      <c r="E850" s="2">
        <v>-5.0000000000000001E-4</v>
      </c>
      <c r="F850" t="s">
        <v>12</v>
      </c>
      <c r="G850" s="4">
        <f>-0.05 / -0.05%</f>
        <v>100</v>
      </c>
      <c r="H850" t="s">
        <v>1990</v>
      </c>
      <c r="I850" t="s">
        <v>2384</v>
      </c>
      <c r="J850" t="s">
        <v>2385</v>
      </c>
      <c r="K850" t="s">
        <v>23</v>
      </c>
      <c r="L850" s="2">
        <v>1.2500000000000001E-2</v>
      </c>
      <c r="M850" t="s">
        <v>2386</v>
      </c>
      <c r="N850" t="s">
        <v>28</v>
      </c>
      <c r="O850" t="s">
        <v>1321</v>
      </c>
      <c r="P850" t="s">
        <v>918</v>
      </c>
      <c r="Q850" t="s">
        <v>2387</v>
      </c>
      <c r="R850" t="s">
        <v>1587</v>
      </c>
      <c r="S850" t="s">
        <v>639</v>
      </c>
      <c r="T850" t="s">
        <v>2388</v>
      </c>
      <c r="U850" t="s">
        <v>2389</v>
      </c>
      <c r="V850" t="s">
        <v>473</v>
      </c>
      <c r="W850" t="s">
        <v>473</v>
      </c>
      <c r="X850" t="s">
        <v>473</v>
      </c>
      <c r="Y850" t="s">
        <v>473</v>
      </c>
      <c r="Z850" t="s">
        <v>473</v>
      </c>
      <c r="AA850" t="s">
        <v>2390</v>
      </c>
      <c r="AB850" s="2">
        <v>-4.0000000000000002E-4</v>
      </c>
      <c r="AC850" s="2">
        <v>2.8E-3</v>
      </c>
      <c r="AD850" s="2">
        <v>1.34E-2</v>
      </c>
      <c r="AE850" s="2">
        <v>2.4199999999999999E-2</v>
      </c>
      <c r="AF850" s="2">
        <v>3.3399999999999999E-2</v>
      </c>
      <c r="AG850" s="2">
        <v>-4.87E-2</v>
      </c>
      <c r="AH850" t="s">
        <v>2391</v>
      </c>
      <c r="AI850" t="s">
        <v>232</v>
      </c>
      <c r="AJ850" t="s">
        <v>131</v>
      </c>
      <c r="AK850" t="s">
        <v>40</v>
      </c>
      <c r="AL850">
        <v>1</v>
      </c>
      <c r="AM850" t="s">
        <v>41</v>
      </c>
      <c r="AN850" t="s">
        <v>42</v>
      </c>
      <c r="AO850" t="s">
        <v>1321</v>
      </c>
      <c r="AP850" t="s">
        <v>225</v>
      </c>
      <c r="AQ850" t="s">
        <v>225</v>
      </c>
      <c r="AR850" t="s">
        <v>48</v>
      </c>
      <c r="AS850" t="s">
        <v>48</v>
      </c>
    </row>
    <row r="851" spans="1:54" x14ac:dyDescent="0.4">
      <c r="A851" t="s">
        <v>115</v>
      </c>
      <c r="B851" t="s">
        <v>10</v>
      </c>
      <c r="C851" t="s">
        <v>2976</v>
      </c>
      <c r="D851" t="s">
        <v>11</v>
      </c>
      <c r="E851" s="2">
        <v>-8.9999999999999998E-4</v>
      </c>
      <c r="F851" t="s">
        <v>12</v>
      </c>
      <c r="G851" s="4">
        <f>-0.11 / -0.09%</f>
        <v>122.22222222222223</v>
      </c>
      <c r="H851" t="s">
        <v>2976</v>
      </c>
      <c r="I851" t="s">
        <v>2977</v>
      </c>
      <c r="J851" t="s">
        <v>2978</v>
      </c>
      <c r="K851" t="s">
        <v>23</v>
      </c>
      <c r="L851" s="2">
        <v>7.7499999999999999E-2</v>
      </c>
      <c r="M851" t="s">
        <v>2979</v>
      </c>
      <c r="N851" t="s">
        <v>28</v>
      </c>
      <c r="O851" t="s">
        <v>2980</v>
      </c>
      <c r="P851" t="s">
        <v>2981</v>
      </c>
      <c r="Q851" t="s">
        <v>2981</v>
      </c>
      <c r="R851" t="s">
        <v>2982</v>
      </c>
      <c r="S851" t="s">
        <v>1056</v>
      </c>
      <c r="T851" t="s">
        <v>1538</v>
      </c>
      <c r="U851" t="s">
        <v>2983</v>
      </c>
      <c r="V851" t="s">
        <v>2984</v>
      </c>
      <c r="W851" t="s">
        <v>2985</v>
      </c>
      <c r="X851" t="s">
        <v>2985</v>
      </c>
      <c r="Y851" t="s">
        <v>2985</v>
      </c>
      <c r="Z851" t="s">
        <v>2985</v>
      </c>
      <c r="AA851" t="s">
        <v>2986</v>
      </c>
      <c r="AB851" s="2">
        <v>-2.3999999999999998E-3</v>
      </c>
      <c r="AC851" s="2">
        <v>-9.7000000000000003E-3</v>
      </c>
      <c r="AD851" s="2">
        <v>3.8899999999999997E-2</v>
      </c>
      <c r="AE851" s="2">
        <v>4.65E-2</v>
      </c>
      <c r="AF851" s="2">
        <v>0.17749999999999999</v>
      </c>
      <c r="AG851" s="2">
        <v>-6.6400000000000001E-2</v>
      </c>
      <c r="AH851" t="s">
        <v>2987</v>
      </c>
      <c r="AI851" t="s">
        <v>130</v>
      </c>
      <c r="AJ851" t="s">
        <v>131</v>
      </c>
      <c r="AK851" t="s">
        <v>40</v>
      </c>
      <c r="AL851">
        <v>1</v>
      </c>
      <c r="AM851" t="s">
        <v>41</v>
      </c>
      <c r="AN851" t="s">
        <v>42</v>
      </c>
      <c r="AO851" t="s">
        <v>2980</v>
      </c>
      <c r="AP851" t="s">
        <v>2988</v>
      </c>
      <c r="AQ851" t="s">
        <v>2988</v>
      </c>
      <c r="AR851" t="s">
        <v>48</v>
      </c>
      <c r="AS851" t="s">
        <v>48</v>
      </c>
    </row>
    <row r="852" spans="1:54" x14ac:dyDescent="0.4">
      <c r="A852" t="s">
        <v>630</v>
      </c>
      <c r="B852" t="s">
        <v>10</v>
      </c>
      <c r="C852" s="1">
        <v>88495</v>
      </c>
      <c r="D852" t="s">
        <v>11</v>
      </c>
      <c r="E852" s="2">
        <v>-1E-4</v>
      </c>
      <c r="F852" t="s">
        <v>12</v>
      </c>
      <c r="G852" s="4">
        <f>-0.01 / -0.01%</f>
        <v>100</v>
      </c>
      <c r="H852" s="1">
        <v>88495</v>
      </c>
      <c r="I852" t="s">
        <v>6353</v>
      </c>
      <c r="J852" t="s">
        <v>6354</v>
      </c>
      <c r="K852" t="s">
        <v>23</v>
      </c>
      <c r="L852" s="2">
        <v>6.6400000000000001E-3</v>
      </c>
      <c r="M852" t="s">
        <v>3646</v>
      </c>
      <c r="N852" t="s">
        <v>28</v>
      </c>
      <c r="O852" t="s">
        <v>6355</v>
      </c>
      <c r="P852" s="1">
        <v>87785</v>
      </c>
      <c r="Q852" s="1">
        <v>87785</v>
      </c>
      <c r="R852" t="s">
        <v>6356</v>
      </c>
      <c r="S852" t="s">
        <v>4695</v>
      </c>
      <c r="T852" s="1">
        <v>80415</v>
      </c>
      <c r="U852" t="s">
        <v>6357</v>
      </c>
      <c r="V852" s="1">
        <v>89585</v>
      </c>
      <c r="W852" t="s">
        <v>5264</v>
      </c>
      <c r="X852" t="s">
        <v>5264</v>
      </c>
      <c r="Y852" t="s">
        <v>5264</v>
      </c>
      <c r="Z852" t="s">
        <v>5264</v>
      </c>
      <c r="AA852" t="s">
        <v>813</v>
      </c>
      <c r="AB852" s="2">
        <v>-5.4999999999999997E-3</v>
      </c>
      <c r="AC852" s="2">
        <v>-8.8000000000000005E-3</v>
      </c>
      <c r="AD852" s="2">
        <v>1.8800000000000001E-2</v>
      </c>
      <c r="AE852" s="2">
        <v>4.0899999999999999E-2</v>
      </c>
      <c r="AF852" s="2">
        <v>6.1699999999999998E-2</v>
      </c>
      <c r="AG852" s="2">
        <v>-0.1129</v>
      </c>
      <c r="AH852" t="s">
        <v>6358</v>
      </c>
      <c r="AI852" t="s">
        <v>130</v>
      </c>
      <c r="AJ852" t="s">
        <v>131</v>
      </c>
      <c r="AK852" t="s">
        <v>40</v>
      </c>
      <c r="AL852">
        <v>100</v>
      </c>
      <c r="AM852" t="s">
        <v>41</v>
      </c>
      <c r="AN852" t="s">
        <v>42</v>
      </c>
      <c r="AO852" t="s">
        <v>6355</v>
      </c>
      <c r="AP852" t="s">
        <v>407</v>
      </c>
      <c r="AQ852" t="s">
        <v>407</v>
      </c>
      <c r="AR852" t="s">
        <v>48</v>
      </c>
      <c r="AS852" t="s">
        <v>48</v>
      </c>
    </row>
    <row r="853" spans="1:54" x14ac:dyDescent="0.4">
      <c r="A853" t="s">
        <v>9</v>
      </c>
      <c r="B853" t="s">
        <v>10</v>
      </c>
      <c r="C853" t="s">
        <v>518</v>
      </c>
      <c r="D853" t="s">
        <v>11</v>
      </c>
      <c r="E853" s="2">
        <v>-1.6000000000000001E-3</v>
      </c>
      <c r="F853" t="s">
        <v>12</v>
      </c>
      <c r="G853" s="4">
        <f>-0.16 / -0.16%</f>
        <v>100</v>
      </c>
      <c r="H853" t="s">
        <v>518</v>
      </c>
      <c r="I853" t="s">
        <v>6403</v>
      </c>
      <c r="J853" t="s">
        <v>6404</v>
      </c>
      <c r="K853" t="s">
        <v>23</v>
      </c>
      <c r="L853" s="2">
        <v>3.5000000000000003E-2</v>
      </c>
      <c r="M853" t="s">
        <v>120</v>
      </c>
      <c r="N853" t="s">
        <v>28</v>
      </c>
      <c r="O853" t="s">
        <v>4930</v>
      </c>
      <c r="P853" t="s">
        <v>222</v>
      </c>
      <c r="Q853" t="s">
        <v>222</v>
      </c>
      <c r="R853" t="s">
        <v>222</v>
      </c>
      <c r="S853" t="s">
        <v>2760</v>
      </c>
      <c r="T853" t="s">
        <v>4458</v>
      </c>
      <c r="U853" t="s">
        <v>4458</v>
      </c>
      <c r="V853" t="s">
        <v>1076</v>
      </c>
      <c r="W853" t="s">
        <v>6405</v>
      </c>
      <c r="X853" t="s">
        <v>6405</v>
      </c>
      <c r="Y853" t="s">
        <v>6405</v>
      </c>
      <c r="Z853" t="s">
        <v>6405</v>
      </c>
      <c r="AA853" t="s">
        <v>6405</v>
      </c>
      <c r="AB853" s="2">
        <v>-1.26E-2</v>
      </c>
      <c r="AC853" s="2">
        <v>-1.7000000000000001E-2</v>
      </c>
      <c r="AD853" s="2">
        <v>-1.1999999999999999E-3</v>
      </c>
      <c r="AE853" s="2">
        <v>6.3E-3</v>
      </c>
      <c r="AF853" s="2">
        <v>1.4500000000000001E-2</v>
      </c>
      <c r="AG853" s="2">
        <v>1.4500000000000001E-2</v>
      </c>
      <c r="AH853" t="s">
        <v>6406</v>
      </c>
      <c r="AI853" t="s">
        <v>130</v>
      </c>
      <c r="AJ853" t="s">
        <v>131</v>
      </c>
      <c r="AK853" t="s">
        <v>40</v>
      </c>
      <c r="AL853">
        <v>150</v>
      </c>
      <c r="AM853" t="s">
        <v>41</v>
      </c>
      <c r="AN853" t="s">
        <v>42</v>
      </c>
      <c r="AO853" t="s">
        <v>4930</v>
      </c>
      <c r="AP853" t="s">
        <v>357</v>
      </c>
      <c r="AQ853">
        <v>150</v>
      </c>
      <c r="BA853" t="s">
        <v>59</v>
      </c>
      <c r="BB853" t="s">
        <v>61</v>
      </c>
    </row>
    <row r="854" spans="1:54" x14ac:dyDescent="0.4">
      <c r="A854" t="s">
        <v>961</v>
      </c>
      <c r="B854" t="s">
        <v>10</v>
      </c>
      <c r="C854" s="1">
        <v>101415</v>
      </c>
      <c r="D854" t="s">
        <v>11</v>
      </c>
      <c r="E854" s="2">
        <v>-8.0000000000000004E-4</v>
      </c>
      <c r="F854" t="s">
        <v>12</v>
      </c>
      <c r="G854" s="4">
        <f>-0.08 / -0.08%</f>
        <v>100</v>
      </c>
      <c r="H854" s="1">
        <v>101415</v>
      </c>
      <c r="I854" t="s">
        <v>7020</v>
      </c>
      <c r="J854" t="s">
        <v>7021</v>
      </c>
      <c r="K854" t="s">
        <v>23</v>
      </c>
      <c r="L854" s="2">
        <v>1.2500000000000001E-2</v>
      </c>
      <c r="M854" t="s">
        <v>4284</v>
      </c>
      <c r="N854" t="s">
        <v>28</v>
      </c>
      <c r="O854" t="s">
        <v>7022</v>
      </c>
      <c r="P854" s="1">
        <v>100975</v>
      </c>
      <c r="Q854" t="s">
        <v>1284</v>
      </c>
      <c r="R854" t="s">
        <v>1169</v>
      </c>
      <c r="S854" s="1">
        <v>98615</v>
      </c>
      <c r="T854" s="1">
        <v>96145</v>
      </c>
      <c r="U854" s="1">
        <v>95735</v>
      </c>
      <c r="V854" t="s">
        <v>868</v>
      </c>
      <c r="W854" t="s">
        <v>4088</v>
      </c>
      <c r="X854" t="s">
        <v>4088</v>
      </c>
      <c r="Y854" t="s">
        <v>4088</v>
      </c>
      <c r="Z854" t="s">
        <v>4088</v>
      </c>
      <c r="AA854" t="s">
        <v>988</v>
      </c>
      <c r="AB854" s="2">
        <v>-2.0000000000000001E-4</v>
      </c>
      <c r="AC854" s="2">
        <v>-8.9999999999999998E-4</v>
      </c>
      <c r="AD854" s="2">
        <v>0.01</v>
      </c>
      <c r="AE854" s="2">
        <v>2.07E-2</v>
      </c>
      <c r="AF854" s="2">
        <v>2.87E-2</v>
      </c>
      <c r="AG854" s="2">
        <v>-4.5199999999999997E-2</v>
      </c>
      <c r="AH854" t="s">
        <v>7023</v>
      </c>
      <c r="AI854" t="s">
        <v>130</v>
      </c>
      <c r="AJ854" t="s">
        <v>131</v>
      </c>
      <c r="AK854" t="s">
        <v>40</v>
      </c>
      <c r="AL854">
        <v>5</v>
      </c>
      <c r="AM854" t="s">
        <v>41</v>
      </c>
      <c r="AN854" t="s">
        <v>42</v>
      </c>
      <c r="AO854" t="s">
        <v>7022</v>
      </c>
      <c r="AP854" t="s">
        <v>3153</v>
      </c>
      <c r="AQ854" t="s">
        <v>3153</v>
      </c>
      <c r="AR854" t="s">
        <v>1694</v>
      </c>
      <c r="AS854" t="s">
        <v>1694</v>
      </c>
    </row>
    <row r="855" spans="1:54" x14ac:dyDescent="0.4">
      <c r="A855" t="s">
        <v>592</v>
      </c>
      <c r="B855" t="s">
        <v>10</v>
      </c>
      <c r="C855" s="1">
        <v>99955</v>
      </c>
      <c r="D855" t="s">
        <v>11</v>
      </c>
      <c r="E855" s="2">
        <v>2.3999999999999998E-3</v>
      </c>
      <c r="F855" t="s">
        <v>12</v>
      </c>
      <c r="G855" s="4" t="s">
        <v>409</v>
      </c>
      <c r="H855" s="1">
        <v>99955</v>
      </c>
      <c r="I855" t="s">
        <v>7496</v>
      </c>
      <c r="J855" t="s">
        <v>7497</v>
      </c>
      <c r="K855" t="s">
        <v>23</v>
      </c>
      <c r="L855" s="2">
        <v>0.06</v>
      </c>
      <c r="M855" t="s">
        <v>911</v>
      </c>
      <c r="N855" t="s">
        <v>121</v>
      </c>
      <c r="O855" t="s">
        <v>7498</v>
      </c>
      <c r="P855" s="1">
        <v>99655</v>
      </c>
      <c r="Q855" s="1">
        <v>99655</v>
      </c>
      <c r="R855" s="1">
        <v>99655</v>
      </c>
      <c r="S855" s="1">
        <v>99655</v>
      </c>
      <c r="T855" s="1">
        <v>98985</v>
      </c>
      <c r="U855" s="1">
        <v>96215</v>
      </c>
      <c r="V855" s="1">
        <v>99955</v>
      </c>
      <c r="W855" s="1">
        <v>99955</v>
      </c>
      <c r="X855" s="1">
        <v>100105</v>
      </c>
      <c r="Y855" t="s">
        <v>2374</v>
      </c>
      <c r="Z855" s="1">
        <v>102595</v>
      </c>
      <c r="AA855" s="1">
        <v>106255</v>
      </c>
      <c r="AB855" s="2">
        <v>2.0999999999999999E-3</v>
      </c>
      <c r="AC855" s="2">
        <v>1.6999999999999999E-3</v>
      </c>
      <c r="AD855" s="2">
        <v>-8.9999999999999998E-4</v>
      </c>
      <c r="AE855" s="2">
        <v>-6.1000000000000004E-3</v>
      </c>
      <c r="AF855" s="2">
        <v>-7.4000000000000003E-3</v>
      </c>
      <c r="AG855" s="2">
        <v>-5.5E-2</v>
      </c>
      <c r="AH855" t="s">
        <v>7499</v>
      </c>
      <c r="AI855" t="s">
        <v>130</v>
      </c>
      <c r="AJ855" t="s">
        <v>131</v>
      </c>
      <c r="AK855" t="s">
        <v>40</v>
      </c>
      <c r="AL855">
        <v>100</v>
      </c>
      <c r="AM855" t="s">
        <v>41</v>
      </c>
      <c r="AN855" t="s">
        <v>42</v>
      </c>
      <c r="AO855" t="s">
        <v>5541</v>
      </c>
      <c r="AP855" t="s">
        <v>407</v>
      </c>
      <c r="AQ855">
        <v>100</v>
      </c>
      <c r="BA855" t="s">
        <v>174</v>
      </c>
      <c r="BB855" t="s">
        <v>61</v>
      </c>
    </row>
    <row r="856" spans="1:54" x14ac:dyDescent="0.4">
      <c r="A856" t="s">
        <v>961</v>
      </c>
      <c r="B856" t="s">
        <v>10</v>
      </c>
      <c r="C856" t="s">
        <v>844</v>
      </c>
      <c r="D856" t="s">
        <v>11</v>
      </c>
      <c r="E856" s="2">
        <v>3.0999999999999999E-3</v>
      </c>
      <c r="F856" t="s">
        <v>12</v>
      </c>
      <c r="G856" s="4" t="s">
        <v>5638</v>
      </c>
      <c r="H856" t="s">
        <v>844</v>
      </c>
      <c r="I856" t="s">
        <v>5639</v>
      </c>
      <c r="J856" t="s">
        <v>5640</v>
      </c>
      <c r="K856" t="s">
        <v>23</v>
      </c>
      <c r="L856" s="2">
        <v>3.875E-2</v>
      </c>
      <c r="M856" t="s">
        <v>5641</v>
      </c>
      <c r="N856" t="s">
        <v>121</v>
      </c>
      <c r="O856" t="s">
        <v>2863</v>
      </c>
      <c r="P856" t="s">
        <v>5642</v>
      </c>
      <c r="Q856" t="s">
        <v>5642</v>
      </c>
      <c r="R856" t="s">
        <v>5642</v>
      </c>
      <c r="S856" t="s">
        <v>5642</v>
      </c>
      <c r="T856" t="s">
        <v>2785</v>
      </c>
      <c r="U856" t="s">
        <v>2785</v>
      </c>
      <c r="V856" t="s">
        <v>5643</v>
      </c>
      <c r="W856" t="s">
        <v>5439</v>
      </c>
      <c r="X856" t="s">
        <v>5644</v>
      </c>
      <c r="Y856" t="s">
        <v>5644</v>
      </c>
      <c r="Z856" t="s">
        <v>4565</v>
      </c>
      <c r="AA856" t="s">
        <v>5645</v>
      </c>
      <c r="AB856" s="2">
        <v>-2.5999999999999999E-3</v>
      </c>
      <c r="AC856" s="2">
        <v>-4.1700000000000001E-2</v>
      </c>
      <c r="AD856" s="2">
        <v>-3.73E-2</v>
      </c>
      <c r="AE856" s="2">
        <v>-4.9399999999999999E-2</v>
      </c>
      <c r="AF856" s="2">
        <v>-8.6900000000000005E-2</v>
      </c>
      <c r="AG856" s="2">
        <v>-0.2487</v>
      </c>
      <c r="AH856" t="s">
        <v>5646</v>
      </c>
      <c r="AI856" t="s">
        <v>130</v>
      </c>
      <c r="AJ856" t="s">
        <v>131</v>
      </c>
      <c r="AK856" t="s">
        <v>40</v>
      </c>
      <c r="AL856">
        <v>2</v>
      </c>
      <c r="AM856" t="s">
        <v>41</v>
      </c>
      <c r="AN856" t="s">
        <v>42</v>
      </c>
      <c r="AO856" t="s">
        <v>2863</v>
      </c>
      <c r="AP856" t="s">
        <v>357</v>
      </c>
      <c r="AQ856" t="s">
        <v>357</v>
      </c>
      <c r="AR856" t="s">
        <v>133</v>
      </c>
      <c r="AS856" t="s">
        <v>133</v>
      </c>
    </row>
    <row r="857" spans="1:54" x14ac:dyDescent="0.4">
      <c r="A857" t="s">
        <v>288</v>
      </c>
      <c r="B857" t="s">
        <v>10</v>
      </c>
      <c r="C857" s="1">
        <v>95803</v>
      </c>
      <c r="D857" t="s">
        <v>11</v>
      </c>
      <c r="E857" s="2">
        <v>-1E-4</v>
      </c>
      <c r="F857" t="s">
        <v>12</v>
      </c>
      <c r="G857" s="4">
        <f>-0.01 / -0.01%</f>
        <v>100</v>
      </c>
      <c r="H857" s="1">
        <v>95803</v>
      </c>
      <c r="I857" t="s">
        <v>4844</v>
      </c>
      <c r="J857" t="s">
        <v>4845</v>
      </c>
      <c r="K857" t="s">
        <v>23</v>
      </c>
      <c r="L857" s="2">
        <v>7.4999999999999997E-3</v>
      </c>
      <c r="M857" t="s">
        <v>4846</v>
      </c>
      <c r="N857" t="s">
        <v>121</v>
      </c>
      <c r="O857" t="s">
        <v>4847</v>
      </c>
      <c r="P857" s="1">
        <v>95479</v>
      </c>
      <c r="Q857" t="s">
        <v>3702</v>
      </c>
      <c r="R857" s="1">
        <v>93622</v>
      </c>
      <c r="S857" s="1">
        <v>91297</v>
      </c>
      <c r="T857" s="1">
        <v>87625</v>
      </c>
      <c r="U857" s="1">
        <v>86495</v>
      </c>
      <c r="V857" s="1">
        <v>96329</v>
      </c>
      <c r="W857" s="1">
        <v>96329</v>
      </c>
      <c r="X857" s="1">
        <v>96329</v>
      </c>
      <c r="Y857" s="1">
        <v>96329</v>
      </c>
      <c r="Z857" s="1">
        <v>96329</v>
      </c>
      <c r="AA857" s="1">
        <v>96329</v>
      </c>
      <c r="AB857" s="2">
        <v>4.8999999999999998E-3</v>
      </c>
      <c r="AC857" s="2">
        <v>7.1000000000000004E-3</v>
      </c>
      <c r="AD857" s="2">
        <v>2.23E-2</v>
      </c>
      <c r="AE857" s="2">
        <v>4.5699999999999998E-2</v>
      </c>
      <c r="AF857" s="2">
        <v>7.0099999999999996E-2</v>
      </c>
      <c r="AG857" s="2">
        <v>-2.0000000000000001E-4</v>
      </c>
      <c r="AH857" t="s">
        <v>4848</v>
      </c>
      <c r="AI857" t="s">
        <v>130</v>
      </c>
      <c r="AJ857" t="s">
        <v>131</v>
      </c>
      <c r="AK857" t="s">
        <v>40</v>
      </c>
      <c r="AL857">
        <v>1</v>
      </c>
      <c r="AM857" t="s">
        <v>41</v>
      </c>
      <c r="AN857" t="s">
        <v>42</v>
      </c>
      <c r="AO857" t="s">
        <v>4847</v>
      </c>
      <c r="AP857" t="s">
        <v>527</v>
      </c>
      <c r="AQ857" t="s">
        <v>527</v>
      </c>
      <c r="AR857" t="s">
        <v>133</v>
      </c>
      <c r="AS857" t="s">
        <v>133</v>
      </c>
    </row>
    <row r="858" spans="1:54" x14ac:dyDescent="0.4">
      <c r="A858" t="s">
        <v>4518</v>
      </c>
      <c r="B858" t="s">
        <v>10</v>
      </c>
      <c r="C858" t="s">
        <v>3200</v>
      </c>
      <c r="D858" t="s">
        <v>11</v>
      </c>
      <c r="E858" s="2">
        <v>5.0000000000000001E-4</v>
      </c>
      <c r="F858" t="s">
        <v>12</v>
      </c>
      <c r="G858" s="4" t="s">
        <v>1390</v>
      </c>
      <c r="H858" t="s">
        <v>3200</v>
      </c>
      <c r="I858" t="s">
        <v>6178</v>
      </c>
      <c r="J858" t="s">
        <v>6179</v>
      </c>
      <c r="K858" t="s">
        <v>23</v>
      </c>
      <c r="L858" s="2">
        <v>0.02</v>
      </c>
      <c r="M858" t="s">
        <v>6180</v>
      </c>
      <c r="N858" t="s">
        <v>121</v>
      </c>
      <c r="O858" t="s">
        <v>6181</v>
      </c>
      <c r="P858" t="s">
        <v>4114</v>
      </c>
      <c r="Q858" t="s">
        <v>4114</v>
      </c>
      <c r="R858" t="s">
        <v>4114</v>
      </c>
      <c r="S858" s="1">
        <v>82015</v>
      </c>
      <c r="T858" t="s">
        <v>6182</v>
      </c>
      <c r="U858" t="s">
        <v>6182</v>
      </c>
      <c r="V858" t="s">
        <v>6183</v>
      </c>
      <c r="W858" s="1">
        <v>86855</v>
      </c>
      <c r="X858" s="1">
        <v>88745</v>
      </c>
      <c r="Y858" s="1">
        <v>88745</v>
      </c>
      <c r="Z858" s="1">
        <v>88745</v>
      </c>
      <c r="AA858" t="s">
        <v>4403</v>
      </c>
      <c r="AB858" s="2">
        <v>-3.7000000000000002E-3</v>
      </c>
      <c r="AC858" s="2">
        <v>-1.61E-2</v>
      </c>
      <c r="AD858" s="2">
        <v>3.0999999999999999E-3</v>
      </c>
      <c r="AE858" s="2">
        <v>3.8999999999999998E-3</v>
      </c>
      <c r="AF858" s="2">
        <v>-4.3E-3</v>
      </c>
      <c r="AG858" s="2">
        <v>-0.126</v>
      </c>
      <c r="AH858" t="s">
        <v>6184</v>
      </c>
      <c r="AI858" t="s">
        <v>130</v>
      </c>
      <c r="AJ858" t="s">
        <v>131</v>
      </c>
      <c r="AK858" t="s">
        <v>40</v>
      </c>
      <c r="AL858">
        <v>2</v>
      </c>
      <c r="AM858" t="s">
        <v>41</v>
      </c>
      <c r="AN858" t="s">
        <v>42</v>
      </c>
      <c r="AO858" t="s">
        <v>6181</v>
      </c>
      <c r="AP858" t="s">
        <v>357</v>
      </c>
      <c r="AQ858" t="s">
        <v>357</v>
      </c>
      <c r="AR858" t="s">
        <v>133</v>
      </c>
      <c r="AS858" t="s">
        <v>133</v>
      </c>
    </row>
    <row r="859" spans="1:54" x14ac:dyDescent="0.4">
      <c r="A859" t="s">
        <v>251</v>
      </c>
      <c r="B859" t="s">
        <v>10</v>
      </c>
      <c r="C859" t="s">
        <v>3806</v>
      </c>
      <c r="D859" t="s">
        <v>11</v>
      </c>
      <c r="E859" s="2">
        <v>9.4999999999999998E-3</v>
      </c>
      <c r="F859" t="s">
        <v>12</v>
      </c>
      <c r="G859" s="4" t="s">
        <v>3807</v>
      </c>
      <c r="H859" t="s">
        <v>3806</v>
      </c>
      <c r="I859" t="s">
        <v>3808</v>
      </c>
      <c r="J859" t="s">
        <v>3809</v>
      </c>
      <c r="K859" t="s">
        <v>23</v>
      </c>
      <c r="N859" t="s">
        <v>1142</v>
      </c>
      <c r="O859" t="s">
        <v>3810</v>
      </c>
      <c r="P859" t="s">
        <v>3811</v>
      </c>
      <c r="Q859" t="s">
        <v>3812</v>
      </c>
      <c r="R859" t="s">
        <v>3813</v>
      </c>
      <c r="S859" s="1">
        <v>61285</v>
      </c>
      <c r="T859" s="1">
        <v>55435</v>
      </c>
      <c r="U859" t="s">
        <v>3270</v>
      </c>
      <c r="V859" t="s">
        <v>1311</v>
      </c>
      <c r="W859" t="s">
        <v>1311</v>
      </c>
      <c r="X859" t="s">
        <v>1311</v>
      </c>
      <c r="Y859" t="s">
        <v>1311</v>
      </c>
      <c r="Z859" t="s">
        <v>1311</v>
      </c>
      <c r="AA859" t="s">
        <v>1311</v>
      </c>
      <c r="AB859" s="2">
        <v>1.43E-2</v>
      </c>
      <c r="AC859" s="2">
        <v>1.46E-2</v>
      </c>
      <c r="AD859" s="2">
        <v>4.4200000000000003E-2</v>
      </c>
      <c r="AE859" s="2">
        <v>0.16569999999999999</v>
      </c>
      <c r="AF859" s="2">
        <v>0.2555</v>
      </c>
      <c r="AG859" s="2">
        <v>0.26229999999999998</v>
      </c>
      <c r="AH859" t="s">
        <v>3814</v>
      </c>
      <c r="AI859" t="s">
        <v>130</v>
      </c>
      <c r="AJ859" t="s">
        <v>131</v>
      </c>
      <c r="AK859" t="s">
        <v>40</v>
      </c>
      <c r="AL859">
        <v>5</v>
      </c>
      <c r="AM859" t="s">
        <v>41</v>
      </c>
      <c r="AN859" t="s">
        <v>42</v>
      </c>
      <c r="AO859" t="s">
        <v>3810</v>
      </c>
      <c r="AP859" t="s">
        <v>3815</v>
      </c>
      <c r="AQ859" t="s">
        <v>3815</v>
      </c>
      <c r="AR859" t="s">
        <v>2148</v>
      </c>
      <c r="AS859" t="s">
        <v>2148</v>
      </c>
      <c r="AT859" t="s">
        <v>492</v>
      </c>
    </row>
    <row r="860" spans="1:54" x14ac:dyDescent="0.4">
      <c r="A860" t="s">
        <v>251</v>
      </c>
      <c r="B860" t="s">
        <v>10</v>
      </c>
      <c r="C860" t="s">
        <v>3056</v>
      </c>
      <c r="D860" t="s">
        <v>11</v>
      </c>
      <c r="E860" s="2">
        <v>2.2000000000000001E-3</v>
      </c>
      <c r="F860" t="s">
        <v>12</v>
      </c>
      <c r="G860" s="4" t="s">
        <v>3057</v>
      </c>
      <c r="H860" t="s">
        <v>3056</v>
      </c>
      <c r="I860" t="s">
        <v>3058</v>
      </c>
      <c r="J860" t="s">
        <v>3059</v>
      </c>
      <c r="K860" t="s">
        <v>23</v>
      </c>
      <c r="L860" s="2">
        <v>7.3749999999999996E-2</v>
      </c>
      <c r="M860" t="s">
        <v>3060</v>
      </c>
      <c r="N860" t="s">
        <v>121</v>
      </c>
      <c r="O860" t="s">
        <v>3061</v>
      </c>
      <c r="P860" t="s">
        <v>3062</v>
      </c>
      <c r="Q860" t="s">
        <v>3062</v>
      </c>
      <c r="R860" t="s">
        <v>3062</v>
      </c>
      <c r="S860" t="s">
        <v>3062</v>
      </c>
      <c r="T860" t="s">
        <v>3063</v>
      </c>
      <c r="U860" t="s">
        <v>3063</v>
      </c>
      <c r="V860" t="s">
        <v>1125</v>
      </c>
      <c r="W860" s="1">
        <v>111815</v>
      </c>
      <c r="X860" s="1">
        <v>114805</v>
      </c>
      <c r="Y860" s="1">
        <v>114805</v>
      </c>
      <c r="Z860" s="1">
        <v>117735</v>
      </c>
      <c r="AA860" t="s">
        <v>3064</v>
      </c>
      <c r="AB860" s="2">
        <v>-4.0000000000000002E-4</v>
      </c>
      <c r="AC860" s="2">
        <v>-1.9099999999999999E-2</v>
      </c>
      <c r="AD860" s="2">
        <v>-1.6500000000000001E-2</v>
      </c>
      <c r="AE860" s="2">
        <v>-2.0500000000000001E-2</v>
      </c>
      <c r="AF860" s="2">
        <v>-4.3900000000000002E-2</v>
      </c>
      <c r="AG860" s="2">
        <v>-0.1651</v>
      </c>
      <c r="AH860" t="s">
        <v>3065</v>
      </c>
      <c r="AI860" t="s">
        <v>130</v>
      </c>
      <c r="AJ860" t="s">
        <v>131</v>
      </c>
      <c r="AK860" t="s">
        <v>40</v>
      </c>
      <c r="AL860">
        <v>1</v>
      </c>
      <c r="AM860" t="s">
        <v>41</v>
      </c>
      <c r="AN860" t="s">
        <v>42</v>
      </c>
      <c r="AO860" t="s">
        <v>3061</v>
      </c>
      <c r="AP860" t="s">
        <v>407</v>
      </c>
      <c r="AQ860" t="s">
        <v>407</v>
      </c>
      <c r="AR860" t="s">
        <v>133</v>
      </c>
      <c r="AS860" t="s">
        <v>133</v>
      </c>
    </row>
    <row r="861" spans="1:54" x14ac:dyDescent="0.4">
      <c r="A861" t="s">
        <v>251</v>
      </c>
      <c r="B861" t="s">
        <v>10</v>
      </c>
      <c r="C861" s="1">
        <v>100675</v>
      </c>
      <c r="D861" t="s">
        <v>11</v>
      </c>
      <c r="E861" s="2">
        <v>-8.0000000000000004E-4</v>
      </c>
      <c r="F861" t="s">
        <v>12</v>
      </c>
      <c r="G861" s="4">
        <f>-0.08 / -0.08%</f>
        <v>100</v>
      </c>
      <c r="H861" s="1">
        <v>100675</v>
      </c>
      <c r="I861" t="s">
        <v>4977</v>
      </c>
      <c r="J861" t="s">
        <v>4978</v>
      </c>
      <c r="K861" t="s">
        <v>23</v>
      </c>
      <c r="L861" s="2">
        <v>3.5999999999999997E-2</v>
      </c>
      <c r="M861" t="s">
        <v>4979</v>
      </c>
      <c r="N861" t="s">
        <v>28</v>
      </c>
      <c r="O861" t="s">
        <v>4980</v>
      </c>
      <c r="P861" t="s">
        <v>3404</v>
      </c>
      <c r="Q861" t="s">
        <v>3404</v>
      </c>
      <c r="R861" s="1">
        <v>96715</v>
      </c>
      <c r="S861" s="1">
        <v>96715</v>
      </c>
      <c r="T861" t="s">
        <v>4981</v>
      </c>
      <c r="U861" t="s">
        <v>4981</v>
      </c>
      <c r="V861" t="s">
        <v>1503</v>
      </c>
      <c r="W861" s="1">
        <v>101595</v>
      </c>
      <c r="X861" s="1">
        <v>101595</v>
      </c>
      <c r="Y861" s="1">
        <v>101595</v>
      </c>
      <c r="Z861" s="1">
        <v>101595</v>
      </c>
      <c r="AA861" s="1">
        <v>101595</v>
      </c>
      <c r="AB861" s="2">
        <v>-4.7000000000000002E-3</v>
      </c>
      <c r="AC861" s="2">
        <v>-5.1000000000000004E-3</v>
      </c>
      <c r="AD861" s="2">
        <v>1.29E-2</v>
      </c>
      <c r="AE861" s="2">
        <v>1.15E-2</v>
      </c>
      <c r="AF861" s="2">
        <v>2.76E-2</v>
      </c>
      <c r="AG861" s="2">
        <v>3.8800000000000001E-2</v>
      </c>
      <c r="AH861" t="s">
        <v>4982</v>
      </c>
      <c r="AI861" t="s">
        <v>130</v>
      </c>
      <c r="AJ861" t="s">
        <v>131</v>
      </c>
      <c r="AK861" t="s">
        <v>40</v>
      </c>
      <c r="AL861">
        <v>100</v>
      </c>
      <c r="AM861" t="s">
        <v>41</v>
      </c>
      <c r="AN861" t="s">
        <v>42</v>
      </c>
      <c r="AO861" t="s">
        <v>4980</v>
      </c>
      <c r="AP861" t="s">
        <v>2320</v>
      </c>
      <c r="AQ861" t="s">
        <v>2320</v>
      </c>
      <c r="AR861" t="s">
        <v>48</v>
      </c>
      <c r="AS861" t="s">
        <v>48</v>
      </c>
    </row>
    <row r="862" spans="1:54" x14ac:dyDescent="0.4">
      <c r="A862" t="s">
        <v>4453</v>
      </c>
      <c r="B862" t="s">
        <v>10</v>
      </c>
      <c r="C862" t="s">
        <v>5035</v>
      </c>
      <c r="D862" t="s">
        <v>11</v>
      </c>
      <c r="E862" s="2">
        <v>5.9999999999999995E-4</v>
      </c>
      <c r="F862" t="s">
        <v>178</v>
      </c>
      <c r="G862" s="4" t="s">
        <v>708</v>
      </c>
      <c r="H862" t="s">
        <v>5035</v>
      </c>
      <c r="I862" t="s">
        <v>7306</v>
      </c>
      <c r="J862" t="s">
        <v>7307</v>
      </c>
      <c r="K862" t="s">
        <v>23</v>
      </c>
      <c r="L862" s="2">
        <v>4.6920000000000003E-2</v>
      </c>
      <c r="M862" t="s">
        <v>5403</v>
      </c>
      <c r="N862" t="s">
        <v>121</v>
      </c>
      <c r="O862" t="s">
        <v>5404</v>
      </c>
      <c r="P862" t="s">
        <v>3479</v>
      </c>
      <c r="Q862" t="s">
        <v>3479</v>
      </c>
      <c r="R862" t="s">
        <v>3479</v>
      </c>
      <c r="S862" t="s">
        <v>3479</v>
      </c>
      <c r="T862" t="s">
        <v>3479</v>
      </c>
      <c r="U862" t="s">
        <v>3479</v>
      </c>
      <c r="V862" t="s">
        <v>891</v>
      </c>
      <c r="W862" t="s">
        <v>4662</v>
      </c>
      <c r="X862" t="s">
        <v>362</v>
      </c>
      <c r="Y862" t="s">
        <v>362</v>
      </c>
      <c r="Z862" t="s">
        <v>362</v>
      </c>
      <c r="AA862" t="s">
        <v>362</v>
      </c>
      <c r="AB862" s="2">
        <v>-4.1999999999999997E-3</v>
      </c>
      <c r="AC862" s="2">
        <v>-1.47E-2</v>
      </c>
      <c r="AD862" s="2">
        <v>-2.1000000000000001E-2</v>
      </c>
      <c r="AE862" s="2">
        <v>-2.1000000000000001E-2</v>
      </c>
      <c r="AF862" s="2">
        <v>-2.1000000000000001E-2</v>
      </c>
      <c r="AG862" s="2">
        <v>-2.1000000000000001E-2</v>
      </c>
      <c r="AH862" t="s">
        <v>690</v>
      </c>
      <c r="AI862" t="s">
        <v>130</v>
      </c>
      <c r="AJ862" t="s">
        <v>131</v>
      </c>
      <c r="AK862" t="s">
        <v>40</v>
      </c>
      <c r="AL862">
        <v>1</v>
      </c>
      <c r="AM862" t="s">
        <v>41</v>
      </c>
      <c r="AN862" t="s">
        <v>42</v>
      </c>
      <c r="AO862" t="s">
        <v>5404</v>
      </c>
      <c r="AP862" t="s">
        <v>1825</v>
      </c>
      <c r="AQ862">
        <v>1</v>
      </c>
      <c r="BA862" t="s">
        <v>197</v>
      </c>
      <c r="BB862" t="s">
        <v>61</v>
      </c>
    </row>
    <row r="863" spans="1:54" x14ac:dyDescent="0.4">
      <c r="A863" t="s">
        <v>2095</v>
      </c>
      <c r="B863" t="s">
        <v>10</v>
      </c>
      <c r="C863" t="s">
        <v>2096</v>
      </c>
      <c r="D863" t="s">
        <v>11</v>
      </c>
      <c r="E863" s="2">
        <v>-1.1000000000000001E-3</v>
      </c>
      <c r="F863" t="s">
        <v>12</v>
      </c>
      <c r="G863" s="4">
        <f>-0.115 / -0.11%</f>
        <v>104.54545454545455</v>
      </c>
      <c r="H863" t="s">
        <v>2096</v>
      </c>
      <c r="I863" t="s">
        <v>2097</v>
      </c>
      <c r="J863" t="s">
        <v>2098</v>
      </c>
      <c r="K863" t="s">
        <v>23</v>
      </c>
      <c r="L863" s="2">
        <v>0.04</v>
      </c>
      <c r="M863" t="s">
        <v>2099</v>
      </c>
      <c r="N863" t="s">
        <v>28</v>
      </c>
      <c r="O863" t="s">
        <v>2100</v>
      </c>
      <c r="P863" s="1">
        <v>103055</v>
      </c>
      <c r="Q863" s="1">
        <v>103055</v>
      </c>
      <c r="R863" s="1">
        <v>102675</v>
      </c>
      <c r="S863" t="s">
        <v>2101</v>
      </c>
      <c r="T863" s="1">
        <v>96485</v>
      </c>
      <c r="U863" s="1">
        <v>93135</v>
      </c>
      <c r="V863" t="s">
        <v>330</v>
      </c>
      <c r="W863" t="s">
        <v>2102</v>
      </c>
      <c r="X863" t="s">
        <v>2102</v>
      </c>
      <c r="Y863" t="s">
        <v>2102</v>
      </c>
      <c r="Z863" t="s">
        <v>2102</v>
      </c>
      <c r="AA863" t="s">
        <v>2102</v>
      </c>
      <c r="AB863" s="2">
        <v>-9.2999999999999992E-3</v>
      </c>
      <c r="AC863" s="2">
        <v>-1.06E-2</v>
      </c>
      <c r="AD863" s="2">
        <v>7.9000000000000008E-3</v>
      </c>
      <c r="AE863" s="2">
        <v>1.34E-2</v>
      </c>
      <c r="AF863" s="2">
        <v>4.07E-2</v>
      </c>
      <c r="AG863" s="2">
        <v>4.6300000000000001E-2</v>
      </c>
      <c r="AH863" t="s">
        <v>690</v>
      </c>
      <c r="AI863" t="s">
        <v>130</v>
      </c>
      <c r="AJ863" t="s">
        <v>131</v>
      </c>
      <c r="AK863" t="s">
        <v>40</v>
      </c>
      <c r="AL863">
        <v>1</v>
      </c>
      <c r="AM863" t="s">
        <v>41</v>
      </c>
      <c r="AN863" t="s">
        <v>42</v>
      </c>
      <c r="AO863" t="s">
        <v>2100</v>
      </c>
      <c r="AP863" t="s">
        <v>407</v>
      </c>
      <c r="AQ863" t="s">
        <v>407</v>
      </c>
      <c r="AR863" t="s">
        <v>48</v>
      </c>
      <c r="AS863" t="s">
        <v>48</v>
      </c>
    </row>
    <row r="864" spans="1:54" x14ac:dyDescent="0.4">
      <c r="A864" t="s">
        <v>76</v>
      </c>
      <c r="B864" t="s">
        <v>10</v>
      </c>
      <c r="C864" t="s">
        <v>221</v>
      </c>
      <c r="D864" t="s">
        <v>11</v>
      </c>
      <c r="E864" s="2">
        <v>-2.9999999999999997E-4</v>
      </c>
      <c r="F864" t="s">
        <v>12</v>
      </c>
      <c r="G864" s="4">
        <f>-0.03 / -0.03%</f>
        <v>100</v>
      </c>
      <c r="H864" t="s">
        <v>221</v>
      </c>
      <c r="I864" t="s">
        <v>1818</v>
      </c>
      <c r="J864" t="s">
        <v>1819</v>
      </c>
      <c r="K864" t="s">
        <v>23</v>
      </c>
      <c r="L864" s="2">
        <v>3.3750000000000002E-2</v>
      </c>
      <c r="M864" t="s">
        <v>1820</v>
      </c>
      <c r="N864" t="s">
        <v>28</v>
      </c>
      <c r="O864" t="s">
        <v>1821</v>
      </c>
      <c r="P864" t="s">
        <v>221</v>
      </c>
      <c r="Q864" s="1">
        <v>99972</v>
      </c>
      <c r="R864" t="s">
        <v>450</v>
      </c>
      <c r="S864" t="s">
        <v>1342</v>
      </c>
      <c r="T864" t="s">
        <v>1822</v>
      </c>
      <c r="U864" t="s">
        <v>1823</v>
      </c>
      <c r="V864" t="s">
        <v>96</v>
      </c>
      <c r="W864" s="1">
        <v>100135</v>
      </c>
      <c r="X864" t="s">
        <v>618</v>
      </c>
      <c r="Y864" t="s">
        <v>618</v>
      </c>
      <c r="Z864" t="s">
        <v>98</v>
      </c>
      <c r="AA864" t="s">
        <v>1824</v>
      </c>
      <c r="AB864" s="2">
        <v>4.0000000000000002E-4</v>
      </c>
      <c r="AC864" s="2">
        <v>-6.9999999999999999E-4</v>
      </c>
      <c r="AD864" s="2">
        <v>2.8999999999999998E-3</v>
      </c>
      <c r="AE864" s="2">
        <v>4.5999999999999999E-3</v>
      </c>
      <c r="AF864" s="2">
        <v>-6.9999999999999999E-4</v>
      </c>
      <c r="AG864" s="2">
        <v>-8.8800000000000004E-2</v>
      </c>
      <c r="AH864" t="s">
        <v>690</v>
      </c>
      <c r="AI864" t="s">
        <v>130</v>
      </c>
      <c r="AJ864" t="s">
        <v>131</v>
      </c>
      <c r="AK864" t="s">
        <v>40</v>
      </c>
      <c r="AL864">
        <v>1</v>
      </c>
      <c r="AM864" t="s">
        <v>41</v>
      </c>
      <c r="AN864" t="s">
        <v>42</v>
      </c>
      <c r="AO864" t="s">
        <v>1821</v>
      </c>
      <c r="AP864" t="s">
        <v>1825</v>
      </c>
      <c r="AQ864" t="s">
        <v>1825</v>
      </c>
      <c r="AR864" t="s">
        <v>48</v>
      </c>
      <c r="AS864" t="s">
        <v>48</v>
      </c>
    </row>
    <row r="865" spans="1:45" x14ac:dyDescent="0.4">
      <c r="A865" t="s">
        <v>836</v>
      </c>
      <c r="B865" t="s">
        <v>10</v>
      </c>
      <c r="C865" t="s">
        <v>837</v>
      </c>
      <c r="D865" t="s">
        <v>11</v>
      </c>
      <c r="E865" s="2">
        <v>-2.5000000000000001E-3</v>
      </c>
      <c r="F865" t="s">
        <v>12</v>
      </c>
      <c r="G865" s="4">
        <f>-0.255 / -0.25%</f>
        <v>102</v>
      </c>
      <c r="H865" t="s">
        <v>837</v>
      </c>
      <c r="I865" t="s">
        <v>838</v>
      </c>
      <c r="J865" t="s">
        <v>839</v>
      </c>
      <c r="K865" t="s">
        <v>23</v>
      </c>
      <c r="L865" s="2">
        <v>0.03</v>
      </c>
      <c r="M865" t="s">
        <v>840</v>
      </c>
      <c r="N865" t="s">
        <v>28</v>
      </c>
      <c r="O865" t="s">
        <v>841</v>
      </c>
      <c r="P865" s="1">
        <v>98505</v>
      </c>
      <c r="Q865" s="1">
        <v>98505</v>
      </c>
      <c r="R865" s="1">
        <v>97535</v>
      </c>
      <c r="S865" t="s">
        <v>842</v>
      </c>
      <c r="T865" t="s">
        <v>843</v>
      </c>
      <c r="U865" t="s">
        <v>844</v>
      </c>
      <c r="V865" t="s">
        <v>95</v>
      </c>
      <c r="W865" s="1">
        <v>102275</v>
      </c>
      <c r="X865" s="1">
        <v>102275</v>
      </c>
      <c r="Y865" s="1">
        <v>102275</v>
      </c>
      <c r="Z865" s="1">
        <v>102275</v>
      </c>
      <c r="AA865" t="s">
        <v>845</v>
      </c>
      <c r="AB865" s="2">
        <v>-2.2000000000000001E-3</v>
      </c>
      <c r="AC865" s="2">
        <v>-4.0000000000000001E-3</v>
      </c>
      <c r="AD865" s="2">
        <v>1.67E-2</v>
      </c>
      <c r="AE865" s="2">
        <v>2.1899999999999999E-2</v>
      </c>
      <c r="AF865" s="2">
        <v>7.9899999999999999E-2</v>
      </c>
      <c r="AG865" s="2">
        <v>-0.13969999999999999</v>
      </c>
      <c r="AH865" t="s">
        <v>690</v>
      </c>
      <c r="AI865" t="s">
        <v>130</v>
      </c>
      <c r="AJ865" t="s">
        <v>131</v>
      </c>
      <c r="AK865" t="s">
        <v>40</v>
      </c>
      <c r="AL865">
        <v>1</v>
      </c>
      <c r="AM865" t="s">
        <v>41</v>
      </c>
      <c r="AN865" t="s">
        <v>42</v>
      </c>
      <c r="AO865" t="s">
        <v>841</v>
      </c>
      <c r="AP865" t="s">
        <v>407</v>
      </c>
      <c r="AQ865" t="s">
        <v>407</v>
      </c>
      <c r="AR865" t="s">
        <v>48</v>
      </c>
      <c r="AS865" t="s">
        <v>48</v>
      </c>
    </row>
    <row r="866" spans="1:45" x14ac:dyDescent="0.4">
      <c r="A866" t="s">
        <v>296</v>
      </c>
      <c r="B866" t="s">
        <v>10</v>
      </c>
      <c r="C866" s="1">
        <v>96345</v>
      </c>
      <c r="D866" t="s">
        <v>11</v>
      </c>
      <c r="E866" s="2">
        <v>-2.7000000000000001E-3</v>
      </c>
      <c r="F866" t="s">
        <v>12</v>
      </c>
      <c r="G866" s="4">
        <f>-0.26 / -0.27%</f>
        <v>96.296296296296291</v>
      </c>
      <c r="H866" s="1">
        <v>96345</v>
      </c>
      <c r="I866" t="s">
        <v>681</v>
      </c>
      <c r="J866" t="s">
        <v>682</v>
      </c>
      <c r="K866" t="s">
        <v>23</v>
      </c>
      <c r="L866" s="2">
        <v>0.02</v>
      </c>
      <c r="M866" t="s">
        <v>683</v>
      </c>
      <c r="N866" t="s">
        <v>28</v>
      </c>
      <c r="O866" t="s">
        <v>684</v>
      </c>
      <c r="P866" s="1">
        <v>95995</v>
      </c>
      <c r="Q866" t="s">
        <v>685</v>
      </c>
      <c r="R866" t="s">
        <v>293</v>
      </c>
      <c r="S866" t="s">
        <v>686</v>
      </c>
      <c r="T866" s="1">
        <v>87725</v>
      </c>
      <c r="U866" t="s">
        <v>687</v>
      </c>
      <c r="V866" t="s">
        <v>688</v>
      </c>
      <c r="W866" t="s">
        <v>219</v>
      </c>
      <c r="X866" t="s">
        <v>219</v>
      </c>
      <c r="Y866" t="s">
        <v>219</v>
      </c>
      <c r="Z866" t="s">
        <v>219</v>
      </c>
      <c r="AA866" t="s">
        <v>689</v>
      </c>
      <c r="AB866" s="2">
        <v>-3.3E-3</v>
      </c>
      <c r="AC866" s="2">
        <v>-3.8999999999999998E-3</v>
      </c>
      <c r="AD866" s="2">
        <v>1.6E-2</v>
      </c>
      <c r="AE866" s="2">
        <v>3.15E-2</v>
      </c>
      <c r="AF866" s="2">
        <v>6.3399999999999998E-2</v>
      </c>
      <c r="AG866" s="2">
        <v>-0.10299999999999999</v>
      </c>
      <c r="AH866" t="s">
        <v>690</v>
      </c>
      <c r="AI866" t="s">
        <v>130</v>
      </c>
      <c r="AJ866" t="s">
        <v>131</v>
      </c>
      <c r="AK866" t="s">
        <v>40</v>
      </c>
      <c r="AL866">
        <v>1</v>
      </c>
      <c r="AM866" t="s">
        <v>41</v>
      </c>
      <c r="AN866" t="s">
        <v>42</v>
      </c>
      <c r="AO866" t="s">
        <v>684</v>
      </c>
      <c r="AP866" t="s">
        <v>500</v>
      </c>
      <c r="AQ866" t="s">
        <v>500</v>
      </c>
      <c r="AR866" t="s">
        <v>48</v>
      </c>
      <c r="AS866" t="s">
        <v>48</v>
      </c>
    </row>
    <row r="867" spans="1:45" x14ac:dyDescent="0.4">
      <c r="A867" t="s">
        <v>251</v>
      </c>
      <c r="B867" t="s">
        <v>10</v>
      </c>
      <c r="C867" s="1">
        <v>89785</v>
      </c>
      <c r="D867" t="s">
        <v>11</v>
      </c>
      <c r="E867" s="2">
        <v>-4.1999999999999997E-3</v>
      </c>
      <c r="F867" t="s">
        <v>12</v>
      </c>
      <c r="G867" s="4">
        <f>-0.375 / -0.42%</f>
        <v>89.285714285714292</v>
      </c>
      <c r="H867" s="1">
        <v>89785</v>
      </c>
      <c r="I867" t="s">
        <v>2651</v>
      </c>
      <c r="J867" t="s">
        <v>2652</v>
      </c>
      <c r="K867" t="s">
        <v>23</v>
      </c>
      <c r="L867" s="2">
        <v>8.7500000000000008E-3</v>
      </c>
      <c r="M867" t="s">
        <v>2653</v>
      </c>
      <c r="N867" t="s">
        <v>28</v>
      </c>
      <c r="O867" t="s">
        <v>2654</v>
      </c>
      <c r="P867" s="1">
        <v>89095</v>
      </c>
      <c r="Q867" s="1">
        <v>88535</v>
      </c>
      <c r="R867" t="s">
        <v>2655</v>
      </c>
      <c r="S867" t="s">
        <v>2656</v>
      </c>
      <c r="T867" t="s">
        <v>2053</v>
      </c>
      <c r="U867" t="s">
        <v>2657</v>
      </c>
      <c r="V867" t="s">
        <v>2658</v>
      </c>
      <c r="W867" s="1">
        <v>91605</v>
      </c>
      <c r="X867" s="1">
        <v>91605</v>
      </c>
      <c r="Y867" s="1">
        <v>91605</v>
      </c>
      <c r="Z867" s="1">
        <v>91605</v>
      </c>
      <c r="AA867" t="s">
        <v>2659</v>
      </c>
      <c r="AB867" s="2">
        <v>-5.8999999999999999E-3</v>
      </c>
      <c r="AC867" s="2">
        <v>6.9999999999999999E-4</v>
      </c>
      <c r="AD867" s="2">
        <v>3.0300000000000001E-2</v>
      </c>
      <c r="AE867" s="2">
        <v>5.4100000000000002E-2</v>
      </c>
      <c r="AF867" s="2">
        <v>0.1067</v>
      </c>
      <c r="AG867" s="2">
        <v>-9.2299999999999993E-2</v>
      </c>
      <c r="AH867" t="s">
        <v>690</v>
      </c>
      <c r="AI867" t="s">
        <v>130</v>
      </c>
      <c r="AJ867" t="s">
        <v>131</v>
      </c>
      <c r="AK867" t="s">
        <v>40</v>
      </c>
      <c r="AL867">
        <v>1</v>
      </c>
      <c r="AM867" t="s">
        <v>41</v>
      </c>
      <c r="AN867" t="s">
        <v>42</v>
      </c>
      <c r="AO867" t="s">
        <v>2654</v>
      </c>
      <c r="AP867" t="s">
        <v>193</v>
      </c>
      <c r="AQ867" t="s">
        <v>193</v>
      </c>
      <c r="AR867" t="s">
        <v>48</v>
      </c>
      <c r="AS867" t="s">
        <v>48</v>
      </c>
    </row>
    <row r="868" spans="1:45" x14ac:dyDescent="0.4">
      <c r="A868" t="s">
        <v>251</v>
      </c>
      <c r="B868" t="s">
        <v>10</v>
      </c>
      <c r="C868" t="s">
        <v>5788</v>
      </c>
      <c r="D868" t="s">
        <v>11</v>
      </c>
      <c r="E868" s="2">
        <v>-2.0999999999999999E-3</v>
      </c>
      <c r="F868" t="s">
        <v>12</v>
      </c>
      <c r="G868" s="4">
        <f>-0.18 / -0.21%</f>
        <v>85.714285714285722</v>
      </c>
      <c r="H868" t="s">
        <v>5788</v>
      </c>
      <c r="I868" t="s">
        <v>5789</v>
      </c>
      <c r="J868" t="s">
        <v>5790</v>
      </c>
      <c r="K868" t="s">
        <v>23</v>
      </c>
      <c r="L868" s="2">
        <v>7.4999999999999997E-3</v>
      </c>
      <c r="M868" t="s">
        <v>5791</v>
      </c>
      <c r="N868" t="s">
        <v>28</v>
      </c>
      <c r="O868" t="s">
        <v>5792</v>
      </c>
      <c r="P868" t="s">
        <v>5793</v>
      </c>
      <c r="Q868" t="s">
        <v>2789</v>
      </c>
      <c r="R868" t="s">
        <v>1088</v>
      </c>
      <c r="S868" t="s">
        <v>2122</v>
      </c>
      <c r="T868" t="s">
        <v>5794</v>
      </c>
      <c r="U868" t="s">
        <v>5795</v>
      </c>
      <c r="V868" t="s">
        <v>2967</v>
      </c>
      <c r="W868" t="s">
        <v>5796</v>
      </c>
      <c r="X868" t="s">
        <v>5796</v>
      </c>
      <c r="Y868" t="s">
        <v>5796</v>
      </c>
      <c r="Z868" t="s">
        <v>5796</v>
      </c>
      <c r="AA868" t="s">
        <v>897</v>
      </c>
      <c r="AB868" s="2">
        <v>1E-4</v>
      </c>
      <c r="AC868" s="2">
        <v>-2.5000000000000001E-3</v>
      </c>
      <c r="AD868" s="2">
        <v>2.8000000000000001E-2</v>
      </c>
      <c r="AE868" s="2">
        <v>6.1699999999999998E-2</v>
      </c>
      <c r="AF868" s="2">
        <v>0.1158</v>
      </c>
      <c r="AG868" s="2">
        <v>-0.1207</v>
      </c>
      <c r="AH868" t="s">
        <v>690</v>
      </c>
      <c r="AI868" t="s">
        <v>130</v>
      </c>
      <c r="AJ868" t="s">
        <v>131</v>
      </c>
      <c r="AK868" t="s">
        <v>40</v>
      </c>
      <c r="AL868">
        <v>1</v>
      </c>
      <c r="AM868" t="s">
        <v>41</v>
      </c>
      <c r="AN868" t="s">
        <v>42</v>
      </c>
      <c r="AO868" t="s">
        <v>5792</v>
      </c>
      <c r="AP868" t="s">
        <v>193</v>
      </c>
      <c r="AQ868" t="s">
        <v>193</v>
      </c>
      <c r="AR868" t="s">
        <v>48</v>
      </c>
      <c r="AS868" t="s">
        <v>48</v>
      </c>
    </row>
    <row r="869" spans="1:45" x14ac:dyDescent="0.4">
      <c r="A869" t="s">
        <v>161</v>
      </c>
      <c r="B869" t="s">
        <v>10</v>
      </c>
      <c r="C869" t="s">
        <v>2874</v>
      </c>
      <c r="D869" t="s">
        <v>11</v>
      </c>
      <c r="E869" s="2">
        <v>0</v>
      </c>
      <c r="F869" t="s">
        <v>12</v>
      </c>
      <c r="G869" s="4" t="s">
        <v>15</v>
      </c>
      <c r="H869" t="s">
        <v>2874</v>
      </c>
      <c r="I869" t="s">
        <v>3574</v>
      </c>
      <c r="J869" t="s">
        <v>3575</v>
      </c>
      <c r="K869" t="s">
        <v>23</v>
      </c>
      <c r="L869" s="2">
        <v>0.47499999999999998</v>
      </c>
      <c r="M869" t="s">
        <v>3576</v>
      </c>
      <c r="N869" t="s">
        <v>28</v>
      </c>
      <c r="O869" t="s">
        <v>3577</v>
      </c>
      <c r="P869" t="s">
        <v>110</v>
      </c>
      <c r="Q869" t="s">
        <v>1473</v>
      </c>
      <c r="R869" t="s">
        <v>3485</v>
      </c>
      <c r="S869" t="s">
        <v>3578</v>
      </c>
      <c r="T869" t="s">
        <v>3578</v>
      </c>
      <c r="U869" t="s">
        <v>3578</v>
      </c>
      <c r="V869" t="s">
        <v>1206</v>
      </c>
      <c r="W869" t="s">
        <v>1206</v>
      </c>
      <c r="X869" t="s">
        <v>1206</v>
      </c>
      <c r="Y869" t="s">
        <v>1206</v>
      </c>
      <c r="Z869" t="s">
        <v>3579</v>
      </c>
      <c r="AA869" t="s">
        <v>3579</v>
      </c>
      <c r="AB869" s="2">
        <v>3.9E-2</v>
      </c>
      <c r="AC869" s="2">
        <v>4.2500000000000003E-2</v>
      </c>
      <c r="AD869" s="2">
        <v>3.61E-2</v>
      </c>
      <c r="AE869" s="2">
        <v>4.1599999999999998E-2</v>
      </c>
      <c r="AF869" s="2">
        <v>4.6699999999999998E-2</v>
      </c>
      <c r="AG869" s="2">
        <v>4.6699999999999998E-2</v>
      </c>
      <c r="AH869" t="s">
        <v>690</v>
      </c>
      <c r="AI869" t="s">
        <v>130</v>
      </c>
      <c r="AJ869" t="s">
        <v>131</v>
      </c>
      <c r="AK869" t="s">
        <v>40</v>
      </c>
      <c r="AL869">
        <v>10</v>
      </c>
      <c r="AM869" t="s">
        <v>41</v>
      </c>
      <c r="AN869" t="s">
        <v>42</v>
      </c>
      <c r="AO869" t="s">
        <v>3577</v>
      </c>
      <c r="AP869" t="s">
        <v>407</v>
      </c>
      <c r="AQ869" t="s">
        <v>407</v>
      </c>
      <c r="AR869" t="s">
        <v>2284</v>
      </c>
      <c r="AS869" t="s">
        <v>2284</v>
      </c>
    </row>
    <row r="870" spans="1:45" x14ac:dyDescent="0.4">
      <c r="A870" t="s">
        <v>4453</v>
      </c>
      <c r="B870" t="s">
        <v>10</v>
      </c>
      <c r="C870" t="s">
        <v>6775</v>
      </c>
      <c r="D870" t="s">
        <v>11</v>
      </c>
      <c r="E870" s="2">
        <v>-7.1000000000000004E-3</v>
      </c>
      <c r="F870" t="s">
        <v>1057</v>
      </c>
      <c r="G870" s="4">
        <f>-0.49 / -0.71%</f>
        <v>69.014084507042256</v>
      </c>
      <c r="H870" t="s">
        <v>6775</v>
      </c>
      <c r="I870" t="s">
        <v>6776</v>
      </c>
      <c r="J870" t="s">
        <v>6777</v>
      </c>
      <c r="K870" t="s">
        <v>23</v>
      </c>
      <c r="L870" s="2">
        <v>3.5000000000000003E-2</v>
      </c>
      <c r="M870" t="s">
        <v>6778</v>
      </c>
      <c r="N870" t="s">
        <v>121</v>
      </c>
      <c r="O870" t="s">
        <v>6100</v>
      </c>
      <c r="P870" t="s">
        <v>6779</v>
      </c>
      <c r="Q870" t="s">
        <v>6779</v>
      </c>
      <c r="R870" t="s">
        <v>6779</v>
      </c>
      <c r="S870" t="s">
        <v>6779</v>
      </c>
      <c r="T870" t="s">
        <v>6780</v>
      </c>
      <c r="U870" t="s">
        <v>6780</v>
      </c>
      <c r="V870" t="s">
        <v>6781</v>
      </c>
      <c r="W870" t="s">
        <v>3182</v>
      </c>
      <c r="X870" t="s">
        <v>5662</v>
      </c>
      <c r="Y870" t="s">
        <v>5662</v>
      </c>
      <c r="Z870" t="s">
        <v>6782</v>
      </c>
      <c r="AA870" t="s">
        <v>309</v>
      </c>
      <c r="AB870" s="2">
        <v>-1.52E-2</v>
      </c>
      <c r="AC870" s="2">
        <v>-5.2400000000000002E-2</v>
      </c>
      <c r="AD870" s="2">
        <v>-4.3999999999999997E-2</v>
      </c>
      <c r="AE870" s="2">
        <v>-9.2399999999999996E-2</v>
      </c>
      <c r="AF870" s="2">
        <v>-0.14940000000000001</v>
      </c>
      <c r="AG870" s="2">
        <v>-0.35809999999999997</v>
      </c>
      <c r="AH870" t="s">
        <v>6783</v>
      </c>
      <c r="AI870" t="s">
        <v>130</v>
      </c>
      <c r="AJ870" t="s">
        <v>131</v>
      </c>
      <c r="AK870" t="s">
        <v>40</v>
      </c>
      <c r="AL870">
        <v>2</v>
      </c>
      <c r="AM870" t="s">
        <v>41</v>
      </c>
      <c r="AN870" t="s">
        <v>42</v>
      </c>
      <c r="AO870" t="s">
        <v>6100</v>
      </c>
      <c r="AP870" t="s">
        <v>407</v>
      </c>
      <c r="AQ870" t="s">
        <v>407</v>
      </c>
      <c r="AR870" t="s">
        <v>133</v>
      </c>
      <c r="AS870" t="s">
        <v>133</v>
      </c>
    </row>
    <row r="871" spans="1:45" x14ac:dyDescent="0.4">
      <c r="A871" t="s">
        <v>630</v>
      </c>
      <c r="B871" t="s">
        <v>10</v>
      </c>
      <c r="C871" t="s">
        <v>2891</v>
      </c>
      <c r="D871" t="s">
        <v>11</v>
      </c>
      <c r="E871" s="2">
        <v>2.7000000000000001E-3</v>
      </c>
      <c r="F871" t="s">
        <v>12</v>
      </c>
      <c r="G871" s="4" t="s">
        <v>4896</v>
      </c>
      <c r="H871" t="s">
        <v>2891</v>
      </c>
      <c r="I871" t="s">
        <v>4897</v>
      </c>
      <c r="J871" t="s">
        <v>4898</v>
      </c>
      <c r="K871" t="s">
        <v>23</v>
      </c>
      <c r="L871" s="2">
        <v>5.3999999999999999E-2</v>
      </c>
      <c r="M871" t="s">
        <v>4899</v>
      </c>
      <c r="N871" t="s">
        <v>121</v>
      </c>
      <c r="O871" t="s">
        <v>3198</v>
      </c>
      <c r="P871" t="s">
        <v>2708</v>
      </c>
      <c r="Q871" t="s">
        <v>2708</v>
      </c>
      <c r="R871" t="s">
        <v>2708</v>
      </c>
      <c r="S871" t="s">
        <v>2708</v>
      </c>
      <c r="T871" t="s">
        <v>4114</v>
      </c>
      <c r="U871" t="s">
        <v>4114</v>
      </c>
      <c r="V871" t="s">
        <v>1516</v>
      </c>
      <c r="W871" t="s">
        <v>4303</v>
      </c>
      <c r="X871" t="s">
        <v>1704</v>
      </c>
      <c r="Y871" t="s">
        <v>1704</v>
      </c>
      <c r="Z871" t="s">
        <v>2510</v>
      </c>
      <c r="AA871" t="s">
        <v>4900</v>
      </c>
      <c r="AB871" s="2">
        <v>-4.4999999999999997E-3</v>
      </c>
      <c r="AC871" s="2">
        <v>-3.7900000000000003E-2</v>
      </c>
      <c r="AD871" s="2">
        <v>-1.9599999999999999E-2</v>
      </c>
      <c r="AE871" s="2">
        <v>-4.2700000000000002E-2</v>
      </c>
      <c r="AF871" s="2">
        <v>-7.9399999999999998E-2</v>
      </c>
      <c r="AG871" s="2">
        <v>-0.29509999999999997</v>
      </c>
      <c r="AH871" t="s">
        <v>4901</v>
      </c>
      <c r="AI871" t="s">
        <v>130</v>
      </c>
      <c r="AJ871" t="s">
        <v>131</v>
      </c>
      <c r="AK871" t="s">
        <v>40</v>
      </c>
      <c r="AL871">
        <v>2</v>
      </c>
      <c r="AM871" t="s">
        <v>41</v>
      </c>
      <c r="AN871" t="s">
        <v>42</v>
      </c>
      <c r="AO871" t="s">
        <v>3198</v>
      </c>
      <c r="AP871" t="s">
        <v>171</v>
      </c>
      <c r="AQ871" t="s">
        <v>171</v>
      </c>
      <c r="AR871" t="s">
        <v>133</v>
      </c>
      <c r="AS871" t="s">
        <v>133</v>
      </c>
    </row>
    <row r="872" spans="1:45" x14ac:dyDescent="0.4">
      <c r="A872" t="s">
        <v>630</v>
      </c>
      <c r="B872" t="s">
        <v>10</v>
      </c>
      <c r="C872" t="s">
        <v>445</v>
      </c>
      <c r="D872" t="s">
        <v>11</v>
      </c>
      <c r="E872" s="2">
        <v>0</v>
      </c>
      <c r="F872" t="s">
        <v>12</v>
      </c>
      <c r="G872" s="4" t="s">
        <v>15</v>
      </c>
      <c r="H872" t="s">
        <v>445</v>
      </c>
      <c r="I872" t="s">
        <v>1547</v>
      </c>
      <c r="J872" t="s">
        <v>1548</v>
      </c>
      <c r="K872" t="s">
        <v>23</v>
      </c>
      <c r="L872" s="2">
        <v>8.8749999999999996E-2</v>
      </c>
      <c r="M872" t="s">
        <v>1549</v>
      </c>
      <c r="N872" t="s">
        <v>121</v>
      </c>
      <c r="O872" t="s">
        <v>1550</v>
      </c>
      <c r="P872" t="s">
        <v>1551</v>
      </c>
      <c r="Q872" t="s">
        <v>1552</v>
      </c>
      <c r="R872" t="s">
        <v>1553</v>
      </c>
      <c r="S872" t="s">
        <v>1553</v>
      </c>
      <c r="T872" t="s">
        <v>1553</v>
      </c>
      <c r="U872" t="s">
        <v>1553</v>
      </c>
      <c r="V872" t="s">
        <v>1538</v>
      </c>
      <c r="W872" t="s">
        <v>1538</v>
      </c>
      <c r="X872" t="s">
        <v>1554</v>
      </c>
      <c r="Y872" t="s">
        <v>1554</v>
      </c>
      <c r="Z872" t="s">
        <v>1554</v>
      </c>
      <c r="AA872" t="s">
        <v>1554</v>
      </c>
      <c r="AB872" s="2">
        <v>5.0000000000000001E-3</v>
      </c>
      <c r="AC872" s="2">
        <v>1.21E-2</v>
      </c>
      <c r="AD872" s="2">
        <v>-1.18E-2</v>
      </c>
      <c r="AE872" s="2">
        <v>5.0000000000000001E-3</v>
      </c>
      <c r="AF872" s="2">
        <v>5.0000000000000001E-3</v>
      </c>
      <c r="AG872" s="2">
        <v>5.0000000000000001E-3</v>
      </c>
      <c r="AH872" t="s">
        <v>1555</v>
      </c>
      <c r="AI872" t="s">
        <v>232</v>
      </c>
      <c r="AJ872" t="s">
        <v>131</v>
      </c>
      <c r="AK872" t="s">
        <v>40</v>
      </c>
      <c r="AL872">
        <v>1</v>
      </c>
      <c r="AM872" t="s">
        <v>41</v>
      </c>
      <c r="AN872" t="s">
        <v>42</v>
      </c>
      <c r="AO872" t="s">
        <v>1550</v>
      </c>
      <c r="AP872" t="s">
        <v>1556</v>
      </c>
      <c r="AQ872" t="s">
        <v>835</v>
      </c>
      <c r="AR872" t="s">
        <v>48</v>
      </c>
      <c r="AS872" t="s">
        <v>48</v>
      </c>
    </row>
    <row r="873" spans="1:45" x14ac:dyDescent="0.4">
      <c r="A873" t="s">
        <v>4746</v>
      </c>
      <c r="B873" t="s">
        <v>10</v>
      </c>
      <c r="C873" t="s">
        <v>6194</v>
      </c>
      <c r="D873" t="s">
        <v>11</v>
      </c>
      <c r="E873" s="2">
        <v>-4.0000000000000002E-4</v>
      </c>
      <c r="F873" t="s">
        <v>12</v>
      </c>
      <c r="G873" s="4">
        <f>-0.035 / -0.04%</f>
        <v>87.5</v>
      </c>
      <c r="H873" t="s">
        <v>6194</v>
      </c>
      <c r="I873" t="s">
        <v>6195</v>
      </c>
      <c r="J873" t="s">
        <v>7523</v>
      </c>
      <c r="K873" t="s">
        <v>23</v>
      </c>
      <c r="L873" s="2">
        <v>3.5000000000000001E-3</v>
      </c>
      <c r="M873" t="s">
        <v>3454</v>
      </c>
      <c r="N873" t="s">
        <v>28</v>
      </c>
      <c r="O873" t="s">
        <v>6472</v>
      </c>
      <c r="P873" s="1">
        <v>87265</v>
      </c>
      <c r="Q873" s="1">
        <v>87265</v>
      </c>
      <c r="R873" s="1">
        <v>85735</v>
      </c>
      <c r="S873" s="1">
        <v>84055</v>
      </c>
      <c r="T873" t="s">
        <v>7524</v>
      </c>
      <c r="U873" t="s">
        <v>7524</v>
      </c>
      <c r="V873" s="1">
        <v>88645</v>
      </c>
      <c r="W873" s="1">
        <v>89425</v>
      </c>
      <c r="X873" s="1">
        <v>89425</v>
      </c>
      <c r="Y873" s="1">
        <v>89425</v>
      </c>
      <c r="Z873" s="1">
        <v>89425</v>
      </c>
      <c r="AA873" t="s">
        <v>154</v>
      </c>
      <c r="AB873" s="2">
        <v>-9.2999999999999992E-3</v>
      </c>
      <c r="AC873" s="2">
        <v>1E-3</v>
      </c>
      <c r="AD873" s="2">
        <v>2.5600000000000001E-2</v>
      </c>
      <c r="AE873" s="2">
        <v>3.7400000000000003E-2</v>
      </c>
      <c r="AF873" s="2">
        <v>5.2299999999999999E-2</v>
      </c>
      <c r="AG873" s="2">
        <v>-0.1089</v>
      </c>
      <c r="AH873" t="s">
        <v>7525</v>
      </c>
      <c r="AI873" t="s">
        <v>130</v>
      </c>
      <c r="AJ873" t="s">
        <v>131</v>
      </c>
      <c r="AK873" t="s">
        <v>40</v>
      </c>
      <c r="AL873">
        <v>100</v>
      </c>
      <c r="AM873" t="s">
        <v>41</v>
      </c>
      <c r="AN873" t="s">
        <v>42</v>
      </c>
      <c r="AO873" t="s">
        <v>6472</v>
      </c>
      <c r="AP873" t="s">
        <v>225</v>
      </c>
      <c r="AQ873" t="s">
        <v>225</v>
      </c>
      <c r="AR873" t="s">
        <v>48</v>
      </c>
      <c r="AS873" t="s">
        <v>48</v>
      </c>
    </row>
    <row r="874" spans="1:45" x14ac:dyDescent="0.4">
      <c r="A874" t="s">
        <v>4453</v>
      </c>
      <c r="B874" t="s">
        <v>10</v>
      </c>
      <c r="C874" s="1">
        <v>81405</v>
      </c>
      <c r="D874" t="s">
        <v>11</v>
      </c>
      <c r="E874" s="2">
        <v>1.1000000000000001E-3</v>
      </c>
      <c r="F874" t="s">
        <v>310</v>
      </c>
      <c r="G874" s="4" t="s">
        <v>6130</v>
      </c>
      <c r="H874" s="1">
        <v>81405</v>
      </c>
      <c r="I874" t="s">
        <v>6933</v>
      </c>
      <c r="J874" t="s">
        <v>6934</v>
      </c>
      <c r="K874" t="s">
        <v>23</v>
      </c>
      <c r="L874" s="2">
        <v>1.6250000000000001E-2</v>
      </c>
      <c r="M874" t="s">
        <v>6935</v>
      </c>
      <c r="N874" t="s">
        <v>28</v>
      </c>
      <c r="O874" t="s">
        <v>3069</v>
      </c>
      <c r="P874" t="s">
        <v>6936</v>
      </c>
      <c r="Q874" s="1">
        <v>79805</v>
      </c>
      <c r="R874" s="1">
        <v>79805</v>
      </c>
      <c r="S874" t="s">
        <v>6791</v>
      </c>
      <c r="T874" t="s">
        <v>6937</v>
      </c>
      <c r="U874" t="s">
        <v>6938</v>
      </c>
      <c r="V874" t="s">
        <v>6939</v>
      </c>
      <c r="W874" t="s">
        <v>6940</v>
      </c>
      <c r="X874" t="s">
        <v>6941</v>
      </c>
      <c r="Y874" t="s">
        <v>6941</v>
      </c>
      <c r="Z874" t="s">
        <v>6941</v>
      </c>
      <c r="AA874" t="s">
        <v>302</v>
      </c>
      <c r="AB874" s="2">
        <v>2.8999999999999998E-3</v>
      </c>
      <c r="AC874" s="2">
        <v>3.5000000000000001E-3</v>
      </c>
      <c r="AD874" s="2">
        <v>1.1299999999999999E-2</v>
      </c>
      <c r="AE874" s="2">
        <v>2.5999999999999999E-2</v>
      </c>
      <c r="AF874" s="2">
        <v>4.7100000000000003E-2</v>
      </c>
      <c r="AG874" s="2">
        <v>-0.1411</v>
      </c>
      <c r="AH874" t="s">
        <v>6942</v>
      </c>
      <c r="AI874" t="s">
        <v>130</v>
      </c>
      <c r="AJ874" t="s">
        <v>131</v>
      </c>
      <c r="AK874" t="s">
        <v>40</v>
      </c>
      <c r="AL874">
        <v>100</v>
      </c>
      <c r="AM874" t="s">
        <v>41</v>
      </c>
      <c r="AN874" t="s">
        <v>42</v>
      </c>
      <c r="AO874" t="s">
        <v>3069</v>
      </c>
      <c r="AP874" t="s">
        <v>3387</v>
      </c>
      <c r="AQ874" t="s">
        <v>3387</v>
      </c>
      <c r="AR874" t="s">
        <v>2350</v>
      </c>
      <c r="AS874" t="s">
        <v>2350</v>
      </c>
    </row>
    <row r="875" spans="1:45" x14ac:dyDescent="0.4">
      <c r="A875" t="s">
        <v>115</v>
      </c>
      <c r="B875" t="s">
        <v>10</v>
      </c>
      <c r="C875" t="s">
        <v>646</v>
      </c>
      <c r="D875" t="s">
        <v>11</v>
      </c>
      <c r="E875" s="2">
        <v>-7.6E-3</v>
      </c>
      <c r="F875" t="s">
        <v>12</v>
      </c>
      <c r="G875" s="4">
        <f>-0.74 / -0.76%</f>
        <v>97.368421052631575</v>
      </c>
      <c r="H875" t="s">
        <v>646</v>
      </c>
      <c r="I875" t="s">
        <v>647</v>
      </c>
      <c r="J875" t="s">
        <v>648</v>
      </c>
      <c r="K875" t="s">
        <v>23</v>
      </c>
      <c r="L875" s="2">
        <v>3.1289999999999998E-2</v>
      </c>
      <c r="M875" t="s">
        <v>649</v>
      </c>
      <c r="N875" t="s">
        <v>28</v>
      </c>
      <c r="O875" t="s">
        <v>650</v>
      </c>
      <c r="P875" t="s">
        <v>651</v>
      </c>
      <c r="Q875" t="s">
        <v>651</v>
      </c>
      <c r="R875" t="s">
        <v>651</v>
      </c>
      <c r="S875" t="s">
        <v>652</v>
      </c>
      <c r="T875" t="s">
        <v>653</v>
      </c>
      <c r="U875" t="s">
        <v>654</v>
      </c>
      <c r="V875" t="s">
        <v>655</v>
      </c>
      <c r="W875" t="s">
        <v>656</v>
      </c>
      <c r="X875" t="s">
        <v>656</v>
      </c>
      <c r="Y875" t="s">
        <v>656</v>
      </c>
      <c r="Z875" t="s">
        <v>656</v>
      </c>
      <c r="AA875" t="s">
        <v>657</v>
      </c>
      <c r="AB875" s="2">
        <v>-1.2800000000000001E-2</v>
      </c>
      <c r="AC875" s="2">
        <v>-1.8200000000000001E-2</v>
      </c>
      <c r="AD875" s="2">
        <v>6.8999999999999999E-3</v>
      </c>
      <c r="AE875" s="2">
        <v>1.2500000000000001E-2</v>
      </c>
      <c r="AF875" s="2">
        <v>2.8799999999999999E-2</v>
      </c>
      <c r="AG875" s="2">
        <v>-5.8500000000000003E-2</v>
      </c>
      <c r="AH875" t="s">
        <v>658</v>
      </c>
      <c r="AI875" t="s">
        <v>130</v>
      </c>
      <c r="AJ875" t="s">
        <v>131</v>
      </c>
      <c r="AK875" t="s">
        <v>40</v>
      </c>
      <c r="AL875">
        <v>100</v>
      </c>
      <c r="AM875" t="s">
        <v>41</v>
      </c>
      <c r="AN875" t="s">
        <v>42</v>
      </c>
      <c r="AO875" t="s">
        <v>650</v>
      </c>
      <c r="AP875" t="s">
        <v>193</v>
      </c>
      <c r="AQ875" t="s">
        <v>193</v>
      </c>
      <c r="AR875" t="s">
        <v>48</v>
      </c>
      <c r="AS875" t="s">
        <v>48</v>
      </c>
    </row>
    <row r="876" spans="1:45" x14ac:dyDescent="0.4">
      <c r="A876" t="s">
        <v>4462</v>
      </c>
      <c r="B876" t="s">
        <v>10</v>
      </c>
      <c r="C876" s="1">
        <v>94467</v>
      </c>
      <c r="D876" t="s">
        <v>11</v>
      </c>
      <c r="E876" s="2">
        <v>-2.3999999999999998E-3</v>
      </c>
      <c r="F876" t="s">
        <v>310</v>
      </c>
      <c r="G876" s="4">
        <f>-0.223 / -0.24%</f>
        <v>92.916666666666671</v>
      </c>
      <c r="H876" s="1">
        <v>94467</v>
      </c>
      <c r="I876" t="s">
        <v>5103</v>
      </c>
      <c r="J876" t="s">
        <v>5104</v>
      </c>
      <c r="K876" t="s">
        <v>23</v>
      </c>
      <c r="L876" s="2">
        <v>6.5000000000000002E-2</v>
      </c>
      <c r="M876" t="s">
        <v>1213</v>
      </c>
      <c r="N876" t="s">
        <v>121</v>
      </c>
      <c r="O876" t="s">
        <v>5105</v>
      </c>
      <c r="P876" t="s">
        <v>1348</v>
      </c>
      <c r="Q876" t="s">
        <v>5106</v>
      </c>
      <c r="R876" t="s">
        <v>4695</v>
      </c>
      <c r="S876" t="s">
        <v>5107</v>
      </c>
      <c r="T876" t="s">
        <v>3616</v>
      </c>
      <c r="U876" t="s">
        <v>5108</v>
      </c>
      <c r="V876" t="s">
        <v>5109</v>
      </c>
      <c r="W876" t="s">
        <v>5109</v>
      </c>
      <c r="X876" t="s">
        <v>5109</v>
      </c>
      <c r="Y876" t="s">
        <v>5109</v>
      </c>
      <c r="Z876" t="s">
        <v>5109</v>
      </c>
      <c r="AA876" t="s">
        <v>259</v>
      </c>
      <c r="AB876" s="2">
        <v>3.0700000000000002E-2</v>
      </c>
      <c r="AC876" s="2">
        <v>1.44E-2</v>
      </c>
      <c r="AD876" s="2">
        <v>0.1023</v>
      </c>
      <c r="AE876" s="2">
        <v>6.6600000000000006E-2</v>
      </c>
      <c r="AF876" s="2">
        <v>0.25940000000000002</v>
      </c>
      <c r="AG876" s="2">
        <v>-5.96E-2</v>
      </c>
      <c r="AH876" t="s">
        <v>5110</v>
      </c>
      <c r="AI876" t="s">
        <v>130</v>
      </c>
      <c r="AJ876" t="s">
        <v>131</v>
      </c>
      <c r="AK876" t="s">
        <v>40</v>
      </c>
      <c r="AL876">
        <v>100</v>
      </c>
      <c r="AM876" t="s">
        <v>41</v>
      </c>
      <c r="AN876" t="s">
        <v>42</v>
      </c>
      <c r="AO876" t="s">
        <v>5105</v>
      </c>
      <c r="AP876" t="s">
        <v>233</v>
      </c>
      <c r="AQ876" t="s">
        <v>233</v>
      </c>
      <c r="AR876" t="s">
        <v>2350</v>
      </c>
      <c r="AS876" t="s">
        <v>2350</v>
      </c>
    </row>
    <row r="877" spans="1:45" x14ac:dyDescent="0.4">
      <c r="A877" t="s">
        <v>4518</v>
      </c>
      <c r="B877" t="s">
        <v>10</v>
      </c>
      <c r="C877" t="s">
        <v>2616</v>
      </c>
      <c r="D877" t="s">
        <v>11</v>
      </c>
      <c r="E877" s="2">
        <v>-1.9E-3</v>
      </c>
      <c r="F877" t="s">
        <v>12</v>
      </c>
      <c r="G877" s="4">
        <f>-0.19 / -0.19%</f>
        <v>100</v>
      </c>
      <c r="H877" t="s">
        <v>2616</v>
      </c>
      <c r="I877" t="s">
        <v>5519</v>
      </c>
      <c r="J877" t="s">
        <v>5648</v>
      </c>
      <c r="K877" t="s">
        <v>23</v>
      </c>
      <c r="L877" s="2">
        <v>6.5500000000000003E-2</v>
      </c>
      <c r="M877" t="s">
        <v>5649</v>
      </c>
      <c r="N877" t="s">
        <v>121</v>
      </c>
      <c r="O877" t="s">
        <v>5650</v>
      </c>
      <c r="P877" t="s">
        <v>116</v>
      </c>
      <c r="Q877" t="s">
        <v>116</v>
      </c>
      <c r="R877" t="s">
        <v>116</v>
      </c>
      <c r="S877" t="s">
        <v>5651</v>
      </c>
      <c r="T877" t="s">
        <v>5652</v>
      </c>
      <c r="U877" t="s">
        <v>5653</v>
      </c>
      <c r="V877" t="s">
        <v>5654</v>
      </c>
      <c r="W877" t="s">
        <v>1069</v>
      </c>
      <c r="X877" t="s">
        <v>4451</v>
      </c>
      <c r="Y877" t="s">
        <v>4451</v>
      </c>
      <c r="Z877" t="s">
        <v>5655</v>
      </c>
      <c r="AA877" t="s">
        <v>5656</v>
      </c>
      <c r="AB877" s="2">
        <v>9.5999999999999992E-3</v>
      </c>
      <c r="AC877" s="2">
        <v>1.6500000000000001E-2</v>
      </c>
      <c r="AD877" s="2">
        <v>1.49E-2</v>
      </c>
      <c r="AE877" s="2">
        <v>-3.5000000000000001E-3</v>
      </c>
      <c r="AF877" s="2">
        <v>-3.8600000000000002E-2</v>
      </c>
      <c r="AG877" s="2">
        <v>-0.2223</v>
      </c>
      <c r="AH877" t="s">
        <v>5657</v>
      </c>
      <c r="AI877" t="s">
        <v>130</v>
      </c>
      <c r="AJ877" t="s">
        <v>131</v>
      </c>
      <c r="AK877" t="s">
        <v>40</v>
      </c>
      <c r="AL877">
        <v>2</v>
      </c>
      <c r="AM877" t="s">
        <v>41</v>
      </c>
      <c r="AN877" t="s">
        <v>42</v>
      </c>
      <c r="AO877" t="s">
        <v>5650</v>
      </c>
      <c r="AP877" t="s">
        <v>5658</v>
      </c>
      <c r="AQ877" t="s">
        <v>5658</v>
      </c>
      <c r="AR877" t="s">
        <v>133</v>
      </c>
      <c r="AS877" t="s">
        <v>133</v>
      </c>
    </row>
    <row r="878" spans="1:45" x14ac:dyDescent="0.4">
      <c r="A878" t="s">
        <v>630</v>
      </c>
      <c r="B878" t="s">
        <v>10</v>
      </c>
      <c r="C878" t="s">
        <v>1991</v>
      </c>
      <c r="D878" t="s">
        <v>11</v>
      </c>
      <c r="E878" s="2">
        <v>-4.7999999999999996E-3</v>
      </c>
      <c r="F878" t="s">
        <v>12</v>
      </c>
      <c r="G878" s="4">
        <f>-0.48 / -0.48%</f>
        <v>100</v>
      </c>
      <c r="H878" t="s">
        <v>1991</v>
      </c>
      <c r="I878" t="s">
        <v>4910</v>
      </c>
      <c r="J878" t="s">
        <v>4911</v>
      </c>
      <c r="K878" t="s">
        <v>23</v>
      </c>
      <c r="L878" s="2">
        <v>5.3999999999999999E-2</v>
      </c>
      <c r="M878" t="s">
        <v>4912</v>
      </c>
      <c r="N878" t="s">
        <v>121</v>
      </c>
      <c r="O878" t="s">
        <v>2304</v>
      </c>
      <c r="P878" t="s">
        <v>1030</v>
      </c>
      <c r="Q878" t="s">
        <v>1030</v>
      </c>
      <c r="R878" t="s">
        <v>1030</v>
      </c>
      <c r="S878" s="1">
        <v>99658</v>
      </c>
      <c r="T878" t="s">
        <v>1964</v>
      </c>
      <c r="U878" t="s">
        <v>1964</v>
      </c>
      <c r="V878" t="s">
        <v>1834</v>
      </c>
      <c r="W878" t="s">
        <v>890</v>
      </c>
      <c r="X878" s="1">
        <v>101325</v>
      </c>
      <c r="Y878" s="1">
        <v>101325</v>
      </c>
      <c r="Z878" t="s">
        <v>4913</v>
      </c>
      <c r="AA878" t="s">
        <v>4913</v>
      </c>
      <c r="AB878" s="2">
        <v>-4.7999999999999996E-3</v>
      </c>
      <c r="AC878" s="2">
        <v>-5.8999999999999999E-3</v>
      </c>
      <c r="AD878" s="2">
        <v>-2.0999999999999999E-3</v>
      </c>
      <c r="AE878" s="2">
        <v>-8.6999999999999994E-3</v>
      </c>
      <c r="AF878" s="2">
        <v>-1.9199999999999998E-2</v>
      </c>
      <c r="AG878" s="2">
        <v>-1.06E-2</v>
      </c>
      <c r="AH878" t="s">
        <v>2731</v>
      </c>
      <c r="AI878" t="s">
        <v>130</v>
      </c>
      <c r="AJ878" t="s">
        <v>131</v>
      </c>
      <c r="AK878" t="s">
        <v>40</v>
      </c>
      <c r="AL878">
        <v>2</v>
      </c>
      <c r="AM878" t="s">
        <v>41</v>
      </c>
      <c r="AN878" t="s">
        <v>42</v>
      </c>
      <c r="AO878" t="s">
        <v>2304</v>
      </c>
      <c r="AP878" t="s">
        <v>333</v>
      </c>
      <c r="AQ878" t="s">
        <v>333</v>
      </c>
      <c r="AR878" t="s">
        <v>133</v>
      </c>
      <c r="AS878" t="s">
        <v>133</v>
      </c>
    </row>
    <row r="879" spans="1:45" x14ac:dyDescent="0.4">
      <c r="A879" t="s">
        <v>2726</v>
      </c>
      <c r="B879" t="s">
        <v>10</v>
      </c>
      <c r="C879" t="s">
        <v>523</v>
      </c>
      <c r="D879" t="s">
        <v>11</v>
      </c>
      <c r="E879" s="2">
        <v>8.6E-3</v>
      </c>
      <c r="F879" t="s">
        <v>178</v>
      </c>
      <c r="G879" s="4" t="s">
        <v>2727</v>
      </c>
      <c r="H879" t="s">
        <v>523</v>
      </c>
      <c r="I879" t="s">
        <v>2728</v>
      </c>
      <c r="J879" t="s">
        <v>2729</v>
      </c>
      <c r="K879" t="s">
        <v>23</v>
      </c>
      <c r="L879" s="2">
        <v>4.9500000000000002E-2</v>
      </c>
      <c r="M879" t="s">
        <v>268</v>
      </c>
      <c r="N879" t="s">
        <v>121</v>
      </c>
      <c r="O879" t="s">
        <v>2730</v>
      </c>
      <c r="P879" t="s">
        <v>1720</v>
      </c>
      <c r="Q879" t="s">
        <v>1720</v>
      </c>
      <c r="R879" t="s">
        <v>1720</v>
      </c>
      <c r="S879" t="s">
        <v>1720</v>
      </c>
      <c r="T879" t="s">
        <v>1720</v>
      </c>
      <c r="U879" t="s">
        <v>1720</v>
      </c>
      <c r="V879" t="s">
        <v>599</v>
      </c>
      <c r="W879" t="s">
        <v>599</v>
      </c>
      <c r="X879" t="s">
        <v>599</v>
      </c>
      <c r="Y879" t="s">
        <v>599</v>
      </c>
      <c r="Z879" t="s">
        <v>599</v>
      </c>
      <c r="AA879" t="s">
        <v>599</v>
      </c>
      <c r="AB879" s="2">
        <v>1.04E-2</v>
      </c>
      <c r="AC879" s="2">
        <v>1.04E-2</v>
      </c>
      <c r="AD879" s="2">
        <v>1.04E-2</v>
      </c>
      <c r="AE879" s="2">
        <v>1.04E-2</v>
      </c>
      <c r="AF879" s="2">
        <v>1.04E-2</v>
      </c>
      <c r="AG879" s="2">
        <v>1.04E-2</v>
      </c>
      <c r="AH879" t="s">
        <v>2731</v>
      </c>
      <c r="AI879" t="s">
        <v>130</v>
      </c>
      <c r="AJ879" t="s">
        <v>131</v>
      </c>
      <c r="AK879" t="s">
        <v>40</v>
      </c>
      <c r="AL879">
        <v>2</v>
      </c>
      <c r="AM879" t="s">
        <v>41</v>
      </c>
      <c r="AN879" t="s">
        <v>42</v>
      </c>
      <c r="AO879" t="s">
        <v>2730</v>
      </c>
      <c r="AP879" t="s">
        <v>527</v>
      </c>
      <c r="AQ879" t="s">
        <v>527</v>
      </c>
      <c r="AR879" t="s">
        <v>133</v>
      </c>
      <c r="AS879" t="s">
        <v>133</v>
      </c>
    </row>
    <row r="880" spans="1:45" x14ac:dyDescent="0.4">
      <c r="A880" t="s">
        <v>4453</v>
      </c>
      <c r="B880" t="s">
        <v>10</v>
      </c>
      <c r="C880" s="1">
        <v>98835</v>
      </c>
      <c r="D880" t="s">
        <v>11</v>
      </c>
      <c r="E880" s="2">
        <v>1.2999999999999999E-3</v>
      </c>
      <c r="F880" t="s">
        <v>363</v>
      </c>
      <c r="G880" s="4" t="s">
        <v>1248</v>
      </c>
      <c r="H880" s="1">
        <v>98835</v>
      </c>
      <c r="I880" t="s">
        <v>6987</v>
      </c>
      <c r="J880" t="s">
        <v>6988</v>
      </c>
      <c r="K880" t="s">
        <v>23</v>
      </c>
      <c r="L880" s="2">
        <v>4.7500000000000001E-2</v>
      </c>
      <c r="M880" t="s">
        <v>274</v>
      </c>
      <c r="N880" t="s">
        <v>28</v>
      </c>
      <c r="O880" t="s">
        <v>1039</v>
      </c>
      <c r="P880" s="1">
        <v>97545</v>
      </c>
      <c r="Q880" s="1">
        <v>97545</v>
      </c>
      <c r="R880" s="1">
        <v>97545</v>
      </c>
      <c r="S880" s="1">
        <v>97545</v>
      </c>
      <c r="T880" s="1">
        <v>97545</v>
      </c>
      <c r="U880" s="1">
        <v>97545</v>
      </c>
      <c r="V880" s="1">
        <v>98835</v>
      </c>
      <c r="W880" t="s">
        <v>1508</v>
      </c>
      <c r="X880" t="s">
        <v>2146</v>
      </c>
      <c r="Y880" t="s">
        <v>2146</v>
      </c>
      <c r="Z880" t="s">
        <v>2146</v>
      </c>
      <c r="AA880" t="s">
        <v>2146</v>
      </c>
      <c r="AB880" s="2">
        <v>1.8E-3</v>
      </c>
      <c r="AC880" s="2">
        <v>-1.1000000000000001E-3</v>
      </c>
      <c r="AD880" s="2">
        <v>-1.4E-2</v>
      </c>
      <c r="AE880" s="2">
        <v>-9.4999999999999998E-3</v>
      </c>
      <c r="AF880" s="2">
        <v>-9.4999999999999998E-3</v>
      </c>
      <c r="AG880" s="2">
        <v>-9.4999999999999998E-3</v>
      </c>
      <c r="AH880" t="s">
        <v>6989</v>
      </c>
      <c r="AI880" t="s">
        <v>130</v>
      </c>
      <c r="AJ880" t="s">
        <v>131</v>
      </c>
      <c r="AK880" t="s">
        <v>40</v>
      </c>
      <c r="AL880">
        <v>100</v>
      </c>
      <c r="AM880" t="s">
        <v>41</v>
      </c>
      <c r="AN880" t="s">
        <v>42</v>
      </c>
      <c r="AO880" t="s">
        <v>1039</v>
      </c>
      <c r="AP880" t="s">
        <v>4863</v>
      </c>
      <c r="AQ880" t="s">
        <v>4863</v>
      </c>
      <c r="AR880" t="s">
        <v>2350</v>
      </c>
      <c r="AS880" t="s">
        <v>2350</v>
      </c>
    </row>
    <row r="881" spans="1:54" x14ac:dyDescent="0.4">
      <c r="A881" t="s">
        <v>4462</v>
      </c>
      <c r="B881" t="s">
        <v>10</v>
      </c>
      <c r="C881" t="s">
        <v>1595</v>
      </c>
      <c r="D881" t="s">
        <v>11</v>
      </c>
      <c r="E881" s="2">
        <v>-5.1000000000000004E-3</v>
      </c>
      <c r="F881" t="s">
        <v>363</v>
      </c>
      <c r="G881" s="4">
        <f>-0.48 / -0.51%</f>
        <v>94.117647058823522</v>
      </c>
      <c r="H881" t="s">
        <v>1595</v>
      </c>
      <c r="I881" t="s">
        <v>6253</v>
      </c>
      <c r="J881" t="s">
        <v>6254</v>
      </c>
      <c r="K881" t="s">
        <v>23</v>
      </c>
      <c r="L881" s="2">
        <v>5.5E-2</v>
      </c>
      <c r="M881" t="s">
        <v>2677</v>
      </c>
      <c r="N881" t="s">
        <v>121</v>
      </c>
      <c r="O881" t="s">
        <v>6255</v>
      </c>
      <c r="P881" t="s">
        <v>6256</v>
      </c>
      <c r="Q881" t="s">
        <v>6256</v>
      </c>
      <c r="R881" t="s">
        <v>6256</v>
      </c>
      <c r="S881" t="s">
        <v>6256</v>
      </c>
      <c r="T881" t="s">
        <v>6257</v>
      </c>
      <c r="U881" t="s">
        <v>6257</v>
      </c>
      <c r="V881" t="s">
        <v>937</v>
      </c>
      <c r="W881" t="s">
        <v>1714</v>
      </c>
      <c r="X881" t="s">
        <v>5266</v>
      </c>
      <c r="Y881" t="s">
        <v>5266</v>
      </c>
      <c r="Z881" t="s">
        <v>6258</v>
      </c>
      <c r="AA881" t="s">
        <v>6258</v>
      </c>
      <c r="AB881" s="2">
        <v>-6.4000000000000003E-3</v>
      </c>
      <c r="AC881" s="2">
        <v>-3.7999999999999999E-2</v>
      </c>
      <c r="AD881" s="2">
        <v>-2.1000000000000001E-2</v>
      </c>
      <c r="AE881" s="2">
        <v>-3.7600000000000001E-2</v>
      </c>
      <c r="AF881" s="2">
        <v>-0.1085</v>
      </c>
      <c r="AG881" s="2">
        <v>-0.1085</v>
      </c>
      <c r="AH881" t="s">
        <v>6259</v>
      </c>
      <c r="AI881" t="s">
        <v>130</v>
      </c>
      <c r="AJ881" t="s">
        <v>131</v>
      </c>
      <c r="AK881" t="s">
        <v>40</v>
      </c>
      <c r="AL881">
        <v>2</v>
      </c>
      <c r="AM881" t="s">
        <v>41</v>
      </c>
      <c r="AN881" t="s">
        <v>42</v>
      </c>
      <c r="AO881" t="s">
        <v>6255</v>
      </c>
      <c r="AP881" t="s">
        <v>2489</v>
      </c>
      <c r="AQ881" t="s">
        <v>2489</v>
      </c>
      <c r="AR881" t="s">
        <v>133</v>
      </c>
      <c r="AS881" t="s">
        <v>133</v>
      </c>
    </row>
    <row r="882" spans="1:54" x14ac:dyDescent="0.4">
      <c r="A882" t="s">
        <v>4453</v>
      </c>
      <c r="B882" t="s">
        <v>10</v>
      </c>
      <c r="C882" t="s">
        <v>3415</v>
      </c>
      <c r="D882" t="s">
        <v>11</v>
      </c>
      <c r="E882" s="2">
        <v>-1E-4</v>
      </c>
      <c r="F882" t="s">
        <v>178</v>
      </c>
      <c r="G882" s="4">
        <f>-0.01 / -0.01%</f>
        <v>100</v>
      </c>
      <c r="H882" t="s">
        <v>3415</v>
      </c>
      <c r="I882" t="s">
        <v>6260</v>
      </c>
      <c r="J882" t="s">
        <v>6261</v>
      </c>
      <c r="K882" t="s">
        <v>23</v>
      </c>
      <c r="L882" s="2">
        <v>5.1999999999999998E-2</v>
      </c>
      <c r="M882" t="s">
        <v>6262</v>
      </c>
      <c r="N882" t="s">
        <v>121</v>
      </c>
      <c r="O882" t="s">
        <v>4743</v>
      </c>
      <c r="P882" t="s">
        <v>5869</v>
      </c>
      <c r="Q882" t="s">
        <v>5869</v>
      </c>
      <c r="R882" t="s">
        <v>5869</v>
      </c>
      <c r="S882" t="s">
        <v>5869</v>
      </c>
      <c r="T882" t="s">
        <v>5869</v>
      </c>
      <c r="U882" t="s">
        <v>5869</v>
      </c>
      <c r="V882" t="s">
        <v>4080</v>
      </c>
      <c r="W882" t="s">
        <v>6263</v>
      </c>
      <c r="X882" t="s">
        <v>2380</v>
      </c>
      <c r="Y882" t="s">
        <v>2380</v>
      </c>
      <c r="Z882" t="s">
        <v>2380</v>
      </c>
      <c r="AA882" t="s">
        <v>2380</v>
      </c>
      <c r="AB882" s="2">
        <v>-7.3000000000000001E-3</v>
      </c>
      <c r="AC882" s="2">
        <v>-2.2700000000000001E-2</v>
      </c>
      <c r="AD882" s="2">
        <v>-2.1100000000000001E-2</v>
      </c>
      <c r="AE882" s="2">
        <v>-2.1100000000000001E-2</v>
      </c>
      <c r="AF882" s="2">
        <v>-2.1100000000000001E-2</v>
      </c>
      <c r="AG882" s="2">
        <v>-2.1100000000000001E-2</v>
      </c>
      <c r="AH882" t="s">
        <v>6259</v>
      </c>
      <c r="AI882" t="s">
        <v>130</v>
      </c>
      <c r="AJ882" t="s">
        <v>131</v>
      </c>
      <c r="AK882" t="s">
        <v>40</v>
      </c>
      <c r="AL882">
        <v>2</v>
      </c>
      <c r="AM882" t="s">
        <v>41</v>
      </c>
      <c r="AN882" t="s">
        <v>42</v>
      </c>
      <c r="AO882" t="s">
        <v>4743</v>
      </c>
      <c r="AP882" t="s">
        <v>4863</v>
      </c>
      <c r="AQ882" t="s">
        <v>4863</v>
      </c>
      <c r="AR882" t="s">
        <v>133</v>
      </c>
      <c r="AS882" t="s">
        <v>133</v>
      </c>
    </row>
    <row r="883" spans="1:54" x14ac:dyDescent="0.4">
      <c r="A883" t="s">
        <v>4453</v>
      </c>
      <c r="B883" t="s">
        <v>10</v>
      </c>
      <c r="C883" t="s">
        <v>2061</v>
      </c>
      <c r="D883" t="s">
        <v>11</v>
      </c>
      <c r="E883" s="2">
        <v>3.0999999999999999E-3</v>
      </c>
      <c r="F883" t="s">
        <v>178</v>
      </c>
      <c r="G883" s="4" t="s">
        <v>5183</v>
      </c>
      <c r="H883" t="s">
        <v>2061</v>
      </c>
      <c r="I883" t="s">
        <v>5184</v>
      </c>
      <c r="J883" t="s">
        <v>5185</v>
      </c>
      <c r="K883" t="s">
        <v>23</v>
      </c>
      <c r="L883" s="2">
        <v>0.10117</v>
      </c>
      <c r="M883" t="s">
        <v>5186</v>
      </c>
      <c r="N883" t="s">
        <v>121</v>
      </c>
      <c r="O883" t="s">
        <v>5187</v>
      </c>
      <c r="P883" t="s">
        <v>2510</v>
      </c>
      <c r="Q883" t="s">
        <v>2510</v>
      </c>
      <c r="R883" t="s">
        <v>868</v>
      </c>
      <c r="S883" t="s">
        <v>2092</v>
      </c>
      <c r="T883" t="s">
        <v>2092</v>
      </c>
      <c r="U883" t="s">
        <v>2092</v>
      </c>
      <c r="V883" t="s">
        <v>548</v>
      </c>
      <c r="W883" t="s">
        <v>3625</v>
      </c>
      <c r="X883" t="s">
        <v>833</v>
      </c>
      <c r="Y883" t="s">
        <v>833</v>
      </c>
      <c r="Z883" t="s">
        <v>833</v>
      </c>
      <c r="AA883" t="s">
        <v>833</v>
      </c>
      <c r="AB883" s="2">
        <v>-6.1000000000000004E-3</v>
      </c>
      <c r="AC883" s="2">
        <v>-1.0699999999999999E-2</v>
      </c>
      <c r="AD883" s="2">
        <v>1.9E-2</v>
      </c>
      <c r="AE883" s="2">
        <v>4.3900000000000002E-2</v>
      </c>
      <c r="AF883" s="2">
        <v>4.3900000000000002E-2</v>
      </c>
      <c r="AG883" s="2">
        <v>4.3900000000000002E-2</v>
      </c>
      <c r="AH883" t="s">
        <v>5188</v>
      </c>
      <c r="AI883" t="s">
        <v>130</v>
      </c>
      <c r="AJ883" t="s">
        <v>131</v>
      </c>
      <c r="AK883" t="s">
        <v>40</v>
      </c>
      <c r="AL883">
        <v>200</v>
      </c>
      <c r="AM883" t="s">
        <v>41</v>
      </c>
      <c r="AN883" t="s">
        <v>42</v>
      </c>
      <c r="AO883" t="s">
        <v>5187</v>
      </c>
      <c r="AP883" t="s">
        <v>5189</v>
      </c>
      <c r="AQ883">
        <v>200</v>
      </c>
      <c r="BA883" t="s">
        <v>197</v>
      </c>
      <c r="BB883" t="s">
        <v>61</v>
      </c>
    </row>
    <row r="884" spans="1:54" x14ac:dyDescent="0.4">
      <c r="A884" t="s">
        <v>4518</v>
      </c>
      <c r="B884" t="s">
        <v>10</v>
      </c>
      <c r="C884" t="s">
        <v>1437</v>
      </c>
      <c r="D884" t="s">
        <v>11</v>
      </c>
      <c r="E884" s="2">
        <v>-3.8E-3</v>
      </c>
      <c r="F884" t="s">
        <v>12</v>
      </c>
      <c r="G884" s="4">
        <f>-0.34 / -0.38%</f>
        <v>89.473684210526329</v>
      </c>
      <c r="H884" t="s">
        <v>1437</v>
      </c>
      <c r="I884" t="s">
        <v>5659</v>
      </c>
      <c r="J884" t="s">
        <v>5660</v>
      </c>
      <c r="K884" t="s">
        <v>23</v>
      </c>
      <c r="L884" s="2">
        <v>5.1499999999999997E-2</v>
      </c>
      <c r="M884" t="s">
        <v>3669</v>
      </c>
      <c r="N884" t="s">
        <v>121</v>
      </c>
      <c r="O884" t="s">
        <v>5661</v>
      </c>
      <c r="P884" t="s">
        <v>2841</v>
      </c>
      <c r="Q884" t="s">
        <v>2841</v>
      </c>
      <c r="R884" t="s">
        <v>2841</v>
      </c>
      <c r="S884" t="s">
        <v>1890</v>
      </c>
      <c r="T884" t="s">
        <v>5662</v>
      </c>
      <c r="U884" t="s">
        <v>5662</v>
      </c>
      <c r="V884" t="s">
        <v>5663</v>
      </c>
      <c r="W884" t="s">
        <v>3042</v>
      </c>
      <c r="X884" t="s">
        <v>5664</v>
      </c>
      <c r="Y884" t="s">
        <v>5664</v>
      </c>
      <c r="Z884" t="s">
        <v>5665</v>
      </c>
      <c r="AA884" t="s">
        <v>5666</v>
      </c>
      <c r="AB884" s="2">
        <v>-1.5299999999999999E-2</v>
      </c>
      <c r="AC884" s="2">
        <v>-2.5700000000000001E-2</v>
      </c>
      <c r="AD884" s="2">
        <v>8.0000000000000002E-3</v>
      </c>
      <c r="AE884" s="2">
        <v>-9.2999999999999992E-3</v>
      </c>
      <c r="AF884" s="2">
        <v>-9.3700000000000006E-2</v>
      </c>
      <c r="AG884" s="2">
        <v>-0.28860000000000002</v>
      </c>
      <c r="AH884" t="s">
        <v>5667</v>
      </c>
      <c r="AI884" t="s">
        <v>130</v>
      </c>
      <c r="AJ884" t="s">
        <v>131</v>
      </c>
      <c r="AK884" t="s">
        <v>40</v>
      </c>
      <c r="AL884">
        <v>2</v>
      </c>
      <c r="AM884" t="s">
        <v>41</v>
      </c>
      <c r="AN884" t="s">
        <v>42</v>
      </c>
      <c r="AO884" t="s">
        <v>5661</v>
      </c>
      <c r="AP884" t="s">
        <v>225</v>
      </c>
      <c r="AQ884" t="s">
        <v>225</v>
      </c>
      <c r="AR884" t="s">
        <v>133</v>
      </c>
      <c r="AS884" t="s">
        <v>133</v>
      </c>
    </row>
    <row r="885" spans="1:54" x14ac:dyDescent="0.4">
      <c r="A885" t="s">
        <v>1450</v>
      </c>
      <c r="B885" t="s">
        <v>10</v>
      </c>
      <c r="C885" t="s">
        <v>721</v>
      </c>
      <c r="D885" t="s">
        <v>11</v>
      </c>
      <c r="E885" s="2">
        <v>1.09E-2</v>
      </c>
      <c r="F885" t="s">
        <v>12</v>
      </c>
      <c r="G885" s="4" t="s">
        <v>3145</v>
      </c>
      <c r="H885" t="s">
        <v>721</v>
      </c>
      <c r="I885" t="s">
        <v>3146</v>
      </c>
      <c r="J885" t="s">
        <v>3147</v>
      </c>
      <c r="K885" t="s">
        <v>23</v>
      </c>
      <c r="L885" s="2">
        <v>3.125E-2</v>
      </c>
      <c r="M885" t="s">
        <v>3148</v>
      </c>
      <c r="N885" t="s">
        <v>28</v>
      </c>
      <c r="O885" t="s">
        <v>3149</v>
      </c>
      <c r="P885" t="s">
        <v>391</v>
      </c>
      <c r="Q885" t="s">
        <v>1430</v>
      </c>
      <c r="R885" t="s">
        <v>2586</v>
      </c>
      <c r="S885" s="1">
        <v>81105</v>
      </c>
      <c r="T885" t="s">
        <v>2122</v>
      </c>
      <c r="U885" t="s">
        <v>2122</v>
      </c>
      <c r="V885" t="s">
        <v>3150</v>
      </c>
      <c r="W885" t="s">
        <v>3151</v>
      </c>
      <c r="X885" t="s">
        <v>1121</v>
      </c>
      <c r="Y885" t="s">
        <v>1121</v>
      </c>
      <c r="Z885" t="s">
        <v>1440</v>
      </c>
      <c r="AA885" t="s">
        <v>1496</v>
      </c>
      <c r="AB885" s="2">
        <v>3.61E-2</v>
      </c>
      <c r="AC885" s="2">
        <v>-5.4000000000000003E-3</v>
      </c>
      <c r="AD885" s="2">
        <v>1.9800000000000002E-2</v>
      </c>
      <c r="AE885" s="2">
        <v>0.1244</v>
      </c>
      <c r="AF885" s="2">
        <v>-2.12E-2</v>
      </c>
      <c r="AG885" s="2">
        <v>-0.09</v>
      </c>
      <c r="AH885" t="s">
        <v>3152</v>
      </c>
      <c r="AI885" t="s">
        <v>130</v>
      </c>
      <c r="AJ885" t="s">
        <v>131</v>
      </c>
      <c r="AK885" t="s">
        <v>40</v>
      </c>
      <c r="AL885">
        <v>500</v>
      </c>
      <c r="AM885" t="s">
        <v>41</v>
      </c>
      <c r="AN885" t="s">
        <v>42</v>
      </c>
      <c r="AO885" t="s">
        <v>3149</v>
      </c>
      <c r="AP885" t="s">
        <v>3153</v>
      </c>
      <c r="AQ885">
        <v>500</v>
      </c>
      <c r="BA885" t="s">
        <v>174</v>
      </c>
      <c r="BB885" t="s">
        <v>61</v>
      </c>
    </row>
    <row r="886" spans="1:54" x14ac:dyDescent="0.4">
      <c r="A886" t="s">
        <v>1450</v>
      </c>
      <c r="B886" t="s">
        <v>10</v>
      </c>
      <c r="C886" t="s">
        <v>631</v>
      </c>
      <c r="D886" t="s">
        <v>11</v>
      </c>
      <c r="E886" s="2">
        <v>0</v>
      </c>
      <c r="F886" t="s">
        <v>12</v>
      </c>
      <c r="G886" s="4" t="s">
        <v>15</v>
      </c>
      <c r="H886" t="s">
        <v>631</v>
      </c>
      <c r="I886" t="s">
        <v>4090</v>
      </c>
      <c r="J886" t="s">
        <v>4091</v>
      </c>
      <c r="K886" t="s">
        <v>23</v>
      </c>
      <c r="L886" s="2">
        <v>7.0000000000000007E-2</v>
      </c>
      <c r="M886" t="s">
        <v>4092</v>
      </c>
      <c r="N886" t="s">
        <v>28</v>
      </c>
      <c r="O886" t="s">
        <v>4093</v>
      </c>
      <c r="P886" t="s">
        <v>1912</v>
      </c>
      <c r="Q886" t="s">
        <v>2708</v>
      </c>
      <c r="R886" t="s">
        <v>2708</v>
      </c>
      <c r="S886" t="s">
        <v>2708</v>
      </c>
      <c r="T886" t="s">
        <v>2708</v>
      </c>
      <c r="U886" t="s">
        <v>2708</v>
      </c>
      <c r="V886" t="s">
        <v>1296</v>
      </c>
      <c r="W886" t="s">
        <v>590</v>
      </c>
      <c r="X886" t="s">
        <v>3420</v>
      </c>
      <c r="Y886" t="s">
        <v>3420</v>
      </c>
      <c r="Z886" t="s">
        <v>3420</v>
      </c>
      <c r="AA886" t="s">
        <v>3420</v>
      </c>
      <c r="AB886" s="2">
        <v>1.09E-2</v>
      </c>
      <c r="AC886" s="2">
        <v>-7.0000000000000007E-2</v>
      </c>
      <c r="AD886" s="2">
        <v>-5.0999999999999997E-2</v>
      </c>
      <c r="AE886" s="2">
        <v>-5.0999999999999997E-2</v>
      </c>
      <c r="AF886" s="2">
        <v>-5.0999999999999997E-2</v>
      </c>
      <c r="AG886" s="2">
        <v>-5.0999999999999997E-2</v>
      </c>
      <c r="AH886" t="s">
        <v>3152</v>
      </c>
      <c r="AI886" t="s">
        <v>130</v>
      </c>
      <c r="AJ886" t="s">
        <v>131</v>
      </c>
      <c r="AK886" t="s">
        <v>40</v>
      </c>
      <c r="AL886">
        <v>500</v>
      </c>
      <c r="AM886" t="s">
        <v>41</v>
      </c>
      <c r="AN886" t="s">
        <v>42</v>
      </c>
      <c r="AO886" t="s">
        <v>4093</v>
      </c>
      <c r="AS886" t="s">
        <v>48</v>
      </c>
      <c r="AT886" t="s">
        <v>2721</v>
      </c>
      <c r="AU886" t="s">
        <v>4094</v>
      </c>
    </row>
    <row r="887" spans="1:54" x14ac:dyDescent="0.4">
      <c r="A887" t="s">
        <v>4453</v>
      </c>
      <c r="B887" t="s">
        <v>10</v>
      </c>
      <c r="C887" t="s">
        <v>4902</v>
      </c>
      <c r="D887" t="s">
        <v>11</v>
      </c>
      <c r="E887" s="2">
        <v>0</v>
      </c>
      <c r="F887" t="s">
        <v>310</v>
      </c>
      <c r="G887" s="4" t="s">
        <v>15</v>
      </c>
      <c r="H887" t="s">
        <v>4902</v>
      </c>
      <c r="I887" t="s">
        <v>4903</v>
      </c>
      <c r="J887" t="s">
        <v>6471</v>
      </c>
      <c r="K887" t="s">
        <v>23</v>
      </c>
      <c r="L887" s="2">
        <v>2.5000000000000001E-3</v>
      </c>
      <c r="M887" t="s">
        <v>6472</v>
      </c>
      <c r="N887" t="s">
        <v>28</v>
      </c>
      <c r="O887" t="s">
        <v>6473</v>
      </c>
      <c r="P887" t="s">
        <v>6474</v>
      </c>
      <c r="Q887" t="s">
        <v>6475</v>
      </c>
      <c r="R887" t="s">
        <v>1423</v>
      </c>
      <c r="S887" t="s">
        <v>6139</v>
      </c>
      <c r="T887" t="s">
        <v>6476</v>
      </c>
      <c r="U887" t="s">
        <v>6477</v>
      </c>
      <c r="V887" t="s">
        <v>4902</v>
      </c>
      <c r="W887" t="s">
        <v>6044</v>
      </c>
      <c r="X887" t="s">
        <v>6044</v>
      </c>
      <c r="Y887" t="s">
        <v>6044</v>
      </c>
      <c r="Z887" t="s">
        <v>6044</v>
      </c>
      <c r="AA887" t="s">
        <v>6201</v>
      </c>
      <c r="AB887" s="2">
        <v>-4.0000000000000002E-4</v>
      </c>
      <c r="AC887" s="2">
        <v>7.1999999999999998E-3</v>
      </c>
      <c r="AD887" s="2">
        <v>3.0700000000000002E-2</v>
      </c>
      <c r="AE887" s="2">
        <v>5.8599999999999999E-2</v>
      </c>
      <c r="AF887" s="2">
        <v>0.10150000000000001</v>
      </c>
      <c r="AG887" s="2">
        <v>-4.7E-2</v>
      </c>
      <c r="AH887" t="s">
        <v>6478</v>
      </c>
      <c r="AI887" t="s">
        <v>130</v>
      </c>
      <c r="AJ887" t="s">
        <v>131</v>
      </c>
      <c r="AK887" t="s">
        <v>40</v>
      </c>
      <c r="AL887">
        <v>200</v>
      </c>
      <c r="AM887" t="s">
        <v>41</v>
      </c>
      <c r="AN887" t="s">
        <v>42</v>
      </c>
      <c r="AO887" t="s">
        <v>6473</v>
      </c>
      <c r="AP887" t="s">
        <v>500</v>
      </c>
      <c r="AQ887">
        <v>200</v>
      </c>
      <c r="BA887" t="s">
        <v>197</v>
      </c>
      <c r="BB887" t="s">
        <v>61</v>
      </c>
    </row>
    <row r="888" spans="1:54" x14ac:dyDescent="0.4">
      <c r="A888" t="s">
        <v>161</v>
      </c>
      <c r="B888" t="s">
        <v>10</v>
      </c>
      <c r="C888" t="s">
        <v>3314</v>
      </c>
      <c r="D888" t="s">
        <v>11</v>
      </c>
      <c r="E888" s="2">
        <v>2.8E-3</v>
      </c>
      <c r="F888" t="s">
        <v>12</v>
      </c>
      <c r="G888" s="4" t="s">
        <v>908</v>
      </c>
      <c r="H888" t="s">
        <v>3314</v>
      </c>
      <c r="I888" t="s">
        <v>6856</v>
      </c>
      <c r="J888" t="s">
        <v>6857</v>
      </c>
      <c r="K888" t="s">
        <v>23</v>
      </c>
      <c r="L888" s="2">
        <v>4.2819999999999997E-2</v>
      </c>
      <c r="M888" t="s">
        <v>6858</v>
      </c>
      <c r="N888" t="s">
        <v>121</v>
      </c>
      <c r="O888" t="s">
        <v>6859</v>
      </c>
      <c r="P888" t="s">
        <v>6860</v>
      </c>
      <c r="Q888" t="s">
        <v>6860</v>
      </c>
      <c r="R888" t="s">
        <v>6860</v>
      </c>
      <c r="S888" t="s">
        <v>463</v>
      </c>
      <c r="T888" t="s">
        <v>6861</v>
      </c>
      <c r="U888" t="s">
        <v>6861</v>
      </c>
      <c r="V888" t="s">
        <v>3314</v>
      </c>
      <c r="W888" t="s">
        <v>1473</v>
      </c>
      <c r="X888" t="s">
        <v>2413</v>
      </c>
      <c r="Y888" t="s">
        <v>2413</v>
      </c>
      <c r="Z888" t="s">
        <v>2413</v>
      </c>
      <c r="AA888" t="s">
        <v>4123</v>
      </c>
      <c r="AB888" s="2">
        <v>3.3E-3</v>
      </c>
      <c r="AC888" s="2">
        <v>-1.2999999999999999E-3</v>
      </c>
      <c r="AD888" s="2">
        <v>1.2200000000000001E-2</v>
      </c>
      <c r="AE888" s="2">
        <v>1.6199999999999999E-2</v>
      </c>
      <c r="AF888" s="2">
        <v>0.1348</v>
      </c>
      <c r="AG888" s="2">
        <v>-8.2299999999999998E-2</v>
      </c>
      <c r="AH888" t="s">
        <v>6478</v>
      </c>
      <c r="AI888" t="s">
        <v>130</v>
      </c>
      <c r="AJ888" t="s">
        <v>131</v>
      </c>
      <c r="AK888" t="s">
        <v>40</v>
      </c>
      <c r="AL888">
        <v>250</v>
      </c>
      <c r="AM888" t="s">
        <v>41</v>
      </c>
      <c r="AN888" t="s">
        <v>42</v>
      </c>
      <c r="AO888" t="s">
        <v>6859</v>
      </c>
      <c r="AP888" t="s">
        <v>5182</v>
      </c>
      <c r="AQ888" t="s">
        <v>5182</v>
      </c>
      <c r="AR888" t="s">
        <v>133</v>
      </c>
      <c r="AS888" t="s">
        <v>133</v>
      </c>
    </row>
    <row r="889" spans="1:54" x14ac:dyDescent="0.4">
      <c r="A889" t="s">
        <v>3337</v>
      </c>
      <c r="B889" t="s">
        <v>10</v>
      </c>
      <c r="C889" t="s">
        <v>3338</v>
      </c>
      <c r="D889" t="s">
        <v>11</v>
      </c>
      <c r="E889" s="2">
        <v>4.4000000000000003E-3</v>
      </c>
      <c r="F889" t="s">
        <v>12</v>
      </c>
      <c r="G889" s="4" t="s">
        <v>3339</v>
      </c>
      <c r="H889" t="s">
        <v>3338</v>
      </c>
      <c r="I889" t="s">
        <v>3340</v>
      </c>
      <c r="J889" t="s">
        <v>3341</v>
      </c>
      <c r="K889" t="s">
        <v>23</v>
      </c>
      <c r="L889" s="2">
        <v>5.3749999999999999E-2</v>
      </c>
      <c r="M889" t="s">
        <v>3342</v>
      </c>
      <c r="N889" t="s">
        <v>28</v>
      </c>
      <c r="O889" t="s">
        <v>3343</v>
      </c>
      <c r="P889" t="s">
        <v>3344</v>
      </c>
      <c r="Q889" t="s">
        <v>3344</v>
      </c>
      <c r="R889" t="s">
        <v>2898</v>
      </c>
      <c r="S889" t="s">
        <v>2505</v>
      </c>
      <c r="T889" t="s">
        <v>3135</v>
      </c>
      <c r="U889" t="s">
        <v>3135</v>
      </c>
      <c r="V889" t="s">
        <v>3345</v>
      </c>
      <c r="W889" t="s">
        <v>3346</v>
      </c>
      <c r="X889" t="s">
        <v>3346</v>
      </c>
      <c r="Y889" t="s">
        <v>3346</v>
      </c>
      <c r="Z889" t="s">
        <v>3346</v>
      </c>
      <c r="AA889" t="s">
        <v>3346</v>
      </c>
      <c r="AB889" s="2">
        <v>-6.7999999999999996E-3</v>
      </c>
      <c r="AC889" s="2">
        <v>0.01</v>
      </c>
      <c r="AD889" s="2">
        <v>2.5399999999999999E-2</v>
      </c>
      <c r="AE889" s="2">
        <v>3.0499999999999999E-2</v>
      </c>
      <c r="AF889" s="2">
        <v>9.3100000000000002E-2</v>
      </c>
      <c r="AG889" s="2">
        <v>9.3100000000000002E-2</v>
      </c>
      <c r="AH889" t="s">
        <v>1985</v>
      </c>
      <c r="AI889" t="s">
        <v>130</v>
      </c>
      <c r="AJ889" t="s">
        <v>131</v>
      </c>
      <c r="AK889" t="s">
        <v>40</v>
      </c>
      <c r="AL889">
        <v>1</v>
      </c>
      <c r="AM889" t="s">
        <v>41</v>
      </c>
      <c r="AN889" t="s">
        <v>42</v>
      </c>
      <c r="AO889" t="s">
        <v>3343</v>
      </c>
      <c r="AP889" t="s">
        <v>3347</v>
      </c>
      <c r="AQ889" t="s">
        <v>3347</v>
      </c>
      <c r="AR889" t="s">
        <v>48</v>
      </c>
      <c r="AS889" t="s">
        <v>48</v>
      </c>
    </row>
    <row r="890" spans="1:54" x14ac:dyDescent="0.4">
      <c r="A890" t="s">
        <v>1978</v>
      </c>
      <c r="B890" t="s">
        <v>10</v>
      </c>
      <c r="C890" t="s">
        <v>1979</v>
      </c>
      <c r="D890" t="s">
        <v>11</v>
      </c>
      <c r="E890" s="2">
        <v>4.7000000000000002E-3</v>
      </c>
      <c r="F890" t="s">
        <v>310</v>
      </c>
      <c r="G890" s="4" t="s">
        <v>1980</v>
      </c>
      <c r="H890" t="s">
        <v>1979</v>
      </c>
      <c r="I890" t="s">
        <v>1981</v>
      </c>
      <c r="J890" t="s">
        <v>1982</v>
      </c>
      <c r="K890" t="s">
        <v>23</v>
      </c>
      <c r="L890" s="2">
        <v>4.4999999999999998E-2</v>
      </c>
      <c r="M890" t="s">
        <v>1983</v>
      </c>
      <c r="N890" t="s">
        <v>28</v>
      </c>
      <c r="O890" t="s">
        <v>1175</v>
      </c>
      <c r="P890" t="s">
        <v>368</v>
      </c>
      <c r="Q890" t="s">
        <v>368</v>
      </c>
      <c r="R890" t="s">
        <v>368</v>
      </c>
      <c r="S890" t="s">
        <v>368</v>
      </c>
      <c r="T890" t="s">
        <v>368</v>
      </c>
      <c r="U890" t="s">
        <v>368</v>
      </c>
      <c r="V890" t="s">
        <v>1984</v>
      </c>
      <c r="W890" t="s">
        <v>1984</v>
      </c>
      <c r="X890" t="s">
        <v>1984</v>
      </c>
      <c r="Y890" t="s">
        <v>1984</v>
      </c>
      <c r="Z890" t="s">
        <v>1984</v>
      </c>
      <c r="AA890" t="s">
        <v>1984</v>
      </c>
      <c r="AB890" s="2">
        <v>-1.6000000000000001E-3</v>
      </c>
      <c r="AC890" s="2">
        <v>-1.6000000000000001E-3</v>
      </c>
      <c r="AD890" s="2">
        <v>-1.6000000000000001E-3</v>
      </c>
      <c r="AE890" s="2">
        <v>-1.6000000000000001E-3</v>
      </c>
      <c r="AF890" s="2">
        <v>-1.6000000000000001E-3</v>
      </c>
      <c r="AG890" s="2">
        <v>-1.6000000000000001E-3</v>
      </c>
      <c r="AH890" t="s">
        <v>1985</v>
      </c>
      <c r="AI890" t="s">
        <v>130</v>
      </c>
      <c r="AJ890" t="s">
        <v>131</v>
      </c>
      <c r="AK890" t="s">
        <v>40</v>
      </c>
      <c r="AL890">
        <v>1</v>
      </c>
      <c r="AM890" t="s">
        <v>41</v>
      </c>
      <c r="AN890" t="s">
        <v>42</v>
      </c>
      <c r="AO890" t="s">
        <v>1175</v>
      </c>
      <c r="AP890" t="s">
        <v>500</v>
      </c>
      <c r="AQ890" t="s">
        <v>500</v>
      </c>
      <c r="AR890" t="s">
        <v>48</v>
      </c>
      <c r="AS890" t="s">
        <v>48</v>
      </c>
    </row>
    <row r="891" spans="1:54" x14ac:dyDescent="0.4">
      <c r="A891" t="s">
        <v>9</v>
      </c>
      <c r="B891" t="s">
        <v>10</v>
      </c>
      <c r="C891" t="s">
        <v>3652</v>
      </c>
      <c r="D891" t="s">
        <v>11</v>
      </c>
      <c r="E891" s="2">
        <v>8.9999999999999998E-4</v>
      </c>
      <c r="F891" t="s">
        <v>12</v>
      </c>
      <c r="G891" s="4" t="s">
        <v>3653</v>
      </c>
      <c r="H891" t="s">
        <v>3652</v>
      </c>
      <c r="I891" t="s">
        <v>3654</v>
      </c>
      <c r="J891" t="s">
        <v>3655</v>
      </c>
      <c r="K891" t="s">
        <v>23</v>
      </c>
      <c r="L891" s="2">
        <v>1.7500000000000002E-2</v>
      </c>
      <c r="M891" t="s">
        <v>3656</v>
      </c>
      <c r="N891" t="s">
        <v>28</v>
      </c>
      <c r="O891" t="s">
        <v>3657</v>
      </c>
      <c r="P891" t="s">
        <v>3658</v>
      </c>
      <c r="Q891" t="s">
        <v>3658</v>
      </c>
      <c r="R891" t="s">
        <v>3659</v>
      </c>
      <c r="S891" t="s">
        <v>3660</v>
      </c>
      <c r="T891" t="s">
        <v>3661</v>
      </c>
      <c r="U891" t="s">
        <v>3662</v>
      </c>
      <c r="V891" t="s">
        <v>3663</v>
      </c>
      <c r="W891" t="s">
        <v>3664</v>
      </c>
      <c r="X891" t="s">
        <v>3664</v>
      </c>
      <c r="Y891" t="s">
        <v>3664</v>
      </c>
      <c r="Z891" t="s">
        <v>3664</v>
      </c>
      <c r="AA891" t="s">
        <v>3665</v>
      </c>
      <c r="AB891" s="2">
        <v>-1.67E-2</v>
      </c>
      <c r="AC891" s="2">
        <v>7.9000000000000008E-3</v>
      </c>
      <c r="AD891" s="2">
        <v>3.1300000000000001E-2</v>
      </c>
      <c r="AE891" s="2">
        <v>4.9599999999999998E-2</v>
      </c>
      <c r="AF891" s="2">
        <v>0.1065</v>
      </c>
      <c r="AG891" s="2">
        <v>-0.23849999999999999</v>
      </c>
      <c r="AH891" t="s">
        <v>1985</v>
      </c>
      <c r="AI891" t="s">
        <v>130</v>
      </c>
      <c r="AJ891" t="s">
        <v>131</v>
      </c>
      <c r="AK891" t="s">
        <v>40</v>
      </c>
      <c r="AL891">
        <v>1</v>
      </c>
      <c r="AM891" t="s">
        <v>41</v>
      </c>
      <c r="AN891" t="s">
        <v>42</v>
      </c>
      <c r="AO891" t="s">
        <v>3657</v>
      </c>
      <c r="AP891" t="s">
        <v>500</v>
      </c>
      <c r="AQ891" t="s">
        <v>500</v>
      </c>
      <c r="AR891" t="s">
        <v>48</v>
      </c>
      <c r="AS891" t="s">
        <v>48</v>
      </c>
    </row>
    <row r="892" spans="1:54" x14ac:dyDescent="0.4">
      <c r="A892" t="s">
        <v>1450</v>
      </c>
      <c r="B892" t="s">
        <v>10</v>
      </c>
      <c r="C892" t="s">
        <v>6469</v>
      </c>
      <c r="D892" t="s">
        <v>11</v>
      </c>
      <c r="E892" s="2">
        <v>2.0999999999999999E-3</v>
      </c>
      <c r="F892" t="s">
        <v>12</v>
      </c>
      <c r="G892" s="4" t="s">
        <v>7510</v>
      </c>
      <c r="H892" t="s">
        <v>6469</v>
      </c>
      <c r="I892" t="s">
        <v>7511</v>
      </c>
      <c r="J892" t="s">
        <v>7512</v>
      </c>
      <c r="K892" t="s">
        <v>23</v>
      </c>
      <c r="L892" s="2">
        <v>5.0000000000000001E-3</v>
      </c>
      <c r="M892" t="s">
        <v>2405</v>
      </c>
      <c r="N892" t="s">
        <v>28</v>
      </c>
      <c r="O892" t="s">
        <v>922</v>
      </c>
      <c r="P892" t="s">
        <v>962</v>
      </c>
      <c r="Q892" t="s">
        <v>7513</v>
      </c>
      <c r="R892" t="s">
        <v>7514</v>
      </c>
      <c r="S892" t="s">
        <v>7515</v>
      </c>
      <c r="T892" t="s">
        <v>7516</v>
      </c>
      <c r="U892" t="s">
        <v>7517</v>
      </c>
      <c r="V892" t="s">
        <v>769</v>
      </c>
      <c r="W892" t="s">
        <v>7518</v>
      </c>
      <c r="X892" t="s">
        <v>7518</v>
      </c>
      <c r="Y892" t="s">
        <v>7518</v>
      </c>
      <c r="Z892" t="s">
        <v>7518</v>
      </c>
      <c r="AA892" t="s">
        <v>1553</v>
      </c>
      <c r="AB892" s="2">
        <v>2.5000000000000001E-3</v>
      </c>
      <c r="AC892" s="2">
        <v>1.5699999999999999E-2</v>
      </c>
      <c r="AD892" s="2">
        <v>5.3400000000000003E-2</v>
      </c>
      <c r="AE892" s="2">
        <v>8.1299999999999997E-2</v>
      </c>
      <c r="AF892" s="2">
        <v>0.16689999999999999</v>
      </c>
      <c r="AG892" s="2">
        <v>-0.12670000000000001</v>
      </c>
      <c r="AH892" t="s">
        <v>1985</v>
      </c>
      <c r="AI892" t="s">
        <v>130</v>
      </c>
      <c r="AJ892" t="s">
        <v>131</v>
      </c>
      <c r="AK892" t="s">
        <v>40</v>
      </c>
      <c r="AL892">
        <v>1</v>
      </c>
      <c r="AM892" t="s">
        <v>41</v>
      </c>
      <c r="AN892" t="s">
        <v>42</v>
      </c>
      <c r="AO892" t="s">
        <v>922</v>
      </c>
      <c r="AP892" t="s">
        <v>193</v>
      </c>
      <c r="AQ892" t="s">
        <v>193</v>
      </c>
      <c r="AR892" t="s">
        <v>48</v>
      </c>
      <c r="AS892" t="s">
        <v>48</v>
      </c>
    </row>
    <row r="893" spans="1:54" x14ac:dyDescent="0.4">
      <c r="A893" t="s">
        <v>296</v>
      </c>
      <c r="B893" t="s">
        <v>10</v>
      </c>
      <c r="C893" t="s">
        <v>4049</v>
      </c>
      <c r="D893" t="s">
        <v>11</v>
      </c>
      <c r="E893" s="2">
        <v>2.5000000000000001E-3</v>
      </c>
      <c r="F893" t="s">
        <v>12</v>
      </c>
      <c r="G893" s="4" t="s">
        <v>4050</v>
      </c>
      <c r="H893" t="s">
        <v>4049</v>
      </c>
      <c r="I893" t="s">
        <v>4051</v>
      </c>
      <c r="J893" t="s">
        <v>4052</v>
      </c>
      <c r="K893" t="s">
        <v>23</v>
      </c>
      <c r="L893" s="2">
        <v>7.6249999999999998E-2</v>
      </c>
      <c r="M893" t="s">
        <v>4053</v>
      </c>
      <c r="N893" t="s">
        <v>121</v>
      </c>
      <c r="O893" t="s">
        <v>4054</v>
      </c>
      <c r="P893" t="s">
        <v>4055</v>
      </c>
      <c r="Q893" t="s">
        <v>4055</v>
      </c>
      <c r="R893" t="s">
        <v>4055</v>
      </c>
      <c r="S893" t="s">
        <v>4055</v>
      </c>
      <c r="T893" t="s">
        <v>111</v>
      </c>
      <c r="U893" t="s">
        <v>4056</v>
      </c>
      <c r="V893" t="s">
        <v>4057</v>
      </c>
      <c r="W893" t="s">
        <v>4058</v>
      </c>
      <c r="X893" t="s">
        <v>4059</v>
      </c>
      <c r="Y893" t="s">
        <v>4059</v>
      </c>
      <c r="Z893" t="s">
        <v>4060</v>
      </c>
      <c r="AA893" t="s">
        <v>4061</v>
      </c>
      <c r="AB893" s="2">
        <v>3.0999999999999999E-3</v>
      </c>
      <c r="AC893" s="2">
        <v>-4.1399999999999999E-2</v>
      </c>
      <c r="AD893" s="2">
        <v>-2.7400000000000001E-2</v>
      </c>
      <c r="AE893" s="2">
        <v>-2.6499999999999999E-2</v>
      </c>
      <c r="AF893" s="2">
        <v>-1.2699999999999999E-2</v>
      </c>
      <c r="AG893" s="2">
        <v>-0.30280000000000001</v>
      </c>
      <c r="AH893" t="s">
        <v>1985</v>
      </c>
      <c r="AI893" t="s">
        <v>130</v>
      </c>
      <c r="AJ893" t="s">
        <v>131</v>
      </c>
      <c r="AK893" t="s">
        <v>40</v>
      </c>
      <c r="AL893">
        <v>2</v>
      </c>
      <c r="AM893" t="s">
        <v>41</v>
      </c>
      <c r="AN893" t="s">
        <v>42</v>
      </c>
      <c r="AO893" t="s">
        <v>4054</v>
      </c>
      <c r="AP893" t="s">
        <v>193</v>
      </c>
      <c r="AQ893" t="s">
        <v>193</v>
      </c>
      <c r="AR893" t="s">
        <v>133</v>
      </c>
      <c r="AS893" t="s">
        <v>133</v>
      </c>
    </row>
    <row r="894" spans="1:54" x14ac:dyDescent="0.4">
      <c r="A894" t="s">
        <v>115</v>
      </c>
      <c r="B894" t="s">
        <v>10</v>
      </c>
      <c r="C894" s="1">
        <v>99703</v>
      </c>
      <c r="D894" t="s">
        <v>11</v>
      </c>
      <c r="E894" s="2">
        <v>0</v>
      </c>
      <c r="F894" t="s">
        <v>12</v>
      </c>
      <c r="G894" s="4" t="s">
        <v>1414</v>
      </c>
      <c r="H894" s="1">
        <v>99703</v>
      </c>
      <c r="I894" t="s">
        <v>7166</v>
      </c>
      <c r="J894" t="s">
        <v>7167</v>
      </c>
      <c r="K894" t="s">
        <v>23</v>
      </c>
      <c r="L894" s="2">
        <v>1.2999999999999999E-2</v>
      </c>
      <c r="M894" t="s">
        <v>7026</v>
      </c>
      <c r="N894" t="s">
        <v>28</v>
      </c>
      <c r="O894" t="s">
        <v>4501</v>
      </c>
      <c r="P894" s="1">
        <v>99496</v>
      </c>
      <c r="Q894" s="1">
        <v>98896</v>
      </c>
      <c r="R894" t="s">
        <v>219</v>
      </c>
      <c r="S894" t="s">
        <v>1518</v>
      </c>
      <c r="T894" t="s">
        <v>463</v>
      </c>
      <c r="U894" t="s">
        <v>463</v>
      </c>
      <c r="V894" s="1">
        <v>99709</v>
      </c>
      <c r="W894" s="1">
        <v>99709</v>
      </c>
      <c r="X894" s="1">
        <v>99709</v>
      </c>
      <c r="Y894" s="1">
        <v>99709</v>
      </c>
      <c r="Z894" s="1">
        <v>99709</v>
      </c>
      <c r="AA894" t="s">
        <v>968</v>
      </c>
      <c r="AB894" s="2">
        <v>1.9E-3</v>
      </c>
      <c r="AC894" s="2">
        <v>7.6E-3</v>
      </c>
      <c r="AD894" s="2">
        <v>1.7899999999999999E-2</v>
      </c>
      <c r="AE894" s="2">
        <v>2.7300000000000001E-2</v>
      </c>
      <c r="AF894" s="2">
        <v>5.7299999999999997E-2</v>
      </c>
      <c r="AG894" s="2">
        <v>-2.1100000000000001E-2</v>
      </c>
      <c r="AH894" t="s">
        <v>7168</v>
      </c>
      <c r="AI894" t="s">
        <v>232</v>
      </c>
      <c r="AJ894" t="s">
        <v>131</v>
      </c>
      <c r="AK894" t="s">
        <v>40</v>
      </c>
      <c r="AL894">
        <v>1</v>
      </c>
      <c r="AM894" t="s">
        <v>41</v>
      </c>
      <c r="AN894" t="s">
        <v>42</v>
      </c>
      <c r="AO894" t="s">
        <v>4501</v>
      </c>
      <c r="AP894" t="s">
        <v>978</v>
      </c>
      <c r="AQ894" t="s">
        <v>1485</v>
      </c>
      <c r="AR894" t="s">
        <v>48</v>
      </c>
      <c r="AS894" t="s">
        <v>48</v>
      </c>
    </row>
    <row r="895" spans="1:54" x14ac:dyDescent="0.4">
      <c r="A895" t="s">
        <v>76</v>
      </c>
      <c r="B895" t="s">
        <v>10</v>
      </c>
      <c r="C895" t="s">
        <v>2261</v>
      </c>
      <c r="D895" t="s">
        <v>11</v>
      </c>
      <c r="E895" s="2">
        <v>-1.1000000000000001E-3</v>
      </c>
      <c r="F895" t="s">
        <v>12</v>
      </c>
      <c r="G895" s="4">
        <f>-0.11 / -0.11%</f>
        <v>100</v>
      </c>
      <c r="H895" t="s">
        <v>2261</v>
      </c>
      <c r="I895" t="s">
        <v>6964</v>
      </c>
      <c r="J895" t="s">
        <v>6965</v>
      </c>
      <c r="K895" t="s">
        <v>23</v>
      </c>
      <c r="L895" s="2">
        <v>1.7500000000000002E-2</v>
      </c>
      <c r="M895" t="s">
        <v>6966</v>
      </c>
      <c r="N895" t="s">
        <v>28</v>
      </c>
      <c r="O895" t="s">
        <v>2643</v>
      </c>
      <c r="P895" t="s">
        <v>6016</v>
      </c>
      <c r="Q895" t="s">
        <v>6016</v>
      </c>
      <c r="R895" t="s">
        <v>2973</v>
      </c>
      <c r="S895" s="1">
        <v>92995</v>
      </c>
      <c r="T895" t="s">
        <v>5116</v>
      </c>
      <c r="U895" t="s">
        <v>5116</v>
      </c>
      <c r="V895" t="s">
        <v>5225</v>
      </c>
      <c r="W895" t="s">
        <v>830</v>
      </c>
      <c r="X895" t="s">
        <v>830</v>
      </c>
      <c r="Y895" t="s">
        <v>830</v>
      </c>
      <c r="Z895" t="s">
        <v>830</v>
      </c>
      <c r="AA895" s="1">
        <v>102335</v>
      </c>
      <c r="AB895" s="2">
        <v>-7.1000000000000004E-3</v>
      </c>
      <c r="AC895" s="2">
        <v>-7.1000000000000004E-3</v>
      </c>
      <c r="AD895" s="2">
        <v>1.49E-2</v>
      </c>
      <c r="AE895" s="2">
        <v>2.1600000000000001E-2</v>
      </c>
      <c r="AF895" s="2">
        <v>2.53E-2</v>
      </c>
      <c r="AG895" s="2">
        <v>-3.5200000000000002E-2</v>
      </c>
      <c r="AH895" t="s">
        <v>6967</v>
      </c>
      <c r="AI895" t="s">
        <v>130</v>
      </c>
      <c r="AJ895" t="s">
        <v>131</v>
      </c>
      <c r="AK895" t="s">
        <v>40</v>
      </c>
      <c r="AL895">
        <v>100</v>
      </c>
      <c r="AM895" t="s">
        <v>41</v>
      </c>
      <c r="AN895" t="s">
        <v>42</v>
      </c>
      <c r="AO895" t="s">
        <v>2643</v>
      </c>
      <c r="AP895" t="s">
        <v>333</v>
      </c>
      <c r="AQ895" t="s">
        <v>333</v>
      </c>
      <c r="AR895" t="s">
        <v>48</v>
      </c>
      <c r="AS895" t="s">
        <v>48</v>
      </c>
    </row>
    <row r="896" spans="1:54" x14ac:dyDescent="0.4">
      <c r="A896" t="s">
        <v>9</v>
      </c>
      <c r="B896" t="s">
        <v>10</v>
      </c>
      <c r="C896" t="s">
        <v>4914</v>
      </c>
      <c r="D896" t="s">
        <v>11</v>
      </c>
      <c r="E896" s="2">
        <v>6.4999999999999997E-3</v>
      </c>
      <c r="F896" t="s">
        <v>12</v>
      </c>
      <c r="G896" s="4" t="s">
        <v>4915</v>
      </c>
      <c r="H896" t="s">
        <v>4914</v>
      </c>
      <c r="I896" t="s">
        <v>4916</v>
      </c>
      <c r="J896" t="s">
        <v>4917</v>
      </c>
      <c r="K896" t="s">
        <v>23</v>
      </c>
      <c r="L896" s="2">
        <v>3.4000000000000002E-2</v>
      </c>
      <c r="M896" t="s">
        <v>4201</v>
      </c>
      <c r="N896" t="s">
        <v>121</v>
      </c>
      <c r="O896" t="s">
        <v>4918</v>
      </c>
      <c r="P896" t="s">
        <v>4919</v>
      </c>
      <c r="Q896" t="s">
        <v>4919</v>
      </c>
      <c r="R896" t="s">
        <v>4919</v>
      </c>
      <c r="S896" t="s">
        <v>4919</v>
      </c>
      <c r="T896" t="s">
        <v>4920</v>
      </c>
      <c r="U896" t="s">
        <v>4920</v>
      </c>
      <c r="V896" t="s">
        <v>4921</v>
      </c>
      <c r="W896" t="s">
        <v>4922</v>
      </c>
      <c r="X896" t="s">
        <v>1048</v>
      </c>
      <c r="Y896" t="s">
        <v>1048</v>
      </c>
      <c r="Z896" t="s">
        <v>4923</v>
      </c>
      <c r="AA896" t="s">
        <v>4924</v>
      </c>
      <c r="AB896" s="2">
        <v>-6.1000000000000004E-3</v>
      </c>
      <c r="AC896" s="2">
        <v>-4.2799999999999998E-2</v>
      </c>
      <c r="AD896" s="2">
        <v>-2.87E-2</v>
      </c>
      <c r="AE896" s="2">
        <v>-7.0300000000000001E-2</v>
      </c>
      <c r="AF896" s="2">
        <v>-0.1255</v>
      </c>
      <c r="AG896" s="2">
        <v>-0.33179999999999998</v>
      </c>
      <c r="AH896" t="s">
        <v>4925</v>
      </c>
      <c r="AI896" t="s">
        <v>130</v>
      </c>
      <c r="AJ896" t="s">
        <v>131</v>
      </c>
      <c r="AK896" t="s">
        <v>40</v>
      </c>
      <c r="AL896">
        <v>2</v>
      </c>
      <c r="AM896" t="s">
        <v>41</v>
      </c>
      <c r="AN896" t="s">
        <v>42</v>
      </c>
      <c r="AO896" t="s">
        <v>4918</v>
      </c>
      <c r="AP896" t="s">
        <v>225</v>
      </c>
      <c r="AQ896" t="s">
        <v>225</v>
      </c>
      <c r="AR896" t="s">
        <v>133</v>
      </c>
      <c r="AS896" t="s">
        <v>133</v>
      </c>
    </row>
    <row r="897" spans="1:55" x14ac:dyDescent="0.4">
      <c r="A897" t="s">
        <v>115</v>
      </c>
      <c r="B897" t="s">
        <v>10</v>
      </c>
      <c r="C897" t="s">
        <v>116</v>
      </c>
      <c r="D897" t="s">
        <v>11</v>
      </c>
      <c r="E897" s="2">
        <v>1.6000000000000001E-3</v>
      </c>
      <c r="F897" t="s">
        <v>12</v>
      </c>
      <c r="G897" s="4" t="s">
        <v>117</v>
      </c>
      <c r="H897" t="s">
        <v>116</v>
      </c>
      <c r="I897" t="s">
        <v>118</v>
      </c>
      <c r="J897" t="s">
        <v>119</v>
      </c>
      <c r="K897" t="s">
        <v>23</v>
      </c>
      <c r="L897" s="2">
        <v>3.875E-2</v>
      </c>
      <c r="M897" t="s">
        <v>120</v>
      </c>
      <c r="N897" t="s">
        <v>121</v>
      </c>
      <c r="O897" t="s">
        <v>122</v>
      </c>
      <c r="P897" t="s">
        <v>123</v>
      </c>
      <c r="Q897" t="s">
        <v>123</v>
      </c>
      <c r="R897" t="s">
        <v>123</v>
      </c>
      <c r="S897" t="s">
        <v>124</v>
      </c>
      <c r="T897" t="s">
        <v>125</v>
      </c>
      <c r="U897" t="s">
        <v>125</v>
      </c>
      <c r="V897" t="s">
        <v>126</v>
      </c>
      <c r="W897" t="s">
        <v>127</v>
      </c>
      <c r="X897" t="s">
        <v>128</v>
      </c>
      <c r="Y897" t="s">
        <v>128</v>
      </c>
      <c r="Z897" t="s">
        <v>128</v>
      </c>
      <c r="AA897" t="s">
        <v>128</v>
      </c>
      <c r="AB897" s="2">
        <v>-2.8E-3</v>
      </c>
      <c r="AC897" s="2">
        <v>-2.9399999999999999E-2</v>
      </c>
      <c r="AD897" s="2">
        <v>-2.5100000000000001E-2</v>
      </c>
      <c r="AE897" s="2">
        <v>-3.0099999999999998E-2</v>
      </c>
      <c r="AF897" s="2">
        <v>-4.9099999999999998E-2</v>
      </c>
      <c r="AG897" s="2">
        <v>-4.9099999999999998E-2</v>
      </c>
      <c r="AH897" t="s">
        <v>129</v>
      </c>
      <c r="AI897" t="s">
        <v>130</v>
      </c>
      <c r="AJ897" t="s">
        <v>131</v>
      </c>
      <c r="AK897" t="s">
        <v>40</v>
      </c>
      <c r="AL897">
        <v>100</v>
      </c>
      <c r="AM897" t="s">
        <v>41</v>
      </c>
      <c r="AN897" t="s">
        <v>42</v>
      </c>
      <c r="AO897" t="s">
        <v>122</v>
      </c>
      <c r="AP897" t="s">
        <v>132</v>
      </c>
      <c r="AQ897" t="s">
        <v>132</v>
      </c>
      <c r="AR897" t="s">
        <v>133</v>
      </c>
      <c r="AS897" t="s">
        <v>133</v>
      </c>
      <c r="AT897" t="s">
        <v>134</v>
      </c>
      <c r="AU897" t="s">
        <v>135</v>
      </c>
      <c r="AZ897">
        <v>100</v>
      </c>
      <c r="BA897" t="s">
        <v>136</v>
      </c>
      <c r="BB897" t="s">
        <v>61</v>
      </c>
      <c r="BC897" t="s">
        <v>137</v>
      </c>
    </row>
    <row r="898" spans="1:55" x14ac:dyDescent="0.4">
      <c r="A898" t="s">
        <v>104</v>
      </c>
      <c r="B898" t="s">
        <v>10</v>
      </c>
      <c r="C898" t="s">
        <v>1075</v>
      </c>
      <c r="D898" t="s">
        <v>11</v>
      </c>
      <c r="E898" s="2">
        <v>2.5999999999999999E-3</v>
      </c>
      <c r="F898" t="s">
        <v>12</v>
      </c>
      <c r="G898" s="4" t="s">
        <v>1781</v>
      </c>
      <c r="H898" t="s">
        <v>1075</v>
      </c>
      <c r="I898" t="s">
        <v>1782</v>
      </c>
      <c r="J898" t="s">
        <v>1783</v>
      </c>
      <c r="K898" t="s">
        <v>23</v>
      </c>
      <c r="L898" s="2">
        <v>4.6249999999999999E-2</v>
      </c>
      <c r="M898" t="s">
        <v>1784</v>
      </c>
      <c r="N898" t="s">
        <v>121</v>
      </c>
      <c r="O898" t="s">
        <v>1698</v>
      </c>
      <c r="P898" s="1">
        <v>99545</v>
      </c>
      <c r="Q898" s="1">
        <v>99545</v>
      </c>
      <c r="R898" s="1">
        <v>99545</v>
      </c>
      <c r="S898" s="1">
        <v>99545</v>
      </c>
      <c r="T898" s="1">
        <v>99545</v>
      </c>
      <c r="U898" s="1">
        <v>99545</v>
      </c>
      <c r="V898" t="s">
        <v>1257</v>
      </c>
      <c r="W898" t="s">
        <v>1785</v>
      </c>
      <c r="X898" t="s">
        <v>1786</v>
      </c>
      <c r="Y898" t="s">
        <v>1786</v>
      </c>
      <c r="Z898" t="s">
        <v>1786</v>
      </c>
      <c r="AA898" t="s">
        <v>1786</v>
      </c>
      <c r="AB898" s="2">
        <v>-2.2000000000000001E-3</v>
      </c>
      <c r="AC898" s="2">
        <v>-2.1700000000000001E-2</v>
      </c>
      <c r="AD898" s="2">
        <v>-1.9300000000000001E-2</v>
      </c>
      <c r="AE898" s="2">
        <v>-5.3E-3</v>
      </c>
      <c r="AF898" s="2">
        <v>-5.3E-3</v>
      </c>
      <c r="AG898" s="2">
        <v>-5.3E-3</v>
      </c>
      <c r="AH898" t="s">
        <v>129</v>
      </c>
      <c r="AI898" t="s">
        <v>130</v>
      </c>
      <c r="AJ898" t="s">
        <v>131</v>
      </c>
      <c r="AK898" t="s">
        <v>40</v>
      </c>
      <c r="AL898">
        <v>100</v>
      </c>
      <c r="AM898" t="s">
        <v>41</v>
      </c>
      <c r="AN898" t="s">
        <v>42</v>
      </c>
      <c r="AO898" t="s">
        <v>1698</v>
      </c>
      <c r="AP898" t="s">
        <v>1787</v>
      </c>
      <c r="BA898" t="s">
        <v>59</v>
      </c>
      <c r="BB898" t="s">
        <v>61</v>
      </c>
    </row>
    <row r="899" spans="1:55" x14ac:dyDescent="0.4">
      <c r="A899" t="s">
        <v>115</v>
      </c>
      <c r="B899" t="s">
        <v>10</v>
      </c>
      <c r="C899" s="1">
        <v>98025</v>
      </c>
      <c r="D899" t="s">
        <v>11</v>
      </c>
      <c r="E899" s="2">
        <v>2E-3</v>
      </c>
      <c r="F899" t="s">
        <v>12</v>
      </c>
      <c r="G899" s="4" t="s">
        <v>2826</v>
      </c>
      <c r="H899" s="1">
        <v>98025</v>
      </c>
      <c r="I899" t="s">
        <v>2827</v>
      </c>
      <c r="J899" t="s">
        <v>2828</v>
      </c>
      <c r="K899" t="s">
        <v>23</v>
      </c>
      <c r="L899" s="2">
        <v>0.04</v>
      </c>
      <c r="M899" t="s">
        <v>2829</v>
      </c>
      <c r="N899" t="s">
        <v>121</v>
      </c>
      <c r="O899" t="s">
        <v>2830</v>
      </c>
      <c r="P899" t="s">
        <v>1425</v>
      </c>
      <c r="Q899" t="s">
        <v>1425</v>
      </c>
      <c r="R899" t="s">
        <v>1425</v>
      </c>
      <c r="S899" t="s">
        <v>2831</v>
      </c>
      <c r="T899" t="s">
        <v>2832</v>
      </c>
      <c r="U899" t="s">
        <v>2832</v>
      </c>
      <c r="V899" s="1">
        <v>98345</v>
      </c>
      <c r="W899" t="s">
        <v>2833</v>
      </c>
      <c r="X899" s="1">
        <v>102685</v>
      </c>
      <c r="Y899" s="1">
        <v>102685</v>
      </c>
      <c r="Z899" s="1">
        <v>104385</v>
      </c>
      <c r="AA899" s="1">
        <v>104385</v>
      </c>
      <c r="AB899" s="2">
        <v>5.9999999999999995E-4</v>
      </c>
      <c r="AC899" s="2">
        <v>-1.7899999999999999E-2</v>
      </c>
      <c r="AD899" s="2">
        <v>-1.2800000000000001E-2</v>
      </c>
      <c r="AE899" s="2">
        <v>-1.43E-2</v>
      </c>
      <c r="AF899" s="2">
        <v>-9.9000000000000008E-3</v>
      </c>
      <c r="AG899" s="2">
        <v>-9.9000000000000008E-3</v>
      </c>
      <c r="AH899" t="s">
        <v>129</v>
      </c>
      <c r="AI899" t="s">
        <v>130</v>
      </c>
      <c r="AJ899" t="s">
        <v>131</v>
      </c>
      <c r="AK899" t="s">
        <v>40</v>
      </c>
      <c r="AL899">
        <v>100</v>
      </c>
      <c r="AM899" t="s">
        <v>41</v>
      </c>
      <c r="AN899" t="s">
        <v>42</v>
      </c>
      <c r="AO899" t="s">
        <v>2830</v>
      </c>
      <c r="AP899" t="s">
        <v>2834</v>
      </c>
      <c r="BA899" t="s">
        <v>136</v>
      </c>
      <c r="BB899" t="s">
        <v>61</v>
      </c>
    </row>
    <row r="900" spans="1:55" x14ac:dyDescent="0.4">
      <c r="A900" t="s">
        <v>961</v>
      </c>
      <c r="B900" t="s">
        <v>10</v>
      </c>
      <c r="C900" t="s">
        <v>524</v>
      </c>
      <c r="D900" t="s">
        <v>11</v>
      </c>
      <c r="E900" s="2">
        <v>1.9E-3</v>
      </c>
      <c r="F900" t="s">
        <v>12</v>
      </c>
      <c r="G900" s="4" t="s">
        <v>730</v>
      </c>
      <c r="H900" t="s">
        <v>524</v>
      </c>
      <c r="I900" t="s">
        <v>2846</v>
      </c>
      <c r="J900" t="s">
        <v>2847</v>
      </c>
      <c r="K900" t="s">
        <v>23</v>
      </c>
      <c r="L900" s="2">
        <v>3.875E-2</v>
      </c>
      <c r="M900" t="s">
        <v>1707</v>
      </c>
      <c r="N900" t="s">
        <v>121</v>
      </c>
      <c r="O900" t="s">
        <v>2848</v>
      </c>
      <c r="P900" s="1">
        <v>96725</v>
      </c>
      <c r="Q900" s="1">
        <v>96725</v>
      </c>
      <c r="R900" s="1">
        <v>96725</v>
      </c>
      <c r="S900" t="s">
        <v>2849</v>
      </c>
      <c r="T900" s="1">
        <v>93845</v>
      </c>
      <c r="U900" s="1">
        <v>93845</v>
      </c>
      <c r="V900" t="s">
        <v>2850</v>
      </c>
      <c r="W900" t="s">
        <v>31</v>
      </c>
      <c r="X900" t="s">
        <v>2851</v>
      </c>
      <c r="Y900" t="s">
        <v>2851</v>
      </c>
      <c r="Z900" t="s">
        <v>1129</v>
      </c>
      <c r="AA900" t="s">
        <v>1129</v>
      </c>
      <c r="AB900" s="2">
        <v>6.9999999999999999E-4</v>
      </c>
      <c r="AC900" s="2">
        <v>-1.7100000000000001E-2</v>
      </c>
      <c r="AD900" s="2">
        <v>-1.17E-2</v>
      </c>
      <c r="AE900" s="2">
        <v>-1.23E-2</v>
      </c>
      <c r="AF900" s="2">
        <v>-4.1700000000000001E-2</v>
      </c>
      <c r="AG900" s="2">
        <v>-2.7699999999999999E-2</v>
      </c>
      <c r="AH900" t="s">
        <v>129</v>
      </c>
      <c r="AI900" t="s">
        <v>130</v>
      </c>
      <c r="AJ900" t="s">
        <v>131</v>
      </c>
      <c r="AK900" t="s">
        <v>40</v>
      </c>
      <c r="AL900">
        <v>100</v>
      </c>
      <c r="AM900" t="s">
        <v>41</v>
      </c>
      <c r="AN900" t="s">
        <v>42</v>
      </c>
      <c r="AO900" t="s">
        <v>2848</v>
      </c>
      <c r="AP900" t="s">
        <v>2852</v>
      </c>
      <c r="BA900" t="s">
        <v>136</v>
      </c>
      <c r="BB900" t="s">
        <v>61</v>
      </c>
    </row>
    <row r="901" spans="1:55" x14ac:dyDescent="0.4">
      <c r="A901" t="s">
        <v>630</v>
      </c>
      <c r="B901" t="s">
        <v>10</v>
      </c>
      <c r="C901" s="1">
        <v>90875</v>
      </c>
      <c r="D901" t="s">
        <v>11</v>
      </c>
      <c r="E901" s="2">
        <v>1.8E-3</v>
      </c>
      <c r="F901" t="s">
        <v>12</v>
      </c>
      <c r="G901" s="4" t="s">
        <v>3580</v>
      </c>
      <c r="H901" s="1">
        <v>90875</v>
      </c>
      <c r="I901" t="s">
        <v>3581</v>
      </c>
      <c r="J901" t="s">
        <v>3582</v>
      </c>
      <c r="K901" t="s">
        <v>23</v>
      </c>
      <c r="L901" s="2">
        <v>1.125E-2</v>
      </c>
      <c r="M901" t="s">
        <v>3583</v>
      </c>
      <c r="N901" t="s">
        <v>121</v>
      </c>
      <c r="O901" t="s">
        <v>3584</v>
      </c>
      <c r="P901" t="s">
        <v>3585</v>
      </c>
      <c r="Q901" t="s">
        <v>3586</v>
      </c>
      <c r="R901" s="1">
        <v>89675</v>
      </c>
      <c r="S901" t="s">
        <v>401</v>
      </c>
      <c r="T901" s="1">
        <v>84825</v>
      </c>
      <c r="U901" s="1">
        <v>83895</v>
      </c>
      <c r="V901" s="1">
        <v>90885</v>
      </c>
      <c r="W901" t="s">
        <v>2925</v>
      </c>
      <c r="X901" s="1">
        <v>92525</v>
      </c>
      <c r="Y901" s="1">
        <v>92525</v>
      </c>
      <c r="Z901" s="1">
        <v>92525</v>
      </c>
      <c r="AA901" s="1">
        <v>97175</v>
      </c>
      <c r="AB901" s="2">
        <v>5.1000000000000004E-3</v>
      </c>
      <c r="AC901" s="2">
        <v>-1.6999999999999999E-3</v>
      </c>
      <c r="AD901" s="2">
        <v>1.14E-2</v>
      </c>
      <c r="AE901" s="2">
        <v>2.24E-2</v>
      </c>
      <c r="AF901" s="2">
        <v>2.6800000000000001E-2</v>
      </c>
      <c r="AG901" s="2">
        <v>-6.3899999999999998E-2</v>
      </c>
      <c r="AH901" t="s">
        <v>129</v>
      </c>
      <c r="AI901" t="s">
        <v>130</v>
      </c>
      <c r="AJ901" t="s">
        <v>131</v>
      </c>
      <c r="AK901" t="s">
        <v>40</v>
      </c>
      <c r="AL901">
        <v>100</v>
      </c>
      <c r="AM901" t="s">
        <v>41</v>
      </c>
      <c r="AN901" t="s">
        <v>42</v>
      </c>
      <c r="AO901" t="s">
        <v>3584</v>
      </c>
      <c r="AP901" t="s">
        <v>3587</v>
      </c>
      <c r="BA901" t="s">
        <v>136</v>
      </c>
      <c r="BB901" t="s">
        <v>61</v>
      </c>
    </row>
    <row r="902" spans="1:55" x14ac:dyDescent="0.4">
      <c r="A902" t="s">
        <v>115</v>
      </c>
      <c r="B902" t="s">
        <v>10</v>
      </c>
      <c r="C902" s="1">
        <v>90235</v>
      </c>
      <c r="D902" t="s">
        <v>11</v>
      </c>
      <c r="E902" s="2">
        <v>1.6999999999999999E-3</v>
      </c>
      <c r="F902" t="s">
        <v>12</v>
      </c>
      <c r="G902" s="4" t="s">
        <v>2968</v>
      </c>
      <c r="H902" s="1">
        <v>90235</v>
      </c>
      <c r="I902" t="s">
        <v>2969</v>
      </c>
      <c r="J902" t="s">
        <v>2970</v>
      </c>
      <c r="K902" t="s">
        <v>23</v>
      </c>
      <c r="L902" s="2">
        <v>6.2500000000000003E-3</v>
      </c>
      <c r="M902" t="s">
        <v>2971</v>
      </c>
      <c r="N902" t="s">
        <v>121</v>
      </c>
      <c r="O902" t="s">
        <v>2127</v>
      </c>
      <c r="P902" s="1">
        <v>89565</v>
      </c>
      <c r="Q902" t="s">
        <v>2972</v>
      </c>
      <c r="R902" s="1">
        <v>88775</v>
      </c>
      <c r="S902" s="1">
        <v>86185</v>
      </c>
      <c r="T902" s="1">
        <v>83775</v>
      </c>
      <c r="U902" s="1">
        <v>82505</v>
      </c>
      <c r="V902" s="1">
        <v>90255</v>
      </c>
      <c r="W902" s="1">
        <v>90465</v>
      </c>
      <c r="X902" s="1">
        <v>91525</v>
      </c>
      <c r="Y902" s="1">
        <v>91525</v>
      </c>
      <c r="Z902" s="1">
        <v>91525</v>
      </c>
      <c r="AA902" t="s">
        <v>2973</v>
      </c>
      <c r="AB902" s="2">
        <v>5.1000000000000004E-3</v>
      </c>
      <c r="AC902" s="2">
        <v>2.0000000000000001E-4</v>
      </c>
      <c r="AD902" s="2">
        <v>1.4500000000000001E-2</v>
      </c>
      <c r="AE902" s="2">
        <v>2.8299999999999999E-2</v>
      </c>
      <c r="AF902" s="2">
        <v>3.9300000000000002E-2</v>
      </c>
      <c r="AG902" s="2">
        <v>-4.48E-2</v>
      </c>
      <c r="AH902" t="s">
        <v>129</v>
      </c>
      <c r="AI902" t="s">
        <v>130</v>
      </c>
      <c r="AJ902" t="s">
        <v>131</v>
      </c>
      <c r="AK902" t="s">
        <v>40</v>
      </c>
      <c r="AL902">
        <v>100</v>
      </c>
      <c r="AM902" t="s">
        <v>41</v>
      </c>
      <c r="AN902" t="s">
        <v>42</v>
      </c>
      <c r="AO902" t="s">
        <v>2127</v>
      </c>
      <c r="AP902" t="s">
        <v>2974</v>
      </c>
      <c r="BA902" t="s">
        <v>136</v>
      </c>
      <c r="BB902" t="s">
        <v>61</v>
      </c>
    </row>
    <row r="903" spans="1:55" x14ac:dyDescent="0.4">
      <c r="A903" t="s">
        <v>4453</v>
      </c>
      <c r="B903" t="s">
        <v>10</v>
      </c>
      <c r="C903" t="s">
        <v>3585</v>
      </c>
      <c r="D903" t="s">
        <v>11</v>
      </c>
      <c r="E903" s="2">
        <v>2.7000000000000001E-3</v>
      </c>
      <c r="F903" t="s">
        <v>363</v>
      </c>
      <c r="G903" s="4" t="s">
        <v>6264</v>
      </c>
      <c r="H903" t="s">
        <v>3585</v>
      </c>
      <c r="I903" t="s">
        <v>6265</v>
      </c>
      <c r="J903" t="s">
        <v>6266</v>
      </c>
      <c r="K903" t="s">
        <v>23</v>
      </c>
      <c r="L903" s="2">
        <v>6.79E-3</v>
      </c>
      <c r="M903" t="s">
        <v>6267</v>
      </c>
      <c r="N903" t="s">
        <v>121</v>
      </c>
      <c r="O903" t="s">
        <v>6268</v>
      </c>
      <c r="P903" t="s">
        <v>6269</v>
      </c>
      <c r="Q903" t="s">
        <v>6269</v>
      </c>
      <c r="R903" t="s">
        <v>6269</v>
      </c>
      <c r="S903" t="s">
        <v>3555</v>
      </c>
      <c r="T903" t="s">
        <v>6270</v>
      </c>
      <c r="U903" t="s">
        <v>6270</v>
      </c>
      <c r="V903" t="s">
        <v>4140</v>
      </c>
      <c r="W903" t="s">
        <v>3676</v>
      </c>
      <c r="X903" t="s">
        <v>1421</v>
      </c>
      <c r="Y903" t="s">
        <v>1421</v>
      </c>
      <c r="Z903" t="s">
        <v>475</v>
      </c>
      <c r="AA903" t="s">
        <v>475</v>
      </c>
      <c r="AB903" s="2">
        <v>8.2000000000000007E-3</v>
      </c>
      <c r="AC903" s="2">
        <v>-1.6500000000000001E-2</v>
      </c>
      <c r="AD903" s="2">
        <v>-2.2000000000000001E-3</v>
      </c>
      <c r="AE903" s="2">
        <v>-7.1999999999999998E-3</v>
      </c>
      <c r="AF903" s="2">
        <v>-4.48E-2</v>
      </c>
      <c r="AG903" s="2">
        <v>-3.0000000000000001E-3</v>
      </c>
      <c r="AH903" t="s">
        <v>129</v>
      </c>
      <c r="AI903" t="s">
        <v>130</v>
      </c>
      <c r="AJ903" t="s">
        <v>131</v>
      </c>
      <c r="AK903" t="s">
        <v>40</v>
      </c>
      <c r="AL903">
        <v>100</v>
      </c>
      <c r="AM903" t="s">
        <v>41</v>
      </c>
      <c r="AN903" t="s">
        <v>42</v>
      </c>
      <c r="AO903" t="s">
        <v>6268</v>
      </c>
      <c r="AP903" t="s">
        <v>6271</v>
      </c>
      <c r="BA903" t="s">
        <v>197</v>
      </c>
      <c r="BB903" t="s">
        <v>61</v>
      </c>
    </row>
    <row r="904" spans="1:55" x14ac:dyDescent="0.4">
      <c r="A904" t="s">
        <v>9</v>
      </c>
      <c r="B904" t="s">
        <v>10</v>
      </c>
      <c r="C904" s="1">
        <v>98323</v>
      </c>
      <c r="D904" t="s">
        <v>11</v>
      </c>
      <c r="E904" s="2">
        <v>4.0000000000000002E-4</v>
      </c>
      <c r="F904" t="s">
        <v>12</v>
      </c>
      <c r="G904" s="4" t="s">
        <v>198</v>
      </c>
      <c r="H904" s="1">
        <v>98323</v>
      </c>
      <c r="I904" t="s">
        <v>199</v>
      </c>
      <c r="J904" t="s">
        <v>200</v>
      </c>
      <c r="K904" t="s">
        <v>23</v>
      </c>
      <c r="L904" s="2">
        <v>2.5000000000000001E-3</v>
      </c>
      <c r="M904" t="s">
        <v>201</v>
      </c>
      <c r="N904" t="s">
        <v>121</v>
      </c>
      <c r="O904" t="s">
        <v>202</v>
      </c>
      <c r="P904" s="1">
        <v>97979</v>
      </c>
      <c r="Q904" t="s">
        <v>203</v>
      </c>
      <c r="R904" t="s">
        <v>204</v>
      </c>
      <c r="S904" t="s">
        <v>205</v>
      </c>
      <c r="T904" t="s">
        <v>206</v>
      </c>
      <c r="U904" t="s">
        <v>207</v>
      </c>
      <c r="V904" s="1">
        <v>98325</v>
      </c>
      <c r="W904" s="1">
        <v>98325</v>
      </c>
      <c r="X904" s="1">
        <v>98325</v>
      </c>
      <c r="Y904" s="1">
        <v>98325</v>
      </c>
      <c r="Z904" s="1">
        <v>98325</v>
      </c>
      <c r="AA904" s="1">
        <v>98325</v>
      </c>
      <c r="AB904" s="2">
        <v>3.8E-3</v>
      </c>
      <c r="AC904" s="2">
        <v>1.12E-2</v>
      </c>
      <c r="AD904" s="2">
        <v>2.58E-2</v>
      </c>
      <c r="AE904" s="2">
        <v>4.4999999999999998E-2</v>
      </c>
      <c r="AF904" s="2">
        <v>7.4899999999999994E-2</v>
      </c>
      <c r="AG904" s="2">
        <v>2.0799999999999999E-2</v>
      </c>
      <c r="AH904" t="s">
        <v>129</v>
      </c>
      <c r="AI904" t="s">
        <v>130</v>
      </c>
      <c r="AJ904" t="s">
        <v>131</v>
      </c>
      <c r="AK904" t="s">
        <v>40</v>
      </c>
      <c r="AL904">
        <v>100</v>
      </c>
      <c r="AM904" t="s">
        <v>41</v>
      </c>
      <c r="AN904" t="s">
        <v>42</v>
      </c>
      <c r="AO904" t="s">
        <v>202</v>
      </c>
      <c r="AP904" t="s">
        <v>208</v>
      </c>
      <c r="AQ904" t="s">
        <v>208</v>
      </c>
      <c r="AR904" t="s">
        <v>133</v>
      </c>
      <c r="AS904" t="s">
        <v>133</v>
      </c>
    </row>
    <row r="905" spans="1:55" x14ac:dyDescent="0.4">
      <c r="A905" t="s">
        <v>630</v>
      </c>
      <c r="B905" t="s">
        <v>10</v>
      </c>
      <c r="C905" s="1">
        <v>99836</v>
      </c>
      <c r="D905" t="s">
        <v>11</v>
      </c>
      <c r="E905" s="2">
        <v>1.2999999999999999E-3</v>
      </c>
      <c r="F905" t="s">
        <v>12</v>
      </c>
      <c r="G905" s="4" t="s">
        <v>1789</v>
      </c>
      <c r="H905" s="1">
        <v>99836</v>
      </c>
      <c r="I905" t="s">
        <v>1790</v>
      </c>
      <c r="J905" t="s">
        <v>1791</v>
      </c>
      <c r="K905" t="s">
        <v>23</v>
      </c>
      <c r="L905" s="2">
        <v>7.6249999999999998E-2</v>
      </c>
      <c r="M905" t="s">
        <v>1792</v>
      </c>
      <c r="N905" t="s">
        <v>121</v>
      </c>
      <c r="O905" t="s">
        <v>1793</v>
      </c>
      <c r="P905" s="1">
        <v>99503</v>
      </c>
      <c r="Q905" s="1">
        <v>99503</v>
      </c>
      <c r="R905" s="1">
        <v>99503</v>
      </c>
      <c r="S905" s="1">
        <v>99503</v>
      </c>
      <c r="T905" s="1">
        <v>99503</v>
      </c>
      <c r="U905" s="1">
        <v>99503</v>
      </c>
      <c r="V905" s="1">
        <v>100731</v>
      </c>
      <c r="W905" s="1">
        <v>101166</v>
      </c>
      <c r="X905" s="1">
        <v>102007</v>
      </c>
      <c r="Y905" s="1">
        <v>103279</v>
      </c>
      <c r="Z905" t="s">
        <v>1794</v>
      </c>
      <c r="AA905" t="s">
        <v>1795</v>
      </c>
      <c r="AB905" s="2">
        <v>-4.7000000000000002E-3</v>
      </c>
      <c r="AC905" s="2">
        <v>-8.3000000000000001E-3</v>
      </c>
      <c r="AD905" s="2">
        <v>-1.52E-2</v>
      </c>
      <c r="AE905" s="2">
        <v>-3.1E-2</v>
      </c>
      <c r="AF905" s="2">
        <v>-6.2300000000000001E-2</v>
      </c>
      <c r="AG905" s="2">
        <v>-0.161</v>
      </c>
      <c r="AH905" t="s">
        <v>129</v>
      </c>
      <c r="AI905" t="s">
        <v>130</v>
      </c>
      <c r="AJ905" t="s">
        <v>131</v>
      </c>
      <c r="AK905" t="s">
        <v>40</v>
      </c>
      <c r="AL905">
        <v>100</v>
      </c>
      <c r="AM905" t="s">
        <v>41</v>
      </c>
      <c r="AN905" t="s">
        <v>42</v>
      </c>
      <c r="AO905" t="s">
        <v>1793</v>
      </c>
      <c r="AP905" t="s">
        <v>1796</v>
      </c>
      <c r="AQ905" t="s">
        <v>1797</v>
      </c>
      <c r="AR905" t="s">
        <v>133</v>
      </c>
      <c r="AS905" t="s">
        <v>133</v>
      </c>
    </row>
    <row r="906" spans="1:55" x14ac:dyDescent="0.4">
      <c r="A906" t="s">
        <v>9</v>
      </c>
      <c r="B906" t="s">
        <v>10</v>
      </c>
      <c r="C906" t="s">
        <v>1942</v>
      </c>
      <c r="D906" t="s">
        <v>11</v>
      </c>
      <c r="E906" s="2">
        <v>2.5999999999999999E-3</v>
      </c>
      <c r="F906" t="s">
        <v>12</v>
      </c>
      <c r="G906" s="4" t="s">
        <v>4939</v>
      </c>
      <c r="H906" t="s">
        <v>1942</v>
      </c>
      <c r="I906" t="s">
        <v>4940</v>
      </c>
      <c r="J906" t="s">
        <v>4941</v>
      </c>
      <c r="K906" t="s">
        <v>23</v>
      </c>
      <c r="L906" s="2">
        <v>4.8750000000000002E-2</v>
      </c>
      <c r="M906" t="s">
        <v>1341</v>
      </c>
      <c r="N906" t="s">
        <v>121</v>
      </c>
      <c r="O906" t="s">
        <v>4936</v>
      </c>
      <c r="P906" s="1">
        <v>101005</v>
      </c>
      <c r="Q906" s="1">
        <v>101005</v>
      </c>
      <c r="R906" s="1">
        <v>101005</v>
      </c>
      <c r="S906" t="s">
        <v>1641</v>
      </c>
      <c r="T906" t="s">
        <v>1833</v>
      </c>
      <c r="U906" t="s">
        <v>1833</v>
      </c>
      <c r="V906" s="1">
        <v>102505</v>
      </c>
      <c r="W906" t="s">
        <v>4942</v>
      </c>
      <c r="X906" t="s">
        <v>1062</v>
      </c>
      <c r="Y906" t="s">
        <v>1062</v>
      </c>
      <c r="Z906" t="s">
        <v>1062</v>
      </c>
      <c r="AA906" t="s">
        <v>1062</v>
      </c>
      <c r="AB906" s="2">
        <v>-1.8E-3</v>
      </c>
      <c r="AC906" s="2">
        <v>-2.0400000000000001E-2</v>
      </c>
      <c r="AD906" s="2">
        <v>-1.7600000000000001E-2</v>
      </c>
      <c r="AE906" s="2">
        <v>-2.3099999999999999E-2</v>
      </c>
      <c r="AF906" s="2">
        <v>2.23E-2</v>
      </c>
      <c r="AG906" s="2">
        <v>2.23E-2</v>
      </c>
      <c r="AH906" t="s">
        <v>129</v>
      </c>
      <c r="AI906" t="s">
        <v>130</v>
      </c>
      <c r="AJ906" t="s">
        <v>131</v>
      </c>
      <c r="AK906" t="s">
        <v>40</v>
      </c>
      <c r="AL906">
        <v>100</v>
      </c>
      <c r="AM906" t="s">
        <v>41</v>
      </c>
      <c r="AN906" t="s">
        <v>42</v>
      </c>
      <c r="AO906" t="s">
        <v>4936</v>
      </c>
      <c r="AP906" t="s">
        <v>4943</v>
      </c>
      <c r="AQ906" t="s">
        <v>4943</v>
      </c>
      <c r="AR906" t="s">
        <v>133</v>
      </c>
      <c r="AS906" t="s">
        <v>133</v>
      </c>
    </row>
    <row r="907" spans="1:55" x14ac:dyDescent="0.4">
      <c r="A907" t="s">
        <v>3705</v>
      </c>
      <c r="B907" t="s">
        <v>10</v>
      </c>
      <c r="C907" t="s">
        <v>3706</v>
      </c>
      <c r="D907" t="s">
        <v>11</v>
      </c>
      <c r="E907" s="2">
        <v>-2E-3</v>
      </c>
      <c r="F907" t="s">
        <v>178</v>
      </c>
      <c r="G907" s="4">
        <f>-0.2 / -0.2%</f>
        <v>100</v>
      </c>
      <c r="H907" t="s">
        <v>3706</v>
      </c>
      <c r="I907" t="s">
        <v>3707</v>
      </c>
      <c r="J907" t="s">
        <v>3708</v>
      </c>
      <c r="K907" t="s">
        <v>23</v>
      </c>
      <c r="L907" s="2">
        <v>4.7500000000000001E-2</v>
      </c>
      <c r="M907" t="s">
        <v>2662</v>
      </c>
      <c r="N907" t="s">
        <v>121</v>
      </c>
      <c r="O907" t="s">
        <v>1681</v>
      </c>
      <c r="P907" t="s">
        <v>665</v>
      </c>
      <c r="Q907" t="s">
        <v>665</v>
      </c>
      <c r="R907" t="s">
        <v>665</v>
      </c>
      <c r="S907" t="s">
        <v>665</v>
      </c>
      <c r="T907" t="s">
        <v>665</v>
      </c>
      <c r="U907" t="s">
        <v>665</v>
      </c>
      <c r="V907" t="s">
        <v>1710</v>
      </c>
      <c r="W907" t="s">
        <v>2766</v>
      </c>
      <c r="X907" t="s">
        <v>3709</v>
      </c>
      <c r="Y907" t="s">
        <v>3709</v>
      </c>
      <c r="Z907" t="s">
        <v>3709</v>
      </c>
      <c r="AA907" t="s">
        <v>3709</v>
      </c>
      <c r="AB907" s="2">
        <v>-1.5599999999999999E-2</v>
      </c>
      <c r="AC907" s="2">
        <v>-6.2899999999999998E-2</v>
      </c>
      <c r="AD907" s="2">
        <v>-5.8500000000000003E-2</v>
      </c>
      <c r="AE907" s="2">
        <v>-7.9100000000000004E-2</v>
      </c>
      <c r="AF907" s="2">
        <v>-4.24E-2</v>
      </c>
      <c r="AG907" s="2">
        <v>-4.24E-2</v>
      </c>
      <c r="AH907" t="s">
        <v>129</v>
      </c>
      <c r="AI907" t="s">
        <v>130</v>
      </c>
      <c r="AJ907" t="s">
        <v>131</v>
      </c>
      <c r="AK907" t="s">
        <v>40</v>
      </c>
      <c r="AL907">
        <v>100</v>
      </c>
      <c r="AM907" t="s">
        <v>41</v>
      </c>
      <c r="AN907" t="s">
        <v>42</v>
      </c>
      <c r="AO907" t="s">
        <v>1681</v>
      </c>
      <c r="AP907" t="s">
        <v>3710</v>
      </c>
      <c r="AQ907" t="s">
        <v>3710</v>
      </c>
      <c r="AR907" t="s">
        <v>133</v>
      </c>
      <c r="AS907" t="s">
        <v>133</v>
      </c>
    </row>
    <row r="908" spans="1:55" x14ac:dyDescent="0.4">
      <c r="A908" t="s">
        <v>4167</v>
      </c>
      <c r="B908" t="s">
        <v>10</v>
      </c>
      <c r="C908" t="s">
        <v>2262</v>
      </c>
      <c r="D908" t="s">
        <v>11</v>
      </c>
      <c r="E908" s="2">
        <v>-3.8E-3</v>
      </c>
      <c r="F908" t="s">
        <v>178</v>
      </c>
      <c r="G908" s="4">
        <f>-0.38 / -0.38%</f>
        <v>100</v>
      </c>
      <c r="H908" t="s">
        <v>2262</v>
      </c>
      <c r="I908" t="s">
        <v>4168</v>
      </c>
      <c r="J908" t="s">
        <v>4169</v>
      </c>
      <c r="K908" t="s">
        <v>23</v>
      </c>
      <c r="L908" s="2">
        <v>4.7500000000000001E-2</v>
      </c>
      <c r="M908" t="s">
        <v>4170</v>
      </c>
      <c r="N908" t="s">
        <v>121</v>
      </c>
      <c r="O908" t="s">
        <v>4171</v>
      </c>
      <c r="P908" t="s">
        <v>2577</v>
      </c>
      <c r="Q908" t="s">
        <v>2577</v>
      </c>
      <c r="R908" t="s">
        <v>2577</v>
      </c>
      <c r="S908" t="s">
        <v>2577</v>
      </c>
      <c r="T908" t="s">
        <v>3290</v>
      </c>
      <c r="U908" t="s">
        <v>3290</v>
      </c>
      <c r="V908" t="s">
        <v>3003</v>
      </c>
      <c r="W908" t="s">
        <v>4172</v>
      </c>
      <c r="X908" t="s">
        <v>4173</v>
      </c>
      <c r="Y908" t="s">
        <v>4173</v>
      </c>
      <c r="Z908" t="s">
        <v>4174</v>
      </c>
      <c r="AA908" t="s">
        <v>4175</v>
      </c>
      <c r="AB908" s="2">
        <v>-1.32E-2</v>
      </c>
      <c r="AC908" s="2">
        <v>-4.8399999999999999E-2</v>
      </c>
      <c r="AD908" s="2">
        <v>-4.8800000000000003E-2</v>
      </c>
      <c r="AE908" s="2">
        <v>-5.67E-2</v>
      </c>
      <c r="AF908" s="2">
        <v>-0.13500000000000001</v>
      </c>
      <c r="AG908" s="2">
        <v>-0.30830000000000002</v>
      </c>
      <c r="AH908" t="s">
        <v>129</v>
      </c>
      <c r="AI908" t="s">
        <v>130</v>
      </c>
      <c r="AJ908" t="s">
        <v>131</v>
      </c>
      <c r="AK908" t="s">
        <v>40</v>
      </c>
      <c r="AL908">
        <v>100</v>
      </c>
      <c r="AM908" t="s">
        <v>41</v>
      </c>
      <c r="AN908" t="s">
        <v>42</v>
      </c>
      <c r="AO908" t="s">
        <v>4171</v>
      </c>
      <c r="AP908" t="s">
        <v>4176</v>
      </c>
      <c r="AQ908" t="s">
        <v>4176</v>
      </c>
      <c r="AR908" t="s">
        <v>133</v>
      </c>
      <c r="AS908" t="s">
        <v>133</v>
      </c>
    </row>
    <row r="909" spans="1:55" x14ac:dyDescent="0.4">
      <c r="A909" t="s">
        <v>630</v>
      </c>
      <c r="B909" t="s">
        <v>10</v>
      </c>
      <c r="C909" t="s">
        <v>2325</v>
      </c>
      <c r="D909" t="s">
        <v>11</v>
      </c>
      <c r="E909" s="2">
        <v>1.4E-3</v>
      </c>
      <c r="F909" t="s">
        <v>12</v>
      </c>
      <c r="G909" s="4" t="s">
        <v>1522</v>
      </c>
      <c r="H909" t="s">
        <v>2325</v>
      </c>
      <c r="I909" t="s">
        <v>4306</v>
      </c>
      <c r="J909" t="s">
        <v>4307</v>
      </c>
      <c r="K909" t="s">
        <v>23</v>
      </c>
      <c r="L909" s="2">
        <v>4.7500000000000001E-2</v>
      </c>
      <c r="M909" t="s">
        <v>4308</v>
      </c>
      <c r="N909" t="s">
        <v>121</v>
      </c>
      <c r="O909" t="s">
        <v>4309</v>
      </c>
      <c r="P909" t="s">
        <v>1109</v>
      </c>
      <c r="Q909" t="s">
        <v>1109</v>
      </c>
      <c r="R909" t="s">
        <v>1109</v>
      </c>
      <c r="S909" t="s">
        <v>1109</v>
      </c>
      <c r="T909" t="s">
        <v>2428</v>
      </c>
      <c r="U909" t="s">
        <v>2428</v>
      </c>
      <c r="V909" t="s">
        <v>576</v>
      </c>
      <c r="W909" t="s">
        <v>4310</v>
      </c>
      <c r="X909" t="s">
        <v>4311</v>
      </c>
      <c r="Y909" t="s">
        <v>4311</v>
      </c>
      <c r="Z909" t="s">
        <v>4312</v>
      </c>
      <c r="AA909" t="s">
        <v>4313</v>
      </c>
      <c r="AB909" s="2">
        <v>-3.5000000000000001E-3</v>
      </c>
      <c r="AC909" s="2">
        <v>-3.6299999999999999E-2</v>
      </c>
      <c r="AD909" s="2">
        <v>-3.4500000000000003E-2</v>
      </c>
      <c r="AE909" s="2">
        <v>-4.5100000000000001E-2</v>
      </c>
      <c r="AF909" s="2">
        <v>-0.11260000000000001</v>
      </c>
      <c r="AG909" s="2">
        <v>-0.26700000000000002</v>
      </c>
      <c r="AH909" t="s">
        <v>129</v>
      </c>
      <c r="AI909" t="s">
        <v>130</v>
      </c>
      <c r="AJ909" t="s">
        <v>131</v>
      </c>
      <c r="AK909" t="s">
        <v>40</v>
      </c>
      <c r="AL909">
        <v>100</v>
      </c>
      <c r="AM909" t="s">
        <v>41</v>
      </c>
      <c r="AN909" t="s">
        <v>42</v>
      </c>
      <c r="AO909" t="s">
        <v>4309</v>
      </c>
      <c r="AP909" t="s">
        <v>4314</v>
      </c>
      <c r="AQ909" t="s">
        <v>4314</v>
      </c>
      <c r="AR909" t="s">
        <v>133</v>
      </c>
      <c r="AS909" t="s">
        <v>133</v>
      </c>
    </row>
    <row r="910" spans="1:55" x14ac:dyDescent="0.4">
      <c r="A910" t="s">
        <v>115</v>
      </c>
      <c r="B910" t="s">
        <v>10</v>
      </c>
      <c r="C910" s="1">
        <v>100875</v>
      </c>
      <c r="D910" t="s">
        <v>11</v>
      </c>
      <c r="E910" s="2">
        <v>1.9E-3</v>
      </c>
      <c r="F910" t="s">
        <v>12</v>
      </c>
      <c r="G910" s="4" t="s">
        <v>1199</v>
      </c>
      <c r="H910" s="1">
        <v>100875</v>
      </c>
      <c r="I910" t="s">
        <v>1339</v>
      </c>
      <c r="J910" t="s">
        <v>1340</v>
      </c>
      <c r="K910" t="s">
        <v>23</v>
      </c>
      <c r="L910" s="2">
        <v>4.6249999999999999E-2</v>
      </c>
      <c r="M910" t="s">
        <v>367</v>
      </c>
      <c r="N910" t="s">
        <v>121</v>
      </c>
      <c r="O910" t="s">
        <v>1341</v>
      </c>
      <c r="P910" s="1">
        <v>100055</v>
      </c>
      <c r="Q910" s="1">
        <v>100055</v>
      </c>
      <c r="R910" s="1">
        <v>100055</v>
      </c>
      <c r="S910" t="s">
        <v>1342</v>
      </c>
      <c r="T910" t="s">
        <v>1342</v>
      </c>
      <c r="U910" t="s">
        <v>1342</v>
      </c>
      <c r="V910" t="s">
        <v>1343</v>
      </c>
      <c r="W910" t="s">
        <v>1120</v>
      </c>
      <c r="X910" s="1">
        <v>105135</v>
      </c>
      <c r="Y910" s="1">
        <v>105135</v>
      </c>
      <c r="Z910" s="1">
        <v>105135</v>
      </c>
      <c r="AA910" s="1">
        <v>105135</v>
      </c>
      <c r="AB910" s="2">
        <v>8.9999999999999998E-4</v>
      </c>
      <c r="AC910" s="2">
        <v>-1.5699999999999999E-2</v>
      </c>
      <c r="AD910" s="2">
        <v>-1.24E-2</v>
      </c>
      <c r="AE910" s="2">
        <v>1.34E-2</v>
      </c>
      <c r="AF910" s="2">
        <v>1.34E-2</v>
      </c>
      <c r="AG910" s="2">
        <v>1.34E-2</v>
      </c>
      <c r="AH910" t="s">
        <v>129</v>
      </c>
      <c r="AI910" t="s">
        <v>130</v>
      </c>
      <c r="AJ910" t="s">
        <v>131</v>
      </c>
      <c r="AK910" t="s">
        <v>40</v>
      </c>
      <c r="AL910">
        <v>100</v>
      </c>
      <c r="AM910" t="s">
        <v>41</v>
      </c>
      <c r="AN910" t="s">
        <v>42</v>
      </c>
      <c r="AO910" t="s">
        <v>1341</v>
      </c>
      <c r="AP910" t="s">
        <v>1344</v>
      </c>
      <c r="AQ910" t="s">
        <v>1344</v>
      </c>
      <c r="AR910" t="s">
        <v>133</v>
      </c>
      <c r="AS910" t="s">
        <v>133</v>
      </c>
    </row>
    <row r="911" spans="1:55" x14ac:dyDescent="0.4">
      <c r="A911" t="s">
        <v>630</v>
      </c>
      <c r="B911" t="s">
        <v>10</v>
      </c>
      <c r="C911" t="s">
        <v>3309</v>
      </c>
      <c r="D911" t="s">
        <v>11</v>
      </c>
      <c r="E911" s="2">
        <v>2.3E-3</v>
      </c>
      <c r="F911" t="s">
        <v>12</v>
      </c>
      <c r="G911" s="4" t="s">
        <v>3310</v>
      </c>
      <c r="H911" t="s">
        <v>3309</v>
      </c>
      <c r="I911" t="s">
        <v>3311</v>
      </c>
      <c r="J911" t="s">
        <v>3312</v>
      </c>
      <c r="K911" t="s">
        <v>23</v>
      </c>
      <c r="L911" s="2">
        <v>4.6249999999999999E-2</v>
      </c>
      <c r="M911" t="s">
        <v>1383</v>
      </c>
      <c r="N911" t="s">
        <v>121</v>
      </c>
      <c r="O911" t="s">
        <v>2662</v>
      </c>
      <c r="P911" t="s">
        <v>3313</v>
      </c>
      <c r="Q911" t="s">
        <v>3313</v>
      </c>
      <c r="R911" t="s">
        <v>3313</v>
      </c>
      <c r="S911" t="s">
        <v>3313</v>
      </c>
      <c r="T911" t="s">
        <v>3313</v>
      </c>
      <c r="U911" t="s">
        <v>3313</v>
      </c>
      <c r="V911" t="s">
        <v>3314</v>
      </c>
      <c r="W911" t="s">
        <v>2327</v>
      </c>
      <c r="X911" t="s">
        <v>3315</v>
      </c>
      <c r="Y911" t="s">
        <v>3315</v>
      </c>
      <c r="Z911" t="s">
        <v>3315</v>
      </c>
      <c r="AA911" t="s">
        <v>3315</v>
      </c>
      <c r="AB911" s="2">
        <v>-1.4999999999999999E-2</v>
      </c>
      <c r="AC911" s="2">
        <v>-6.0999999999999999E-2</v>
      </c>
      <c r="AD911" s="2">
        <v>-6.0600000000000001E-2</v>
      </c>
      <c r="AE911" s="2">
        <v>-5.4300000000000001E-2</v>
      </c>
      <c r="AF911" s="2">
        <v>-5.4300000000000001E-2</v>
      </c>
      <c r="AG911" s="2">
        <v>-5.4300000000000001E-2</v>
      </c>
      <c r="AH911" t="s">
        <v>129</v>
      </c>
      <c r="AI911" t="s">
        <v>130</v>
      </c>
      <c r="AJ911" t="s">
        <v>131</v>
      </c>
      <c r="AK911" t="s">
        <v>40</v>
      </c>
      <c r="AL911">
        <v>100</v>
      </c>
      <c r="AM911" t="s">
        <v>41</v>
      </c>
      <c r="AN911" t="s">
        <v>42</v>
      </c>
      <c r="AO911" t="s">
        <v>2662</v>
      </c>
      <c r="AP911" t="s">
        <v>3316</v>
      </c>
      <c r="AQ911" t="s">
        <v>3316</v>
      </c>
      <c r="AR911" t="s">
        <v>133</v>
      </c>
      <c r="AS911" t="s">
        <v>133</v>
      </c>
    </row>
    <row r="912" spans="1:55" x14ac:dyDescent="0.4">
      <c r="A912" t="s">
        <v>3509</v>
      </c>
      <c r="B912" t="s">
        <v>10</v>
      </c>
      <c r="C912" s="1">
        <v>100513</v>
      </c>
      <c r="D912" t="s">
        <v>11</v>
      </c>
      <c r="E912" s="2">
        <v>6.9999999999999999E-4</v>
      </c>
      <c r="F912" t="s">
        <v>12</v>
      </c>
      <c r="G912" s="4" t="s">
        <v>892</v>
      </c>
      <c r="H912" s="1">
        <v>100513</v>
      </c>
      <c r="I912" t="s">
        <v>3510</v>
      </c>
      <c r="J912" t="s">
        <v>3511</v>
      </c>
      <c r="K912" t="s">
        <v>23</v>
      </c>
      <c r="L912" s="2">
        <v>4.6249999999999999E-2</v>
      </c>
      <c r="M912" t="s">
        <v>2744</v>
      </c>
      <c r="N912" t="s">
        <v>121</v>
      </c>
      <c r="O912" t="s">
        <v>2194</v>
      </c>
      <c r="P912" s="1">
        <v>100333</v>
      </c>
      <c r="Q912" s="1">
        <v>100333</v>
      </c>
      <c r="R912" t="s">
        <v>641</v>
      </c>
      <c r="S912" t="s">
        <v>976</v>
      </c>
      <c r="T912" t="s">
        <v>976</v>
      </c>
      <c r="U912" t="s">
        <v>976</v>
      </c>
      <c r="V912" s="1">
        <v>100583</v>
      </c>
      <c r="W912" t="s">
        <v>860</v>
      </c>
      <c r="X912" t="s">
        <v>3512</v>
      </c>
      <c r="Y912" t="s">
        <v>3512</v>
      </c>
      <c r="Z912" t="s">
        <v>3512</v>
      </c>
      <c r="AA912" t="s">
        <v>3512</v>
      </c>
      <c r="AB912" s="2">
        <v>1E-3</v>
      </c>
      <c r="AC912" s="2">
        <v>-2.8999999999999998E-3</v>
      </c>
      <c r="AD912" s="2">
        <v>2.0999999999999999E-3</v>
      </c>
      <c r="AE912" s="2">
        <v>7.6E-3</v>
      </c>
      <c r="AF912" s="2">
        <v>7.6E-3</v>
      </c>
      <c r="AG912" s="2">
        <v>7.6E-3</v>
      </c>
      <c r="AH912" t="s">
        <v>129</v>
      </c>
      <c r="AI912" t="s">
        <v>130</v>
      </c>
      <c r="AJ912" t="s">
        <v>131</v>
      </c>
      <c r="AK912" t="s">
        <v>40</v>
      </c>
      <c r="AL912">
        <v>100</v>
      </c>
      <c r="AM912" t="s">
        <v>41</v>
      </c>
      <c r="AN912" t="s">
        <v>42</v>
      </c>
      <c r="AO912" t="s">
        <v>2194</v>
      </c>
      <c r="AP912" t="s">
        <v>3513</v>
      </c>
      <c r="AQ912" t="s">
        <v>3513</v>
      </c>
      <c r="AR912" t="s">
        <v>133</v>
      </c>
      <c r="AS912" t="s">
        <v>133</v>
      </c>
    </row>
    <row r="913" spans="1:45" x14ac:dyDescent="0.4">
      <c r="A913" t="s">
        <v>76</v>
      </c>
      <c r="B913" t="s">
        <v>10</v>
      </c>
      <c r="C913" t="s">
        <v>1197</v>
      </c>
      <c r="D913" t="s">
        <v>11</v>
      </c>
      <c r="E913" s="2">
        <v>1.1999999999999999E-3</v>
      </c>
      <c r="F913" t="s">
        <v>12</v>
      </c>
      <c r="G913" s="4" t="s">
        <v>2718</v>
      </c>
      <c r="H913" t="s">
        <v>1197</v>
      </c>
      <c r="I913" t="s">
        <v>2719</v>
      </c>
      <c r="J913" t="s">
        <v>2720</v>
      </c>
      <c r="K913" t="s">
        <v>23</v>
      </c>
      <c r="L913" s="2">
        <v>4.4999999999999998E-2</v>
      </c>
      <c r="M913" t="s">
        <v>2721</v>
      </c>
      <c r="N913" t="s">
        <v>121</v>
      </c>
      <c r="O913" t="s">
        <v>2722</v>
      </c>
      <c r="P913" s="1">
        <v>100075</v>
      </c>
      <c r="Q913" s="1">
        <v>100075</v>
      </c>
      <c r="R913" s="1">
        <v>100075</v>
      </c>
      <c r="S913" t="s">
        <v>2723</v>
      </c>
      <c r="T913" t="s">
        <v>2723</v>
      </c>
      <c r="U913" t="s">
        <v>2723</v>
      </c>
      <c r="V913" t="s">
        <v>2724</v>
      </c>
      <c r="W913" t="s">
        <v>1343</v>
      </c>
      <c r="X913" t="s">
        <v>1966</v>
      </c>
      <c r="Y913" t="s">
        <v>1966</v>
      </c>
      <c r="Z913" t="s">
        <v>1966</v>
      </c>
      <c r="AA913" t="s">
        <v>1966</v>
      </c>
      <c r="AB913" s="2">
        <v>1.1000000000000001E-3</v>
      </c>
      <c r="AC913" s="2">
        <v>-6.1999999999999998E-3</v>
      </c>
      <c r="AD913" s="2">
        <v>-8.9999999999999998E-4</v>
      </c>
      <c r="AE913" s="2">
        <v>1.1900000000000001E-2</v>
      </c>
      <c r="AF913" s="2">
        <v>1.1900000000000001E-2</v>
      </c>
      <c r="AG913" s="2">
        <v>1.1900000000000001E-2</v>
      </c>
      <c r="AH913" t="s">
        <v>129</v>
      </c>
      <c r="AI913" t="s">
        <v>130</v>
      </c>
      <c r="AJ913" t="s">
        <v>131</v>
      </c>
      <c r="AK913" t="s">
        <v>40</v>
      </c>
      <c r="AL913">
        <v>100</v>
      </c>
      <c r="AM913" t="s">
        <v>41</v>
      </c>
      <c r="AN913" t="s">
        <v>42</v>
      </c>
      <c r="AO913" t="s">
        <v>2722</v>
      </c>
      <c r="AP913" t="s">
        <v>2725</v>
      </c>
      <c r="AQ913" t="s">
        <v>2725</v>
      </c>
      <c r="AR913" t="s">
        <v>133</v>
      </c>
      <c r="AS913" t="s">
        <v>133</v>
      </c>
    </row>
    <row r="914" spans="1:45" x14ac:dyDescent="0.4">
      <c r="A914" t="s">
        <v>3462</v>
      </c>
      <c r="B914" t="s">
        <v>10</v>
      </c>
      <c r="C914" t="s">
        <v>1622</v>
      </c>
      <c r="D914" t="s">
        <v>11</v>
      </c>
      <c r="E914" s="2">
        <v>2.0000000000000001E-4</v>
      </c>
      <c r="F914" t="s">
        <v>310</v>
      </c>
      <c r="G914" s="4" t="s">
        <v>3463</v>
      </c>
      <c r="H914" t="s">
        <v>1622</v>
      </c>
      <c r="I914" t="s">
        <v>3464</v>
      </c>
      <c r="J914" t="s">
        <v>3465</v>
      </c>
      <c r="K914" t="s">
        <v>23</v>
      </c>
      <c r="L914" s="2">
        <v>4.4999999999999998E-2</v>
      </c>
      <c r="M914" t="s">
        <v>1920</v>
      </c>
      <c r="N914" t="s">
        <v>121</v>
      </c>
      <c r="O914" t="s">
        <v>1921</v>
      </c>
      <c r="P914" t="s">
        <v>1551</v>
      </c>
      <c r="Q914" t="s">
        <v>1551</v>
      </c>
      <c r="R914" t="s">
        <v>680</v>
      </c>
      <c r="S914" t="s">
        <v>280</v>
      </c>
      <c r="T914" t="s">
        <v>3466</v>
      </c>
      <c r="U914" t="s">
        <v>1440</v>
      </c>
      <c r="V914" t="s">
        <v>2240</v>
      </c>
      <c r="W914" t="s">
        <v>2240</v>
      </c>
      <c r="X914" t="s">
        <v>1655</v>
      </c>
      <c r="Y914" t="s">
        <v>1655</v>
      </c>
      <c r="Z914" t="s">
        <v>2851</v>
      </c>
      <c r="AA914" t="s">
        <v>2001</v>
      </c>
      <c r="AB914" s="2">
        <v>6.7000000000000002E-3</v>
      </c>
      <c r="AC914" s="2">
        <v>-1.1000000000000001E-3</v>
      </c>
      <c r="AD914" s="2">
        <v>1.0800000000000001E-2</v>
      </c>
      <c r="AE914" s="2">
        <v>6.1999999999999998E-3</v>
      </c>
      <c r="AF914" s="2">
        <v>-6.6E-3</v>
      </c>
      <c r="AG914" s="2">
        <v>1.5299999999999999E-2</v>
      </c>
      <c r="AH914" t="s">
        <v>129</v>
      </c>
      <c r="AI914" t="s">
        <v>130</v>
      </c>
      <c r="AJ914" t="s">
        <v>131</v>
      </c>
      <c r="AK914" t="s">
        <v>40</v>
      </c>
      <c r="AL914">
        <v>100</v>
      </c>
      <c r="AM914" t="s">
        <v>41</v>
      </c>
      <c r="AN914" t="s">
        <v>42</v>
      </c>
      <c r="AO914" t="s">
        <v>1921</v>
      </c>
      <c r="AP914" t="s">
        <v>3467</v>
      </c>
      <c r="AQ914" t="s">
        <v>3467</v>
      </c>
      <c r="AR914" t="s">
        <v>133</v>
      </c>
      <c r="AS914" t="s">
        <v>133</v>
      </c>
    </row>
    <row r="915" spans="1:45" x14ac:dyDescent="0.4">
      <c r="A915" t="s">
        <v>630</v>
      </c>
      <c r="B915" t="s">
        <v>10</v>
      </c>
      <c r="C915" t="s">
        <v>697</v>
      </c>
      <c r="D915" t="s">
        <v>11</v>
      </c>
      <c r="E915" s="2">
        <v>3.2000000000000002E-3</v>
      </c>
      <c r="F915" t="s">
        <v>12</v>
      </c>
      <c r="G915" s="4" t="s">
        <v>698</v>
      </c>
      <c r="H915" t="s">
        <v>697</v>
      </c>
      <c r="I915" t="s">
        <v>699</v>
      </c>
      <c r="J915" t="s">
        <v>700</v>
      </c>
      <c r="K915" t="s">
        <v>23</v>
      </c>
      <c r="L915" s="2">
        <v>4.3749999999999997E-2</v>
      </c>
      <c r="M915" t="s">
        <v>120</v>
      </c>
      <c r="N915" t="s">
        <v>121</v>
      </c>
      <c r="O915" t="s">
        <v>122</v>
      </c>
      <c r="P915" t="s">
        <v>701</v>
      </c>
      <c r="Q915" t="s">
        <v>701</v>
      </c>
      <c r="R915" t="s">
        <v>701</v>
      </c>
      <c r="S915" t="s">
        <v>701</v>
      </c>
      <c r="T915" t="s">
        <v>702</v>
      </c>
      <c r="U915" t="s">
        <v>702</v>
      </c>
      <c r="V915" t="s">
        <v>703</v>
      </c>
      <c r="W915" t="s">
        <v>109</v>
      </c>
      <c r="X915" t="s">
        <v>704</v>
      </c>
      <c r="Y915" t="s">
        <v>704</v>
      </c>
      <c r="Z915" t="s">
        <v>704</v>
      </c>
      <c r="AA915" t="s">
        <v>704</v>
      </c>
      <c r="AB915" s="2">
        <v>-7.7000000000000002E-3</v>
      </c>
      <c r="AC915" s="2">
        <v>-4.5199999999999997E-2</v>
      </c>
      <c r="AD915" s="2">
        <v>-4.19E-2</v>
      </c>
      <c r="AE915" s="2">
        <v>-4.8500000000000001E-2</v>
      </c>
      <c r="AF915" s="2">
        <v>-5.3100000000000001E-2</v>
      </c>
      <c r="AG915" s="2">
        <v>-5.3100000000000001E-2</v>
      </c>
      <c r="AH915" t="s">
        <v>129</v>
      </c>
      <c r="AI915" t="s">
        <v>130</v>
      </c>
      <c r="AJ915" t="s">
        <v>131</v>
      </c>
      <c r="AK915" t="s">
        <v>40</v>
      </c>
      <c r="AL915">
        <v>100</v>
      </c>
      <c r="AM915" t="s">
        <v>41</v>
      </c>
      <c r="AN915" t="s">
        <v>42</v>
      </c>
      <c r="AO915" t="s">
        <v>122</v>
      </c>
      <c r="AP915" t="s">
        <v>705</v>
      </c>
      <c r="AQ915" t="s">
        <v>705</v>
      </c>
      <c r="AR915" t="s">
        <v>133</v>
      </c>
      <c r="AS915" t="s">
        <v>133</v>
      </c>
    </row>
    <row r="916" spans="1:45" x14ac:dyDescent="0.4">
      <c r="A916" t="s">
        <v>4396</v>
      </c>
      <c r="B916" t="s">
        <v>10</v>
      </c>
      <c r="C916" t="s">
        <v>4214</v>
      </c>
      <c r="D916" t="s">
        <v>11</v>
      </c>
      <c r="E916" s="2">
        <v>-3.3999999999999998E-3</v>
      </c>
      <c r="F916" t="s">
        <v>310</v>
      </c>
      <c r="G916" s="4">
        <f>-0.33 / -0.34%</f>
        <v>97.058823529411768</v>
      </c>
      <c r="H916" t="s">
        <v>4214</v>
      </c>
      <c r="I916" t="s">
        <v>4397</v>
      </c>
      <c r="J916" t="s">
        <v>4398</v>
      </c>
      <c r="K916" t="s">
        <v>23</v>
      </c>
      <c r="L916" s="2">
        <v>4.3749999999999997E-2</v>
      </c>
      <c r="M916" t="s">
        <v>4399</v>
      </c>
      <c r="N916" t="s">
        <v>121</v>
      </c>
      <c r="O916" t="s">
        <v>4400</v>
      </c>
      <c r="P916" t="s">
        <v>4401</v>
      </c>
      <c r="Q916" t="s">
        <v>4401</v>
      </c>
      <c r="R916" t="s">
        <v>4401</v>
      </c>
      <c r="S916" t="s">
        <v>4401</v>
      </c>
      <c r="T916" t="s">
        <v>4402</v>
      </c>
      <c r="U916" t="s">
        <v>4402</v>
      </c>
      <c r="V916" t="s">
        <v>4403</v>
      </c>
      <c r="W916" t="s">
        <v>1291</v>
      </c>
      <c r="X916" t="s">
        <v>4404</v>
      </c>
      <c r="Y916" t="s">
        <v>4404</v>
      </c>
      <c r="Z916" t="s">
        <v>4405</v>
      </c>
      <c r="AA916" t="s">
        <v>4406</v>
      </c>
      <c r="AB916" s="2">
        <v>-1.0500000000000001E-2</v>
      </c>
      <c r="AC916" s="2">
        <v>-4.1700000000000001E-2</v>
      </c>
      <c r="AD916" s="2">
        <v>-4.19E-2</v>
      </c>
      <c r="AE916" s="2">
        <v>-5.3499999999999999E-2</v>
      </c>
      <c r="AF916" s="2">
        <v>-0.1159</v>
      </c>
      <c r="AG916" s="2">
        <v>-0.2787</v>
      </c>
      <c r="AH916" t="s">
        <v>129</v>
      </c>
      <c r="AI916" t="s">
        <v>130</v>
      </c>
      <c r="AJ916" t="s">
        <v>131</v>
      </c>
      <c r="AK916" t="s">
        <v>40</v>
      </c>
      <c r="AL916">
        <v>100</v>
      </c>
      <c r="AM916" t="s">
        <v>41</v>
      </c>
      <c r="AN916" t="s">
        <v>42</v>
      </c>
      <c r="AO916" t="s">
        <v>4400</v>
      </c>
      <c r="AP916" t="s">
        <v>4407</v>
      </c>
      <c r="AQ916" t="s">
        <v>4407</v>
      </c>
      <c r="AR916" t="s">
        <v>133</v>
      </c>
      <c r="AS916" t="s">
        <v>133</v>
      </c>
    </row>
    <row r="917" spans="1:45" x14ac:dyDescent="0.4">
      <c r="A917" t="s">
        <v>630</v>
      </c>
      <c r="B917" t="s">
        <v>10</v>
      </c>
      <c r="C917" t="s">
        <v>1810</v>
      </c>
      <c r="D917" t="s">
        <v>11</v>
      </c>
      <c r="E917" s="2">
        <v>2.7000000000000001E-3</v>
      </c>
      <c r="F917" t="s">
        <v>12</v>
      </c>
      <c r="G917" s="4" t="s">
        <v>1811</v>
      </c>
      <c r="H917" t="s">
        <v>1810</v>
      </c>
      <c r="I917" t="s">
        <v>1812</v>
      </c>
      <c r="J917" t="s">
        <v>1813</v>
      </c>
      <c r="K917" t="s">
        <v>23</v>
      </c>
      <c r="L917" s="2">
        <v>4.2500000000000003E-2</v>
      </c>
      <c r="M917" t="s">
        <v>1814</v>
      </c>
      <c r="N917" t="s">
        <v>121</v>
      </c>
      <c r="O917" t="s">
        <v>1383</v>
      </c>
      <c r="P917" t="s">
        <v>1815</v>
      </c>
      <c r="Q917" t="s">
        <v>1815</v>
      </c>
      <c r="R917" t="s">
        <v>1815</v>
      </c>
      <c r="S917" t="s">
        <v>1815</v>
      </c>
      <c r="T917" t="s">
        <v>1815</v>
      </c>
      <c r="U917" t="s">
        <v>1815</v>
      </c>
      <c r="V917" t="s">
        <v>1816</v>
      </c>
      <c r="W917" t="s">
        <v>415</v>
      </c>
      <c r="X917" t="s">
        <v>415</v>
      </c>
      <c r="Y917" t="s">
        <v>415</v>
      </c>
      <c r="Z917" t="s">
        <v>415</v>
      </c>
      <c r="AA917" t="s">
        <v>415</v>
      </c>
      <c r="AB917" s="2">
        <v>-3.5999999999999999E-3</v>
      </c>
      <c r="AC917" s="2">
        <v>-1.95E-2</v>
      </c>
      <c r="AD917" s="2">
        <v>-1.95E-2</v>
      </c>
      <c r="AE917" s="2">
        <v>-1.95E-2</v>
      </c>
      <c r="AF917" s="2">
        <v>-1.95E-2</v>
      </c>
      <c r="AG917" s="2">
        <v>-1.95E-2</v>
      </c>
      <c r="AH917" t="s">
        <v>129</v>
      </c>
      <c r="AI917" t="s">
        <v>130</v>
      </c>
      <c r="AJ917" t="s">
        <v>131</v>
      </c>
      <c r="AK917" t="s">
        <v>40</v>
      </c>
      <c r="AL917">
        <v>100</v>
      </c>
      <c r="AM917" t="s">
        <v>41</v>
      </c>
      <c r="AN917" t="s">
        <v>42</v>
      </c>
      <c r="AO917" t="s">
        <v>1383</v>
      </c>
      <c r="AP917" t="s">
        <v>1817</v>
      </c>
      <c r="AQ917" t="s">
        <v>1817</v>
      </c>
      <c r="AR917" t="s">
        <v>133</v>
      </c>
      <c r="AS917" t="s">
        <v>133</v>
      </c>
    </row>
    <row r="918" spans="1:45" x14ac:dyDescent="0.4">
      <c r="A918" t="s">
        <v>76</v>
      </c>
      <c r="B918" t="s">
        <v>10</v>
      </c>
      <c r="C918" s="1">
        <v>100005</v>
      </c>
      <c r="D918" t="s">
        <v>11</v>
      </c>
      <c r="E918" s="2">
        <v>1E-3</v>
      </c>
      <c r="F918" t="s">
        <v>12</v>
      </c>
      <c r="G918" s="4" t="s">
        <v>2741</v>
      </c>
      <c r="H918" s="1">
        <v>100005</v>
      </c>
      <c r="I918" t="s">
        <v>2742</v>
      </c>
      <c r="J918" t="s">
        <v>2743</v>
      </c>
      <c r="K918" t="s">
        <v>23</v>
      </c>
      <c r="L918" s="2">
        <v>4.2500000000000003E-2</v>
      </c>
      <c r="M918" t="s">
        <v>209</v>
      </c>
      <c r="N918" t="s">
        <v>121</v>
      </c>
      <c r="O918" t="s">
        <v>2744</v>
      </c>
      <c r="P918" t="s">
        <v>1169</v>
      </c>
      <c r="Q918" t="s">
        <v>1169</v>
      </c>
      <c r="R918" t="s">
        <v>1169</v>
      </c>
      <c r="S918" t="s">
        <v>1169</v>
      </c>
      <c r="T918" t="s">
        <v>1169</v>
      </c>
      <c r="U918" t="s">
        <v>1169</v>
      </c>
      <c r="V918" t="s">
        <v>1973</v>
      </c>
      <c r="W918" t="s">
        <v>1973</v>
      </c>
      <c r="X918" t="s">
        <v>1973</v>
      </c>
      <c r="Y918" t="s">
        <v>1973</v>
      </c>
      <c r="Z918" t="s">
        <v>1973</v>
      </c>
      <c r="AA918" t="s">
        <v>1973</v>
      </c>
      <c r="AB918" s="2">
        <v>1.1999999999999999E-3</v>
      </c>
      <c r="AC918" s="2">
        <v>1.1999999999999999E-3</v>
      </c>
      <c r="AD918" s="2">
        <v>1.1999999999999999E-3</v>
      </c>
      <c r="AE918" s="2">
        <v>1.1999999999999999E-3</v>
      </c>
      <c r="AF918" s="2">
        <v>1.1999999999999999E-3</v>
      </c>
      <c r="AG918" s="2">
        <v>1.1999999999999999E-3</v>
      </c>
      <c r="AH918" t="s">
        <v>129</v>
      </c>
      <c r="AI918" t="s">
        <v>130</v>
      </c>
      <c r="AJ918" t="s">
        <v>131</v>
      </c>
      <c r="AK918" t="s">
        <v>40</v>
      </c>
      <c r="AL918">
        <v>100</v>
      </c>
      <c r="AM918" t="s">
        <v>41</v>
      </c>
      <c r="AN918" t="s">
        <v>42</v>
      </c>
      <c r="AO918" t="s">
        <v>2744</v>
      </c>
      <c r="AP918" t="s">
        <v>2745</v>
      </c>
      <c r="AQ918" t="s">
        <v>2745</v>
      </c>
      <c r="AR918" t="s">
        <v>133</v>
      </c>
      <c r="AS918" t="s">
        <v>133</v>
      </c>
    </row>
    <row r="919" spans="1:45" x14ac:dyDescent="0.4">
      <c r="A919" t="s">
        <v>76</v>
      </c>
      <c r="B919" t="s">
        <v>10</v>
      </c>
      <c r="C919" t="s">
        <v>3589</v>
      </c>
      <c r="D919" t="s">
        <v>11</v>
      </c>
      <c r="E919" s="2">
        <v>4.1000000000000003E-3</v>
      </c>
      <c r="F919" t="s">
        <v>12</v>
      </c>
      <c r="G919" s="4" t="s">
        <v>3590</v>
      </c>
      <c r="H919" t="s">
        <v>3589</v>
      </c>
      <c r="I919" t="s">
        <v>3591</v>
      </c>
      <c r="J919" t="s">
        <v>3592</v>
      </c>
      <c r="K919" t="s">
        <v>23</v>
      </c>
      <c r="L919" s="2">
        <v>4.2500000000000003E-2</v>
      </c>
      <c r="M919" t="s">
        <v>1971</v>
      </c>
      <c r="N919" t="s">
        <v>121</v>
      </c>
      <c r="O919" t="s">
        <v>120</v>
      </c>
      <c r="P919" t="s">
        <v>2111</v>
      </c>
      <c r="Q919" t="s">
        <v>2111</v>
      </c>
      <c r="R919" t="s">
        <v>2111</v>
      </c>
      <c r="S919" t="s">
        <v>2111</v>
      </c>
      <c r="T919" t="s">
        <v>2111</v>
      </c>
      <c r="U919" t="s">
        <v>2111</v>
      </c>
      <c r="V919" t="s">
        <v>3593</v>
      </c>
      <c r="W919" t="s">
        <v>1501</v>
      </c>
      <c r="X919" t="s">
        <v>3594</v>
      </c>
      <c r="Y919" t="s">
        <v>3594</v>
      </c>
      <c r="Z919" t="s">
        <v>3594</v>
      </c>
      <c r="AA919" t="s">
        <v>3594</v>
      </c>
      <c r="AB919" s="2">
        <v>-1.7100000000000001E-2</v>
      </c>
      <c r="AC919" s="2">
        <v>-5.7599999999999998E-2</v>
      </c>
      <c r="AD919" s="2">
        <v>-5.7799999999999997E-2</v>
      </c>
      <c r="AE919" s="2">
        <v>-6.4899999999999999E-2</v>
      </c>
      <c r="AF919" s="2">
        <v>-6.4899999999999999E-2</v>
      </c>
      <c r="AG919" s="2">
        <v>-6.4899999999999999E-2</v>
      </c>
      <c r="AH919" t="s">
        <v>129</v>
      </c>
      <c r="AI919" t="s">
        <v>130</v>
      </c>
      <c r="AJ919" t="s">
        <v>131</v>
      </c>
      <c r="AK919" t="s">
        <v>40</v>
      </c>
      <c r="AL919">
        <v>100</v>
      </c>
      <c r="AM919" t="s">
        <v>41</v>
      </c>
      <c r="AN919" t="s">
        <v>42</v>
      </c>
      <c r="AO919" t="s">
        <v>120</v>
      </c>
      <c r="AP919" t="s">
        <v>3595</v>
      </c>
      <c r="AQ919" t="s">
        <v>3595</v>
      </c>
      <c r="AR919" t="s">
        <v>133</v>
      </c>
      <c r="AS919" t="s">
        <v>133</v>
      </c>
    </row>
    <row r="920" spans="1:45" x14ac:dyDescent="0.4">
      <c r="A920" t="s">
        <v>115</v>
      </c>
      <c r="B920" t="s">
        <v>10</v>
      </c>
      <c r="C920" s="1">
        <v>99285</v>
      </c>
      <c r="D920" t="s">
        <v>11</v>
      </c>
      <c r="E920" s="2">
        <v>1.8E-3</v>
      </c>
      <c r="F920" t="s">
        <v>12</v>
      </c>
      <c r="G920" s="4" t="s">
        <v>2908</v>
      </c>
      <c r="H920" s="1">
        <v>99285</v>
      </c>
      <c r="I920" t="s">
        <v>2909</v>
      </c>
      <c r="J920" t="s">
        <v>2910</v>
      </c>
      <c r="K920" t="s">
        <v>23</v>
      </c>
      <c r="L920" s="2">
        <v>4.1250000000000002E-2</v>
      </c>
      <c r="M920" t="s">
        <v>2911</v>
      </c>
      <c r="N920" t="s">
        <v>121</v>
      </c>
      <c r="O920" t="s">
        <v>2912</v>
      </c>
      <c r="P920" t="s">
        <v>1501</v>
      </c>
      <c r="Q920" t="s">
        <v>1501</v>
      </c>
      <c r="R920" t="s">
        <v>1501</v>
      </c>
      <c r="S920" t="s">
        <v>2913</v>
      </c>
      <c r="T920" s="1">
        <v>96285</v>
      </c>
      <c r="U920" s="1">
        <v>96285</v>
      </c>
      <c r="V920" s="1">
        <v>99405</v>
      </c>
      <c r="W920" s="1">
        <v>100375</v>
      </c>
      <c r="X920" t="s">
        <v>2914</v>
      </c>
      <c r="Y920" t="s">
        <v>2914</v>
      </c>
      <c r="Z920" t="s">
        <v>2914</v>
      </c>
      <c r="AA920" t="s">
        <v>2914</v>
      </c>
      <c r="AB920" s="2">
        <v>2.0999999999999999E-3</v>
      </c>
      <c r="AC920" s="2">
        <v>-1.0800000000000001E-2</v>
      </c>
      <c r="AD920" s="2">
        <v>-6.0000000000000001E-3</v>
      </c>
      <c r="AE920" s="2">
        <v>-9.2999999999999992E-3</v>
      </c>
      <c r="AF920" s="2">
        <v>-5.4000000000000003E-3</v>
      </c>
      <c r="AG920" s="2">
        <v>-5.4000000000000003E-3</v>
      </c>
      <c r="AH920" t="s">
        <v>129</v>
      </c>
      <c r="AI920" t="s">
        <v>130</v>
      </c>
      <c r="AJ920" t="s">
        <v>131</v>
      </c>
      <c r="AK920" t="s">
        <v>40</v>
      </c>
      <c r="AL920">
        <v>100</v>
      </c>
      <c r="AM920" t="s">
        <v>41</v>
      </c>
      <c r="AN920" t="s">
        <v>42</v>
      </c>
      <c r="AO920" t="s">
        <v>2912</v>
      </c>
      <c r="AP920" t="s">
        <v>2915</v>
      </c>
      <c r="AQ920" t="s">
        <v>2915</v>
      </c>
      <c r="AR920" t="s">
        <v>133</v>
      </c>
      <c r="AS920" t="s">
        <v>133</v>
      </c>
    </row>
    <row r="921" spans="1:45" x14ac:dyDescent="0.4">
      <c r="A921" t="s">
        <v>115</v>
      </c>
      <c r="B921" t="s">
        <v>10</v>
      </c>
      <c r="C921" s="1">
        <v>99715</v>
      </c>
      <c r="D921" t="s">
        <v>11</v>
      </c>
      <c r="E921" s="2">
        <v>8.9999999999999998E-4</v>
      </c>
      <c r="F921" t="s">
        <v>12</v>
      </c>
      <c r="G921" s="4" t="s">
        <v>2696</v>
      </c>
      <c r="H921" s="1">
        <v>99715</v>
      </c>
      <c r="I921" t="s">
        <v>3448</v>
      </c>
      <c r="J921" t="s">
        <v>3449</v>
      </c>
      <c r="K921" t="s">
        <v>23</v>
      </c>
      <c r="L921" s="2">
        <v>4.1250000000000002E-2</v>
      </c>
      <c r="M921" t="s">
        <v>1971</v>
      </c>
      <c r="N921" t="s">
        <v>121</v>
      </c>
      <c r="O921" t="s">
        <v>120</v>
      </c>
      <c r="P921" s="1">
        <v>99335</v>
      </c>
      <c r="Q921" s="1">
        <v>99335</v>
      </c>
      <c r="R921" s="1">
        <v>99335</v>
      </c>
      <c r="S921" t="s">
        <v>3450</v>
      </c>
      <c r="T921" t="s">
        <v>3450</v>
      </c>
      <c r="U921" t="s">
        <v>3450</v>
      </c>
      <c r="V921" s="1">
        <v>99775</v>
      </c>
      <c r="W921" s="1">
        <v>100215</v>
      </c>
      <c r="X921" s="1">
        <v>101435</v>
      </c>
      <c r="Y921" s="1">
        <v>101435</v>
      </c>
      <c r="Z921" s="1">
        <v>101435</v>
      </c>
      <c r="AA921" s="1">
        <v>101435</v>
      </c>
      <c r="AB921" s="2">
        <v>2E-3</v>
      </c>
      <c r="AC921" s="2">
        <v>-4.8999999999999998E-3</v>
      </c>
      <c r="AD921" s="2">
        <v>1.4E-3</v>
      </c>
      <c r="AE921" s="2">
        <v>3.0999999999999999E-3</v>
      </c>
      <c r="AF921" s="2">
        <v>3.0999999999999999E-3</v>
      </c>
      <c r="AG921" s="2">
        <v>3.0999999999999999E-3</v>
      </c>
      <c r="AH921" t="s">
        <v>129</v>
      </c>
      <c r="AI921" t="s">
        <v>130</v>
      </c>
      <c r="AJ921" t="s">
        <v>131</v>
      </c>
      <c r="AK921" t="s">
        <v>40</v>
      </c>
      <c r="AL921">
        <v>100</v>
      </c>
      <c r="AM921" t="s">
        <v>41</v>
      </c>
      <c r="AN921" t="s">
        <v>42</v>
      </c>
      <c r="AO921" t="s">
        <v>120</v>
      </c>
      <c r="AP921" t="s">
        <v>3451</v>
      </c>
      <c r="AQ921" t="s">
        <v>3451</v>
      </c>
      <c r="AR921" t="s">
        <v>133</v>
      </c>
      <c r="AS921" t="s">
        <v>133</v>
      </c>
    </row>
    <row r="922" spans="1:45" x14ac:dyDescent="0.4">
      <c r="A922" t="s">
        <v>76</v>
      </c>
      <c r="B922" t="s">
        <v>10</v>
      </c>
      <c r="C922" t="s">
        <v>408</v>
      </c>
      <c r="D922" t="s">
        <v>11</v>
      </c>
      <c r="E922" s="2">
        <v>1.6999999999999999E-3</v>
      </c>
      <c r="F922" t="s">
        <v>12</v>
      </c>
      <c r="G922" s="4" t="s">
        <v>3927</v>
      </c>
      <c r="H922" t="s">
        <v>408</v>
      </c>
      <c r="I922" t="s">
        <v>3928</v>
      </c>
      <c r="J922" t="s">
        <v>3929</v>
      </c>
      <c r="K922" t="s">
        <v>23</v>
      </c>
      <c r="L922" s="2">
        <v>4.1250000000000002E-2</v>
      </c>
      <c r="M922" t="s">
        <v>1814</v>
      </c>
      <c r="N922" t="s">
        <v>121</v>
      </c>
      <c r="O922" t="s">
        <v>1383</v>
      </c>
      <c r="P922" t="s">
        <v>257</v>
      </c>
      <c r="Q922" t="s">
        <v>257</v>
      </c>
      <c r="R922" t="s">
        <v>257</v>
      </c>
      <c r="S922" t="s">
        <v>257</v>
      </c>
      <c r="T922" t="s">
        <v>257</v>
      </c>
      <c r="U922" t="s">
        <v>257</v>
      </c>
      <c r="V922" t="s">
        <v>775</v>
      </c>
      <c r="W922" t="s">
        <v>1976</v>
      </c>
      <c r="X922" t="s">
        <v>1976</v>
      </c>
      <c r="Y922" t="s">
        <v>1976</v>
      </c>
      <c r="Z922" t="s">
        <v>1976</v>
      </c>
      <c r="AA922" t="s">
        <v>1976</v>
      </c>
      <c r="AB922" s="2">
        <v>1.4E-3</v>
      </c>
      <c r="AC922" s="2">
        <v>6.9999999999999999E-4</v>
      </c>
      <c r="AD922" s="2">
        <v>6.9999999999999999E-4</v>
      </c>
      <c r="AE922" s="2">
        <v>6.9999999999999999E-4</v>
      </c>
      <c r="AF922" s="2">
        <v>6.9999999999999999E-4</v>
      </c>
      <c r="AG922" s="2">
        <v>6.9999999999999999E-4</v>
      </c>
      <c r="AH922" t="s">
        <v>129</v>
      </c>
      <c r="AI922" t="s">
        <v>130</v>
      </c>
      <c r="AJ922" t="s">
        <v>131</v>
      </c>
      <c r="AK922" t="s">
        <v>40</v>
      </c>
      <c r="AL922">
        <v>100</v>
      </c>
      <c r="AM922" t="s">
        <v>41</v>
      </c>
      <c r="AN922" t="s">
        <v>42</v>
      </c>
      <c r="AO922" t="s">
        <v>1383</v>
      </c>
      <c r="AP922" t="s">
        <v>3930</v>
      </c>
      <c r="AQ922" t="s">
        <v>3930</v>
      </c>
      <c r="AR922" t="s">
        <v>133</v>
      </c>
      <c r="AS922" t="s">
        <v>133</v>
      </c>
    </row>
    <row r="923" spans="1:45" x14ac:dyDescent="0.4">
      <c r="A923" t="s">
        <v>630</v>
      </c>
      <c r="B923" t="s">
        <v>10</v>
      </c>
      <c r="C923" t="s">
        <v>1916</v>
      </c>
      <c r="D923" t="s">
        <v>11</v>
      </c>
      <c r="E923" s="2">
        <v>3.5000000000000001E-3</v>
      </c>
      <c r="F923" t="s">
        <v>12</v>
      </c>
      <c r="G923" s="4" t="s">
        <v>1917</v>
      </c>
      <c r="H923" t="s">
        <v>1916</v>
      </c>
      <c r="I923" t="s">
        <v>1918</v>
      </c>
      <c r="J923" t="s">
        <v>1919</v>
      </c>
      <c r="K923" t="s">
        <v>23</v>
      </c>
      <c r="L923" s="2">
        <v>0.04</v>
      </c>
      <c r="M923" t="s">
        <v>1920</v>
      </c>
      <c r="N923" t="s">
        <v>121</v>
      </c>
      <c r="O923" t="s">
        <v>1921</v>
      </c>
      <c r="P923" t="s">
        <v>1922</v>
      </c>
      <c r="Q923" t="s">
        <v>1922</v>
      </c>
      <c r="R923" t="s">
        <v>1922</v>
      </c>
      <c r="S923" t="s">
        <v>1922</v>
      </c>
      <c r="T923" t="s">
        <v>1923</v>
      </c>
      <c r="U923" t="s">
        <v>1923</v>
      </c>
      <c r="V923" t="s">
        <v>1924</v>
      </c>
      <c r="W923" t="s">
        <v>1925</v>
      </c>
      <c r="X923" t="s">
        <v>68</v>
      </c>
      <c r="Y923" t="s">
        <v>68</v>
      </c>
      <c r="Z923" t="s">
        <v>1926</v>
      </c>
      <c r="AA923" t="s">
        <v>1927</v>
      </c>
      <c r="AB923" s="2">
        <v>-1.35E-2</v>
      </c>
      <c r="AC923" s="2">
        <v>-6.0299999999999999E-2</v>
      </c>
      <c r="AD923" s="2">
        <v>-6.0199999999999997E-2</v>
      </c>
      <c r="AE923" s="2">
        <v>-7.3700000000000002E-2</v>
      </c>
      <c r="AF923" s="2">
        <v>-0.189</v>
      </c>
      <c r="AG923" s="2">
        <v>-0.10059999999999999</v>
      </c>
      <c r="AH923" t="s">
        <v>129</v>
      </c>
      <c r="AI923" t="s">
        <v>130</v>
      </c>
      <c r="AJ923" t="s">
        <v>131</v>
      </c>
      <c r="AK923" t="s">
        <v>40</v>
      </c>
      <c r="AL923">
        <v>100</v>
      </c>
      <c r="AM923" t="s">
        <v>41</v>
      </c>
      <c r="AN923" t="s">
        <v>42</v>
      </c>
      <c r="AO923" t="s">
        <v>1921</v>
      </c>
      <c r="AP923" t="s">
        <v>1928</v>
      </c>
      <c r="AQ923" t="s">
        <v>1928</v>
      </c>
      <c r="AR923" t="s">
        <v>133</v>
      </c>
      <c r="AS923" t="s">
        <v>133</v>
      </c>
    </row>
    <row r="924" spans="1:45" x14ac:dyDescent="0.4">
      <c r="A924" t="s">
        <v>76</v>
      </c>
      <c r="B924" t="s">
        <v>10</v>
      </c>
      <c r="C924" s="1">
        <v>98215</v>
      </c>
      <c r="D924" t="s">
        <v>11</v>
      </c>
      <c r="E924" s="2">
        <v>2.3E-3</v>
      </c>
      <c r="F924" t="s">
        <v>12</v>
      </c>
      <c r="G924" s="4" t="s">
        <v>2249</v>
      </c>
      <c r="H924" s="1">
        <v>98215</v>
      </c>
      <c r="I924" t="s">
        <v>2250</v>
      </c>
      <c r="J924" t="s">
        <v>2251</v>
      </c>
      <c r="K924" t="s">
        <v>23</v>
      </c>
      <c r="L924" s="2">
        <v>0.04</v>
      </c>
      <c r="M924" t="s">
        <v>2252</v>
      </c>
      <c r="N924" t="s">
        <v>121</v>
      </c>
      <c r="O924" t="s">
        <v>1230</v>
      </c>
      <c r="P924" s="1">
        <v>97335</v>
      </c>
      <c r="Q924" s="1">
        <v>97335</v>
      </c>
      <c r="R924" s="1">
        <v>97335</v>
      </c>
      <c r="S924" t="s">
        <v>640</v>
      </c>
      <c r="T924" t="s">
        <v>707</v>
      </c>
      <c r="U924" t="s">
        <v>707</v>
      </c>
      <c r="V924" s="1">
        <v>98535</v>
      </c>
      <c r="W924" t="s">
        <v>1979</v>
      </c>
      <c r="X924" t="s">
        <v>1076</v>
      </c>
      <c r="Y924" t="s">
        <v>1076</v>
      </c>
      <c r="Z924" t="s">
        <v>1765</v>
      </c>
      <c r="AA924" t="s">
        <v>1765</v>
      </c>
      <c r="AB924" s="2">
        <v>-5.0000000000000001E-4</v>
      </c>
      <c r="AC924" s="2">
        <v>-1.5699999999999999E-2</v>
      </c>
      <c r="AD924" s="2">
        <v>-1.0699999999999999E-2</v>
      </c>
      <c r="AE924" s="2">
        <v>-1.29E-2</v>
      </c>
      <c r="AF924" s="2">
        <v>-4.3400000000000001E-2</v>
      </c>
      <c r="AG924" s="2">
        <v>-9.7000000000000003E-3</v>
      </c>
      <c r="AH924" t="s">
        <v>129</v>
      </c>
      <c r="AI924" t="s">
        <v>130</v>
      </c>
      <c r="AJ924" t="s">
        <v>131</v>
      </c>
      <c r="AK924" t="s">
        <v>40</v>
      </c>
      <c r="AL924">
        <v>100</v>
      </c>
      <c r="AM924" t="s">
        <v>41</v>
      </c>
      <c r="AN924" t="s">
        <v>42</v>
      </c>
      <c r="AO924" t="s">
        <v>1230</v>
      </c>
      <c r="AP924" t="s">
        <v>2253</v>
      </c>
      <c r="AQ924" t="s">
        <v>2253</v>
      </c>
      <c r="AR924" t="s">
        <v>133</v>
      </c>
      <c r="AS924" t="s">
        <v>133</v>
      </c>
    </row>
    <row r="925" spans="1:45" x14ac:dyDescent="0.4">
      <c r="A925" t="s">
        <v>630</v>
      </c>
      <c r="B925" t="s">
        <v>10</v>
      </c>
      <c r="C925" t="s">
        <v>2817</v>
      </c>
      <c r="D925" t="s">
        <v>11</v>
      </c>
      <c r="E925" s="2">
        <v>3.8E-3</v>
      </c>
      <c r="F925" t="s">
        <v>12</v>
      </c>
      <c r="G925" s="4" t="s">
        <v>2818</v>
      </c>
      <c r="H925" t="s">
        <v>2817</v>
      </c>
      <c r="I925" t="s">
        <v>2819</v>
      </c>
      <c r="J925" t="s">
        <v>2820</v>
      </c>
      <c r="K925" t="s">
        <v>23</v>
      </c>
      <c r="L925" s="2">
        <v>0.04</v>
      </c>
      <c r="M925" t="s">
        <v>1920</v>
      </c>
      <c r="N925" t="s">
        <v>121</v>
      </c>
      <c r="O925" t="s">
        <v>1921</v>
      </c>
      <c r="P925" t="s">
        <v>2821</v>
      </c>
      <c r="Q925" t="s">
        <v>2821</v>
      </c>
      <c r="R925" t="s">
        <v>2821</v>
      </c>
      <c r="S925" t="s">
        <v>2821</v>
      </c>
      <c r="T925" t="s">
        <v>2822</v>
      </c>
      <c r="U925" t="s">
        <v>2822</v>
      </c>
      <c r="V925" t="s">
        <v>2823</v>
      </c>
      <c r="W925" t="s">
        <v>2212</v>
      </c>
      <c r="X925" t="s">
        <v>1622</v>
      </c>
      <c r="Y925" t="s">
        <v>1622</v>
      </c>
      <c r="Z925" t="s">
        <v>2824</v>
      </c>
      <c r="AA925" t="s">
        <v>2824</v>
      </c>
      <c r="AB925" s="2">
        <v>-7.1000000000000004E-3</v>
      </c>
      <c r="AC925" s="2">
        <v>-4.5699999999999998E-2</v>
      </c>
      <c r="AD925" s="2">
        <v>-4.02E-2</v>
      </c>
      <c r="AE925" s="2">
        <v>-4.5999999999999999E-2</v>
      </c>
      <c r="AF925" s="2">
        <v>-0.13439999999999999</v>
      </c>
      <c r="AG925" s="2">
        <v>-9.2899999999999996E-2</v>
      </c>
      <c r="AH925" t="s">
        <v>129</v>
      </c>
      <c r="AI925" t="s">
        <v>130</v>
      </c>
      <c r="AJ925" t="s">
        <v>131</v>
      </c>
      <c r="AK925" t="s">
        <v>40</v>
      </c>
      <c r="AL925">
        <v>100</v>
      </c>
      <c r="AM925" t="s">
        <v>41</v>
      </c>
      <c r="AN925" t="s">
        <v>42</v>
      </c>
      <c r="AO925" t="s">
        <v>1921</v>
      </c>
      <c r="AP925" t="s">
        <v>2825</v>
      </c>
      <c r="AQ925" t="s">
        <v>2825</v>
      </c>
      <c r="AR925" t="s">
        <v>133</v>
      </c>
      <c r="AS925" t="s">
        <v>133</v>
      </c>
    </row>
    <row r="926" spans="1:45" x14ac:dyDescent="0.4">
      <c r="A926" t="s">
        <v>630</v>
      </c>
      <c r="B926" t="s">
        <v>10</v>
      </c>
      <c r="C926" s="1">
        <v>99794</v>
      </c>
      <c r="D926" t="s">
        <v>11</v>
      </c>
      <c r="E926" s="2">
        <v>1E-4</v>
      </c>
      <c r="F926" t="s">
        <v>12</v>
      </c>
      <c r="G926" s="4" t="s">
        <v>3849</v>
      </c>
      <c r="H926" s="1">
        <v>99794</v>
      </c>
      <c r="I926" t="s">
        <v>3850</v>
      </c>
      <c r="J926" t="s">
        <v>3851</v>
      </c>
      <c r="K926" t="s">
        <v>23</v>
      </c>
      <c r="L926" s="2">
        <v>0.04</v>
      </c>
      <c r="M926" t="s">
        <v>3852</v>
      </c>
      <c r="N926" t="s">
        <v>121</v>
      </c>
      <c r="O926" t="s">
        <v>3853</v>
      </c>
      <c r="P926" s="1">
        <v>99702</v>
      </c>
      <c r="Q926" s="1">
        <v>99483</v>
      </c>
      <c r="R926" s="1">
        <v>99033</v>
      </c>
      <c r="S926" s="1">
        <v>98224</v>
      </c>
      <c r="T926" t="s">
        <v>2616</v>
      </c>
      <c r="U926" t="s">
        <v>2616</v>
      </c>
      <c r="V926" s="1">
        <v>99894</v>
      </c>
      <c r="W926" s="1">
        <v>99894</v>
      </c>
      <c r="X926" s="1">
        <v>100319</v>
      </c>
      <c r="Y926" s="1">
        <v>100319</v>
      </c>
      <c r="Z926" s="1">
        <v>101395</v>
      </c>
      <c r="AA926" s="1">
        <v>101395</v>
      </c>
      <c r="AB926" s="2">
        <v>6.9999999999999999E-4</v>
      </c>
      <c r="AC926" s="2">
        <v>5.9999999999999995E-4</v>
      </c>
      <c r="AD926" s="2">
        <v>7.0000000000000001E-3</v>
      </c>
      <c r="AE926" s="2">
        <v>5.4999999999999997E-3</v>
      </c>
      <c r="AF926" s="2">
        <v>-5.1000000000000004E-3</v>
      </c>
      <c r="AG926" s="2">
        <v>-4.7999999999999996E-3</v>
      </c>
      <c r="AH926" t="s">
        <v>129</v>
      </c>
      <c r="AI926" t="s">
        <v>130</v>
      </c>
      <c r="AJ926" t="s">
        <v>131</v>
      </c>
      <c r="AK926" t="s">
        <v>40</v>
      </c>
      <c r="AL926">
        <v>100</v>
      </c>
      <c r="AM926" t="s">
        <v>41</v>
      </c>
      <c r="AN926" t="s">
        <v>42</v>
      </c>
      <c r="AO926" t="s">
        <v>3853</v>
      </c>
      <c r="AP926" t="s">
        <v>3854</v>
      </c>
      <c r="AQ926" t="s">
        <v>3854</v>
      </c>
      <c r="AR926" t="s">
        <v>133</v>
      </c>
      <c r="AS926" t="s">
        <v>133</v>
      </c>
    </row>
    <row r="927" spans="1:45" x14ac:dyDescent="0.4">
      <c r="A927" t="s">
        <v>115</v>
      </c>
      <c r="B927" t="s">
        <v>10</v>
      </c>
      <c r="C927" t="s">
        <v>3754</v>
      </c>
      <c r="D927" t="s">
        <v>11</v>
      </c>
      <c r="E927" s="2">
        <v>2.5999999999999999E-3</v>
      </c>
      <c r="F927" t="s">
        <v>12</v>
      </c>
      <c r="G927" s="4" t="s">
        <v>632</v>
      </c>
      <c r="H927" t="s">
        <v>3754</v>
      </c>
      <c r="I927" t="s">
        <v>3755</v>
      </c>
      <c r="J927" t="s">
        <v>3756</v>
      </c>
      <c r="K927" t="s">
        <v>23</v>
      </c>
      <c r="L927" s="2">
        <v>3.875E-2</v>
      </c>
      <c r="M927" t="s">
        <v>53</v>
      </c>
      <c r="N927" t="s">
        <v>121</v>
      </c>
      <c r="O927" t="s">
        <v>1971</v>
      </c>
      <c r="P927" t="s">
        <v>3757</v>
      </c>
      <c r="Q927" t="s">
        <v>3757</v>
      </c>
      <c r="R927" t="s">
        <v>3757</v>
      </c>
      <c r="S927" t="s">
        <v>3757</v>
      </c>
      <c r="T927" t="s">
        <v>3757</v>
      </c>
      <c r="U927" t="s">
        <v>3757</v>
      </c>
      <c r="V927" t="s">
        <v>116</v>
      </c>
      <c r="W927" t="s">
        <v>1841</v>
      </c>
      <c r="X927" t="s">
        <v>1120</v>
      </c>
      <c r="Y927" t="s">
        <v>1120</v>
      </c>
      <c r="Z927" t="s">
        <v>1120</v>
      </c>
      <c r="AA927" t="s">
        <v>1120</v>
      </c>
      <c r="AB927" s="2">
        <v>-3.3E-3</v>
      </c>
      <c r="AC927" s="2">
        <v>-3.1399999999999997E-2</v>
      </c>
      <c r="AD927" s="2">
        <v>-7.6499999999999999E-2</v>
      </c>
      <c r="AE927" s="2">
        <v>-7.6499999999999999E-2</v>
      </c>
      <c r="AF927" s="2">
        <v>-7.6499999999999999E-2</v>
      </c>
      <c r="AG927" s="2">
        <v>-7.6499999999999999E-2</v>
      </c>
      <c r="AH927" t="s">
        <v>129</v>
      </c>
      <c r="AI927" t="s">
        <v>130</v>
      </c>
      <c r="AJ927" t="s">
        <v>131</v>
      </c>
      <c r="AK927" t="s">
        <v>40</v>
      </c>
      <c r="AL927">
        <v>100</v>
      </c>
      <c r="AM927" t="s">
        <v>41</v>
      </c>
      <c r="AN927" t="s">
        <v>42</v>
      </c>
      <c r="AO927" t="s">
        <v>1971</v>
      </c>
      <c r="AP927" t="s">
        <v>3758</v>
      </c>
      <c r="AQ927" t="s">
        <v>3758</v>
      </c>
      <c r="AR927" t="s">
        <v>133</v>
      </c>
      <c r="AS927" t="s">
        <v>133</v>
      </c>
    </row>
    <row r="928" spans="1:45" x14ac:dyDescent="0.4">
      <c r="A928" t="s">
        <v>4453</v>
      </c>
      <c r="B928" t="s">
        <v>10</v>
      </c>
      <c r="C928" t="s">
        <v>7376</v>
      </c>
      <c r="D928" t="s">
        <v>11</v>
      </c>
      <c r="E928" s="2">
        <v>-2.5000000000000001E-3</v>
      </c>
      <c r="F928" t="s">
        <v>310</v>
      </c>
      <c r="G928" s="4">
        <f>-0.21 / -0.25%</f>
        <v>84</v>
      </c>
      <c r="H928" t="s">
        <v>7376</v>
      </c>
      <c r="I928" t="s">
        <v>7377</v>
      </c>
      <c r="J928" t="s">
        <v>7378</v>
      </c>
      <c r="K928" t="s">
        <v>23</v>
      </c>
      <c r="L928" s="2">
        <v>3.7499999999999999E-2</v>
      </c>
      <c r="M928" t="s">
        <v>7379</v>
      </c>
      <c r="N928" t="s">
        <v>121</v>
      </c>
      <c r="O928" t="s">
        <v>7380</v>
      </c>
      <c r="P928" t="s">
        <v>7381</v>
      </c>
      <c r="Q928" t="s">
        <v>7381</v>
      </c>
      <c r="R928" t="s">
        <v>7381</v>
      </c>
      <c r="S928" t="s">
        <v>7381</v>
      </c>
      <c r="T928" t="s">
        <v>7382</v>
      </c>
      <c r="U928" t="s">
        <v>7382</v>
      </c>
      <c r="V928" t="s">
        <v>1322</v>
      </c>
      <c r="W928" t="s">
        <v>1729</v>
      </c>
      <c r="X928" t="s">
        <v>3119</v>
      </c>
      <c r="Y928" t="s">
        <v>3119</v>
      </c>
      <c r="Z928" t="s">
        <v>1402</v>
      </c>
      <c r="AA928" t="s">
        <v>7383</v>
      </c>
      <c r="AB928" s="2">
        <v>-1.2E-2</v>
      </c>
      <c r="AC928" s="2">
        <v>-4.4699999999999997E-2</v>
      </c>
      <c r="AD928" s="2">
        <v>-4.2200000000000001E-2</v>
      </c>
      <c r="AE928" s="2">
        <v>-5.5599999999999997E-2</v>
      </c>
      <c r="AF928" s="2">
        <v>-0.13450000000000001</v>
      </c>
      <c r="AG928" s="2">
        <v>-0.3357</v>
      </c>
      <c r="AH928" t="s">
        <v>129</v>
      </c>
      <c r="AI928" t="s">
        <v>130</v>
      </c>
      <c r="AJ928" t="s">
        <v>131</v>
      </c>
      <c r="AK928" t="s">
        <v>40</v>
      </c>
      <c r="AL928">
        <v>100</v>
      </c>
      <c r="AM928" t="s">
        <v>41</v>
      </c>
      <c r="AN928" t="s">
        <v>42</v>
      </c>
      <c r="AO928" t="s">
        <v>7380</v>
      </c>
      <c r="AP928" t="s">
        <v>7384</v>
      </c>
      <c r="AQ928" t="s">
        <v>7384</v>
      </c>
      <c r="AR928" t="s">
        <v>133</v>
      </c>
      <c r="AS928" t="s">
        <v>133</v>
      </c>
    </row>
    <row r="929" spans="1:45" x14ac:dyDescent="0.4">
      <c r="A929" t="s">
        <v>115</v>
      </c>
      <c r="B929" t="s">
        <v>10</v>
      </c>
      <c r="C929" s="1">
        <v>97945</v>
      </c>
      <c r="D929" t="s">
        <v>11</v>
      </c>
      <c r="E929" s="2">
        <v>1.4E-3</v>
      </c>
      <c r="F929" t="s">
        <v>12</v>
      </c>
      <c r="G929" s="4" t="s">
        <v>1522</v>
      </c>
      <c r="H929" s="1">
        <v>97945</v>
      </c>
      <c r="I929" t="s">
        <v>4101</v>
      </c>
      <c r="J929" t="s">
        <v>4102</v>
      </c>
      <c r="K929" t="s">
        <v>23</v>
      </c>
      <c r="L929" s="2">
        <v>3.6249999999999998E-2</v>
      </c>
      <c r="M929" t="s">
        <v>4103</v>
      </c>
      <c r="N929" t="s">
        <v>121</v>
      </c>
      <c r="O929" t="s">
        <v>3419</v>
      </c>
      <c r="P929" t="s">
        <v>3573</v>
      </c>
      <c r="Q929" t="s">
        <v>3573</v>
      </c>
      <c r="R929" t="s">
        <v>3573</v>
      </c>
      <c r="S929" t="s">
        <v>4104</v>
      </c>
      <c r="T929" s="1">
        <v>94475</v>
      </c>
      <c r="U929" s="1">
        <v>94475</v>
      </c>
      <c r="V929" t="s">
        <v>4105</v>
      </c>
      <c r="W929" t="s">
        <v>1170</v>
      </c>
      <c r="X929" t="s">
        <v>4106</v>
      </c>
      <c r="Y929" t="s">
        <v>4106</v>
      </c>
      <c r="Z929" t="s">
        <v>3161</v>
      </c>
      <c r="AA929" t="s">
        <v>3161</v>
      </c>
      <c r="AB929" s="2">
        <v>2.3999999999999998E-3</v>
      </c>
      <c r="AC929" s="2">
        <v>-8.6E-3</v>
      </c>
      <c r="AD929" s="2">
        <v>-2E-3</v>
      </c>
      <c r="AE929" s="2">
        <v>-3.0000000000000001E-3</v>
      </c>
      <c r="AF929" s="2">
        <v>-1.78E-2</v>
      </c>
      <c r="AG929" s="2">
        <v>-1.78E-2</v>
      </c>
      <c r="AH929" t="s">
        <v>129</v>
      </c>
      <c r="AI929" t="s">
        <v>130</v>
      </c>
      <c r="AJ929" t="s">
        <v>131</v>
      </c>
      <c r="AK929" t="s">
        <v>40</v>
      </c>
      <c r="AL929">
        <v>100</v>
      </c>
      <c r="AM929" t="s">
        <v>41</v>
      </c>
      <c r="AN929" t="s">
        <v>42</v>
      </c>
      <c r="AO929" t="s">
        <v>3419</v>
      </c>
      <c r="AP929" t="s">
        <v>4107</v>
      </c>
      <c r="AQ929" t="s">
        <v>4107</v>
      </c>
      <c r="AR929" t="s">
        <v>133</v>
      </c>
      <c r="AS929" t="s">
        <v>133</v>
      </c>
    </row>
    <row r="930" spans="1:45" x14ac:dyDescent="0.4">
      <c r="A930" t="s">
        <v>4259</v>
      </c>
      <c r="B930" t="s">
        <v>10</v>
      </c>
      <c r="C930" t="s">
        <v>4260</v>
      </c>
      <c r="D930" t="s">
        <v>11</v>
      </c>
      <c r="E930" s="2">
        <v>1.1999999999999999E-3</v>
      </c>
      <c r="F930" t="s">
        <v>310</v>
      </c>
      <c r="G930" s="4" t="s">
        <v>4261</v>
      </c>
      <c r="H930" t="s">
        <v>4260</v>
      </c>
      <c r="I930" t="s">
        <v>4262</v>
      </c>
      <c r="J930" t="s">
        <v>4263</v>
      </c>
      <c r="K930" t="s">
        <v>23</v>
      </c>
      <c r="L930" s="2">
        <v>3.6249999999999998E-2</v>
      </c>
      <c r="M930" t="s">
        <v>3670</v>
      </c>
      <c r="N930" t="s">
        <v>121</v>
      </c>
      <c r="O930" t="s">
        <v>4264</v>
      </c>
      <c r="P930" t="s">
        <v>4156</v>
      </c>
      <c r="Q930" t="s">
        <v>4156</v>
      </c>
      <c r="R930" t="s">
        <v>4156</v>
      </c>
      <c r="S930" t="s">
        <v>4156</v>
      </c>
      <c r="T930" t="s">
        <v>4265</v>
      </c>
      <c r="U930" t="s">
        <v>4265</v>
      </c>
      <c r="V930" t="s">
        <v>4266</v>
      </c>
      <c r="W930" t="s">
        <v>3183</v>
      </c>
      <c r="X930" t="s">
        <v>2758</v>
      </c>
      <c r="Y930" t="s">
        <v>2758</v>
      </c>
      <c r="Z930" t="s">
        <v>1720</v>
      </c>
      <c r="AA930" t="s">
        <v>4267</v>
      </c>
      <c r="AB930" s="2">
        <v>-7.9000000000000008E-3</v>
      </c>
      <c r="AC930" s="2">
        <v>-4.1000000000000002E-2</v>
      </c>
      <c r="AD930" s="2">
        <v>-3.9300000000000002E-2</v>
      </c>
      <c r="AE930" s="2">
        <v>-5.3499999999999999E-2</v>
      </c>
      <c r="AF930" s="2">
        <v>-0.13150000000000001</v>
      </c>
      <c r="AG930" s="2">
        <v>-0.33560000000000001</v>
      </c>
      <c r="AH930" t="s">
        <v>129</v>
      </c>
      <c r="AI930" t="s">
        <v>130</v>
      </c>
      <c r="AJ930" t="s">
        <v>131</v>
      </c>
      <c r="AK930" t="s">
        <v>40</v>
      </c>
      <c r="AL930">
        <v>100</v>
      </c>
      <c r="AM930" t="s">
        <v>41</v>
      </c>
      <c r="AN930" t="s">
        <v>42</v>
      </c>
      <c r="AO930" t="s">
        <v>4264</v>
      </c>
      <c r="AP930" t="s">
        <v>4268</v>
      </c>
      <c r="AQ930" t="s">
        <v>4268</v>
      </c>
      <c r="AR930" t="s">
        <v>133</v>
      </c>
      <c r="AS930" t="s">
        <v>133</v>
      </c>
    </row>
    <row r="931" spans="1:45" x14ac:dyDescent="0.4">
      <c r="A931" t="s">
        <v>630</v>
      </c>
      <c r="B931" t="s">
        <v>10</v>
      </c>
      <c r="C931" s="1">
        <v>99493</v>
      </c>
      <c r="D931" t="s">
        <v>11</v>
      </c>
      <c r="E931" s="2">
        <v>2.0000000000000001E-4</v>
      </c>
      <c r="F931" t="s">
        <v>12</v>
      </c>
      <c r="G931" s="4" t="s">
        <v>2774</v>
      </c>
      <c r="H931" s="1">
        <v>99493</v>
      </c>
      <c r="I931" t="s">
        <v>2775</v>
      </c>
      <c r="J931" t="s">
        <v>2776</v>
      </c>
      <c r="K931" t="s">
        <v>23</v>
      </c>
      <c r="L931" s="2">
        <v>3.5000000000000003E-2</v>
      </c>
      <c r="M931" t="s">
        <v>733</v>
      </c>
      <c r="N931" t="s">
        <v>121</v>
      </c>
      <c r="O931" t="s">
        <v>2777</v>
      </c>
      <c r="P931" s="1">
        <v>99396</v>
      </c>
      <c r="Q931" s="1">
        <v>99178</v>
      </c>
      <c r="R931" s="1">
        <v>98486</v>
      </c>
      <c r="S931" s="1">
        <v>97748</v>
      </c>
      <c r="T931" t="s">
        <v>914</v>
      </c>
      <c r="U931" t="s">
        <v>914</v>
      </c>
      <c r="V931" s="1">
        <v>99493</v>
      </c>
      <c r="W931" s="1">
        <v>99493</v>
      </c>
      <c r="X931" s="1">
        <v>99552</v>
      </c>
      <c r="Y931" s="1">
        <v>99552</v>
      </c>
      <c r="Z931" t="s">
        <v>2778</v>
      </c>
      <c r="AA931" t="s">
        <v>2778</v>
      </c>
      <c r="AB931" s="2">
        <v>8.9999999999999998E-4</v>
      </c>
      <c r="AC931" s="2">
        <v>2E-3</v>
      </c>
      <c r="AD931" s="2">
        <v>9.5999999999999992E-3</v>
      </c>
      <c r="AE931" s="2">
        <v>1.11E-2</v>
      </c>
      <c r="AF931" s="2">
        <v>7.1000000000000004E-3</v>
      </c>
      <c r="AG931" s="2">
        <v>5.0000000000000001E-3</v>
      </c>
      <c r="AH931" t="s">
        <v>129</v>
      </c>
      <c r="AI931" t="s">
        <v>130</v>
      </c>
      <c r="AJ931" t="s">
        <v>131</v>
      </c>
      <c r="AK931" t="s">
        <v>40</v>
      </c>
      <c r="AL931">
        <v>100</v>
      </c>
      <c r="AM931" t="s">
        <v>41</v>
      </c>
      <c r="AN931" t="s">
        <v>42</v>
      </c>
      <c r="AO931" t="s">
        <v>2777</v>
      </c>
      <c r="AP931" t="s">
        <v>2779</v>
      </c>
      <c r="AQ931" t="s">
        <v>2779</v>
      </c>
      <c r="AR931" t="s">
        <v>133</v>
      </c>
      <c r="AS931" t="s">
        <v>133</v>
      </c>
    </row>
    <row r="932" spans="1:45" x14ac:dyDescent="0.4">
      <c r="A932" t="s">
        <v>9</v>
      </c>
      <c r="B932" t="s">
        <v>10</v>
      </c>
      <c r="C932" t="s">
        <v>1543</v>
      </c>
      <c r="D932" t="s">
        <v>11</v>
      </c>
      <c r="E932" s="2">
        <v>2E-3</v>
      </c>
      <c r="F932" t="s">
        <v>12</v>
      </c>
      <c r="G932" s="4" t="s">
        <v>2887</v>
      </c>
      <c r="H932" t="s">
        <v>1543</v>
      </c>
      <c r="I932" t="s">
        <v>4934</v>
      </c>
      <c r="J932" t="s">
        <v>4935</v>
      </c>
      <c r="K932" t="s">
        <v>23</v>
      </c>
      <c r="L932" s="2">
        <v>3.5000000000000003E-2</v>
      </c>
      <c r="M932" t="s">
        <v>4936</v>
      </c>
      <c r="N932" t="s">
        <v>121</v>
      </c>
      <c r="O932" t="s">
        <v>2252</v>
      </c>
      <c r="P932" s="1">
        <v>96835</v>
      </c>
      <c r="Q932" s="1">
        <v>96835</v>
      </c>
      <c r="R932" s="1">
        <v>96835</v>
      </c>
      <c r="S932" t="s">
        <v>3135</v>
      </c>
      <c r="T932" t="s">
        <v>4937</v>
      </c>
      <c r="U932" t="s">
        <v>4937</v>
      </c>
      <c r="V932" t="s">
        <v>4080</v>
      </c>
      <c r="W932" t="s">
        <v>1822</v>
      </c>
      <c r="X932" t="s">
        <v>1196</v>
      </c>
      <c r="Y932" t="s">
        <v>1196</v>
      </c>
      <c r="Z932" t="s">
        <v>2695</v>
      </c>
      <c r="AA932" t="s">
        <v>2695</v>
      </c>
      <c r="AB932" s="2">
        <v>1.6000000000000001E-3</v>
      </c>
      <c r="AC932" s="2">
        <v>-7.9000000000000008E-3</v>
      </c>
      <c r="AD932" s="2">
        <v>-1.4E-3</v>
      </c>
      <c r="AE932" s="2">
        <v>-2.5000000000000001E-3</v>
      </c>
      <c r="AF932" s="2">
        <v>-3.1899999999999998E-2</v>
      </c>
      <c r="AG932" s="2">
        <v>-3.1899999999999998E-2</v>
      </c>
      <c r="AH932" t="s">
        <v>129</v>
      </c>
      <c r="AI932" t="s">
        <v>130</v>
      </c>
      <c r="AJ932" t="s">
        <v>131</v>
      </c>
      <c r="AK932" t="s">
        <v>40</v>
      </c>
      <c r="AL932">
        <v>100</v>
      </c>
      <c r="AM932" t="s">
        <v>41</v>
      </c>
      <c r="AN932" t="s">
        <v>42</v>
      </c>
      <c r="AO932" t="s">
        <v>2252</v>
      </c>
      <c r="AP932" t="s">
        <v>4938</v>
      </c>
      <c r="AQ932" t="s">
        <v>4938</v>
      </c>
      <c r="AR932" t="s">
        <v>133</v>
      </c>
      <c r="AS932" t="s">
        <v>133</v>
      </c>
    </row>
    <row r="933" spans="1:45" x14ac:dyDescent="0.4">
      <c r="A933" t="s">
        <v>76</v>
      </c>
      <c r="B933" t="s">
        <v>10</v>
      </c>
      <c r="C933" t="s">
        <v>2715</v>
      </c>
      <c r="D933" t="s">
        <v>11</v>
      </c>
      <c r="E933" s="2">
        <v>2.3E-3</v>
      </c>
      <c r="F933" t="s">
        <v>12</v>
      </c>
      <c r="G933" s="4" t="s">
        <v>3310</v>
      </c>
      <c r="H933" t="s">
        <v>2715</v>
      </c>
      <c r="I933" t="s">
        <v>7385</v>
      </c>
      <c r="J933" t="s">
        <v>7386</v>
      </c>
      <c r="K933" t="s">
        <v>23</v>
      </c>
      <c r="L933" s="2">
        <v>3.5000000000000003E-2</v>
      </c>
      <c r="M933" t="s">
        <v>7387</v>
      </c>
      <c r="N933" t="s">
        <v>121</v>
      </c>
      <c r="O933" t="s">
        <v>597</v>
      </c>
      <c r="P933" s="1">
        <v>95275</v>
      </c>
      <c r="Q933" s="1">
        <v>95275</v>
      </c>
      <c r="R933" s="1">
        <v>95275</v>
      </c>
      <c r="S933" s="1">
        <v>95275</v>
      </c>
      <c r="T933" s="1">
        <v>95275</v>
      </c>
      <c r="U933" s="1">
        <v>95275</v>
      </c>
      <c r="V933" t="s">
        <v>5137</v>
      </c>
      <c r="W933" t="s">
        <v>1336</v>
      </c>
      <c r="X933" t="s">
        <v>1069</v>
      </c>
      <c r="Y933" t="s">
        <v>1069</v>
      </c>
      <c r="Z933" t="s">
        <v>1069</v>
      </c>
      <c r="AA933" t="s">
        <v>1069</v>
      </c>
      <c r="AB933" s="2">
        <v>0</v>
      </c>
      <c r="AC933" s="2">
        <v>-1.5299999999999999E-2</v>
      </c>
      <c r="AD933" s="2">
        <v>-3.5400000000000001E-2</v>
      </c>
      <c r="AE933" s="2">
        <v>-3.5400000000000001E-2</v>
      </c>
      <c r="AF933" s="2">
        <v>-3.5400000000000001E-2</v>
      </c>
      <c r="AG933" s="2">
        <v>-3.5400000000000001E-2</v>
      </c>
      <c r="AH933" t="s">
        <v>129</v>
      </c>
      <c r="AI933" t="s">
        <v>130</v>
      </c>
      <c r="AJ933" t="s">
        <v>131</v>
      </c>
      <c r="AK933" t="s">
        <v>40</v>
      </c>
      <c r="AL933">
        <v>100</v>
      </c>
      <c r="AM933" t="s">
        <v>41</v>
      </c>
      <c r="AN933" t="s">
        <v>42</v>
      </c>
      <c r="AO933" t="s">
        <v>597</v>
      </c>
      <c r="AP933" t="s">
        <v>7388</v>
      </c>
      <c r="AQ933" t="s">
        <v>7388</v>
      </c>
      <c r="AR933" t="s">
        <v>133</v>
      </c>
      <c r="AS933" t="s">
        <v>133</v>
      </c>
    </row>
    <row r="934" spans="1:45" x14ac:dyDescent="0.4">
      <c r="A934" t="s">
        <v>9</v>
      </c>
      <c r="B934" t="s">
        <v>10</v>
      </c>
      <c r="C934" t="s">
        <v>4926</v>
      </c>
      <c r="D934" t="s">
        <v>11</v>
      </c>
      <c r="E934" s="2">
        <v>4.4999999999999997E-3</v>
      </c>
      <c r="F934" t="s">
        <v>12</v>
      </c>
      <c r="G934" s="4" t="s">
        <v>4927</v>
      </c>
      <c r="H934" t="s">
        <v>4926</v>
      </c>
      <c r="I934" t="s">
        <v>4928</v>
      </c>
      <c r="J934" t="s">
        <v>4929</v>
      </c>
      <c r="K934" t="s">
        <v>23</v>
      </c>
      <c r="L934" s="2">
        <v>3.3750000000000002E-2</v>
      </c>
      <c r="M934" t="s">
        <v>4930</v>
      </c>
      <c r="N934" t="s">
        <v>121</v>
      </c>
      <c r="O934" t="s">
        <v>3965</v>
      </c>
      <c r="P934" t="s">
        <v>4931</v>
      </c>
      <c r="Q934" t="s">
        <v>4931</v>
      </c>
      <c r="R934" t="s">
        <v>4931</v>
      </c>
      <c r="S934" t="s">
        <v>4931</v>
      </c>
      <c r="T934" t="s">
        <v>4932</v>
      </c>
      <c r="U934" t="s">
        <v>4932</v>
      </c>
      <c r="V934" t="s">
        <v>4351</v>
      </c>
      <c r="W934" t="s">
        <v>4136</v>
      </c>
      <c r="X934" t="s">
        <v>3190</v>
      </c>
      <c r="Y934" t="s">
        <v>3190</v>
      </c>
      <c r="Z934" t="s">
        <v>3119</v>
      </c>
      <c r="AA934" t="s">
        <v>617</v>
      </c>
      <c r="AB934" s="2">
        <v>-0.01</v>
      </c>
      <c r="AC934" s="2">
        <v>-4.1700000000000001E-2</v>
      </c>
      <c r="AD934" s="2">
        <v>-3.6700000000000003E-2</v>
      </c>
      <c r="AE934" s="2">
        <v>-4.3799999999999999E-2</v>
      </c>
      <c r="AF934" s="2">
        <v>-0.13250000000000001</v>
      </c>
      <c r="AG934" s="2">
        <v>-0.1676</v>
      </c>
      <c r="AH934" t="s">
        <v>129</v>
      </c>
      <c r="AI934" t="s">
        <v>130</v>
      </c>
      <c r="AJ934" t="s">
        <v>131</v>
      </c>
      <c r="AK934" t="s">
        <v>40</v>
      </c>
      <c r="AL934">
        <v>100</v>
      </c>
      <c r="AM934" t="s">
        <v>41</v>
      </c>
      <c r="AN934" t="s">
        <v>42</v>
      </c>
      <c r="AO934" t="s">
        <v>3965</v>
      </c>
      <c r="AP934" t="s">
        <v>4933</v>
      </c>
      <c r="AQ934" t="s">
        <v>4933</v>
      </c>
      <c r="AR934" t="s">
        <v>133</v>
      </c>
      <c r="AS934" t="s">
        <v>133</v>
      </c>
    </row>
    <row r="935" spans="1:45" x14ac:dyDescent="0.4">
      <c r="A935" t="s">
        <v>961</v>
      </c>
      <c r="B935" t="s">
        <v>10</v>
      </c>
      <c r="C935" s="1">
        <v>95385</v>
      </c>
      <c r="D935" t="s">
        <v>11</v>
      </c>
      <c r="E935" s="2">
        <v>2E-3</v>
      </c>
      <c r="F935" t="s">
        <v>12</v>
      </c>
      <c r="G935" s="4" t="s">
        <v>2887</v>
      </c>
      <c r="H935" s="1">
        <v>95385</v>
      </c>
      <c r="I935" t="s">
        <v>2888</v>
      </c>
      <c r="J935" t="s">
        <v>2889</v>
      </c>
      <c r="K935" t="s">
        <v>23</v>
      </c>
      <c r="L935" s="2">
        <v>3.2500000000000001E-2</v>
      </c>
      <c r="M935" t="s">
        <v>2890</v>
      </c>
      <c r="N935" t="s">
        <v>121</v>
      </c>
      <c r="O935" t="s">
        <v>2678</v>
      </c>
      <c r="P935" t="s">
        <v>2757</v>
      </c>
      <c r="Q935" t="s">
        <v>2757</v>
      </c>
      <c r="R935" t="s">
        <v>2757</v>
      </c>
      <c r="S935" t="s">
        <v>2891</v>
      </c>
      <c r="T935" s="1">
        <v>91115</v>
      </c>
      <c r="U935" s="1">
        <v>91115</v>
      </c>
      <c r="V935" t="s">
        <v>2892</v>
      </c>
      <c r="W935" t="s">
        <v>387</v>
      </c>
      <c r="X935" t="s">
        <v>2413</v>
      </c>
      <c r="Y935" t="s">
        <v>2413</v>
      </c>
      <c r="Z935" t="s">
        <v>2893</v>
      </c>
      <c r="AA935" s="1">
        <v>104135</v>
      </c>
      <c r="AB935" s="2">
        <v>1.6999999999999999E-3</v>
      </c>
      <c r="AC935" s="2">
        <v>-1.34E-2</v>
      </c>
      <c r="AD935" s="2">
        <v>-7.0000000000000001E-3</v>
      </c>
      <c r="AE935" s="2">
        <v>-5.7000000000000002E-3</v>
      </c>
      <c r="AF935" s="2">
        <v>-2.7699999999999999E-2</v>
      </c>
      <c r="AG935" s="2">
        <v>-4.8800000000000003E-2</v>
      </c>
      <c r="AH935" t="s">
        <v>129</v>
      </c>
      <c r="AI935" t="s">
        <v>130</v>
      </c>
      <c r="AJ935" t="s">
        <v>131</v>
      </c>
      <c r="AK935" t="s">
        <v>40</v>
      </c>
      <c r="AL935">
        <v>100</v>
      </c>
      <c r="AM935" t="s">
        <v>41</v>
      </c>
      <c r="AN935" t="s">
        <v>42</v>
      </c>
      <c r="AO935" t="s">
        <v>2678</v>
      </c>
      <c r="AP935" t="s">
        <v>2894</v>
      </c>
      <c r="AQ935" t="s">
        <v>2894</v>
      </c>
      <c r="AR935" t="s">
        <v>133</v>
      </c>
      <c r="AS935" t="s">
        <v>133</v>
      </c>
    </row>
    <row r="936" spans="1:45" x14ac:dyDescent="0.4">
      <c r="A936" t="s">
        <v>961</v>
      </c>
      <c r="B936" t="s">
        <v>10</v>
      </c>
      <c r="C936" s="1">
        <v>95655</v>
      </c>
      <c r="D936" t="s">
        <v>11</v>
      </c>
      <c r="E936" s="2">
        <v>1.8E-3</v>
      </c>
      <c r="F936" t="s">
        <v>12</v>
      </c>
      <c r="G936" s="4" t="s">
        <v>2155</v>
      </c>
      <c r="H936" s="1">
        <v>95655</v>
      </c>
      <c r="I936" t="s">
        <v>2156</v>
      </c>
      <c r="J936" t="s">
        <v>2157</v>
      </c>
      <c r="K936" t="s">
        <v>23</v>
      </c>
      <c r="L936" s="2">
        <v>3.125E-2</v>
      </c>
      <c r="M936" t="s">
        <v>2158</v>
      </c>
      <c r="N936" t="s">
        <v>121</v>
      </c>
      <c r="O936" t="s">
        <v>1274</v>
      </c>
      <c r="P936" s="1">
        <v>94865</v>
      </c>
      <c r="Q936" s="1">
        <v>94865</v>
      </c>
      <c r="R936" s="1">
        <v>94865</v>
      </c>
      <c r="S936" t="s">
        <v>1804</v>
      </c>
      <c r="T936" t="s">
        <v>2159</v>
      </c>
      <c r="U936" t="s">
        <v>2159</v>
      </c>
      <c r="V936" t="s">
        <v>204</v>
      </c>
      <c r="W936" t="s">
        <v>736</v>
      </c>
      <c r="X936" s="1">
        <v>98925</v>
      </c>
      <c r="Y936" s="1">
        <v>98925</v>
      </c>
      <c r="Z936" t="s">
        <v>2160</v>
      </c>
      <c r="AA936" s="1">
        <v>109385</v>
      </c>
      <c r="AB936" s="2">
        <v>2.0999999999999999E-3</v>
      </c>
      <c r="AC936" s="2">
        <v>-1.0200000000000001E-2</v>
      </c>
      <c r="AD936" s="2">
        <v>-2.5999999999999999E-3</v>
      </c>
      <c r="AE936" s="2">
        <v>-1.6000000000000001E-3</v>
      </c>
      <c r="AF936" s="2">
        <v>-1.9300000000000001E-2</v>
      </c>
      <c r="AG936" s="2">
        <v>-0.12520000000000001</v>
      </c>
      <c r="AH936" t="s">
        <v>129</v>
      </c>
      <c r="AI936" t="s">
        <v>130</v>
      </c>
      <c r="AJ936" t="s">
        <v>131</v>
      </c>
      <c r="AK936" t="s">
        <v>40</v>
      </c>
      <c r="AL936">
        <v>100</v>
      </c>
      <c r="AM936" t="s">
        <v>41</v>
      </c>
      <c r="AN936" t="s">
        <v>42</v>
      </c>
      <c r="AO936" t="s">
        <v>1274</v>
      </c>
      <c r="AP936" t="s">
        <v>2161</v>
      </c>
      <c r="AQ936" t="s">
        <v>2161</v>
      </c>
      <c r="AR936" t="s">
        <v>133</v>
      </c>
      <c r="AS936" t="s">
        <v>133</v>
      </c>
    </row>
    <row r="937" spans="1:45" x14ac:dyDescent="0.4">
      <c r="A937" t="s">
        <v>961</v>
      </c>
      <c r="B937" t="s">
        <v>10</v>
      </c>
      <c r="C937" t="s">
        <v>1360</v>
      </c>
      <c r="D937" t="s">
        <v>11</v>
      </c>
      <c r="E937" s="2">
        <v>2.8999999999999998E-3</v>
      </c>
      <c r="F937" t="s">
        <v>12</v>
      </c>
      <c r="G937" s="4" t="s">
        <v>3666</v>
      </c>
      <c r="H937" t="s">
        <v>1360</v>
      </c>
      <c r="I937" t="s">
        <v>3667</v>
      </c>
      <c r="J937" t="s">
        <v>3668</v>
      </c>
      <c r="K937" t="s">
        <v>23</v>
      </c>
      <c r="L937" s="2">
        <v>3.125E-2</v>
      </c>
      <c r="M937" t="s">
        <v>3669</v>
      </c>
      <c r="N937" t="s">
        <v>121</v>
      </c>
      <c r="O937" t="s">
        <v>3670</v>
      </c>
      <c r="P937" t="s">
        <v>3671</v>
      </c>
      <c r="Q937" t="s">
        <v>3671</v>
      </c>
      <c r="R937" t="s">
        <v>3671</v>
      </c>
      <c r="S937" t="s">
        <v>3671</v>
      </c>
      <c r="T937" t="s">
        <v>3672</v>
      </c>
      <c r="U937" t="s">
        <v>3672</v>
      </c>
      <c r="V937" t="s">
        <v>3673</v>
      </c>
      <c r="W937" t="s">
        <v>3674</v>
      </c>
      <c r="X937" t="s">
        <v>3675</v>
      </c>
      <c r="Y937" t="s">
        <v>3675</v>
      </c>
      <c r="Z937" t="s">
        <v>3676</v>
      </c>
      <c r="AA937" t="s">
        <v>3677</v>
      </c>
      <c r="AB937" s="2">
        <v>-4.5999999999999999E-3</v>
      </c>
      <c r="AC937" s="2">
        <v>-4.5199999999999997E-2</v>
      </c>
      <c r="AD937" s="2">
        <v>-4.36E-2</v>
      </c>
      <c r="AE937" s="2">
        <v>-5.0700000000000002E-2</v>
      </c>
      <c r="AF937" s="2">
        <v>-0.14180000000000001</v>
      </c>
      <c r="AG937" s="2">
        <v>-0.34370000000000001</v>
      </c>
      <c r="AH937" t="s">
        <v>129</v>
      </c>
      <c r="AI937" t="s">
        <v>130</v>
      </c>
      <c r="AJ937" t="s">
        <v>131</v>
      </c>
      <c r="AK937" t="s">
        <v>40</v>
      </c>
      <c r="AL937">
        <v>100</v>
      </c>
      <c r="AM937" t="s">
        <v>41</v>
      </c>
      <c r="AN937" t="s">
        <v>42</v>
      </c>
      <c r="AO937" t="s">
        <v>3670</v>
      </c>
      <c r="AP937" t="s">
        <v>3678</v>
      </c>
      <c r="AQ937" t="s">
        <v>3678</v>
      </c>
      <c r="AR937" t="s">
        <v>133</v>
      </c>
      <c r="AS937" t="s">
        <v>133</v>
      </c>
    </row>
    <row r="938" spans="1:45" x14ac:dyDescent="0.4">
      <c r="A938" t="s">
        <v>1270</v>
      </c>
      <c r="B938" t="s">
        <v>10</v>
      </c>
      <c r="C938" t="s">
        <v>204</v>
      </c>
      <c r="D938" t="s">
        <v>11</v>
      </c>
      <c r="E938" s="2">
        <v>6.8999999999999999E-3</v>
      </c>
      <c r="F938" t="s">
        <v>310</v>
      </c>
      <c r="G938" s="4" t="s">
        <v>1271</v>
      </c>
      <c r="H938" t="s">
        <v>204</v>
      </c>
      <c r="I938" t="s">
        <v>1272</v>
      </c>
      <c r="J938" t="s">
        <v>1273</v>
      </c>
      <c r="K938" t="s">
        <v>23</v>
      </c>
      <c r="L938" s="2">
        <v>2.8750000000000001E-2</v>
      </c>
      <c r="M938" t="s">
        <v>1274</v>
      </c>
      <c r="N938" t="s">
        <v>121</v>
      </c>
      <c r="O938" t="s">
        <v>1275</v>
      </c>
      <c r="P938" t="s">
        <v>1276</v>
      </c>
      <c r="Q938" t="s">
        <v>1276</v>
      </c>
      <c r="R938" t="s">
        <v>1276</v>
      </c>
      <c r="S938" t="s">
        <v>1277</v>
      </c>
      <c r="T938" t="s">
        <v>1278</v>
      </c>
      <c r="U938" t="s">
        <v>1278</v>
      </c>
      <c r="V938" t="s">
        <v>204</v>
      </c>
      <c r="W938" t="s">
        <v>1279</v>
      </c>
      <c r="X938" t="s">
        <v>1280</v>
      </c>
      <c r="Y938" t="s">
        <v>1280</v>
      </c>
      <c r="Z938" t="s">
        <v>1280</v>
      </c>
      <c r="AA938" t="s">
        <v>1281</v>
      </c>
      <c r="AB938" s="2">
        <v>7.4999999999999997E-3</v>
      </c>
      <c r="AC938" s="2">
        <v>-8.0000000000000004E-4</v>
      </c>
      <c r="AD938" s="2">
        <v>8.3999999999999995E-3</v>
      </c>
      <c r="AE938" s="2">
        <v>6.7000000000000002E-3</v>
      </c>
      <c r="AF938" s="2">
        <v>-2.8999999999999998E-3</v>
      </c>
      <c r="AG938" s="2">
        <v>-0.1052</v>
      </c>
      <c r="AH938" t="s">
        <v>129</v>
      </c>
      <c r="AI938" t="s">
        <v>130</v>
      </c>
      <c r="AJ938" t="s">
        <v>131</v>
      </c>
      <c r="AK938" t="s">
        <v>40</v>
      </c>
      <c r="AL938">
        <v>100</v>
      </c>
      <c r="AM938" t="s">
        <v>41</v>
      </c>
      <c r="AN938" t="s">
        <v>42</v>
      </c>
      <c r="AO938" t="s">
        <v>1275</v>
      </c>
      <c r="AP938" t="s">
        <v>1282</v>
      </c>
      <c r="AQ938" t="s">
        <v>1282</v>
      </c>
      <c r="AR938" t="s">
        <v>133</v>
      </c>
      <c r="AS938" t="s">
        <v>133</v>
      </c>
    </row>
    <row r="939" spans="1:45" x14ac:dyDescent="0.4">
      <c r="A939" t="s">
        <v>76</v>
      </c>
      <c r="B939" t="s">
        <v>10</v>
      </c>
      <c r="C939" s="1">
        <v>98393</v>
      </c>
      <c r="D939" t="s">
        <v>11</v>
      </c>
      <c r="E939" s="2">
        <v>2.9999999999999997E-4</v>
      </c>
      <c r="F939" t="s">
        <v>12</v>
      </c>
      <c r="G939" s="4" t="s">
        <v>1836</v>
      </c>
      <c r="H939" s="1">
        <v>98393</v>
      </c>
      <c r="I939" t="s">
        <v>1837</v>
      </c>
      <c r="J939" t="s">
        <v>1838</v>
      </c>
      <c r="K939" t="s">
        <v>23</v>
      </c>
      <c r="L939" s="2">
        <v>2.6249999999999999E-2</v>
      </c>
      <c r="M939" t="s">
        <v>1839</v>
      </c>
      <c r="N939" t="s">
        <v>121</v>
      </c>
      <c r="O939" t="s">
        <v>1840</v>
      </c>
      <c r="P939" s="1">
        <v>98221</v>
      </c>
      <c r="Q939" t="s">
        <v>1841</v>
      </c>
      <c r="R939" t="s">
        <v>1842</v>
      </c>
      <c r="S939" t="s">
        <v>1843</v>
      </c>
      <c r="T939" t="s">
        <v>1844</v>
      </c>
      <c r="U939" t="s">
        <v>1845</v>
      </c>
      <c r="V939" s="1">
        <v>98433</v>
      </c>
      <c r="W939" s="1">
        <v>98433</v>
      </c>
      <c r="X939" t="s">
        <v>1256</v>
      </c>
      <c r="Y939" t="s">
        <v>1256</v>
      </c>
      <c r="Z939" t="s">
        <v>1256</v>
      </c>
      <c r="AA939" t="s">
        <v>1846</v>
      </c>
      <c r="AB939" s="2">
        <v>2.0999999999999999E-3</v>
      </c>
      <c r="AC939" s="2">
        <v>3.3E-3</v>
      </c>
      <c r="AD939" s="2">
        <v>1.35E-2</v>
      </c>
      <c r="AE939" s="2">
        <v>1.7399999999999999E-2</v>
      </c>
      <c r="AF939" s="2">
        <v>1.9099999999999999E-2</v>
      </c>
      <c r="AG939" s="2">
        <v>-5.9400000000000001E-2</v>
      </c>
      <c r="AH939" t="s">
        <v>129</v>
      </c>
      <c r="AI939" t="s">
        <v>130</v>
      </c>
      <c r="AJ939" t="s">
        <v>131</v>
      </c>
      <c r="AK939" t="s">
        <v>40</v>
      </c>
      <c r="AL939">
        <v>100</v>
      </c>
      <c r="AM939" t="s">
        <v>41</v>
      </c>
      <c r="AN939" t="s">
        <v>42</v>
      </c>
      <c r="AO939" t="s">
        <v>1840</v>
      </c>
      <c r="AP939" t="s">
        <v>1847</v>
      </c>
      <c r="AQ939" t="s">
        <v>1847</v>
      </c>
      <c r="AR939" t="s">
        <v>133</v>
      </c>
      <c r="AS939" t="s">
        <v>133</v>
      </c>
    </row>
    <row r="940" spans="1:45" x14ac:dyDescent="0.4">
      <c r="A940" t="s">
        <v>76</v>
      </c>
      <c r="B940" t="s">
        <v>10</v>
      </c>
      <c r="C940" t="s">
        <v>3931</v>
      </c>
      <c r="D940" t="s">
        <v>11</v>
      </c>
      <c r="E940" s="2">
        <v>6.9999999999999999E-4</v>
      </c>
      <c r="F940" t="s">
        <v>12</v>
      </c>
      <c r="G940" s="4" t="s">
        <v>3932</v>
      </c>
      <c r="H940" t="s">
        <v>3931</v>
      </c>
      <c r="I940" t="s">
        <v>3933</v>
      </c>
      <c r="J940" t="s">
        <v>3934</v>
      </c>
      <c r="K940" t="s">
        <v>23</v>
      </c>
      <c r="L940" s="2">
        <v>2.375E-2</v>
      </c>
      <c r="M940" t="s">
        <v>1995</v>
      </c>
      <c r="N940" t="s">
        <v>121</v>
      </c>
      <c r="O940" t="s">
        <v>3935</v>
      </c>
      <c r="P940" s="1">
        <v>97483</v>
      </c>
      <c r="Q940" t="s">
        <v>2428</v>
      </c>
      <c r="R940" t="s">
        <v>2670</v>
      </c>
      <c r="S940" t="s">
        <v>3702</v>
      </c>
      <c r="T940" t="s">
        <v>3529</v>
      </c>
      <c r="U940" t="s">
        <v>637</v>
      </c>
      <c r="V940" s="1">
        <v>97728</v>
      </c>
      <c r="W940" s="1">
        <v>97728</v>
      </c>
      <c r="X940" t="s">
        <v>3936</v>
      </c>
      <c r="Y940" t="s">
        <v>3936</v>
      </c>
      <c r="Z940" t="s">
        <v>3936</v>
      </c>
      <c r="AA940" t="s">
        <v>3752</v>
      </c>
      <c r="AB940" s="2">
        <v>2.5000000000000001E-3</v>
      </c>
      <c r="AC940" s="2">
        <v>3.3E-3</v>
      </c>
      <c r="AD940" s="2">
        <v>1.4E-2</v>
      </c>
      <c r="AE940" s="2">
        <v>1.8700000000000001E-2</v>
      </c>
      <c r="AF940" s="2">
        <v>2.1700000000000001E-2</v>
      </c>
      <c r="AG940" s="2">
        <v>-5.7799999999999997E-2</v>
      </c>
      <c r="AH940" t="s">
        <v>129</v>
      </c>
      <c r="AI940" t="s">
        <v>130</v>
      </c>
      <c r="AJ940" t="s">
        <v>131</v>
      </c>
      <c r="AK940" t="s">
        <v>40</v>
      </c>
      <c r="AL940">
        <v>100</v>
      </c>
      <c r="AM940" t="s">
        <v>41</v>
      </c>
      <c r="AN940" t="s">
        <v>42</v>
      </c>
      <c r="AO940" t="s">
        <v>3935</v>
      </c>
      <c r="AP940" t="s">
        <v>3937</v>
      </c>
      <c r="AQ940" t="s">
        <v>3937</v>
      </c>
      <c r="AR940" t="s">
        <v>133</v>
      </c>
      <c r="AS940" t="s">
        <v>133</v>
      </c>
    </row>
    <row r="941" spans="1:45" x14ac:dyDescent="0.4">
      <c r="A941" t="s">
        <v>630</v>
      </c>
      <c r="B941" t="s">
        <v>10</v>
      </c>
      <c r="C941" s="1">
        <v>92185</v>
      </c>
      <c r="D941" t="s">
        <v>11</v>
      </c>
      <c r="E941" s="2">
        <v>1.8E-3</v>
      </c>
      <c r="F941" t="s">
        <v>12</v>
      </c>
      <c r="G941" s="4" t="s">
        <v>3950</v>
      </c>
      <c r="H941" s="1">
        <v>92185</v>
      </c>
      <c r="I941" t="s">
        <v>3951</v>
      </c>
      <c r="J941" t="s">
        <v>3952</v>
      </c>
      <c r="K941" t="s">
        <v>23</v>
      </c>
      <c r="L941" s="2">
        <v>2.375E-2</v>
      </c>
      <c r="M941" t="s">
        <v>3953</v>
      </c>
      <c r="N941" t="s">
        <v>121</v>
      </c>
      <c r="O941" t="s">
        <v>2158</v>
      </c>
      <c r="P941" s="1">
        <v>91355</v>
      </c>
      <c r="Q941" s="1">
        <v>91355</v>
      </c>
      <c r="R941" s="1">
        <v>91355</v>
      </c>
      <c r="S941" s="1">
        <v>89285</v>
      </c>
      <c r="T941" t="s">
        <v>3954</v>
      </c>
      <c r="U941" t="s">
        <v>3954</v>
      </c>
      <c r="V941" t="s">
        <v>3955</v>
      </c>
      <c r="W941" t="s">
        <v>3142</v>
      </c>
      <c r="X941" t="s">
        <v>2963</v>
      </c>
      <c r="Y941" t="s">
        <v>2963</v>
      </c>
      <c r="Z941" t="s">
        <v>2963</v>
      </c>
      <c r="AA941" t="s">
        <v>3956</v>
      </c>
      <c r="AB941" s="2">
        <v>2.3999999999999998E-3</v>
      </c>
      <c r="AC941" s="2">
        <v>-1.12E-2</v>
      </c>
      <c r="AD941" s="2">
        <v>-1.6000000000000001E-3</v>
      </c>
      <c r="AE941" s="2">
        <v>3.3E-3</v>
      </c>
      <c r="AF941" s="2">
        <v>-1.11E-2</v>
      </c>
      <c r="AG941" s="2">
        <v>-0.1201</v>
      </c>
      <c r="AH941" t="s">
        <v>129</v>
      </c>
      <c r="AI941" t="s">
        <v>130</v>
      </c>
      <c r="AJ941" t="s">
        <v>131</v>
      </c>
      <c r="AK941" t="s">
        <v>40</v>
      </c>
      <c r="AL941">
        <v>100</v>
      </c>
      <c r="AM941" t="s">
        <v>41</v>
      </c>
      <c r="AN941" t="s">
        <v>42</v>
      </c>
      <c r="AO941" t="s">
        <v>2158</v>
      </c>
      <c r="AP941" t="s">
        <v>3957</v>
      </c>
      <c r="AQ941" t="s">
        <v>3957</v>
      </c>
      <c r="AR941" t="s">
        <v>133</v>
      </c>
      <c r="AS941" t="s">
        <v>133</v>
      </c>
    </row>
    <row r="942" spans="1:45" x14ac:dyDescent="0.4">
      <c r="A942" t="s">
        <v>76</v>
      </c>
      <c r="B942" t="s">
        <v>10</v>
      </c>
      <c r="C942" t="s">
        <v>1351</v>
      </c>
      <c r="D942" t="s">
        <v>11</v>
      </c>
      <c r="E942" s="2">
        <v>4.4000000000000003E-3</v>
      </c>
      <c r="F942" t="s">
        <v>12</v>
      </c>
      <c r="G942" s="4" t="s">
        <v>1352</v>
      </c>
      <c r="H942" t="s">
        <v>1351</v>
      </c>
      <c r="I942" t="s">
        <v>1353</v>
      </c>
      <c r="J942" t="s">
        <v>1354</v>
      </c>
      <c r="K942" t="s">
        <v>23</v>
      </c>
      <c r="L942" s="2">
        <v>2.2499999999999999E-2</v>
      </c>
      <c r="M942" t="s">
        <v>818</v>
      </c>
      <c r="N942" t="s">
        <v>121</v>
      </c>
      <c r="O942" t="s">
        <v>1004</v>
      </c>
      <c r="P942" t="s">
        <v>1355</v>
      </c>
      <c r="Q942" t="s">
        <v>1355</v>
      </c>
      <c r="R942" t="s">
        <v>1355</v>
      </c>
      <c r="S942" t="s">
        <v>1355</v>
      </c>
      <c r="T942" t="s">
        <v>1356</v>
      </c>
      <c r="U942" t="s">
        <v>1356</v>
      </c>
      <c r="V942" t="s">
        <v>1357</v>
      </c>
      <c r="W942" t="s">
        <v>1358</v>
      </c>
      <c r="X942" t="s">
        <v>1359</v>
      </c>
      <c r="Y942" t="s">
        <v>1359</v>
      </c>
      <c r="Z942" t="s">
        <v>1360</v>
      </c>
      <c r="AA942" t="s">
        <v>1361</v>
      </c>
      <c r="AB942" s="2">
        <v>-1.46E-2</v>
      </c>
      <c r="AC942" s="2">
        <v>-5.4399999999999997E-2</v>
      </c>
      <c r="AD942" s="2">
        <v>-5.4699999999999999E-2</v>
      </c>
      <c r="AE942" s="2">
        <v>-6.4799999999999996E-2</v>
      </c>
      <c r="AF942" s="2">
        <v>-0.185</v>
      </c>
      <c r="AG942" s="2">
        <v>-0.40670000000000001</v>
      </c>
      <c r="AH942" t="s">
        <v>129</v>
      </c>
      <c r="AI942" t="s">
        <v>130</v>
      </c>
      <c r="AJ942" t="s">
        <v>131</v>
      </c>
      <c r="AK942" t="s">
        <v>40</v>
      </c>
      <c r="AL942">
        <v>100</v>
      </c>
      <c r="AM942" t="s">
        <v>41</v>
      </c>
      <c r="AN942" t="s">
        <v>42</v>
      </c>
      <c r="AO942" t="s">
        <v>1004</v>
      </c>
      <c r="AP942" t="s">
        <v>1362</v>
      </c>
      <c r="AQ942" t="s">
        <v>1362</v>
      </c>
      <c r="AR942" t="s">
        <v>133</v>
      </c>
      <c r="AS942" t="s">
        <v>133</v>
      </c>
    </row>
    <row r="943" spans="1:45" x14ac:dyDescent="0.4">
      <c r="A943" t="s">
        <v>630</v>
      </c>
      <c r="B943" t="s">
        <v>10</v>
      </c>
      <c r="C943" s="1">
        <v>97223</v>
      </c>
      <c r="D943" t="s">
        <v>11</v>
      </c>
      <c r="E943" s="2">
        <v>5.9999999999999995E-4</v>
      </c>
      <c r="F943" t="s">
        <v>12</v>
      </c>
      <c r="G943" s="4" t="s">
        <v>3184</v>
      </c>
      <c r="H943" s="1">
        <v>97223</v>
      </c>
      <c r="I943" t="s">
        <v>3185</v>
      </c>
      <c r="J943" t="s">
        <v>3186</v>
      </c>
      <c r="K943" t="s">
        <v>23</v>
      </c>
      <c r="L943" s="2">
        <v>2.2499999999999999E-2</v>
      </c>
      <c r="M943" t="s">
        <v>3187</v>
      </c>
      <c r="N943" t="s">
        <v>121</v>
      </c>
      <c r="O943" t="s">
        <v>3188</v>
      </c>
      <c r="P943" s="1">
        <v>97005</v>
      </c>
      <c r="Q943" t="s">
        <v>3189</v>
      </c>
      <c r="R943" s="1">
        <v>96197</v>
      </c>
      <c r="S943" s="1">
        <v>94877</v>
      </c>
      <c r="T943" s="1">
        <v>92965</v>
      </c>
      <c r="U943" t="s">
        <v>3190</v>
      </c>
      <c r="V943" s="1">
        <v>97724</v>
      </c>
      <c r="W943" s="1">
        <v>97724</v>
      </c>
      <c r="X943" s="1">
        <v>98045</v>
      </c>
      <c r="Y943" s="1">
        <v>98045</v>
      </c>
      <c r="Z943" s="1">
        <v>98045</v>
      </c>
      <c r="AA943" s="1">
        <v>103165</v>
      </c>
      <c r="AB943" s="2">
        <v>3.2000000000000002E-3</v>
      </c>
      <c r="AC943" s="2">
        <v>-1.2999999999999999E-3</v>
      </c>
      <c r="AD943" s="2">
        <v>9.5999999999999992E-3</v>
      </c>
      <c r="AE943" s="2">
        <v>1.55E-2</v>
      </c>
      <c r="AF943" s="2">
        <v>2.0400000000000001E-2</v>
      </c>
      <c r="AG943" s="2">
        <v>-5.7299999999999997E-2</v>
      </c>
      <c r="AH943" t="s">
        <v>129</v>
      </c>
      <c r="AI943" t="s">
        <v>130</v>
      </c>
      <c r="AJ943" t="s">
        <v>131</v>
      </c>
      <c r="AK943" t="s">
        <v>40</v>
      </c>
      <c r="AL943">
        <v>100</v>
      </c>
      <c r="AM943" t="s">
        <v>41</v>
      </c>
      <c r="AN943" t="s">
        <v>42</v>
      </c>
      <c r="AO943" t="s">
        <v>3188</v>
      </c>
      <c r="AP943" t="s">
        <v>3191</v>
      </c>
      <c r="AQ943" t="s">
        <v>3191</v>
      </c>
      <c r="AR943" t="s">
        <v>133</v>
      </c>
      <c r="AS943" t="s">
        <v>133</v>
      </c>
    </row>
    <row r="944" spans="1:45" x14ac:dyDescent="0.4">
      <c r="A944" t="s">
        <v>630</v>
      </c>
      <c r="B944" t="s">
        <v>10</v>
      </c>
      <c r="C944" s="1">
        <v>99288</v>
      </c>
      <c r="D944" t="s">
        <v>11</v>
      </c>
      <c r="E944" s="2">
        <v>2.0000000000000001E-4</v>
      </c>
      <c r="F944" t="s">
        <v>12</v>
      </c>
      <c r="G944" s="4" t="s">
        <v>4292</v>
      </c>
      <c r="H944" s="1">
        <v>99288</v>
      </c>
      <c r="I944" t="s">
        <v>4293</v>
      </c>
      <c r="J944" t="s">
        <v>4294</v>
      </c>
      <c r="K944" t="s">
        <v>23</v>
      </c>
      <c r="L944" s="2">
        <v>2.1250000000000002E-2</v>
      </c>
      <c r="M944" t="s">
        <v>4295</v>
      </c>
      <c r="N944" t="s">
        <v>121</v>
      </c>
      <c r="O944" t="s">
        <v>4296</v>
      </c>
      <c r="P944" s="1">
        <v>99143</v>
      </c>
      <c r="Q944" s="1">
        <v>98701</v>
      </c>
      <c r="R944" s="1">
        <v>97689</v>
      </c>
      <c r="S944" s="1">
        <v>96564</v>
      </c>
      <c r="T944" s="1">
        <v>94025</v>
      </c>
      <c r="U944" s="1">
        <v>93785</v>
      </c>
      <c r="V944" s="1">
        <v>99353</v>
      </c>
      <c r="W944" s="1">
        <v>99353</v>
      </c>
      <c r="X944" s="1">
        <v>99353</v>
      </c>
      <c r="Y944" s="1">
        <v>99353</v>
      </c>
      <c r="Z944" s="1">
        <v>99353</v>
      </c>
      <c r="AA944" t="s">
        <v>1966</v>
      </c>
      <c r="AB944" s="2">
        <v>2E-3</v>
      </c>
      <c r="AC944" s="2">
        <v>5.8999999999999999E-3</v>
      </c>
      <c r="AD944" s="2">
        <v>1.6E-2</v>
      </c>
      <c r="AE944" s="2">
        <v>2.58E-2</v>
      </c>
      <c r="AF944" s="2">
        <v>3.7999999999999999E-2</v>
      </c>
      <c r="AG944" s="2">
        <v>-3.1699999999999999E-2</v>
      </c>
      <c r="AH944" t="s">
        <v>129</v>
      </c>
      <c r="AI944" t="s">
        <v>130</v>
      </c>
      <c r="AJ944" t="s">
        <v>131</v>
      </c>
      <c r="AK944" t="s">
        <v>40</v>
      </c>
      <c r="AL944">
        <v>100</v>
      </c>
      <c r="AM944" t="s">
        <v>41</v>
      </c>
      <c r="AN944" t="s">
        <v>42</v>
      </c>
      <c r="AO944" t="s">
        <v>4296</v>
      </c>
      <c r="AP944" t="s">
        <v>4297</v>
      </c>
      <c r="AQ944" t="s">
        <v>4297</v>
      </c>
      <c r="AR944" t="s">
        <v>133</v>
      </c>
      <c r="AS944" t="s">
        <v>133</v>
      </c>
    </row>
    <row r="945" spans="1:54" x14ac:dyDescent="0.4">
      <c r="A945" t="s">
        <v>9</v>
      </c>
      <c r="B945" t="s">
        <v>10</v>
      </c>
      <c r="C945" s="1">
        <v>88795</v>
      </c>
      <c r="D945" t="s">
        <v>11</v>
      </c>
      <c r="E945" s="2">
        <v>2.5000000000000001E-3</v>
      </c>
      <c r="F945" t="s">
        <v>12</v>
      </c>
      <c r="G945" s="4" t="s">
        <v>3783</v>
      </c>
      <c r="H945" s="1">
        <v>88795</v>
      </c>
      <c r="I945" t="s">
        <v>3784</v>
      </c>
      <c r="J945" t="s">
        <v>3785</v>
      </c>
      <c r="K945" t="s">
        <v>23</v>
      </c>
      <c r="L945" s="2">
        <v>1.6250000000000001E-2</v>
      </c>
      <c r="M945" t="s">
        <v>818</v>
      </c>
      <c r="N945" t="s">
        <v>121</v>
      </c>
      <c r="O945" t="s">
        <v>1004</v>
      </c>
      <c r="P945" t="s">
        <v>3786</v>
      </c>
      <c r="Q945" t="s">
        <v>3786</v>
      </c>
      <c r="R945" t="s">
        <v>3786</v>
      </c>
      <c r="S945" t="s">
        <v>3787</v>
      </c>
      <c r="T945" t="s">
        <v>3788</v>
      </c>
      <c r="U945" t="s">
        <v>3788</v>
      </c>
      <c r="V945" s="1">
        <v>88965</v>
      </c>
      <c r="W945" t="s">
        <v>3789</v>
      </c>
      <c r="X945" t="s">
        <v>3593</v>
      </c>
      <c r="Y945" t="s">
        <v>3593</v>
      </c>
      <c r="Z945" t="s">
        <v>3593</v>
      </c>
      <c r="AA945" t="s">
        <v>837</v>
      </c>
      <c r="AB945" s="2">
        <v>1.6999999999999999E-3</v>
      </c>
      <c r="AC945" s="2">
        <v>-1.0500000000000001E-2</v>
      </c>
      <c r="AD945" s="2">
        <v>1.4E-3</v>
      </c>
      <c r="AE945" s="2">
        <v>7.9000000000000008E-3</v>
      </c>
      <c r="AF945" s="2">
        <v>-4.0000000000000001E-3</v>
      </c>
      <c r="AG945" s="2">
        <v>-0.1095</v>
      </c>
      <c r="AH945" t="s">
        <v>129</v>
      </c>
      <c r="AI945" t="s">
        <v>130</v>
      </c>
      <c r="AJ945" t="s">
        <v>131</v>
      </c>
      <c r="AK945" t="s">
        <v>40</v>
      </c>
      <c r="AL945">
        <v>100</v>
      </c>
      <c r="AM945" t="s">
        <v>41</v>
      </c>
      <c r="AN945" t="s">
        <v>42</v>
      </c>
      <c r="AO945" t="s">
        <v>1004</v>
      </c>
      <c r="AP945" t="s">
        <v>3790</v>
      </c>
      <c r="AQ945" t="s">
        <v>3790</v>
      </c>
      <c r="AR945" t="s">
        <v>133</v>
      </c>
      <c r="AS945" t="s">
        <v>133</v>
      </c>
    </row>
    <row r="946" spans="1:54" x14ac:dyDescent="0.4">
      <c r="A946" t="s">
        <v>630</v>
      </c>
      <c r="B946" t="s">
        <v>10</v>
      </c>
      <c r="C946" t="s">
        <v>3773</v>
      </c>
      <c r="D946" t="s">
        <v>11</v>
      </c>
      <c r="E946" s="2">
        <v>1.8E-3</v>
      </c>
      <c r="F946" t="s">
        <v>12</v>
      </c>
      <c r="G946" s="4" t="s">
        <v>3580</v>
      </c>
      <c r="H946" t="s">
        <v>3773</v>
      </c>
      <c r="I946" t="s">
        <v>3816</v>
      </c>
      <c r="J946" t="s">
        <v>3817</v>
      </c>
      <c r="K946" t="s">
        <v>23</v>
      </c>
      <c r="L946" s="2">
        <v>1.4999999999999999E-2</v>
      </c>
      <c r="M946" t="s">
        <v>1151</v>
      </c>
      <c r="N946" t="s">
        <v>121</v>
      </c>
      <c r="O946" t="s">
        <v>818</v>
      </c>
      <c r="P946" t="s">
        <v>3496</v>
      </c>
      <c r="Q946" t="s">
        <v>3496</v>
      </c>
      <c r="R946" t="s">
        <v>3818</v>
      </c>
      <c r="S946" s="1">
        <v>83605</v>
      </c>
      <c r="T946" t="s">
        <v>3819</v>
      </c>
      <c r="U946" t="s">
        <v>3819</v>
      </c>
      <c r="V946" t="s">
        <v>3820</v>
      </c>
      <c r="W946" t="s">
        <v>3821</v>
      </c>
      <c r="X946" t="s">
        <v>3822</v>
      </c>
      <c r="Y946" t="s">
        <v>3822</v>
      </c>
      <c r="Z946" t="s">
        <v>3822</v>
      </c>
      <c r="AA946" t="s">
        <v>3823</v>
      </c>
      <c r="AB946" s="2">
        <v>3.0999999999999999E-3</v>
      </c>
      <c r="AC946" s="2">
        <v>-1.26E-2</v>
      </c>
      <c r="AD946" s="2">
        <v>-2.0999999999999999E-3</v>
      </c>
      <c r="AE946" s="2">
        <v>7.3000000000000001E-3</v>
      </c>
      <c r="AF946" s="2">
        <v>-1.09E-2</v>
      </c>
      <c r="AG946" s="2">
        <v>-0.12</v>
      </c>
      <c r="AH946" t="s">
        <v>129</v>
      </c>
      <c r="AI946" t="s">
        <v>130</v>
      </c>
      <c r="AJ946" t="s">
        <v>131</v>
      </c>
      <c r="AK946" t="s">
        <v>40</v>
      </c>
      <c r="AL946">
        <v>100</v>
      </c>
      <c r="AM946" t="s">
        <v>41</v>
      </c>
      <c r="AN946" t="s">
        <v>42</v>
      </c>
      <c r="AO946" t="s">
        <v>818</v>
      </c>
      <c r="AP946" t="s">
        <v>3824</v>
      </c>
      <c r="AQ946" t="s">
        <v>3824</v>
      </c>
      <c r="AR946" t="s">
        <v>133</v>
      </c>
      <c r="AS946" t="s">
        <v>133</v>
      </c>
    </row>
    <row r="947" spans="1:54" x14ac:dyDescent="0.4">
      <c r="A947" t="s">
        <v>1146</v>
      </c>
      <c r="B947" t="s">
        <v>10</v>
      </c>
      <c r="C947" s="1">
        <v>81325</v>
      </c>
      <c r="D947" t="s">
        <v>11</v>
      </c>
      <c r="E947" s="2">
        <v>2.8999999999999998E-3</v>
      </c>
      <c r="F947" t="s">
        <v>12</v>
      </c>
      <c r="G947" s="4" t="s">
        <v>1147</v>
      </c>
      <c r="H947" s="1">
        <v>81325</v>
      </c>
      <c r="I947" t="s">
        <v>1148</v>
      </c>
      <c r="J947" t="s">
        <v>1149</v>
      </c>
      <c r="K947" t="s">
        <v>23</v>
      </c>
      <c r="L947" s="2">
        <v>6.2500000000000003E-3</v>
      </c>
      <c r="M947" t="s">
        <v>1150</v>
      </c>
      <c r="N947" t="s">
        <v>121</v>
      </c>
      <c r="O947" t="s">
        <v>1151</v>
      </c>
      <c r="P947" t="s">
        <v>1152</v>
      </c>
      <c r="Q947" t="s">
        <v>1152</v>
      </c>
      <c r="R947" t="s">
        <v>1152</v>
      </c>
      <c r="S947" t="s">
        <v>1153</v>
      </c>
      <c r="T947" t="s">
        <v>1154</v>
      </c>
      <c r="U947" t="s">
        <v>1154</v>
      </c>
      <c r="V947" t="s">
        <v>1155</v>
      </c>
      <c r="W947" s="1">
        <v>82705</v>
      </c>
      <c r="X947" t="s">
        <v>1156</v>
      </c>
      <c r="Y947" t="s">
        <v>1156</v>
      </c>
      <c r="Z947" t="s">
        <v>1156</v>
      </c>
      <c r="AA947" t="s">
        <v>1157</v>
      </c>
      <c r="AB947" s="2">
        <v>1.2999999999999999E-3</v>
      </c>
      <c r="AC947" s="2">
        <v>-1.11E-2</v>
      </c>
      <c r="AD947" s="2">
        <v>1.2999999999999999E-3</v>
      </c>
      <c r="AE947" s="2">
        <v>1.43E-2</v>
      </c>
      <c r="AF947" s="2">
        <v>-1.6999999999999999E-3</v>
      </c>
      <c r="AG947" s="2">
        <v>-0.1116</v>
      </c>
      <c r="AH947" t="s">
        <v>129</v>
      </c>
      <c r="AI947" t="s">
        <v>130</v>
      </c>
      <c r="AJ947" t="s">
        <v>131</v>
      </c>
      <c r="AK947" t="s">
        <v>40</v>
      </c>
      <c r="AL947">
        <v>100</v>
      </c>
      <c r="AM947" t="s">
        <v>41</v>
      </c>
      <c r="AN947" t="s">
        <v>42</v>
      </c>
      <c r="AO947" t="s">
        <v>1151</v>
      </c>
      <c r="AP947" t="s">
        <v>1158</v>
      </c>
      <c r="AQ947" t="s">
        <v>1158</v>
      </c>
      <c r="AR947" t="s">
        <v>133</v>
      </c>
      <c r="AS947" t="s">
        <v>133</v>
      </c>
    </row>
    <row r="948" spans="1:54" x14ac:dyDescent="0.4">
      <c r="A948" t="s">
        <v>115</v>
      </c>
      <c r="B948" t="s">
        <v>10</v>
      </c>
      <c r="C948" s="1">
        <v>90185</v>
      </c>
      <c r="D948" t="s">
        <v>11</v>
      </c>
      <c r="E948" s="2">
        <v>1.6000000000000001E-3</v>
      </c>
      <c r="F948" t="s">
        <v>12</v>
      </c>
      <c r="G948" s="4" t="s">
        <v>3596</v>
      </c>
      <c r="H948" s="1">
        <v>90185</v>
      </c>
      <c r="I948" t="s">
        <v>3597</v>
      </c>
      <c r="J948" t="s">
        <v>3598</v>
      </c>
      <c r="K948" t="s">
        <v>23</v>
      </c>
      <c r="L948" s="2">
        <v>5.0000000000000001E-3</v>
      </c>
      <c r="M948" t="s">
        <v>3457</v>
      </c>
      <c r="N948" t="s">
        <v>121</v>
      </c>
      <c r="O948" t="s">
        <v>3599</v>
      </c>
      <c r="P948" t="s">
        <v>3600</v>
      </c>
      <c r="Q948" t="s">
        <v>3600</v>
      </c>
      <c r="R948" t="s">
        <v>3601</v>
      </c>
      <c r="S948" s="1">
        <v>86055</v>
      </c>
      <c r="T948" t="s">
        <v>3602</v>
      </c>
      <c r="U948" t="s">
        <v>3603</v>
      </c>
      <c r="V948" t="s">
        <v>1089</v>
      </c>
      <c r="W948" s="1">
        <v>90355</v>
      </c>
      <c r="X948" s="1">
        <v>91365</v>
      </c>
      <c r="Y948" s="1">
        <v>91365</v>
      </c>
      <c r="Z948" s="1">
        <v>91365</v>
      </c>
      <c r="AA948" s="1">
        <v>93965</v>
      </c>
      <c r="AB948" s="2">
        <v>5.4000000000000003E-3</v>
      </c>
      <c r="AC948" s="2">
        <v>8.0000000000000004E-4</v>
      </c>
      <c r="AD948" s="2">
        <v>1.55E-2</v>
      </c>
      <c r="AE948" s="2">
        <v>3.0499999999999999E-2</v>
      </c>
      <c r="AF948" s="2">
        <v>4.3999999999999997E-2</v>
      </c>
      <c r="AG948" s="2">
        <v>-3.8800000000000001E-2</v>
      </c>
      <c r="AH948" t="s">
        <v>129</v>
      </c>
      <c r="AI948" t="s">
        <v>130</v>
      </c>
      <c r="AJ948" t="s">
        <v>131</v>
      </c>
      <c r="AK948" t="s">
        <v>40</v>
      </c>
      <c r="AL948">
        <v>100</v>
      </c>
      <c r="AM948" t="s">
        <v>41</v>
      </c>
      <c r="AN948" t="s">
        <v>42</v>
      </c>
      <c r="AO948" t="s">
        <v>3599</v>
      </c>
      <c r="AP948" t="s">
        <v>3604</v>
      </c>
      <c r="AQ948" t="s">
        <v>3604</v>
      </c>
      <c r="AR948" t="s">
        <v>133</v>
      </c>
      <c r="AS948" t="s">
        <v>133</v>
      </c>
    </row>
    <row r="949" spans="1:54" x14ac:dyDescent="0.4">
      <c r="A949" t="s">
        <v>104</v>
      </c>
      <c r="B949" t="s">
        <v>10</v>
      </c>
      <c r="C949" t="s">
        <v>3125</v>
      </c>
      <c r="D949" t="s">
        <v>11</v>
      </c>
      <c r="E949" s="2">
        <v>4.0000000000000002E-4</v>
      </c>
      <c r="F949" t="s">
        <v>12</v>
      </c>
      <c r="G949" s="4" t="s">
        <v>3547</v>
      </c>
      <c r="H949" t="s">
        <v>3125</v>
      </c>
      <c r="I949" t="s">
        <v>3548</v>
      </c>
      <c r="J949" t="s">
        <v>3549</v>
      </c>
      <c r="K949" t="s">
        <v>23</v>
      </c>
      <c r="L949" s="2">
        <v>2.5000000000000001E-3</v>
      </c>
      <c r="M949" t="s">
        <v>3550</v>
      </c>
      <c r="N949" t="s">
        <v>121</v>
      </c>
      <c r="O949" t="s">
        <v>3551</v>
      </c>
      <c r="P949" s="1">
        <v>97021</v>
      </c>
      <c r="Q949" t="s">
        <v>3552</v>
      </c>
      <c r="R949" t="s">
        <v>718</v>
      </c>
      <c r="S949" t="s">
        <v>3553</v>
      </c>
      <c r="T949" t="s">
        <v>3554</v>
      </c>
      <c r="U949" t="s">
        <v>3555</v>
      </c>
      <c r="V949" t="s">
        <v>3125</v>
      </c>
      <c r="W949" t="s">
        <v>3125</v>
      </c>
      <c r="X949" t="s">
        <v>3125</v>
      </c>
      <c r="Y949" t="s">
        <v>3125</v>
      </c>
      <c r="Z949" t="s">
        <v>3125</v>
      </c>
      <c r="AA949" t="s">
        <v>3125</v>
      </c>
      <c r="AB949" s="2">
        <v>3.5000000000000001E-3</v>
      </c>
      <c r="AC949" s="2">
        <v>0.01</v>
      </c>
      <c r="AD949" s="2">
        <v>2.6599999999999999E-2</v>
      </c>
      <c r="AE949" s="2">
        <v>4.3999999999999997E-2</v>
      </c>
      <c r="AF949" s="2">
        <v>7.2300000000000003E-2</v>
      </c>
      <c r="AG949" s="2">
        <v>1.4800000000000001E-2</v>
      </c>
      <c r="AH949" t="s">
        <v>129</v>
      </c>
      <c r="AI949" t="s">
        <v>130</v>
      </c>
      <c r="AJ949" t="s">
        <v>131</v>
      </c>
      <c r="AK949" t="s">
        <v>40</v>
      </c>
      <c r="AL949">
        <v>100</v>
      </c>
      <c r="AM949" t="s">
        <v>41</v>
      </c>
      <c r="AN949" t="s">
        <v>42</v>
      </c>
      <c r="AO949" t="s">
        <v>3551</v>
      </c>
      <c r="AP949" t="s">
        <v>3556</v>
      </c>
      <c r="AQ949" t="s">
        <v>3556</v>
      </c>
      <c r="AR949" t="s">
        <v>133</v>
      </c>
      <c r="AS949" t="s">
        <v>133</v>
      </c>
    </row>
    <row r="950" spans="1:54" x14ac:dyDescent="0.4">
      <c r="A950" t="s">
        <v>1450</v>
      </c>
      <c r="B950" t="s">
        <v>10</v>
      </c>
      <c r="C950" t="s">
        <v>3717</v>
      </c>
      <c r="D950" t="s">
        <v>11</v>
      </c>
      <c r="E950" s="2">
        <v>5.5999999999999999E-3</v>
      </c>
      <c r="F950" t="s">
        <v>12</v>
      </c>
      <c r="G950" s="4" t="s">
        <v>6272</v>
      </c>
      <c r="H950" t="s">
        <v>3717</v>
      </c>
      <c r="I950" t="s">
        <v>6273</v>
      </c>
      <c r="J950" t="s">
        <v>6274</v>
      </c>
      <c r="K950" t="s">
        <v>23</v>
      </c>
      <c r="L950" s="2">
        <v>5.5E-2</v>
      </c>
      <c r="M950" t="s">
        <v>2721</v>
      </c>
      <c r="N950" t="s">
        <v>121</v>
      </c>
      <c r="O950" t="s">
        <v>1952</v>
      </c>
      <c r="P950" t="s">
        <v>6275</v>
      </c>
      <c r="Q950" t="s">
        <v>6275</v>
      </c>
      <c r="R950" t="s">
        <v>6275</v>
      </c>
      <c r="S950" t="s">
        <v>6275</v>
      </c>
      <c r="T950" t="s">
        <v>6275</v>
      </c>
      <c r="U950" t="s">
        <v>6275</v>
      </c>
      <c r="V950" t="s">
        <v>4747</v>
      </c>
      <c r="W950" t="s">
        <v>6276</v>
      </c>
      <c r="X950" t="s">
        <v>1281</v>
      </c>
      <c r="Y950" t="s">
        <v>1281</v>
      </c>
      <c r="Z950" t="s">
        <v>1281</v>
      </c>
      <c r="AA950" t="s">
        <v>1281</v>
      </c>
      <c r="AB950" s="2">
        <v>1.03E-2</v>
      </c>
      <c r="AC950" s="2">
        <v>-3.2099999999999997E-2</v>
      </c>
      <c r="AD950" s="2">
        <v>-3.5200000000000002E-2</v>
      </c>
      <c r="AE950" s="2">
        <v>-6.6400000000000001E-2</v>
      </c>
      <c r="AF950" s="2">
        <v>-6.6400000000000001E-2</v>
      </c>
      <c r="AG950" s="2">
        <v>-6.6400000000000001E-2</v>
      </c>
      <c r="AH950" t="s">
        <v>6277</v>
      </c>
      <c r="AI950" t="s">
        <v>130</v>
      </c>
      <c r="AJ950" t="s">
        <v>131</v>
      </c>
      <c r="AK950" t="s">
        <v>40</v>
      </c>
      <c r="AL950">
        <v>2</v>
      </c>
      <c r="AM950" t="s">
        <v>41</v>
      </c>
      <c r="AN950" t="s">
        <v>42</v>
      </c>
      <c r="AO950" t="s">
        <v>1952</v>
      </c>
      <c r="AP950" t="s">
        <v>750</v>
      </c>
      <c r="AQ950" t="s">
        <v>750</v>
      </c>
      <c r="AR950" t="s">
        <v>133</v>
      </c>
      <c r="AS950" t="s">
        <v>133</v>
      </c>
    </row>
    <row r="951" spans="1:54" x14ac:dyDescent="0.4">
      <c r="A951" t="s">
        <v>630</v>
      </c>
      <c r="B951" t="s">
        <v>10</v>
      </c>
      <c r="C951" t="s">
        <v>402</v>
      </c>
      <c r="D951" t="s">
        <v>11</v>
      </c>
      <c r="E951" s="2">
        <v>-3.0999999999999999E-3</v>
      </c>
      <c r="F951" t="s">
        <v>12</v>
      </c>
      <c r="G951" s="4">
        <f>-0.27 / -0.31%</f>
        <v>87.096774193548399</v>
      </c>
      <c r="H951" t="s">
        <v>402</v>
      </c>
      <c r="I951" t="s">
        <v>5615</v>
      </c>
      <c r="J951" t="s">
        <v>5616</v>
      </c>
      <c r="K951" t="s">
        <v>23</v>
      </c>
      <c r="L951" s="2">
        <v>4.9750000000000003E-2</v>
      </c>
      <c r="M951" t="s">
        <v>5617</v>
      </c>
      <c r="N951" t="s">
        <v>121</v>
      </c>
      <c r="O951" t="s">
        <v>5618</v>
      </c>
      <c r="P951" t="s">
        <v>2933</v>
      </c>
      <c r="Q951" t="s">
        <v>2933</v>
      </c>
      <c r="R951" t="s">
        <v>2933</v>
      </c>
      <c r="S951" t="s">
        <v>2933</v>
      </c>
      <c r="T951" t="s">
        <v>4955</v>
      </c>
      <c r="U951" t="s">
        <v>5619</v>
      </c>
      <c r="V951" t="s">
        <v>5620</v>
      </c>
      <c r="W951" t="s">
        <v>5621</v>
      </c>
      <c r="X951" t="s">
        <v>1256</v>
      </c>
      <c r="Y951" t="s">
        <v>1256</v>
      </c>
      <c r="Z951" t="s">
        <v>2689</v>
      </c>
      <c r="AA951" t="s">
        <v>5622</v>
      </c>
      <c r="AB951" s="2">
        <v>-1.72E-2</v>
      </c>
      <c r="AC951" s="2">
        <v>-5.21E-2</v>
      </c>
      <c r="AD951" s="2">
        <v>-5.9799999999999999E-2</v>
      </c>
      <c r="AE951" s="2">
        <v>-5.5399999999999998E-2</v>
      </c>
      <c r="AF951" s="2">
        <v>-0.13439999999999999</v>
      </c>
      <c r="AG951" s="2">
        <v>-0.29949999999999999</v>
      </c>
      <c r="AH951" t="s">
        <v>5623</v>
      </c>
      <c r="AI951" t="s">
        <v>130</v>
      </c>
      <c r="AJ951" t="s">
        <v>131</v>
      </c>
      <c r="AK951" t="s">
        <v>40</v>
      </c>
      <c r="AL951">
        <v>1</v>
      </c>
      <c r="AM951" t="s">
        <v>41</v>
      </c>
      <c r="AN951" t="s">
        <v>42</v>
      </c>
      <c r="AO951" t="s">
        <v>5618</v>
      </c>
      <c r="AP951" t="s">
        <v>5624</v>
      </c>
      <c r="AQ951" t="s">
        <v>5624</v>
      </c>
      <c r="AR951" t="s">
        <v>133</v>
      </c>
      <c r="AS951" t="s">
        <v>133</v>
      </c>
    </row>
    <row r="952" spans="1:54" x14ac:dyDescent="0.4">
      <c r="A952" t="s">
        <v>630</v>
      </c>
      <c r="B952" t="s">
        <v>10</v>
      </c>
      <c r="C952" t="s">
        <v>127</v>
      </c>
      <c r="D952" t="s">
        <v>11</v>
      </c>
      <c r="E952" s="2">
        <v>1.8E-3</v>
      </c>
      <c r="F952" t="s">
        <v>12</v>
      </c>
      <c r="G952" s="4" t="s">
        <v>2155</v>
      </c>
      <c r="H952" t="s">
        <v>127</v>
      </c>
      <c r="I952" t="s">
        <v>7389</v>
      </c>
      <c r="J952" t="s">
        <v>7390</v>
      </c>
      <c r="K952" t="s">
        <v>23</v>
      </c>
      <c r="L952" s="2">
        <v>4.3499999999999997E-2</v>
      </c>
      <c r="M952" t="s">
        <v>7391</v>
      </c>
      <c r="N952" t="s">
        <v>121</v>
      </c>
      <c r="O952" t="s">
        <v>7392</v>
      </c>
      <c r="P952" s="1">
        <v>97125</v>
      </c>
      <c r="Q952" s="1">
        <v>97125</v>
      </c>
      <c r="R952" s="1">
        <v>97125</v>
      </c>
      <c r="S952" t="s">
        <v>7393</v>
      </c>
      <c r="T952" t="s">
        <v>1277</v>
      </c>
      <c r="U952" t="s">
        <v>7246</v>
      </c>
      <c r="V952" s="1">
        <v>98285</v>
      </c>
      <c r="W952" s="1">
        <v>99145</v>
      </c>
      <c r="X952" t="s">
        <v>4467</v>
      </c>
      <c r="Y952" t="s">
        <v>4467</v>
      </c>
      <c r="Z952" t="s">
        <v>4467</v>
      </c>
      <c r="AA952" t="s">
        <v>7394</v>
      </c>
      <c r="AB952" s="2">
        <v>4.1999999999999997E-3</v>
      </c>
      <c r="AC952" s="2">
        <v>-9.1999999999999998E-3</v>
      </c>
      <c r="AD952" s="2">
        <v>5.8999999999999999E-3</v>
      </c>
      <c r="AE952" s="2">
        <v>1E-4</v>
      </c>
      <c r="AF952" s="2">
        <v>-4.0000000000000001E-3</v>
      </c>
      <c r="AG952" s="2">
        <v>-9.3200000000000005E-2</v>
      </c>
      <c r="AH952" t="s">
        <v>7395</v>
      </c>
      <c r="AI952" t="s">
        <v>130</v>
      </c>
      <c r="AJ952" t="s">
        <v>131</v>
      </c>
      <c r="AK952" t="s">
        <v>40</v>
      </c>
      <c r="AL952">
        <v>2</v>
      </c>
      <c r="AM952" t="s">
        <v>41</v>
      </c>
      <c r="AN952" t="s">
        <v>42</v>
      </c>
      <c r="AO952" t="s">
        <v>7392</v>
      </c>
      <c r="AP952" t="s">
        <v>357</v>
      </c>
      <c r="AQ952" t="s">
        <v>357</v>
      </c>
      <c r="AR952" t="s">
        <v>133</v>
      </c>
      <c r="AS952" t="s">
        <v>133</v>
      </c>
    </row>
    <row r="953" spans="1:54" x14ac:dyDescent="0.4">
      <c r="A953" t="s">
        <v>1301</v>
      </c>
      <c r="B953" t="s">
        <v>10</v>
      </c>
      <c r="C953" t="s">
        <v>1302</v>
      </c>
      <c r="D953" t="s">
        <v>11</v>
      </c>
      <c r="E953" s="2">
        <v>0</v>
      </c>
      <c r="F953" t="s">
        <v>363</v>
      </c>
      <c r="G953" s="4" t="s">
        <v>15</v>
      </c>
      <c r="H953" t="s">
        <v>1302</v>
      </c>
      <c r="I953" t="s">
        <v>1303</v>
      </c>
      <c r="J953" t="s">
        <v>1304</v>
      </c>
      <c r="K953" t="s">
        <v>23</v>
      </c>
      <c r="L953" s="2">
        <v>3.5000000000000003E-2</v>
      </c>
      <c r="M953" t="s">
        <v>1305</v>
      </c>
      <c r="N953" t="s">
        <v>28</v>
      </c>
      <c r="O953" t="s">
        <v>1306</v>
      </c>
      <c r="P953" t="s">
        <v>1307</v>
      </c>
      <c r="Q953" t="s">
        <v>1308</v>
      </c>
      <c r="R953" t="s">
        <v>1309</v>
      </c>
      <c r="S953" t="s">
        <v>1309</v>
      </c>
      <c r="T953" t="s">
        <v>1309</v>
      </c>
      <c r="U953" t="s">
        <v>1309</v>
      </c>
      <c r="V953" t="s">
        <v>1302</v>
      </c>
      <c r="W953" t="s">
        <v>1302</v>
      </c>
      <c r="X953" t="s">
        <v>1310</v>
      </c>
      <c r="Y953" t="s">
        <v>1311</v>
      </c>
      <c r="Z953" t="s">
        <v>1312</v>
      </c>
      <c r="AA953" t="s">
        <v>1313</v>
      </c>
      <c r="AB953" s="2">
        <v>0.1293</v>
      </c>
      <c r="AC953" s="2">
        <v>0.21460000000000001</v>
      </c>
      <c r="AD953" s="2">
        <v>0.1061</v>
      </c>
      <c r="AE953" s="2">
        <v>1.3899999999999999E-2</v>
      </c>
      <c r="AF953" s="2">
        <v>-1.35E-2</v>
      </c>
      <c r="AG953" s="2">
        <v>-0.29499999999999998</v>
      </c>
      <c r="AH953" t="s">
        <v>1314</v>
      </c>
      <c r="AI953" t="s">
        <v>232</v>
      </c>
      <c r="AJ953" t="s">
        <v>131</v>
      </c>
      <c r="AK953" t="s">
        <v>40</v>
      </c>
      <c r="AL953">
        <v>609</v>
      </c>
      <c r="AM953" t="s">
        <v>41</v>
      </c>
      <c r="AN953" t="s">
        <v>42</v>
      </c>
      <c r="AO953" t="s">
        <v>1306</v>
      </c>
      <c r="AP953" t="s">
        <v>1315</v>
      </c>
      <c r="AQ953">
        <v>609</v>
      </c>
      <c r="BA953" t="s">
        <v>197</v>
      </c>
      <c r="BB953" t="s">
        <v>61</v>
      </c>
    </row>
    <row r="954" spans="1:54" x14ac:dyDescent="0.4">
      <c r="A954" t="s">
        <v>4326</v>
      </c>
      <c r="B954" t="s">
        <v>10</v>
      </c>
      <c r="C954" s="1">
        <v>14218</v>
      </c>
      <c r="D954" t="s">
        <v>11</v>
      </c>
      <c r="E954" s="2">
        <v>2.6100000000000002E-2</v>
      </c>
      <c r="F954" t="s">
        <v>12</v>
      </c>
      <c r="G954" s="4" t="s">
        <v>4327</v>
      </c>
      <c r="H954" s="1">
        <v>14218</v>
      </c>
      <c r="I954" t="s">
        <v>4328</v>
      </c>
      <c r="J954" t="s">
        <v>4329</v>
      </c>
      <c r="K954" t="s">
        <v>23</v>
      </c>
      <c r="L954" s="2">
        <v>0.13625000000000001</v>
      </c>
      <c r="M954" t="s">
        <v>4330</v>
      </c>
      <c r="N954" t="s">
        <v>121</v>
      </c>
      <c r="O954" t="s">
        <v>4331</v>
      </c>
      <c r="P954" s="1">
        <v>13092</v>
      </c>
      <c r="Q954" s="1">
        <v>13092</v>
      </c>
      <c r="R954" s="1">
        <v>13092</v>
      </c>
      <c r="S954" t="s">
        <v>4332</v>
      </c>
      <c r="T954" t="s">
        <v>4333</v>
      </c>
      <c r="U954" t="s">
        <v>4333</v>
      </c>
      <c r="V954" s="1">
        <v>16661</v>
      </c>
      <c r="W954" s="1">
        <v>16661</v>
      </c>
      <c r="X954" s="1">
        <v>21193</v>
      </c>
      <c r="Y954" s="1">
        <v>21193</v>
      </c>
      <c r="Z954" s="1">
        <v>21193</v>
      </c>
      <c r="AA954" s="1">
        <v>21193</v>
      </c>
      <c r="AB954" s="2">
        <v>6.6299999999999998E-2</v>
      </c>
      <c r="AC954" s="2">
        <v>-5.7799999999999997E-2</v>
      </c>
      <c r="AD954" s="2">
        <v>-0.26619999999999999</v>
      </c>
      <c r="AE954" s="2">
        <v>-8.2699999999999996E-2</v>
      </c>
      <c r="AF954" s="2">
        <v>0.42180000000000001</v>
      </c>
      <c r="AG954" s="2">
        <v>0.42180000000000001</v>
      </c>
      <c r="AH954" t="s">
        <v>4334</v>
      </c>
      <c r="AI954" t="s">
        <v>130</v>
      </c>
      <c r="AJ954" t="s">
        <v>131</v>
      </c>
      <c r="AK954" t="s">
        <v>40</v>
      </c>
      <c r="AL954">
        <v>1</v>
      </c>
      <c r="AM954" t="s">
        <v>41</v>
      </c>
      <c r="AN954" t="s">
        <v>42</v>
      </c>
      <c r="AO954" t="s">
        <v>4331</v>
      </c>
      <c r="AP954" t="s">
        <v>4335</v>
      </c>
      <c r="BA954" t="s">
        <v>360</v>
      </c>
      <c r="BB954" t="s">
        <v>61</v>
      </c>
    </row>
    <row r="955" spans="1:54" x14ac:dyDescent="0.4">
      <c r="A955" t="s">
        <v>4453</v>
      </c>
      <c r="B955" t="s">
        <v>10</v>
      </c>
      <c r="C955" t="s">
        <v>5668</v>
      </c>
      <c r="D955" t="s">
        <v>11</v>
      </c>
      <c r="E955" s="2">
        <v>-1.6999999999999999E-3</v>
      </c>
      <c r="F955" t="s">
        <v>310</v>
      </c>
      <c r="G955" s="4">
        <f>-0.14 / -0.17%</f>
        <v>82.352941176470594</v>
      </c>
      <c r="H955" t="s">
        <v>5668</v>
      </c>
      <c r="I955" t="s">
        <v>5669</v>
      </c>
      <c r="J955" t="s">
        <v>5670</v>
      </c>
      <c r="K955" t="s">
        <v>23</v>
      </c>
      <c r="L955" s="2">
        <v>2.6589999999999999E-2</v>
      </c>
      <c r="M955" t="s">
        <v>5671</v>
      </c>
      <c r="N955" t="s">
        <v>121</v>
      </c>
      <c r="O955" t="s">
        <v>1000</v>
      </c>
      <c r="P955" t="s">
        <v>5672</v>
      </c>
      <c r="Q955" t="s">
        <v>5672</v>
      </c>
      <c r="R955" t="s">
        <v>5672</v>
      </c>
      <c r="S955" t="s">
        <v>5672</v>
      </c>
      <c r="T955" t="s">
        <v>5673</v>
      </c>
      <c r="U955" t="s">
        <v>5674</v>
      </c>
      <c r="V955" t="s">
        <v>1047</v>
      </c>
      <c r="W955" t="s">
        <v>5675</v>
      </c>
      <c r="X955" t="s">
        <v>5676</v>
      </c>
      <c r="Y955" t="s">
        <v>5676</v>
      </c>
      <c r="Z955" t="s">
        <v>5676</v>
      </c>
      <c r="AA955" t="s">
        <v>3486</v>
      </c>
      <c r="AB955" s="2">
        <v>6.1999999999999998E-3</v>
      </c>
      <c r="AC955" s="2">
        <v>-2.2100000000000002E-2</v>
      </c>
      <c r="AD955" s="2">
        <v>-1.8100000000000002E-2</v>
      </c>
      <c r="AE955" s="2">
        <v>-1.52E-2</v>
      </c>
      <c r="AF955" s="2">
        <v>-2.9399999999999999E-2</v>
      </c>
      <c r="AG955" s="2">
        <v>-0.1376</v>
      </c>
      <c r="AH955" t="s">
        <v>5677</v>
      </c>
      <c r="AI955" t="s">
        <v>130</v>
      </c>
      <c r="AJ955" t="s">
        <v>131</v>
      </c>
      <c r="AK955" t="s">
        <v>40</v>
      </c>
      <c r="AL955">
        <v>200</v>
      </c>
      <c r="AM955" t="s">
        <v>41</v>
      </c>
      <c r="AN955" t="s">
        <v>42</v>
      </c>
      <c r="AO955" t="s">
        <v>1000</v>
      </c>
      <c r="AP955" t="s">
        <v>5678</v>
      </c>
      <c r="AQ955" t="s">
        <v>5678</v>
      </c>
      <c r="AR955" t="s">
        <v>133</v>
      </c>
      <c r="AS955" t="s">
        <v>133</v>
      </c>
    </row>
    <row r="956" spans="1:54" x14ac:dyDescent="0.4">
      <c r="A956" t="s">
        <v>4462</v>
      </c>
      <c r="B956" t="s">
        <v>10</v>
      </c>
      <c r="C956" t="s">
        <v>5679</v>
      </c>
      <c r="D956" t="s">
        <v>11</v>
      </c>
      <c r="E956" s="2">
        <v>-3.5999999999999999E-3</v>
      </c>
      <c r="F956" t="s">
        <v>1057</v>
      </c>
      <c r="G956" s="4">
        <f>-0.4 / -0.36%</f>
        <v>111.11111111111111</v>
      </c>
      <c r="H956" t="s">
        <v>5679</v>
      </c>
      <c r="I956" t="s">
        <v>5680</v>
      </c>
      <c r="J956" t="s">
        <v>5681</v>
      </c>
      <c r="K956" t="s">
        <v>23</v>
      </c>
      <c r="L956" s="2">
        <v>7.7499999999999999E-2</v>
      </c>
      <c r="M956" t="s">
        <v>5682</v>
      </c>
      <c r="N956" t="s">
        <v>121</v>
      </c>
      <c r="O956" t="s">
        <v>5683</v>
      </c>
      <c r="P956" t="s">
        <v>5684</v>
      </c>
      <c r="Q956" t="s">
        <v>5684</v>
      </c>
      <c r="R956" t="s">
        <v>5684</v>
      </c>
      <c r="S956" t="s">
        <v>5685</v>
      </c>
      <c r="T956" t="s">
        <v>5686</v>
      </c>
      <c r="U956" t="s">
        <v>5686</v>
      </c>
      <c r="V956" t="s">
        <v>4021</v>
      </c>
      <c r="W956" t="s">
        <v>5687</v>
      </c>
      <c r="X956" t="s">
        <v>5688</v>
      </c>
      <c r="Y956" t="s">
        <v>5688</v>
      </c>
      <c r="Z956" t="s">
        <v>5689</v>
      </c>
      <c r="AA956" t="s">
        <v>5690</v>
      </c>
      <c r="AB956" s="2">
        <v>-2.2700000000000001E-2</v>
      </c>
      <c r="AC956" s="2">
        <v>-1.21E-2</v>
      </c>
      <c r="AD956" s="2">
        <v>-1.41E-2</v>
      </c>
      <c r="AE956" s="2">
        <v>-1.4500000000000001E-2</v>
      </c>
      <c r="AF956" s="2">
        <v>-3.8699999999999998E-2</v>
      </c>
      <c r="AG956" s="2">
        <v>-0.1701</v>
      </c>
      <c r="AH956" t="s">
        <v>5691</v>
      </c>
      <c r="AI956" t="s">
        <v>130</v>
      </c>
      <c r="AJ956" t="s">
        <v>131</v>
      </c>
      <c r="AK956" t="s">
        <v>40</v>
      </c>
      <c r="AL956">
        <v>1</v>
      </c>
      <c r="AM956" t="s">
        <v>41</v>
      </c>
      <c r="AN956" t="s">
        <v>42</v>
      </c>
      <c r="AO956" t="s">
        <v>5683</v>
      </c>
      <c r="AP956" t="s">
        <v>4863</v>
      </c>
      <c r="AQ956" t="s">
        <v>5692</v>
      </c>
      <c r="AR956" t="s">
        <v>133</v>
      </c>
      <c r="AS956" t="s">
        <v>133</v>
      </c>
    </row>
    <row r="957" spans="1:54" x14ac:dyDescent="0.4">
      <c r="A957" t="s">
        <v>1450</v>
      </c>
      <c r="B957" t="s">
        <v>10</v>
      </c>
      <c r="C957" t="s">
        <v>5192</v>
      </c>
      <c r="D957" t="s">
        <v>11</v>
      </c>
      <c r="E957" s="2">
        <v>-1.6000000000000001E-3</v>
      </c>
      <c r="F957" t="s">
        <v>12</v>
      </c>
      <c r="G957" s="4">
        <f>-0.12 / -0.16%</f>
        <v>75</v>
      </c>
      <c r="H957" t="s">
        <v>5192</v>
      </c>
      <c r="I957" t="s">
        <v>5193</v>
      </c>
      <c r="J957" t="s">
        <v>5194</v>
      </c>
      <c r="K957" t="s">
        <v>23</v>
      </c>
      <c r="L957" s="2">
        <v>0.01</v>
      </c>
      <c r="M957" t="s">
        <v>5195</v>
      </c>
      <c r="N957" t="s">
        <v>28</v>
      </c>
      <c r="O957" t="s">
        <v>5196</v>
      </c>
      <c r="P957" t="s">
        <v>2657</v>
      </c>
      <c r="Q957" t="s">
        <v>2657</v>
      </c>
      <c r="R957" t="s">
        <v>2657</v>
      </c>
      <c r="S957" t="s">
        <v>2657</v>
      </c>
      <c r="T957" t="s">
        <v>5197</v>
      </c>
      <c r="U957" t="s">
        <v>5198</v>
      </c>
      <c r="V957" t="s">
        <v>4604</v>
      </c>
      <c r="W957" t="s">
        <v>3205</v>
      </c>
      <c r="X957" t="s">
        <v>3474</v>
      </c>
      <c r="Y957" t="s">
        <v>3474</v>
      </c>
      <c r="Z957" t="s">
        <v>2450</v>
      </c>
      <c r="AA957" t="s">
        <v>898</v>
      </c>
      <c r="AB957" s="2">
        <v>-1.6299999999999999E-2</v>
      </c>
      <c r="AC957" s="2">
        <v>-2.4299999999999999E-2</v>
      </c>
      <c r="AD957" s="2">
        <v>-3.4799999999999998E-2</v>
      </c>
      <c r="AE957" s="2">
        <v>-2.8400000000000002E-2</v>
      </c>
      <c r="AF957" s="2">
        <v>9.7500000000000003E-2</v>
      </c>
      <c r="AG957" s="2">
        <v>-0.22989999999999999</v>
      </c>
      <c r="AH957" t="s">
        <v>5199</v>
      </c>
      <c r="AI957" t="s">
        <v>130</v>
      </c>
      <c r="AJ957" t="s">
        <v>131</v>
      </c>
      <c r="AK957" t="s">
        <v>40</v>
      </c>
      <c r="AL957">
        <v>100</v>
      </c>
      <c r="AM957" t="s">
        <v>41</v>
      </c>
      <c r="AN957" t="s">
        <v>42</v>
      </c>
      <c r="AO957" t="s">
        <v>5196</v>
      </c>
      <c r="AP957" t="s">
        <v>225</v>
      </c>
      <c r="AQ957" t="s">
        <v>225</v>
      </c>
      <c r="AR957" t="s">
        <v>48</v>
      </c>
      <c r="AS957" t="s">
        <v>48</v>
      </c>
    </row>
    <row r="958" spans="1:54" x14ac:dyDescent="0.4">
      <c r="A958" t="s">
        <v>104</v>
      </c>
      <c r="B958" t="s">
        <v>10</v>
      </c>
      <c r="C958" t="s">
        <v>2856</v>
      </c>
      <c r="D958" t="s">
        <v>11</v>
      </c>
      <c r="E958" s="2">
        <v>-2.2000000000000001E-3</v>
      </c>
      <c r="F958" t="s">
        <v>12</v>
      </c>
      <c r="G958" s="4">
        <f>-0.205 / -0.22%</f>
        <v>93.181818181818173</v>
      </c>
      <c r="H958" t="s">
        <v>2856</v>
      </c>
      <c r="I958" t="s">
        <v>5465</v>
      </c>
      <c r="J958" t="s">
        <v>5466</v>
      </c>
      <c r="K958" t="s">
        <v>23</v>
      </c>
      <c r="L958" s="2">
        <v>1.7500000000000002E-2</v>
      </c>
      <c r="M958" t="s">
        <v>5462</v>
      </c>
      <c r="N958" t="s">
        <v>28</v>
      </c>
      <c r="O958" t="s">
        <v>5463</v>
      </c>
      <c r="P958" s="1">
        <v>91755</v>
      </c>
      <c r="Q958" s="1">
        <v>91755</v>
      </c>
      <c r="R958" s="1">
        <v>91755</v>
      </c>
      <c r="S958" t="s">
        <v>3600</v>
      </c>
      <c r="T958" t="s">
        <v>5467</v>
      </c>
      <c r="U958" t="s">
        <v>5467</v>
      </c>
      <c r="V958" t="s">
        <v>5468</v>
      </c>
      <c r="W958" t="s">
        <v>2031</v>
      </c>
      <c r="X958" t="s">
        <v>2031</v>
      </c>
      <c r="Y958" t="s">
        <v>2031</v>
      </c>
      <c r="Z958" t="s">
        <v>2031</v>
      </c>
      <c r="AA958" t="s">
        <v>5469</v>
      </c>
      <c r="AB958" s="2">
        <v>-1.34E-2</v>
      </c>
      <c r="AC958" s="2">
        <v>-1.8200000000000001E-2</v>
      </c>
      <c r="AD958" s="2">
        <v>3.8999999999999998E-3</v>
      </c>
      <c r="AE958" s="2">
        <v>1.78E-2</v>
      </c>
      <c r="AF958" s="2">
        <v>1.55E-2</v>
      </c>
      <c r="AG958" s="2">
        <v>-0.1613</v>
      </c>
      <c r="AH958" t="s">
        <v>5464</v>
      </c>
      <c r="AI958" t="s">
        <v>130</v>
      </c>
      <c r="AJ958" t="s">
        <v>131</v>
      </c>
      <c r="AK958" t="s">
        <v>40</v>
      </c>
      <c r="AL958">
        <v>100</v>
      </c>
      <c r="AM958" t="s">
        <v>41</v>
      </c>
      <c r="AN958" t="s">
        <v>42</v>
      </c>
      <c r="AO958" t="s">
        <v>5463</v>
      </c>
      <c r="AP958" t="s">
        <v>5470</v>
      </c>
      <c r="AQ958" t="s">
        <v>5470</v>
      </c>
      <c r="AR958" t="s">
        <v>48</v>
      </c>
      <c r="AS958" t="s">
        <v>48</v>
      </c>
    </row>
    <row r="959" spans="1:54" x14ac:dyDescent="0.4">
      <c r="A959" t="s">
        <v>9</v>
      </c>
      <c r="B959" t="s">
        <v>10</v>
      </c>
      <c r="C959" s="1">
        <v>98881</v>
      </c>
      <c r="D959" t="s">
        <v>11</v>
      </c>
      <c r="E959" s="2">
        <v>-1E-4</v>
      </c>
      <c r="F959" t="s">
        <v>12</v>
      </c>
      <c r="G959" s="4">
        <f>-0.005 / -0.01%</f>
        <v>50</v>
      </c>
      <c r="H959" s="1">
        <v>98881</v>
      </c>
      <c r="I959" t="s">
        <v>5460</v>
      </c>
      <c r="J959" t="s">
        <v>5461</v>
      </c>
      <c r="K959" t="s">
        <v>23</v>
      </c>
      <c r="L959" s="2">
        <v>0.01</v>
      </c>
      <c r="M959" t="s">
        <v>5462</v>
      </c>
      <c r="N959" t="s">
        <v>28</v>
      </c>
      <c r="O959" t="s">
        <v>5463</v>
      </c>
      <c r="P959" s="1">
        <v>98754</v>
      </c>
      <c r="Q959" t="s">
        <v>5237</v>
      </c>
      <c r="R959" t="s">
        <v>2428</v>
      </c>
      <c r="S959" s="1">
        <v>95988</v>
      </c>
      <c r="T959" t="s">
        <v>1429</v>
      </c>
      <c r="U959" t="s">
        <v>1429</v>
      </c>
      <c r="V959" s="1">
        <v>98888</v>
      </c>
      <c r="W959" s="1">
        <v>98888</v>
      </c>
      <c r="X959" s="1">
        <v>98888</v>
      </c>
      <c r="Y959" s="1">
        <v>98888</v>
      </c>
      <c r="Z959" s="1">
        <v>98888</v>
      </c>
      <c r="AA959" t="s">
        <v>2738</v>
      </c>
      <c r="AB959" s="2">
        <v>1.4E-3</v>
      </c>
      <c r="AC959" s="2">
        <v>4.1999999999999997E-3</v>
      </c>
      <c r="AD959" s="2">
        <v>1.7399999999999999E-2</v>
      </c>
      <c r="AE959" s="2">
        <v>2.7699999999999999E-2</v>
      </c>
      <c r="AF959" s="2">
        <v>0.04</v>
      </c>
      <c r="AG959" s="2">
        <v>-4.0399999999999998E-2</v>
      </c>
      <c r="AH959" t="s">
        <v>5464</v>
      </c>
      <c r="AI959" t="s">
        <v>130</v>
      </c>
      <c r="AJ959" t="s">
        <v>131</v>
      </c>
      <c r="AK959" t="s">
        <v>40</v>
      </c>
      <c r="AL959">
        <v>100</v>
      </c>
      <c r="AM959" t="s">
        <v>41</v>
      </c>
      <c r="AN959" t="s">
        <v>42</v>
      </c>
      <c r="AO959" t="s">
        <v>5463</v>
      </c>
      <c r="AP959" t="s">
        <v>357</v>
      </c>
      <c r="AQ959" t="s">
        <v>357</v>
      </c>
      <c r="AR959" t="s">
        <v>48</v>
      </c>
      <c r="AS959" t="s">
        <v>48</v>
      </c>
    </row>
    <row r="960" spans="1:54" x14ac:dyDescent="0.4">
      <c r="A960" t="s">
        <v>4453</v>
      </c>
      <c r="B960" t="s">
        <v>10</v>
      </c>
      <c r="C960" t="s">
        <v>865</v>
      </c>
      <c r="D960" t="s">
        <v>11</v>
      </c>
      <c r="E960" s="2">
        <v>4.0000000000000002E-4</v>
      </c>
      <c r="F960" t="s">
        <v>1057</v>
      </c>
      <c r="G960" s="4" t="s">
        <v>3547</v>
      </c>
      <c r="H960" t="s">
        <v>865</v>
      </c>
      <c r="I960" t="s">
        <v>4944</v>
      </c>
      <c r="J960" t="s">
        <v>4945</v>
      </c>
      <c r="K960" t="s">
        <v>23</v>
      </c>
      <c r="L960" s="2">
        <v>4.65E-2</v>
      </c>
      <c r="M960" t="s">
        <v>4946</v>
      </c>
      <c r="N960" t="s">
        <v>121</v>
      </c>
      <c r="O960" t="s">
        <v>267</v>
      </c>
      <c r="P960" t="s">
        <v>1456</v>
      </c>
      <c r="Q960" t="s">
        <v>1456</v>
      </c>
      <c r="R960" t="s">
        <v>219</v>
      </c>
      <c r="S960" t="s">
        <v>669</v>
      </c>
      <c r="T960" t="s">
        <v>4947</v>
      </c>
      <c r="U960" t="s">
        <v>4948</v>
      </c>
      <c r="V960" t="s">
        <v>31</v>
      </c>
      <c r="W960" t="s">
        <v>1472</v>
      </c>
      <c r="X960" t="s">
        <v>98</v>
      </c>
      <c r="Y960" t="s">
        <v>98</v>
      </c>
      <c r="Z960" t="s">
        <v>98</v>
      </c>
      <c r="AA960" t="s">
        <v>3102</v>
      </c>
      <c r="AB960" s="2">
        <v>1.9E-3</v>
      </c>
      <c r="AC960" s="2">
        <v>-3.7000000000000002E-3</v>
      </c>
      <c r="AD960" s="2">
        <v>5.5999999999999999E-3</v>
      </c>
      <c r="AE960" s="2">
        <v>9.1999999999999998E-3</v>
      </c>
      <c r="AF960" s="2">
        <v>1.0699999999999999E-2</v>
      </c>
      <c r="AG960" s="2">
        <v>-9.8599999999999993E-2</v>
      </c>
      <c r="AH960" t="s">
        <v>4949</v>
      </c>
      <c r="AI960" t="s">
        <v>130</v>
      </c>
      <c r="AJ960" t="s">
        <v>131</v>
      </c>
      <c r="AK960" t="s">
        <v>40</v>
      </c>
      <c r="AL960">
        <v>2</v>
      </c>
      <c r="AM960" t="s">
        <v>41</v>
      </c>
      <c r="AN960" t="s">
        <v>42</v>
      </c>
      <c r="AO960" t="s">
        <v>267</v>
      </c>
      <c r="AP960" t="s">
        <v>225</v>
      </c>
      <c r="AQ960" t="s">
        <v>225</v>
      </c>
      <c r="AR960" t="s">
        <v>133</v>
      </c>
      <c r="AS960" t="s">
        <v>133</v>
      </c>
    </row>
    <row r="961" spans="1:45" x14ac:dyDescent="0.4">
      <c r="A961" t="s">
        <v>961</v>
      </c>
      <c r="B961" t="s">
        <v>10</v>
      </c>
      <c r="C961" s="1">
        <v>100366</v>
      </c>
      <c r="D961" t="s">
        <v>11</v>
      </c>
      <c r="E961" s="2">
        <v>-6.9999999999999999E-4</v>
      </c>
      <c r="F961" t="s">
        <v>12</v>
      </c>
      <c r="G961" s="4">
        <f>-0.074 / -0.07%</f>
        <v>105.71428571428569</v>
      </c>
      <c r="H961" s="1">
        <v>100366</v>
      </c>
      <c r="I961" t="s">
        <v>4971</v>
      </c>
      <c r="J961" t="s">
        <v>4972</v>
      </c>
      <c r="K961" t="s">
        <v>23</v>
      </c>
      <c r="L961" s="2">
        <v>5.6250000000000001E-2</v>
      </c>
      <c r="M961" t="s">
        <v>4973</v>
      </c>
      <c r="N961" t="s">
        <v>28</v>
      </c>
      <c r="O961" t="s">
        <v>4974</v>
      </c>
      <c r="P961" t="s">
        <v>998</v>
      </c>
      <c r="Q961" t="s">
        <v>998</v>
      </c>
      <c r="R961" t="s">
        <v>3823</v>
      </c>
      <c r="S961" t="s">
        <v>3823</v>
      </c>
      <c r="T961" s="1">
        <v>97685</v>
      </c>
      <c r="U961" t="s">
        <v>4724</v>
      </c>
      <c r="V961" s="1">
        <v>100659</v>
      </c>
      <c r="W961" s="1">
        <v>100659</v>
      </c>
      <c r="X961" t="s">
        <v>1369</v>
      </c>
      <c r="Y961" t="s">
        <v>377</v>
      </c>
      <c r="Z961" s="1">
        <v>104855</v>
      </c>
      <c r="AA961" s="1">
        <v>114785</v>
      </c>
      <c r="AB961" s="2">
        <v>-4.0000000000000002E-4</v>
      </c>
      <c r="AC961" s="2">
        <v>-1.6999999999999999E-3</v>
      </c>
      <c r="AD961" s="2">
        <v>1E-3</v>
      </c>
      <c r="AE961" s="2">
        <v>-7.7000000000000002E-3</v>
      </c>
      <c r="AF961" s="2">
        <v>-3.3700000000000001E-2</v>
      </c>
      <c r="AG961" s="2">
        <v>-0.12479999999999999</v>
      </c>
      <c r="AH961" t="s">
        <v>4975</v>
      </c>
      <c r="AI961" t="s">
        <v>130</v>
      </c>
      <c r="AJ961" t="s">
        <v>131</v>
      </c>
      <c r="AK961" t="s">
        <v>40</v>
      </c>
      <c r="AL961">
        <v>1</v>
      </c>
      <c r="AM961" t="s">
        <v>41</v>
      </c>
      <c r="AN961" t="s">
        <v>42</v>
      </c>
      <c r="AO961" t="s">
        <v>4974</v>
      </c>
      <c r="AP961" t="s">
        <v>1338</v>
      </c>
      <c r="AQ961" t="s">
        <v>4976</v>
      </c>
      <c r="AR961" t="s">
        <v>2350</v>
      </c>
      <c r="AS961" t="s">
        <v>2350</v>
      </c>
    </row>
    <row r="962" spans="1:45" x14ac:dyDescent="0.4">
      <c r="A962" t="s">
        <v>76</v>
      </c>
      <c r="B962" t="s">
        <v>10</v>
      </c>
      <c r="C962" t="s">
        <v>576</v>
      </c>
      <c r="D962" t="s">
        <v>11</v>
      </c>
      <c r="E962" s="2">
        <v>-1.6999999999999999E-3</v>
      </c>
      <c r="F962" t="s">
        <v>12</v>
      </c>
      <c r="G962" s="4">
        <f>-0.17 / -0.17%</f>
        <v>100</v>
      </c>
      <c r="H962" t="s">
        <v>576</v>
      </c>
      <c r="I962" t="s">
        <v>577</v>
      </c>
      <c r="J962" t="s">
        <v>578</v>
      </c>
      <c r="K962" t="s">
        <v>23</v>
      </c>
      <c r="L962" s="2">
        <v>3.7499999999999999E-2</v>
      </c>
      <c r="M962" t="s">
        <v>579</v>
      </c>
      <c r="N962" t="s">
        <v>28</v>
      </c>
      <c r="O962" t="s">
        <v>580</v>
      </c>
      <c r="P962" t="s">
        <v>168</v>
      </c>
      <c r="Q962" t="s">
        <v>168</v>
      </c>
      <c r="R962" t="s">
        <v>168</v>
      </c>
      <c r="S962" t="s">
        <v>581</v>
      </c>
      <c r="T962" t="s">
        <v>582</v>
      </c>
      <c r="U962" t="s">
        <v>582</v>
      </c>
      <c r="V962" t="s">
        <v>583</v>
      </c>
      <c r="W962" t="s">
        <v>584</v>
      </c>
      <c r="X962" t="s">
        <v>584</v>
      </c>
      <c r="Y962" t="s">
        <v>584</v>
      </c>
      <c r="Z962" t="s">
        <v>584</v>
      </c>
      <c r="AA962" t="s">
        <v>584</v>
      </c>
      <c r="AB962" s="2">
        <v>-1.4200000000000001E-2</v>
      </c>
      <c r="AC962" s="2">
        <v>-1.1299999999999999E-2</v>
      </c>
      <c r="AD962" s="2">
        <v>8.0000000000000004E-4</v>
      </c>
      <c r="AE962" s="2">
        <v>1.15E-2</v>
      </c>
      <c r="AF962" s="2">
        <v>1.01E-2</v>
      </c>
      <c r="AG962" s="2">
        <v>1.8100000000000002E-2</v>
      </c>
      <c r="AH962" t="s">
        <v>585</v>
      </c>
      <c r="AI962" t="s">
        <v>130</v>
      </c>
      <c r="AJ962" t="s">
        <v>131</v>
      </c>
      <c r="AK962" t="s">
        <v>40</v>
      </c>
      <c r="AL962">
        <v>100</v>
      </c>
      <c r="AM962" t="s">
        <v>41</v>
      </c>
      <c r="AN962" t="s">
        <v>42</v>
      </c>
      <c r="AO962" t="s">
        <v>580</v>
      </c>
      <c r="AP962" t="s">
        <v>333</v>
      </c>
      <c r="AQ962" t="s">
        <v>333</v>
      </c>
      <c r="AR962" t="s">
        <v>48</v>
      </c>
      <c r="AS962" t="s">
        <v>48</v>
      </c>
    </row>
    <row r="963" spans="1:45" x14ac:dyDescent="0.4">
      <c r="A963" t="s">
        <v>1450</v>
      </c>
      <c r="B963" t="s">
        <v>10</v>
      </c>
      <c r="C963" t="s">
        <v>1386</v>
      </c>
      <c r="D963" t="s">
        <v>11</v>
      </c>
      <c r="E963" s="2">
        <v>-2.0000000000000001E-4</v>
      </c>
      <c r="F963" t="s">
        <v>12</v>
      </c>
      <c r="G963" s="4">
        <f>-0.02 / -0.02%</f>
        <v>100</v>
      </c>
      <c r="H963" t="s">
        <v>1386</v>
      </c>
      <c r="I963" t="s">
        <v>4231</v>
      </c>
      <c r="J963" t="s">
        <v>4232</v>
      </c>
      <c r="K963" t="s">
        <v>23</v>
      </c>
      <c r="L963" s="2">
        <v>1.7500000000000002E-2</v>
      </c>
      <c r="M963" t="s">
        <v>4233</v>
      </c>
      <c r="N963" t="s">
        <v>28</v>
      </c>
      <c r="O963" t="s">
        <v>4234</v>
      </c>
      <c r="P963" t="s">
        <v>2617</v>
      </c>
      <c r="Q963" t="s">
        <v>1842</v>
      </c>
      <c r="R963" t="s">
        <v>4235</v>
      </c>
      <c r="S963" t="s">
        <v>2701</v>
      </c>
      <c r="T963" t="s">
        <v>2839</v>
      </c>
      <c r="U963" t="s">
        <v>939</v>
      </c>
      <c r="V963" t="s">
        <v>4236</v>
      </c>
      <c r="W963" t="s">
        <v>4236</v>
      </c>
      <c r="X963" t="s">
        <v>4236</v>
      </c>
      <c r="Y963" t="s">
        <v>4236</v>
      </c>
      <c r="Z963" t="s">
        <v>4236</v>
      </c>
      <c r="AA963" s="1">
        <v>104295</v>
      </c>
      <c r="AB963" s="2">
        <v>9.1999999999999998E-3</v>
      </c>
      <c r="AC963" s="2">
        <v>1.1299999999999999E-2</v>
      </c>
      <c r="AD963" s="2">
        <v>1.89E-2</v>
      </c>
      <c r="AE963" s="2">
        <v>3.3300000000000003E-2</v>
      </c>
      <c r="AF963" s="2">
        <v>3.3599999999999998E-2</v>
      </c>
      <c r="AG963" s="2">
        <v>-4.8899999999999999E-2</v>
      </c>
      <c r="AH963" t="s">
        <v>4237</v>
      </c>
      <c r="AI963" t="s">
        <v>130</v>
      </c>
      <c r="AJ963" t="s">
        <v>131</v>
      </c>
      <c r="AK963" t="s">
        <v>40</v>
      </c>
      <c r="AL963">
        <v>500</v>
      </c>
      <c r="AM963" t="s">
        <v>41</v>
      </c>
      <c r="AN963" t="s">
        <v>42</v>
      </c>
      <c r="AO963" t="s">
        <v>4234</v>
      </c>
      <c r="AP963" t="s">
        <v>225</v>
      </c>
      <c r="AQ963" t="s">
        <v>225</v>
      </c>
      <c r="AR963" t="s">
        <v>48</v>
      </c>
      <c r="AS963" t="s">
        <v>48</v>
      </c>
    </row>
    <row r="964" spans="1:45" x14ac:dyDescent="0.4">
      <c r="A964" t="s">
        <v>76</v>
      </c>
      <c r="B964" t="s">
        <v>10</v>
      </c>
      <c r="C964" t="s">
        <v>1834</v>
      </c>
      <c r="D964" t="s">
        <v>11</v>
      </c>
      <c r="E964" s="2">
        <v>-2.0999999999999999E-3</v>
      </c>
      <c r="F964" t="s">
        <v>12</v>
      </c>
      <c r="G964" s="4">
        <f>-0.21 / -0.21%</f>
        <v>100</v>
      </c>
      <c r="H964" t="s">
        <v>1834</v>
      </c>
      <c r="I964" t="s">
        <v>2187</v>
      </c>
      <c r="J964" t="s">
        <v>2188</v>
      </c>
      <c r="K964" t="s">
        <v>23</v>
      </c>
      <c r="L964" s="2">
        <v>3.875E-2</v>
      </c>
      <c r="M964" t="s">
        <v>645</v>
      </c>
      <c r="N964" t="s">
        <v>28</v>
      </c>
      <c r="O964" t="s">
        <v>380</v>
      </c>
      <c r="P964" t="s">
        <v>362</v>
      </c>
      <c r="Q964" t="s">
        <v>362</v>
      </c>
      <c r="R964" t="s">
        <v>362</v>
      </c>
      <c r="S964" t="s">
        <v>2189</v>
      </c>
      <c r="T964" t="s">
        <v>2189</v>
      </c>
      <c r="U964" t="s">
        <v>2189</v>
      </c>
      <c r="V964" t="s">
        <v>2190</v>
      </c>
      <c r="W964" s="1">
        <v>102675</v>
      </c>
      <c r="X964" s="1">
        <v>102675</v>
      </c>
      <c r="Y964" s="1">
        <v>102675</v>
      </c>
      <c r="Z964" s="1">
        <v>102675</v>
      </c>
      <c r="AA964" s="1">
        <v>102675</v>
      </c>
      <c r="AB964" s="2">
        <v>-5.3E-3</v>
      </c>
      <c r="AC964" s="2">
        <v>-3.3999999999999998E-3</v>
      </c>
      <c r="AD964" s="2">
        <v>2.0999999999999999E-3</v>
      </c>
      <c r="AE964" s="2">
        <v>7.7000000000000002E-3</v>
      </c>
      <c r="AF964" s="2">
        <v>7.7000000000000002E-3</v>
      </c>
      <c r="AG964" s="2">
        <v>7.7000000000000002E-3</v>
      </c>
      <c r="AH964" t="s">
        <v>900</v>
      </c>
      <c r="AI964" t="s">
        <v>232</v>
      </c>
      <c r="AJ964" t="s">
        <v>131</v>
      </c>
      <c r="AK964" t="s">
        <v>40</v>
      </c>
      <c r="AL964">
        <v>1</v>
      </c>
      <c r="AM964" t="s">
        <v>41</v>
      </c>
      <c r="AN964" t="s">
        <v>42</v>
      </c>
      <c r="AO964" t="s">
        <v>380</v>
      </c>
      <c r="AP964" t="s">
        <v>357</v>
      </c>
      <c r="AQ964" t="s">
        <v>357</v>
      </c>
      <c r="AR964" t="s">
        <v>48</v>
      </c>
      <c r="AS964" t="s">
        <v>48</v>
      </c>
    </row>
    <row r="965" spans="1:45" x14ac:dyDescent="0.4">
      <c r="A965" t="s">
        <v>115</v>
      </c>
      <c r="B965" t="s">
        <v>10</v>
      </c>
      <c r="C965" s="1">
        <v>99895</v>
      </c>
      <c r="D965" t="s">
        <v>11</v>
      </c>
      <c r="E965" s="2">
        <v>-1E-3</v>
      </c>
      <c r="F965" t="s">
        <v>12</v>
      </c>
      <c r="G965" s="4">
        <f>-0.1 / -0.1%</f>
        <v>100</v>
      </c>
      <c r="H965" s="1">
        <v>99895</v>
      </c>
      <c r="I965" t="s">
        <v>1105</v>
      </c>
      <c r="J965" t="s">
        <v>1106</v>
      </c>
      <c r="K965" t="s">
        <v>23</v>
      </c>
      <c r="L965" s="2">
        <v>3.3750000000000002E-2</v>
      </c>
      <c r="M965" t="s">
        <v>1107</v>
      </c>
      <c r="N965" t="s">
        <v>28</v>
      </c>
      <c r="O965" t="s">
        <v>1108</v>
      </c>
      <c r="P965" t="s">
        <v>1109</v>
      </c>
      <c r="Q965" t="s">
        <v>1109</v>
      </c>
      <c r="R965" t="s">
        <v>1109</v>
      </c>
      <c r="S965" s="1">
        <v>98745</v>
      </c>
      <c r="T965" t="s">
        <v>1110</v>
      </c>
      <c r="U965" t="s">
        <v>1111</v>
      </c>
      <c r="V965" t="s">
        <v>1112</v>
      </c>
      <c r="W965" s="1">
        <v>101275</v>
      </c>
      <c r="X965" s="1">
        <v>101335</v>
      </c>
      <c r="Y965" s="1">
        <v>101335</v>
      </c>
      <c r="Z965" t="s">
        <v>1113</v>
      </c>
      <c r="AA965" t="s">
        <v>1114</v>
      </c>
      <c r="AB965" s="2">
        <v>-3.8E-3</v>
      </c>
      <c r="AC965" s="2">
        <v>-1.09E-2</v>
      </c>
      <c r="AD965" s="2">
        <v>-4.4000000000000003E-3</v>
      </c>
      <c r="AE965" s="2">
        <v>2.2000000000000001E-3</v>
      </c>
      <c r="AF965" s="2">
        <v>3.1399999999999997E-2</v>
      </c>
      <c r="AG965" s="2">
        <v>-0.12889999999999999</v>
      </c>
      <c r="AH965" t="s">
        <v>900</v>
      </c>
      <c r="AI965" t="s">
        <v>232</v>
      </c>
      <c r="AJ965" t="s">
        <v>131</v>
      </c>
      <c r="AK965" t="s">
        <v>40</v>
      </c>
      <c r="AL965">
        <v>1</v>
      </c>
      <c r="AM965" t="s">
        <v>41</v>
      </c>
      <c r="AN965" t="s">
        <v>42</v>
      </c>
      <c r="AO965" t="s">
        <v>1108</v>
      </c>
      <c r="AP965" t="s">
        <v>602</v>
      </c>
      <c r="AQ965" t="s">
        <v>602</v>
      </c>
      <c r="AR965" t="s">
        <v>48</v>
      </c>
      <c r="AS965" t="s">
        <v>48</v>
      </c>
    </row>
    <row r="966" spans="1:45" x14ac:dyDescent="0.4">
      <c r="A966" t="s">
        <v>104</v>
      </c>
      <c r="B966" t="s">
        <v>10</v>
      </c>
      <c r="C966" t="s">
        <v>891</v>
      </c>
      <c r="D966" t="s">
        <v>11</v>
      </c>
      <c r="E966" s="2">
        <v>6.9999999999999999E-4</v>
      </c>
      <c r="F966" t="s">
        <v>12</v>
      </c>
      <c r="G966" s="4" t="s">
        <v>892</v>
      </c>
      <c r="H966" t="s">
        <v>891</v>
      </c>
      <c r="I966" t="s">
        <v>893</v>
      </c>
      <c r="J966" t="s">
        <v>894</v>
      </c>
      <c r="K966" t="s">
        <v>23</v>
      </c>
      <c r="L966" s="2">
        <v>2.2499999999999999E-2</v>
      </c>
      <c r="M966" t="s">
        <v>895</v>
      </c>
      <c r="N966" t="s">
        <v>28</v>
      </c>
      <c r="O966" t="s">
        <v>896</v>
      </c>
      <c r="P966" s="1">
        <v>96835</v>
      </c>
      <c r="Q966" s="1">
        <v>96835</v>
      </c>
      <c r="R966" s="1">
        <v>96835</v>
      </c>
      <c r="S966" t="s">
        <v>897</v>
      </c>
      <c r="T966" s="1">
        <v>92005</v>
      </c>
      <c r="U966" s="1">
        <v>90145</v>
      </c>
      <c r="V966" t="s">
        <v>898</v>
      </c>
      <c r="W966" t="s">
        <v>898</v>
      </c>
      <c r="X966" t="s">
        <v>898</v>
      </c>
      <c r="Y966" t="s">
        <v>898</v>
      </c>
      <c r="Z966" t="s">
        <v>898</v>
      </c>
      <c r="AA966" t="s">
        <v>899</v>
      </c>
      <c r="AB966" s="2">
        <v>6.9999999999999999E-4</v>
      </c>
      <c r="AC966" s="2">
        <v>-2.3999999999999998E-3</v>
      </c>
      <c r="AD966" s="2">
        <v>6.4999999999999997E-3</v>
      </c>
      <c r="AE966" s="2">
        <v>1.14E-2</v>
      </c>
      <c r="AF966" s="2">
        <v>3.8100000000000002E-2</v>
      </c>
      <c r="AG966" s="2">
        <v>-9.3899999999999997E-2</v>
      </c>
      <c r="AH966" t="s">
        <v>900</v>
      </c>
      <c r="AI966" t="s">
        <v>232</v>
      </c>
      <c r="AJ966" t="s">
        <v>131</v>
      </c>
      <c r="AK966" t="s">
        <v>40</v>
      </c>
      <c r="AL966">
        <v>1</v>
      </c>
      <c r="AM966" t="s">
        <v>41</v>
      </c>
      <c r="AN966" t="s">
        <v>42</v>
      </c>
      <c r="AO966" t="s">
        <v>896</v>
      </c>
      <c r="AP966" t="s">
        <v>333</v>
      </c>
      <c r="AQ966" t="s">
        <v>333</v>
      </c>
      <c r="AR966" t="s">
        <v>48</v>
      </c>
      <c r="AS966" t="s">
        <v>48</v>
      </c>
    </row>
    <row r="967" spans="1:45" x14ac:dyDescent="0.4">
      <c r="A967" t="s">
        <v>1450</v>
      </c>
      <c r="B967" t="s">
        <v>10</v>
      </c>
      <c r="C967" t="s">
        <v>1451</v>
      </c>
      <c r="D967" t="s">
        <v>11</v>
      </c>
      <c r="E967" s="2">
        <v>-5.0000000000000001E-4</v>
      </c>
      <c r="F967" t="s">
        <v>12</v>
      </c>
      <c r="G967" s="4">
        <f>-0.05 / -0.05%</f>
        <v>100</v>
      </c>
      <c r="H967" t="s">
        <v>1451</v>
      </c>
      <c r="I967" t="s">
        <v>1452</v>
      </c>
      <c r="J967" t="s">
        <v>1453</v>
      </c>
      <c r="K967" t="s">
        <v>23</v>
      </c>
      <c r="L967" s="2">
        <v>2.2499999999999999E-2</v>
      </c>
      <c r="M967" t="s">
        <v>1454</v>
      </c>
      <c r="N967" t="s">
        <v>28</v>
      </c>
      <c r="O967" t="s">
        <v>1455</v>
      </c>
      <c r="P967" t="s">
        <v>886</v>
      </c>
      <c r="Q967" s="1">
        <v>98055</v>
      </c>
      <c r="R967" s="1">
        <v>97515</v>
      </c>
      <c r="S967" s="1">
        <v>96785</v>
      </c>
      <c r="T967" s="1">
        <v>94435</v>
      </c>
      <c r="U967" s="1">
        <v>93115</v>
      </c>
      <c r="V967" t="s">
        <v>1456</v>
      </c>
      <c r="W967" t="s">
        <v>1457</v>
      </c>
      <c r="X967" t="s">
        <v>1457</v>
      </c>
      <c r="Y967" t="s">
        <v>1457</v>
      </c>
      <c r="Z967" t="s">
        <v>1457</v>
      </c>
      <c r="AA967" s="1">
        <v>107575</v>
      </c>
      <c r="AB967" s="2">
        <v>-1.1000000000000001E-3</v>
      </c>
      <c r="AC967" s="2">
        <v>8.0000000000000004E-4</v>
      </c>
      <c r="AD967" s="2">
        <v>1.0200000000000001E-2</v>
      </c>
      <c r="AE967" s="2">
        <v>1.03E-2</v>
      </c>
      <c r="AF967" s="2">
        <v>1.8200000000000001E-2</v>
      </c>
      <c r="AG967" s="2">
        <v>-8.3699999999999997E-2</v>
      </c>
      <c r="AH967" t="s">
        <v>900</v>
      </c>
      <c r="AI967" t="s">
        <v>232</v>
      </c>
      <c r="AJ967" t="s">
        <v>131</v>
      </c>
      <c r="AK967" t="s">
        <v>40</v>
      </c>
      <c r="AL967">
        <v>1</v>
      </c>
      <c r="AM967" t="s">
        <v>41</v>
      </c>
      <c r="AN967" t="s">
        <v>42</v>
      </c>
      <c r="AO967" t="s">
        <v>1455</v>
      </c>
      <c r="AP967" t="s">
        <v>357</v>
      </c>
      <c r="AQ967" t="s">
        <v>357</v>
      </c>
      <c r="AR967" t="s">
        <v>48</v>
      </c>
      <c r="AS967" t="s">
        <v>48</v>
      </c>
    </row>
    <row r="968" spans="1:45" x14ac:dyDescent="0.4">
      <c r="A968" t="s">
        <v>5815</v>
      </c>
      <c r="B968" t="s">
        <v>10</v>
      </c>
      <c r="C968" s="1">
        <v>102965</v>
      </c>
      <c r="D968" t="s">
        <v>11</v>
      </c>
      <c r="E968" s="2">
        <v>2.9999999999999997E-4</v>
      </c>
      <c r="F968" t="s">
        <v>12</v>
      </c>
      <c r="G968" s="4" t="s">
        <v>5816</v>
      </c>
      <c r="H968" s="1">
        <v>102965</v>
      </c>
      <c r="I968" t="s">
        <v>5817</v>
      </c>
      <c r="J968" t="s">
        <v>5818</v>
      </c>
      <c r="K968" t="s">
        <v>23</v>
      </c>
      <c r="L968" s="2">
        <v>4.3749999999999997E-2</v>
      </c>
      <c r="M968" t="s">
        <v>1920</v>
      </c>
      <c r="N968" t="s">
        <v>28</v>
      </c>
      <c r="O968" t="s">
        <v>1921</v>
      </c>
      <c r="P968" t="s">
        <v>4062</v>
      </c>
      <c r="Q968" t="s">
        <v>4062</v>
      </c>
      <c r="R968" t="s">
        <v>4062</v>
      </c>
      <c r="S968" t="s">
        <v>4062</v>
      </c>
      <c r="T968" t="s">
        <v>5819</v>
      </c>
      <c r="U968" t="s">
        <v>5819</v>
      </c>
      <c r="V968" s="1">
        <v>103265</v>
      </c>
      <c r="W968" s="1">
        <v>104595</v>
      </c>
      <c r="X968" s="1">
        <v>104595</v>
      </c>
      <c r="Y968" s="1">
        <v>104595</v>
      </c>
      <c r="Z968" t="s">
        <v>1269</v>
      </c>
      <c r="AA968" t="s">
        <v>1269</v>
      </c>
      <c r="AB968" s="2">
        <v>-5.3E-3</v>
      </c>
      <c r="AC968" s="2">
        <v>-6.1000000000000004E-3</v>
      </c>
      <c r="AD968" s="2">
        <v>-1.6000000000000001E-3</v>
      </c>
      <c r="AE968" s="2">
        <v>8.0000000000000004E-4</v>
      </c>
      <c r="AF968" s="2">
        <v>2.5999999999999999E-2</v>
      </c>
      <c r="AG968" s="2">
        <v>3.2099999999999997E-2</v>
      </c>
      <c r="AH968" t="s">
        <v>1961</v>
      </c>
      <c r="AI968" t="s">
        <v>130</v>
      </c>
      <c r="AJ968" t="s">
        <v>131</v>
      </c>
      <c r="AK968" t="s">
        <v>40</v>
      </c>
      <c r="AL968">
        <v>100</v>
      </c>
      <c r="AM968" t="s">
        <v>41</v>
      </c>
      <c r="AN968" t="s">
        <v>42</v>
      </c>
      <c r="AO968" t="s">
        <v>1921</v>
      </c>
      <c r="AP968" t="s">
        <v>357</v>
      </c>
      <c r="AQ968" t="s">
        <v>357</v>
      </c>
      <c r="AR968" t="s">
        <v>48</v>
      </c>
      <c r="AS968" t="s">
        <v>48</v>
      </c>
    </row>
    <row r="969" spans="1:45" x14ac:dyDescent="0.4">
      <c r="A969" t="s">
        <v>104</v>
      </c>
      <c r="B969" t="s">
        <v>10</v>
      </c>
      <c r="C969" t="s">
        <v>1953</v>
      </c>
      <c r="D969" t="s">
        <v>11</v>
      </c>
      <c r="E969" s="2">
        <v>-1.6999999999999999E-3</v>
      </c>
      <c r="F969" t="s">
        <v>12</v>
      </c>
      <c r="G969" s="4">
        <f>-0.16 / -0.17%</f>
        <v>94.117647058823522</v>
      </c>
      <c r="H969" t="s">
        <v>1953</v>
      </c>
      <c r="I969" t="s">
        <v>1954</v>
      </c>
      <c r="J969" t="s">
        <v>1955</v>
      </c>
      <c r="K969" t="s">
        <v>23</v>
      </c>
      <c r="L969" s="2">
        <v>1.6250000000000001E-2</v>
      </c>
      <c r="M969" t="s">
        <v>1956</v>
      </c>
      <c r="N969" t="s">
        <v>28</v>
      </c>
      <c r="O969" t="s">
        <v>30</v>
      </c>
      <c r="P969" s="1">
        <v>90205</v>
      </c>
      <c r="Q969" s="1">
        <v>90205</v>
      </c>
      <c r="R969" t="s">
        <v>939</v>
      </c>
      <c r="S969" t="s">
        <v>1957</v>
      </c>
      <c r="T969" t="s">
        <v>1958</v>
      </c>
      <c r="U969" t="s">
        <v>1958</v>
      </c>
      <c r="V969" t="s">
        <v>1912</v>
      </c>
      <c r="W969" t="s">
        <v>1959</v>
      </c>
      <c r="X969" t="s">
        <v>1959</v>
      </c>
      <c r="Y969" t="s">
        <v>1959</v>
      </c>
      <c r="Z969" t="s">
        <v>1959</v>
      </c>
      <c r="AA969" t="s">
        <v>1960</v>
      </c>
      <c r="AB969" s="2">
        <v>8.0000000000000004E-4</v>
      </c>
      <c r="AC969" s="2">
        <v>-8.0000000000000004E-4</v>
      </c>
      <c r="AD969" s="2">
        <v>1.44E-2</v>
      </c>
      <c r="AE969" s="2">
        <v>2.7099999999999999E-2</v>
      </c>
      <c r="AF969" s="2">
        <v>3.9800000000000002E-2</v>
      </c>
      <c r="AG969" s="2">
        <v>-0.13439999999999999</v>
      </c>
      <c r="AH969" t="s">
        <v>1961</v>
      </c>
      <c r="AI969" t="s">
        <v>130</v>
      </c>
      <c r="AJ969" t="s">
        <v>131</v>
      </c>
      <c r="AK969" t="s">
        <v>40</v>
      </c>
      <c r="AL969">
        <v>1</v>
      </c>
      <c r="AM969" t="s">
        <v>41</v>
      </c>
      <c r="AN969" t="s">
        <v>42</v>
      </c>
      <c r="AO969" t="s">
        <v>30</v>
      </c>
      <c r="AP969" t="s">
        <v>407</v>
      </c>
      <c r="AQ969" t="s">
        <v>407</v>
      </c>
      <c r="AR969" t="s">
        <v>48</v>
      </c>
      <c r="AS969" t="s">
        <v>48</v>
      </c>
    </row>
    <row r="970" spans="1:45" x14ac:dyDescent="0.4">
      <c r="A970" t="s">
        <v>349</v>
      </c>
      <c r="B970" t="s">
        <v>10</v>
      </c>
      <c r="C970" s="1">
        <v>97598</v>
      </c>
      <c r="D970" t="s">
        <v>11</v>
      </c>
      <c r="E970" s="2">
        <v>0</v>
      </c>
      <c r="F970" t="s">
        <v>12</v>
      </c>
      <c r="G970" s="4" t="e">
        <f>-0.002 / 0%</f>
        <v>#DIV/0!</v>
      </c>
      <c r="H970" s="1">
        <v>97598</v>
      </c>
      <c r="I970" t="s">
        <v>350</v>
      </c>
      <c r="J970" t="s">
        <v>351</v>
      </c>
      <c r="K970" t="s">
        <v>23</v>
      </c>
      <c r="L970" s="2">
        <v>2.5000000000000001E-3</v>
      </c>
      <c r="M970" t="s">
        <v>352</v>
      </c>
      <c r="N970" t="s">
        <v>28</v>
      </c>
      <c r="O970" t="s">
        <v>353</v>
      </c>
      <c r="P970" s="1">
        <v>97196</v>
      </c>
      <c r="Q970" s="1">
        <v>96739</v>
      </c>
      <c r="R970" t="s">
        <v>354</v>
      </c>
      <c r="S970" t="s">
        <v>124</v>
      </c>
      <c r="T970" s="1">
        <v>89185</v>
      </c>
      <c r="U970" t="s">
        <v>355</v>
      </c>
      <c r="V970" s="1">
        <v>97627</v>
      </c>
      <c r="W970" s="1">
        <v>97627</v>
      </c>
      <c r="X970" s="1">
        <v>97627</v>
      </c>
      <c r="Y970" s="1">
        <v>97627</v>
      </c>
      <c r="Z970" s="1">
        <v>97627</v>
      </c>
      <c r="AA970" s="1">
        <v>99095</v>
      </c>
      <c r="AB970" s="2">
        <v>4.4000000000000003E-3</v>
      </c>
      <c r="AC970" s="2">
        <v>8.8000000000000005E-3</v>
      </c>
      <c r="AD970" s="2">
        <v>2.3800000000000002E-2</v>
      </c>
      <c r="AE970" s="2">
        <v>4.0399999999999998E-2</v>
      </c>
      <c r="AF970" s="2">
        <v>8.0500000000000002E-2</v>
      </c>
      <c r="AG970" s="2">
        <v>-1.4800000000000001E-2</v>
      </c>
      <c r="AH970" t="s">
        <v>356</v>
      </c>
      <c r="AI970" t="s">
        <v>232</v>
      </c>
      <c r="AJ970" t="s">
        <v>131</v>
      </c>
      <c r="AK970" t="s">
        <v>40</v>
      </c>
      <c r="AL970">
        <v>1</v>
      </c>
      <c r="AM970" t="s">
        <v>41</v>
      </c>
      <c r="AN970" t="s">
        <v>42</v>
      </c>
      <c r="AO970" t="s">
        <v>353</v>
      </c>
      <c r="AP970" t="s">
        <v>357</v>
      </c>
      <c r="AQ970" t="s">
        <v>357</v>
      </c>
      <c r="AR970" t="s">
        <v>48</v>
      </c>
      <c r="AS970" t="s">
        <v>48</v>
      </c>
    </row>
    <row r="971" spans="1:45" x14ac:dyDescent="0.4">
      <c r="A971" t="s">
        <v>2506</v>
      </c>
      <c r="B971" t="s">
        <v>10</v>
      </c>
      <c r="C971" t="s">
        <v>2507</v>
      </c>
      <c r="D971" t="s">
        <v>11</v>
      </c>
      <c r="E971" s="2">
        <v>4.0000000000000001E-3</v>
      </c>
      <c r="F971" t="s">
        <v>1057</v>
      </c>
      <c r="G971" s="4" t="s">
        <v>542</v>
      </c>
      <c r="H971" t="s">
        <v>2507</v>
      </c>
      <c r="I971" t="s">
        <v>2508</v>
      </c>
      <c r="J971" t="s">
        <v>2509</v>
      </c>
      <c r="K971" t="s">
        <v>23</v>
      </c>
      <c r="L971" s="2">
        <v>4.6249999999999999E-2</v>
      </c>
      <c r="M971" t="s">
        <v>1940</v>
      </c>
      <c r="N971" t="s">
        <v>28</v>
      </c>
      <c r="O971" t="s">
        <v>1941</v>
      </c>
      <c r="P971" t="s">
        <v>2510</v>
      </c>
      <c r="Q971" t="s">
        <v>2510</v>
      </c>
      <c r="R971" t="s">
        <v>2510</v>
      </c>
      <c r="S971" t="s">
        <v>1862</v>
      </c>
      <c r="T971" t="s">
        <v>1386</v>
      </c>
      <c r="U971" t="s">
        <v>1386</v>
      </c>
      <c r="V971" t="s">
        <v>2511</v>
      </c>
      <c r="W971" t="s">
        <v>2512</v>
      </c>
      <c r="X971" t="s">
        <v>2513</v>
      </c>
      <c r="Y971" t="s">
        <v>2513</v>
      </c>
      <c r="Z971" t="s">
        <v>551</v>
      </c>
      <c r="AA971" t="s">
        <v>551</v>
      </c>
      <c r="AB971" s="2">
        <v>2.5999999999999999E-3</v>
      </c>
      <c r="AC971" s="2">
        <v>-3.7000000000000002E-3</v>
      </c>
      <c r="AD971" s="2">
        <v>5.1000000000000004E-3</v>
      </c>
      <c r="AE971" s="2">
        <v>6.8999999999999999E-3</v>
      </c>
      <c r="AF971" s="2">
        <v>4.5400000000000003E-2</v>
      </c>
      <c r="AG971" s="2">
        <v>4.5400000000000003E-2</v>
      </c>
      <c r="AH971" t="s">
        <v>356</v>
      </c>
      <c r="AI971" t="s">
        <v>232</v>
      </c>
      <c r="AJ971" t="s">
        <v>131</v>
      </c>
      <c r="AK971" t="s">
        <v>40</v>
      </c>
      <c r="AL971">
        <v>1</v>
      </c>
      <c r="AM971" t="s">
        <v>41</v>
      </c>
      <c r="AN971" t="s">
        <v>42</v>
      </c>
      <c r="AO971" t="s">
        <v>1941</v>
      </c>
      <c r="AP971" t="s">
        <v>225</v>
      </c>
      <c r="AQ971" t="s">
        <v>225</v>
      </c>
      <c r="AR971" t="s">
        <v>48</v>
      </c>
      <c r="AS971" t="s">
        <v>48</v>
      </c>
    </row>
    <row r="972" spans="1:45" x14ac:dyDescent="0.4">
      <c r="A972" t="s">
        <v>1936</v>
      </c>
      <c r="B972" t="s">
        <v>10</v>
      </c>
      <c r="C972" s="1">
        <v>101761</v>
      </c>
      <c r="D972" t="s">
        <v>11</v>
      </c>
      <c r="E972" s="2">
        <v>1E-4</v>
      </c>
      <c r="F972" t="s">
        <v>12</v>
      </c>
      <c r="G972" s="4" t="s">
        <v>1937</v>
      </c>
      <c r="H972" s="1">
        <v>101761</v>
      </c>
      <c r="I972" t="s">
        <v>1938</v>
      </c>
      <c r="J972" t="s">
        <v>1939</v>
      </c>
      <c r="K972" t="s">
        <v>23</v>
      </c>
      <c r="L972" s="2">
        <v>4.4999999999999998E-2</v>
      </c>
      <c r="M972" t="s">
        <v>1940</v>
      </c>
      <c r="N972" t="s">
        <v>28</v>
      </c>
      <c r="O972" t="s">
        <v>1941</v>
      </c>
      <c r="P972" s="1">
        <v>101326</v>
      </c>
      <c r="Q972" s="1">
        <v>101326</v>
      </c>
      <c r="R972" s="1">
        <v>101254</v>
      </c>
      <c r="S972" s="1">
        <v>101007</v>
      </c>
      <c r="T972" t="s">
        <v>211</v>
      </c>
      <c r="U972" t="s">
        <v>211</v>
      </c>
      <c r="V972" s="1">
        <v>101779</v>
      </c>
      <c r="W972" s="1">
        <v>101898</v>
      </c>
      <c r="X972" t="s">
        <v>1942</v>
      </c>
      <c r="Y972" s="1">
        <v>102245</v>
      </c>
      <c r="Z972" t="s">
        <v>1943</v>
      </c>
      <c r="AA972" t="s">
        <v>1943</v>
      </c>
      <c r="AB972" s="2">
        <v>2.5000000000000001E-3</v>
      </c>
      <c r="AC972" s="2">
        <v>-5.0000000000000001E-4</v>
      </c>
      <c r="AD972" s="2">
        <v>2.0999999999999999E-3</v>
      </c>
      <c r="AE972" s="2">
        <v>-1.6000000000000001E-3</v>
      </c>
      <c r="AF972" s="2">
        <v>1.61E-2</v>
      </c>
      <c r="AG972" s="2">
        <v>1.61E-2</v>
      </c>
      <c r="AH972" t="s">
        <v>356</v>
      </c>
      <c r="AI972" t="s">
        <v>232</v>
      </c>
      <c r="AJ972" t="s">
        <v>131</v>
      </c>
      <c r="AK972" t="s">
        <v>40</v>
      </c>
      <c r="AL972">
        <v>1</v>
      </c>
      <c r="AM972" t="s">
        <v>41</v>
      </c>
      <c r="AN972" t="s">
        <v>42</v>
      </c>
      <c r="AO972" t="s">
        <v>1941</v>
      </c>
      <c r="AP972" t="s">
        <v>602</v>
      </c>
      <c r="AQ972" t="s">
        <v>602</v>
      </c>
      <c r="AR972" t="s">
        <v>48</v>
      </c>
      <c r="AS972" t="s">
        <v>48</v>
      </c>
    </row>
    <row r="973" spans="1:45" x14ac:dyDescent="0.4">
      <c r="A973" t="s">
        <v>4453</v>
      </c>
      <c r="B973" t="s">
        <v>10</v>
      </c>
      <c r="C973" t="s">
        <v>376</v>
      </c>
      <c r="D973" t="s">
        <v>11</v>
      </c>
      <c r="E973" s="2">
        <v>-7.3000000000000001E-3</v>
      </c>
      <c r="F973" t="s">
        <v>363</v>
      </c>
      <c r="G973" s="4">
        <f>-0.74 / -0.73%</f>
        <v>101.36986301369863</v>
      </c>
      <c r="H973" t="s">
        <v>376</v>
      </c>
      <c r="I973" t="s">
        <v>6984</v>
      </c>
      <c r="J973" t="s">
        <v>6985</v>
      </c>
      <c r="K973" t="s">
        <v>23</v>
      </c>
      <c r="L973" s="2">
        <v>3.875E-2</v>
      </c>
      <c r="M973" t="s">
        <v>678</v>
      </c>
      <c r="N973" t="s">
        <v>28</v>
      </c>
      <c r="O973" t="s">
        <v>679</v>
      </c>
      <c r="P973" t="s">
        <v>95</v>
      </c>
      <c r="Q973" t="s">
        <v>95</v>
      </c>
      <c r="R973" t="s">
        <v>95</v>
      </c>
      <c r="S973" t="s">
        <v>6870</v>
      </c>
      <c r="T973" t="s">
        <v>2177</v>
      </c>
      <c r="U973" t="s">
        <v>2177</v>
      </c>
      <c r="V973" t="s">
        <v>748</v>
      </c>
      <c r="W973" t="s">
        <v>6986</v>
      </c>
      <c r="X973" t="s">
        <v>6986</v>
      </c>
      <c r="Y973" t="s">
        <v>6986</v>
      </c>
      <c r="Z973" t="s">
        <v>6986</v>
      </c>
      <c r="AA973" t="s">
        <v>6986</v>
      </c>
      <c r="AB973" s="2">
        <v>4.0000000000000002E-4</v>
      </c>
      <c r="AC973" s="2">
        <v>-1.5E-3</v>
      </c>
      <c r="AD973" s="2">
        <v>5.8999999999999999E-3</v>
      </c>
      <c r="AE973" s="2">
        <v>8.8999999999999999E-3</v>
      </c>
      <c r="AF973" s="2">
        <v>1.18E-2</v>
      </c>
      <c r="AG973" s="2">
        <v>1.18E-2</v>
      </c>
      <c r="AH973" t="s">
        <v>356</v>
      </c>
      <c r="AI973" t="s">
        <v>232</v>
      </c>
      <c r="AJ973" t="s">
        <v>131</v>
      </c>
      <c r="AK973" t="s">
        <v>40</v>
      </c>
      <c r="AL973">
        <v>1</v>
      </c>
      <c r="AM973" t="s">
        <v>41</v>
      </c>
      <c r="AN973" t="s">
        <v>42</v>
      </c>
      <c r="AO973" t="s">
        <v>679</v>
      </c>
      <c r="AP973" t="s">
        <v>2642</v>
      </c>
      <c r="AQ973" t="s">
        <v>2642</v>
      </c>
      <c r="AR973" t="s">
        <v>48</v>
      </c>
      <c r="AS973" t="s">
        <v>48</v>
      </c>
    </row>
    <row r="974" spans="1:45" x14ac:dyDescent="0.4">
      <c r="A974" t="s">
        <v>673</v>
      </c>
      <c r="B974" t="s">
        <v>10</v>
      </c>
      <c r="C974" t="s">
        <v>674</v>
      </c>
      <c r="D974" t="s">
        <v>11</v>
      </c>
      <c r="E974" s="2">
        <v>1.6999999999999999E-3</v>
      </c>
      <c r="F974" t="s">
        <v>12</v>
      </c>
      <c r="G974" s="4" t="s">
        <v>675</v>
      </c>
      <c r="H974" t="s">
        <v>674</v>
      </c>
      <c r="I974" t="s">
        <v>676</v>
      </c>
      <c r="J974" t="s">
        <v>677</v>
      </c>
      <c r="K974" t="s">
        <v>23</v>
      </c>
      <c r="L974" s="2">
        <v>3.6249999999999998E-2</v>
      </c>
      <c r="M974" t="s">
        <v>678</v>
      </c>
      <c r="N974" t="s">
        <v>28</v>
      </c>
      <c r="O974" t="s">
        <v>679</v>
      </c>
      <c r="P974" s="1">
        <v>100444</v>
      </c>
      <c r="Q974" s="1">
        <v>100444</v>
      </c>
      <c r="R974" s="1">
        <v>100195</v>
      </c>
      <c r="S974" t="s">
        <v>680</v>
      </c>
      <c r="T974" t="s">
        <v>680</v>
      </c>
      <c r="U974" t="s">
        <v>680</v>
      </c>
      <c r="V974" s="1">
        <v>101075</v>
      </c>
      <c r="W974" s="1">
        <v>101307</v>
      </c>
      <c r="X974" s="1">
        <v>101307</v>
      </c>
      <c r="Y974" s="1">
        <v>101307</v>
      </c>
      <c r="Z974" s="1">
        <v>101307</v>
      </c>
      <c r="AA974" s="1">
        <v>101307</v>
      </c>
      <c r="AB974" s="2">
        <v>-2.0000000000000001E-4</v>
      </c>
      <c r="AC974" s="2">
        <v>2.0000000000000001E-4</v>
      </c>
      <c r="AD974" s="2">
        <v>3.8E-3</v>
      </c>
      <c r="AE974" s="2">
        <v>1.15E-2</v>
      </c>
      <c r="AF974" s="2">
        <v>1.12E-2</v>
      </c>
      <c r="AG974" s="2">
        <v>1.12E-2</v>
      </c>
      <c r="AH974" t="s">
        <v>356</v>
      </c>
      <c r="AI974" t="s">
        <v>232</v>
      </c>
      <c r="AJ974" t="s">
        <v>131</v>
      </c>
      <c r="AK974" t="s">
        <v>40</v>
      </c>
      <c r="AL974">
        <v>1</v>
      </c>
      <c r="AM974" t="s">
        <v>41</v>
      </c>
      <c r="AN974" t="s">
        <v>42</v>
      </c>
      <c r="AO974" t="s">
        <v>679</v>
      </c>
      <c r="AP974" t="s">
        <v>443</v>
      </c>
      <c r="AQ974" t="s">
        <v>443</v>
      </c>
      <c r="AR974" t="s">
        <v>48</v>
      </c>
      <c r="AS974" t="s">
        <v>48</v>
      </c>
    </row>
    <row r="975" spans="1:45" x14ac:dyDescent="0.4">
      <c r="A975" t="s">
        <v>1001</v>
      </c>
      <c r="B975" t="s">
        <v>10</v>
      </c>
      <c r="C975" s="1">
        <v>99223</v>
      </c>
      <c r="D975" t="s">
        <v>11</v>
      </c>
      <c r="E975" s="2">
        <v>0</v>
      </c>
      <c r="F975" t="s">
        <v>12</v>
      </c>
      <c r="G975" s="4" t="e">
        <f>-0.003 / 0%</f>
        <v>#DIV/0!</v>
      </c>
      <c r="H975" s="1">
        <v>99223</v>
      </c>
      <c r="I975" t="s">
        <v>1002</v>
      </c>
      <c r="J975" t="s">
        <v>1003</v>
      </c>
      <c r="K975" t="s">
        <v>23</v>
      </c>
      <c r="L975" s="2">
        <v>1.6250000000000001E-2</v>
      </c>
      <c r="M975" t="s">
        <v>1004</v>
      </c>
      <c r="N975" t="s">
        <v>28</v>
      </c>
      <c r="O975" t="s">
        <v>1005</v>
      </c>
      <c r="P975" s="1">
        <v>99112</v>
      </c>
      <c r="Q975" s="1">
        <v>98793</v>
      </c>
      <c r="R975" s="1">
        <v>97982</v>
      </c>
      <c r="S975" s="1">
        <v>96849</v>
      </c>
      <c r="T975" s="1">
        <v>94445</v>
      </c>
      <c r="U975" t="s">
        <v>1006</v>
      </c>
      <c r="V975" s="1">
        <v>99318</v>
      </c>
      <c r="W975" s="1">
        <v>99318</v>
      </c>
      <c r="X975" s="1">
        <v>99318</v>
      </c>
      <c r="Y975" s="1">
        <v>99318</v>
      </c>
      <c r="Z975" s="1">
        <v>99318</v>
      </c>
      <c r="AA975" t="s">
        <v>1007</v>
      </c>
      <c r="AB975" s="2">
        <v>1.1000000000000001E-3</v>
      </c>
      <c r="AC975" s="2">
        <v>3.8999999999999998E-3</v>
      </c>
      <c r="AD975" s="2">
        <v>1.0800000000000001E-2</v>
      </c>
      <c r="AE975" s="2">
        <v>2.2100000000000002E-2</v>
      </c>
      <c r="AF975" s="2">
        <v>2.98E-2</v>
      </c>
      <c r="AG975" s="2">
        <v>-4.7300000000000002E-2</v>
      </c>
      <c r="AH975" t="s">
        <v>356</v>
      </c>
      <c r="AI975" t="s">
        <v>232</v>
      </c>
      <c r="AJ975" t="s">
        <v>131</v>
      </c>
      <c r="AK975" t="s">
        <v>40</v>
      </c>
      <c r="AL975">
        <v>1</v>
      </c>
      <c r="AM975" t="s">
        <v>41</v>
      </c>
      <c r="AN975" t="s">
        <v>42</v>
      </c>
      <c r="AO975" t="s">
        <v>1005</v>
      </c>
      <c r="AP975" t="s">
        <v>357</v>
      </c>
      <c r="AQ975" t="s">
        <v>357</v>
      </c>
      <c r="AR975" t="s">
        <v>48</v>
      </c>
      <c r="AS975" t="s">
        <v>48</v>
      </c>
    </row>
    <row r="976" spans="1:45" x14ac:dyDescent="0.4">
      <c r="A976" t="s">
        <v>9</v>
      </c>
      <c r="B976" t="s">
        <v>10</v>
      </c>
      <c r="C976" s="1">
        <v>97757</v>
      </c>
      <c r="D976" t="s">
        <v>11</v>
      </c>
      <c r="E976" s="2">
        <v>-5.9999999999999995E-4</v>
      </c>
      <c r="F976" t="s">
        <v>12</v>
      </c>
      <c r="G976" s="4">
        <f>-0.063 / -0.06%</f>
        <v>105.00000000000001</v>
      </c>
      <c r="H976" s="1">
        <v>97757</v>
      </c>
      <c r="I976" t="s">
        <v>931</v>
      </c>
      <c r="J976" t="s">
        <v>932</v>
      </c>
      <c r="K976" t="s">
        <v>23</v>
      </c>
      <c r="L976" s="2">
        <v>1.4999999999999999E-2</v>
      </c>
      <c r="M976" t="s">
        <v>933</v>
      </c>
      <c r="N976" t="s">
        <v>28</v>
      </c>
      <c r="O976" t="s">
        <v>934</v>
      </c>
      <c r="P976" s="1">
        <v>97458</v>
      </c>
      <c r="Q976" t="s">
        <v>935</v>
      </c>
      <c r="R976" t="s">
        <v>936</v>
      </c>
      <c r="S976" t="s">
        <v>937</v>
      </c>
      <c r="T976" t="s">
        <v>938</v>
      </c>
      <c r="U976" t="s">
        <v>939</v>
      </c>
      <c r="V976" s="1">
        <v>97934</v>
      </c>
      <c r="W976" s="1">
        <v>97958</v>
      </c>
      <c r="X976" s="1">
        <v>97958</v>
      </c>
      <c r="Y976" s="1">
        <v>97958</v>
      </c>
      <c r="Z976" s="1">
        <v>97958</v>
      </c>
      <c r="AA976" s="1">
        <v>104075</v>
      </c>
      <c r="AB976" s="2">
        <v>2.0000000000000001E-4</v>
      </c>
      <c r="AC976" s="2">
        <v>1.6999999999999999E-3</v>
      </c>
      <c r="AD976" s="2">
        <v>1.46E-2</v>
      </c>
      <c r="AE976" s="2">
        <v>2.3599999999999999E-2</v>
      </c>
      <c r="AF976" s="2">
        <v>5.57E-2</v>
      </c>
      <c r="AG976" s="2">
        <v>-5.9900000000000002E-2</v>
      </c>
      <c r="AH976" t="s">
        <v>356</v>
      </c>
      <c r="AI976" t="s">
        <v>232</v>
      </c>
      <c r="AJ976" t="s">
        <v>131</v>
      </c>
      <c r="AK976" t="s">
        <v>40</v>
      </c>
      <c r="AL976">
        <v>1</v>
      </c>
      <c r="AM976" t="s">
        <v>41</v>
      </c>
      <c r="AN976" t="s">
        <v>42</v>
      </c>
      <c r="AO976" t="s">
        <v>934</v>
      </c>
      <c r="AP976" t="s">
        <v>333</v>
      </c>
      <c r="AQ976" t="s">
        <v>333</v>
      </c>
      <c r="AR976" t="s">
        <v>48</v>
      </c>
      <c r="AS976" t="s">
        <v>48</v>
      </c>
    </row>
    <row r="977" spans="1:54" x14ac:dyDescent="0.4">
      <c r="A977" t="s">
        <v>115</v>
      </c>
      <c r="B977" t="s">
        <v>10</v>
      </c>
      <c r="C977" t="s">
        <v>2926</v>
      </c>
      <c r="D977" t="s">
        <v>11</v>
      </c>
      <c r="E977" s="2">
        <v>0</v>
      </c>
      <c r="F977" t="s">
        <v>12</v>
      </c>
      <c r="G977" s="4" t="s">
        <v>15</v>
      </c>
      <c r="H977" t="s">
        <v>2926</v>
      </c>
      <c r="I977" t="s">
        <v>2927</v>
      </c>
      <c r="J977" t="s">
        <v>2928</v>
      </c>
      <c r="K977" t="s">
        <v>23</v>
      </c>
      <c r="L977" s="2">
        <v>6.2500000000000003E-3</v>
      </c>
      <c r="M977" t="s">
        <v>2929</v>
      </c>
      <c r="N977" t="s">
        <v>28</v>
      </c>
      <c r="O977" t="s">
        <v>2930</v>
      </c>
      <c r="P977" s="1">
        <v>86905</v>
      </c>
      <c r="Q977" t="s">
        <v>2931</v>
      </c>
      <c r="R977" t="s">
        <v>2932</v>
      </c>
      <c r="S977" t="s">
        <v>2933</v>
      </c>
      <c r="T977" t="s">
        <v>2934</v>
      </c>
      <c r="U977" t="s">
        <v>2935</v>
      </c>
      <c r="V977" t="s">
        <v>2936</v>
      </c>
      <c r="W977" t="s">
        <v>1430</v>
      </c>
      <c r="X977" t="s">
        <v>1430</v>
      </c>
      <c r="Y977" t="s">
        <v>1430</v>
      </c>
      <c r="Z977" t="s">
        <v>1430</v>
      </c>
      <c r="AA977" t="s">
        <v>2937</v>
      </c>
      <c r="AB977" s="2">
        <v>3.0000000000000001E-3</v>
      </c>
      <c r="AC977" s="2">
        <v>6.7000000000000002E-3</v>
      </c>
      <c r="AD977" s="2">
        <v>1.7899999999999999E-2</v>
      </c>
      <c r="AE977" s="2">
        <v>4.2299999999999997E-2</v>
      </c>
      <c r="AF977" s="2">
        <v>9.9000000000000005E-2</v>
      </c>
      <c r="AG977" s="2">
        <v>-8.7900000000000006E-2</v>
      </c>
      <c r="AH977" t="s">
        <v>356</v>
      </c>
      <c r="AI977" t="s">
        <v>232</v>
      </c>
      <c r="AJ977" t="s">
        <v>131</v>
      </c>
      <c r="AK977" t="s">
        <v>40</v>
      </c>
      <c r="AL977">
        <v>1</v>
      </c>
      <c r="AM977" t="s">
        <v>41</v>
      </c>
      <c r="AN977" t="s">
        <v>42</v>
      </c>
      <c r="AO977" t="s">
        <v>2930</v>
      </c>
      <c r="AP977" t="s">
        <v>357</v>
      </c>
      <c r="AQ977" t="s">
        <v>357</v>
      </c>
      <c r="AR977" t="s">
        <v>48</v>
      </c>
      <c r="AS977" t="s">
        <v>48</v>
      </c>
    </row>
    <row r="978" spans="1:54" x14ac:dyDescent="0.4">
      <c r="A978" t="s">
        <v>115</v>
      </c>
      <c r="B978" t="s">
        <v>10</v>
      </c>
      <c r="C978" s="1">
        <v>99771</v>
      </c>
      <c r="D978" t="s">
        <v>11</v>
      </c>
      <c r="E978" s="2">
        <v>-4.4999999999999997E-3</v>
      </c>
      <c r="F978" t="s">
        <v>12</v>
      </c>
      <c r="G978" s="4">
        <f>-0.45 / -0.45%</f>
        <v>99.999999999999986</v>
      </c>
      <c r="H978" s="1">
        <v>99771</v>
      </c>
      <c r="I978" t="s">
        <v>7541</v>
      </c>
      <c r="J978" t="s">
        <v>7542</v>
      </c>
      <c r="K978" t="s">
        <v>23</v>
      </c>
      <c r="L978" s="2">
        <v>3.125E-2</v>
      </c>
      <c r="M978" t="s">
        <v>7543</v>
      </c>
      <c r="N978" t="s">
        <v>28</v>
      </c>
      <c r="O978" t="s">
        <v>5936</v>
      </c>
      <c r="P978" s="1">
        <v>99751</v>
      </c>
      <c r="Q978" s="1">
        <v>99751</v>
      </c>
      <c r="R978" s="1">
        <v>99465</v>
      </c>
      <c r="S978" t="s">
        <v>1720</v>
      </c>
      <c r="T978" t="s">
        <v>1720</v>
      </c>
      <c r="U978" t="s">
        <v>1720</v>
      </c>
      <c r="V978" t="s">
        <v>6217</v>
      </c>
      <c r="W978" t="s">
        <v>6217</v>
      </c>
      <c r="X978" t="s">
        <v>6217</v>
      </c>
      <c r="Y978" t="s">
        <v>6217</v>
      </c>
      <c r="Z978" t="s">
        <v>6217</v>
      </c>
      <c r="AA978" t="s">
        <v>6217</v>
      </c>
      <c r="AB978" s="2">
        <v>-7.0000000000000001E-3</v>
      </c>
      <c r="AC978" s="2">
        <v>-6.4999999999999997E-3</v>
      </c>
      <c r="AD978" s="2">
        <v>1.9E-3</v>
      </c>
      <c r="AE978" s="2">
        <v>1.9E-3</v>
      </c>
      <c r="AF978" s="2">
        <v>1.9E-3</v>
      </c>
      <c r="AG978" s="2">
        <v>1.9E-3</v>
      </c>
      <c r="AH978" t="s">
        <v>7544</v>
      </c>
      <c r="AI978" t="s">
        <v>130</v>
      </c>
      <c r="AJ978" t="s">
        <v>131</v>
      </c>
      <c r="AK978" t="s">
        <v>40</v>
      </c>
      <c r="AL978">
        <v>100</v>
      </c>
      <c r="AM978" t="s">
        <v>41</v>
      </c>
      <c r="AN978" t="s">
        <v>42</v>
      </c>
      <c r="AO978" t="s">
        <v>5936</v>
      </c>
      <c r="AP978" t="s">
        <v>602</v>
      </c>
      <c r="AQ978" t="s">
        <v>602</v>
      </c>
      <c r="AR978" t="s">
        <v>48</v>
      </c>
      <c r="AS978" t="s">
        <v>48</v>
      </c>
    </row>
    <row r="979" spans="1:54" x14ac:dyDescent="0.4">
      <c r="A979" t="s">
        <v>4462</v>
      </c>
      <c r="B979" t="s">
        <v>10</v>
      </c>
      <c r="C979" t="s">
        <v>5248</v>
      </c>
      <c r="D979" t="s">
        <v>11</v>
      </c>
      <c r="E979" s="2">
        <v>0</v>
      </c>
      <c r="F979" t="s">
        <v>310</v>
      </c>
      <c r="G979" s="4" t="s">
        <v>15</v>
      </c>
      <c r="H979" t="s">
        <v>5248</v>
      </c>
      <c r="I979" t="s">
        <v>5249</v>
      </c>
      <c r="J979" t="s">
        <v>5250</v>
      </c>
      <c r="K979" t="s">
        <v>23</v>
      </c>
      <c r="L979" s="2">
        <v>7.0000000000000007E-2</v>
      </c>
      <c r="M979" t="s">
        <v>5251</v>
      </c>
      <c r="N979" t="s">
        <v>121</v>
      </c>
      <c r="O979" t="s">
        <v>5252</v>
      </c>
      <c r="P979" t="s">
        <v>5253</v>
      </c>
      <c r="Q979" t="s">
        <v>5254</v>
      </c>
      <c r="R979" t="s">
        <v>4441</v>
      </c>
      <c r="S979" t="s">
        <v>4441</v>
      </c>
      <c r="T979" t="s">
        <v>4441</v>
      </c>
      <c r="U979" t="s">
        <v>4441</v>
      </c>
      <c r="V979" t="s">
        <v>5248</v>
      </c>
      <c r="W979" t="s">
        <v>5248</v>
      </c>
      <c r="X979" t="s">
        <v>5248</v>
      </c>
      <c r="Y979" t="s">
        <v>5255</v>
      </c>
      <c r="Z979" t="s">
        <v>5256</v>
      </c>
      <c r="AA979" t="s">
        <v>5257</v>
      </c>
      <c r="AB979" s="2">
        <v>1.3944000000000001</v>
      </c>
      <c r="AC979" t="s">
        <v>5258</v>
      </c>
      <c r="AD979" s="2">
        <v>1.0033000000000001</v>
      </c>
      <c r="AE979" s="2">
        <v>1.3115000000000001</v>
      </c>
      <c r="AF979" t="s">
        <v>5259</v>
      </c>
      <c r="AG979" s="2">
        <v>-0.75960000000000005</v>
      </c>
      <c r="AH979" t="s">
        <v>5260</v>
      </c>
      <c r="AI979" t="s">
        <v>130</v>
      </c>
      <c r="AJ979" t="s">
        <v>131</v>
      </c>
      <c r="AK979" t="s">
        <v>40</v>
      </c>
      <c r="AL979">
        <v>1</v>
      </c>
      <c r="AM979" t="s">
        <v>41</v>
      </c>
      <c r="AN979" t="s">
        <v>42</v>
      </c>
      <c r="AO979" t="s">
        <v>5252</v>
      </c>
      <c r="AP979" t="s">
        <v>1486</v>
      </c>
      <c r="AQ979">
        <v>1</v>
      </c>
      <c r="BA979" t="s">
        <v>197</v>
      </c>
      <c r="BB979" t="s">
        <v>61</v>
      </c>
    </row>
    <row r="980" spans="1:54" x14ac:dyDescent="0.4">
      <c r="A980" t="s">
        <v>1226</v>
      </c>
      <c r="B980" t="s">
        <v>10</v>
      </c>
      <c r="C980" t="s">
        <v>3479</v>
      </c>
      <c r="D980" t="s">
        <v>11</v>
      </c>
      <c r="E980" s="2">
        <v>-2.0999999999999999E-3</v>
      </c>
      <c r="F980" t="s">
        <v>12</v>
      </c>
      <c r="G980" s="4">
        <f>-0.2 / -0.21%</f>
        <v>95.238095238095255</v>
      </c>
      <c r="H980" t="s">
        <v>3479</v>
      </c>
      <c r="I980" t="s">
        <v>3480</v>
      </c>
      <c r="J980" t="s">
        <v>3481</v>
      </c>
      <c r="K980" t="s">
        <v>23</v>
      </c>
      <c r="L980" s="2">
        <v>2.1250000000000002E-2</v>
      </c>
      <c r="M980" t="s">
        <v>3482</v>
      </c>
      <c r="N980" t="s">
        <v>28</v>
      </c>
      <c r="O980" t="s">
        <v>3483</v>
      </c>
      <c r="P980" t="s">
        <v>3484</v>
      </c>
      <c r="Q980" t="s">
        <v>3485</v>
      </c>
      <c r="R980" t="s">
        <v>3486</v>
      </c>
      <c r="S980" t="s">
        <v>2124</v>
      </c>
      <c r="T980" t="s">
        <v>3487</v>
      </c>
      <c r="U980" t="s">
        <v>3488</v>
      </c>
      <c r="V980" t="s">
        <v>830</v>
      </c>
      <c r="W980" t="s">
        <v>1182</v>
      </c>
      <c r="X980" t="s">
        <v>1182</v>
      </c>
      <c r="Y980" t="s">
        <v>1182</v>
      </c>
      <c r="Z980" t="s">
        <v>1182</v>
      </c>
      <c r="AA980" t="s">
        <v>110</v>
      </c>
      <c r="AB980" s="2">
        <v>-7.9000000000000008E-3</v>
      </c>
      <c r="AC980" s="2">
        <v>-2.5000000000000001E-3</v>
      </c>
      <c r="AD980" s="2">
        <v>1.7299999999999999E-2</v>
      </c>
      <c r="AE980" s="2">
        <v>3.0499999999999999E-2</v>
      </c>
      <c r="AF980" s="2">
        <v>4.5600000000000002E-2</v>
      </c>
      <c r="AG980" s="2">
        <v>-1.49E-2</v>
      </c>
      <c r="AH980" t="s">
        <v>3489</v>
      </c>
      <c r="AI980" t="s">
        <v>130</v>
      </c>
      <c r="AJ980" t="s">
        <v>131</v>
      </c>
      <c r="AK980" t="s">
        <v>40</v>
      </c>
      <c r="AL980">
        <v>1</v>
      </c>
      <c r="AM980" t="s">
        <v>41</v>
      </c>
      <c r="AN980" t="s">
        <v>42</v>
      </c>
      <c r="AO980" t="s">
        <v>3483</v>
      </c>
      <c r="AP980" t="s">
        <v>171</v>
      </c>
      <c r="AQ980" t="s">
        <v>171</v>
      </c>
      <c r="AR980" t="s">
        <v>48</v>
      </c>
      <c r="AS980" t="s">
        <v>48</v>
      </c>
    </row>
    <row r="981" spans="1:54" x14ac:dyDescent="0.4">
      <c r="A981" t="s">
        <v>9</v>
      </c>
      <c r="B981" t="s">
        <v>10</v>
      </c>
      <c r="C981" t="s">
        <v>1069</v>
      </c>
      <c r="D981" t="s">
        <v>11</v>
      </c>
      <c r="E981" s="2">
        <v>5.0000000000000001E-4</v>
      </c>
      <c r="F981" t="s">
        <v>12</v>
      </c>
      <c r="G981" s="4" t="s">
        <v>565</v>
      </c>
      <c r="H981" t="s">
        <v>1069</v>
      </c>
      <c r="I981" t="s">
        <v>6223</v>
      </c>
      <c r="J981" t="s">
        <v>6224</v>
      </c>
      <c r="K981" t="s">
        <v>23</v>
      </c>
      <c r="L981" s="2">
        <v>6.4119999999999996E-2</v>
      </c>
      <c r="M981" t="s">
        <v>3006</v>
      </c>
      <c r="N981" t="s">
        <v>121</v>
      </c>
      <c r="O981" t="s">
        <v>5959</v>
      </c>
      <c r="P981" s="1">
        <v>99505</v>
      </c>
      <c r="Q981" s="1">
        <v>99505</v>
      </c>
      <c r="R981" s="1">
        <v>99505</v>
      </c>
      <c r="S981" s="1">
        <v>99478</v>
      </c>
      <c r="T981" s="1">
        <v>99215</v>
      </c>
      <c r="U981" s="1">
        <v>99215</v>
      </c>
      <c r="V981" t="s">
        <v>656</v>
      </c>
      <c r="W981" t="s">
        <v>1973</v>
      </c>
      <c r="X981" t="s">
        <v>1973</v>
      </c>
      <c r="Y981" t="s">
        <v>1973</v>
      </c>
      <c r="Z981" t="s">
        <v>1494</v>
      </c>
      <c r="AA981" t="s">
        <v>1494</v>
      </c>
      <c r="AB981" s="2">
        <v>-2.9999999999999997E-4</v>
      </c>
      <c r="AC981" s="2">
        <v>-1.6999999999999999E-3</v>
      </c>
      <c r="AD981" s="2">
        <v>1.6000000000000001E-3</v>
      </c>
      <c r="AE981" s="2">
        <v>-2.0000000000000001E-4</v>
      </c>
      <c r="AF981" s="2">
        <v>-4.4000000000000003E-3</v>
      </c>
      <c r="AG981" s="2">
        <v>-4.4000000000000003E-3</v>
      </c>
      <c r="AH981" t="s">
        <v>6225</v>
      </c>
      <c r="AI981" t="s">
        <v>130</v>
      </c>
      <c r="AJ981" t="s">
        <v>131</v>
      </c>
      <c r="AK981" t="s">
        <v>40</v>
      </c>
      <c r="AL981">
        <v>2</v>
      </c>
      <c r="AM981" t="s">
        <v>41</v>
      </c>
      <c r="AN981" t="s">
        <v>42</v>
      </c>
      <c r="AO981" t="s">
        <v>5959</v>
      </c>
      <c r="AP981" t="s">
        <v>500</v>
      </c>
      <c r="AQ981" t="s">
        <v>500</v>
      </c>
      <c r="AR981" t="s">
        <v>133</v>
      </c>
      <c r="AS981" t="s">
        <v>133</v>
      </c>
    </row>
    <row r="982" spans="1:54" x14ac:dyDescent="0.4">
      <c r="A982" t="s">
        <v>1450</v>
      </c>
      <c r="B982" t="s">
        <v>10</v>
      </c>
      <c r="C982" t="s">
        <v>2844</v>
      </c>
      <c r="D982" t="s">
        <v>11</v>
      </c>
      <c r="E982" s="2">
        <v>2.8999999999999998E-3</v>
      </c>
      <c r="F982" t="s">
        <v>12</v>
      </c>
      <c r="G982" s="4" t="s">
        <v>6824</v>
      </c>
      <c r="H982" t="s">
        <v>2844</v>
      </c>
      <c r="I982" t="s">
        <v>6825</v>
      </c>
      <c r="J982" t="s">
        <v>6826</v>
      </c>
      <c r="K982" t="s">
        <v>23</v>
      </c>
      <c r="L982" s="2">
        <v>3.5000000000000003E-2</v>
      </c>
      <c r="M982" t="s">
        <v>2235</v>
      </c>
      <c r="N982" t="s">
        <v>121</v>
      </c>
      <c r="O982" t="s">
        <v>6827</v>
      </c>
      <c r="P982" t="s">
        <v>5849</v>
      </c>
      <c r="Q982" t="s">
        <v>5849</v>
      </c>
      <c r="R982" t="s">
        <v>5849</v>
      </c>
      <c r="S982" t="s">
        <v>125</v>
      </c>
      <c r="T982" t="s">
        <v>1957</v>
      </c>
      <c r="U982" t="s">
        <v>5018</v>
      </c>
      <c r="V982" t="s">
        <v>6828</v>
      </c>
      <c r="W982" t="s">
        <v>6287</v>
      </c>
      <c r="X982" t="s">
        <v>1587</v>
      </c>
      <c r="Y982" t="s">
        <v>1587</v>
      </c>
      <c r="Z982" t="s">
        <v>1587</v>
      </c>
      <c r="AA982" t="s">
        <v>1609</v>
      </c>
      <c r="AB982" s="2">
        <v>3.7000000000000002E-3</v>
      </c>
      <c r="AC982" s="2">
        <v>-8.6999999999999994E-3</v>
      </c>
      <c r="AD982" s="2">
        <v>-2.0000000000000001E-4</v>
      </c>
      <c r="AE982" s="2">
        <v>-1.1599999999999999E-2</v>
      </c>
      <c r="AF982" s="2">
        <v>-2.8999999999999998E-3</v>
      </c>
      <c r="AG982" s="2">
        <v>-0.11409999999999999</v>
      </c>
      <c r="AH982" t="s">
        <v>6829</v>
      </c>
      <c r="AI982" t="s">
        <v>130</v>
      </c>
      <c r="AJ982" t="s">
        <v>131</v>
      </c>
      <c r="AK982" t="s">
        <v>40</v>
      </c>
      <c r="AL982">
        <v>2</v>
      </c>
      <c r="AM982" t="s">
        <v>41</v>
      </c>
      <c r="AN982" t="s">
        <v>42</v>
      </c>
      <c r="AO982" t="s">
        <v>6827</v>
      </c>
      <c r="AP982" t="s">
        <v>225</v>
      </c>
      <c r="AQ982" t="s">
        <v>225</v>
      </c>
      <c r="AR982" t="s">
        <v>133</v>
      </c>
      <c r="AS982" t="s">
        <v>133</v>
      </c>
    </row>
    <row r="983" spans="1:54" x14ac:dyDescent="0.4">
      <c r="A983" t="s">
        <v>1450</v>
      </c>
      <c r="B983" t="s">
        <v>10</v>
      </c>
      <c r="C983" t="s">
        <v>2877</v>
      </c>
      <c r="D983" t="s">
        <v>11</v>
      </c>
      <c r="E983" s="2">
        <v>5.5999999999999999E-3</v>
      </c>
      <c r="F983" t="s">
        <v>12</v>
      </c>
      <c r="G983" s="4" t="s">
        <v>6278</v>
      </c>
      <c r="H983" t="s">
        <v>2877</v>
      </c>
      <c r="I983" t="s">
        <v>6279</v>
      </c>
      <c r="J983" t="s">
        <v>6280</v>
      </c>
      <c r="K983" t="s">
        <v>23</v>
      </c>
      <c r="L983" s="2">
        <v>5.3499999999999999E-2</v>
      </c>
      <c r="M983" t="s">
        <v>6281</v>
      </c>
      <c r="N983" t="s">
        <v>121</v>
      </c>
      <c r="O983" t="s">
        <v>5396</v>
      </c>
      <c r="P983" t="s">
        <v>5758</v>
      </c>
      <c r="Q983" t="s">
        <v>5758</v>
      </c>
      <c r="R983" t="s">
        <v>5758</v>
      </c>
      <c r="S983" t="s">
        <v>5758</v>
      </c>
      <c r="T983" t="s">
        <v>5758</v>
      </c>
      <c r="U983" t="s">
        <v>5758</v>
      </c>
      <c r="V983" t="s">
        <v>156</v>
      </c>
      <c r="W983" t="s">
        <v>169</v>
      </c>
      <c r="X983" t="s">
        <v>169</v>
      </c>
      <c r="Y983" t="s">
        <v>169</v>
      </c>
      <c r="Z983" t="s">
        <v>169</v>
      </c>
      <c r="AA983" t="s">
        <v>169</v>
      </c>
      <c r="AB983" s="2">
        <v>-5.7000000000000002E-3</v>
      </c>
      <c r="AC983" s="2">
        <v>-3.9899999999999998E-2</v>
      </c>
      <c r="AD983" s="2">
        <v>-3.9899999999999998E-2</v>
      </c>
      <c r="AE983" s="2">
        <v>-3.9899999999999998E-2</v>
      </c>
      <c r="AF983" s="2">
        <v>-3.9899999999999998E-2</v>
      </c>
      <c r="AG983" s="2">
        <v>-3.9899999999999998E-2</v>
      </c>
      <c r="AH983" t="s">
        <v>6282</v>
      </c>
      <c r="AI983" t="s">
        <v>130</v>
      </c>
      <c r="AJ983" t="s">
        <v>131</v>
      </c>
      <c r="AK983" t="s">
        <v>40</v>
      </c>
      <c r="AL983">
        <v>2</v>
      </c>
      <c r="AM983" t="s">
        <v>41</v>
      </c>
      <c r="AN983" t="s">
        <v>42</v>
      </c>
      <c r="AO983" t="s">
        <v>5396</v>
      </c>
      <c r="AP983" t="s">
        <v>193</v>
      </c>
      <c r="AQ983" t="s">
        <v>193</v>
      </c>
      <c r="AR983" t="s">
        <v>133</v>
      </c>
      <c r="AS983" t="s">
        <v>133</v>
      </c>
    </row>
    <row r="984" spans="1:54" x14ac:dyDescent="0.4">
      <c r="A984" t="s">
        <v>104</v>
      </c>
      <c r="B984" t="s">
        <v>10</v>
      </c>
      <c r="C984" s="1">
        <v>100125</v>
      </c>
      <c r="D984" t="s">
        <v>11</v>
      </c>
      <c r="E984" s="2">
        <v>3.0999999999999999E-3</v>
      </c>
      <c r="F984" t="s">
        <v>12</v>
      </c>
      <c r="G984" s="4" t="s">
        <v>2623</v>
      </c>
      <c r="H984" s="1">
        <v>100125</v>
      </c>
      <c r="I984" t="s">
        <v>6834</v>
      </c>
      <c r="J984" t="s">
        <v>6835</v>
      </c>
      <c r="K984" t="s">
        <v>23</v>
      </c>
      <c r="L984" s="2">
        <v>5.2440000000000001E-2</v>
      </c>
      <c r="M984" t="s">
        <v>6836</v>
      </c>
      <c r="N984" t="s">
        <v>121</v>
      </c>
      <c r="O984" t="s">
        <v>240</v>
      </c>
      <c r="P984" t="s">
        <v>976</v>
      </c>
      <c r="Q984" t="s">
        <v>976</v>
      </c>
      <c r="R984" t="s">
        <v>976</v>
      </c>
      <c r="S984" t="s">
        <v>976</v>
      </c>
      <c r="T984" t="s">
        <v>976</v>
      </c>
      <c r="U984" t="s">
        <v>976</v>
      </c>
      <c r="V984" t="s">
        <v>641</v>
      </c>
      <c r="W984" t="s">
        <v>641</v>
      </c>
      <c r="X984" t="s">
        <v>641</v>
      </c>
      <c r="Y984" t="s">
        <v>641</v>
      </c>
      <c r="Z984" t="s">
        <v>641</v>
      </c>
      <c r="AA984" t="s">
        <v>641</v>
      </c>
      <c r="AB984" s="2">
        <v>-1.1999999999999999E-3</v>
      </c>
      <c r="AC984" s="2">
        <v>-1.1999999999999999E-3</v>
      </c>
      <c r="AD984" s="2">
        <v>-1.1999999999999999E-3</v>
      </c>
      <c r="AE984" s="2">
        <v>-1.1999999999999999E-3</v>
      </c>
      <c r="AF984" s="2">
        <v>-1.1999999999999999E-3</v>
      </c>
      <c r="AG984" s="2">
        <v>-1.1999999999999999E-3</v>
      </c>
      <c r="AH984" t="s">
        <v>801</v>
      </c>
      <c r="AI984" t="s">
        <v>130</v>
      </c>
      <c r="AJ984" t="s">
        <v>131</v>
      </c>
      <c r="AK984" t="s">
        <v>40</v>
      </c>
      <c r="AL984">
        <v>2</v>
      </c>
      <c r="AM984" t="s">
        <v>41</v>
      </c>
      <c r="AN984" t="s">
        <v>42</v>
      </c>
      <c r="AO984" t="s">
        <v>240</v>
      </c>
      <c r="AP984" t="s">
        <v>814</v>
      </c>
      <c r="AQ984">
        <v>2</v>
      </c>
      <c r="BA984" t="s">
        <v>59</v>
      </c>
      <c r="BB984" t="s">
        <v>61</v>
      </c>
    </row>
    <row r="985" spans="1:54" x14ac:dyDescent="0.4">
      <c r="A985" t="s">
        <v>3608</v>
      </c>
      <c r="B985" t="s">
        <v>10</v>
      </c>
      <c r="C985" t="s">
        <v>3609</v>
      </c>
      <c r="D985" t="s">
        <v>11</v>
      </c>
      <c r="E985" s="2">
        <v>3.8999999999999998E-3</v>
      </c>
      <c r="F985" t="s">
        <v>12</v>
      </c>
      <c r="G985" s="4" t="s">
        <v>3610</v>
      </c>
      <c r="H985" t="s">
        <v>3609</v>
      </c>
      <c r="I985" t="s">
        <v>3611</v>
      </c>
      <c r="J985" t="s">
        <v>3612</v>
      </c>
      <c r="K985" t="s">
        <v>23</v>
      </c>
      <c r="L985" s="2">
        <v>4.9000000000000002E-2</v>
      </c>
      <c r="M985" t="s">
        <v>3613</v>
      </c>
      <c r="N985" t="s">
        <v>121</v>
      </c>
      <c r="O985" t="s">
        <v>3614</v>
      </c>
      <c r="P985" t="s">
        <v>3615</v>
      </c>
      <c r="Q985" t="s">
        <v>3615</v>
      </c>
      <c r="R985" t="s">
        <v>3615</v>
      </c>
      <c r="S985" t="s">
        <v>3615</v>
      </c>
      <c r="T985" t="s">
        <v>3616</v>
      </c>
      <c r="U985" t="s">
        <v>3616</v>
      </c>
      <c r="V985" t="s">
        <v>3609</v>
      </c>
      <c r="W985" t="s">
        <v>1412</v>
      </c>
      <c r="X985" t="s">
        <v>3151</v>
      </c>
      <c r="Y985" t="s">
        <v>3151</v>
      </c>
      <c r="Z985" t="s">
        <v>3617</v>
      </c>
      <c r="AA985" t="s">
        <v>3618</v>
      </c>
      <c r="AB985" s="2">
        <v>4.4000000000000003E-3</v>
      </c>
      <c r="AC985" s="2">
        <v>-2.53E-2</v>
      </c>
      <c r="AD985" s="2">
        <v>-1.5599999999999999E-2</v>
      </c>
      <c r="AE985" s="2">
        <v>-2.2700000000000001E-2</v>
      </c>
      <c r="AF985" s="2">
        <v>-6.93E-2</v>
      </c>
      <c r="AG985" s="2">
        <v>-0.2702</v>
      </c>
      <c r="AH985" t="s">
        <v>801</v>
      </c>
      <c r="AI985" t="s">
        <v>130</v>
      </c>
      <c r="AJ985" t="s">
        <v>131</v>
      </c>
      <c r="AK985" t="s">
        <v>40</v>
      </c>
      <c r="AL985">
        <v>1</v>
      </c>
      <c r="AM985" t="s">
        <v>41</v>
      </c>
      <c r="AN985" t="s">
        <v>42</v>
      </c>
      <c r="AO985" t="s">
        <v>3614</v>
      </c>
      <c r="AP985" t="s">
        <v>1825</v>
      </c>
      <c r="AQ985" t="s">
        <v>1825</v>
      </c>
      <c r="AR985" t="s">
        <v>133</v>
      </c>
      <c r="AS985" t="s">
        <v>133</v>
      </c>
    </row>
    <row r="986" spans="1:54" x14ac:dyDescent="0.4">
      <c r="A986" t="s">
        <v>104</v>
      </c>
      <c r="B986" t="s">
        <v>10</v>
      </c>
      <c r="C986" s="1">
        <v>98765</v>
      </c>
      <c r="D986" t="s">
        <v>11</v>
      </c>
      <c r="E986" s="2">
        <v>1.6000000000000001E-3</v>
      </c>
      <c r="F986" t="s">
        <v>12</v>
      </c>
      <c r="G986" s="4" t="s">
        <v>6830</v>
      </c>
      <c r="H986" s="1">
        <v>98765</v>
      </c>
      <c r="I986" t="s">
        <v>6831</v>
      </c>
      <c r="J986" t="s">
        <v>6832</v>
      </c>
      <c r="K986" t="s">
        <v>23</v>
      </c>
      <c r="L986" s="2">
        <v>4.2999999999999997E-2</v>
      </c>
      <c r="M986" t="s">
        <v>4465</v>
      </c>
      <c r="N986" t="s">
        <v>121</v>
      </c>
      <c r="O986" t="s">
        <v>6833</v>
      </c>
      <c r="P986" t="s">
        <v>294</v>
      </c>
      <c r="Q986" t="s">
        <v>294</v>
      </c>
      <c r="R986" t="s">
        <v>3297</v>
      </c>
      <c r="S986" t="s">
        <v>6016</v>
      </c>
      <c r="T986" t="s">
        <v>5911</v>
      </c>
      <c r="U986" t="s">
        <v>3374</v>
      </c>
      <c r="V986" t="s">
        <v>970</v>
      </c>
      <c r="W986" s="1">
        <v>99315</v>
      </c>
      <c r="X986" t="s">
        <v>4467</v>
      </c>
      <c r="Y986" t="s">
        <v>4467</v>
      </c>
      <c r="Z986" t="s">
        <v>4467</v>
      </c>
      <c r="AA986" s="1">
        <v>109335</v>
      </c>
      <c r="AB986" s="2">
        <v>3.0000000000000001E-3</v>
      </c>
      <c r="AC986" s="2">
        <v>-1.5E-3</v>
      </c>
      <c r="AD986" s="2">
        <v>6.7000000000000002E-3</v>
      </c>
      <c r="AE986" s="2">
        <v>1.37E-2</v>
      </c>
      <c r="AF986" s="2">
        <v>5.0000000000000001E-4</v>
      </c>
      <c r="AG986" s="2">
        <v>-9.64E-2</v>
      </c>
      <c r="AH986" t="s">
        <v>801</v>
      </c>
      <c r="AI986" t="s">
        <v>130</v>
      </c>
      <c r="AJ986" t="s">
        <v>131</v>
      </c>
      <c r="AK986" t="s">
        <v>40</v>
      </c>
      <c r="AL986">
        <v>1</v>
      </c>
      <c r="AM986" t="s">
        <v>41</v>
      </c>
      <c r="AN986" t="s">
        <v>42</v>
      </c>
      <c r="AO986" t="s">
        <v>6833</v>
      </c>
      <c r="AP986" t="s">
        <v>2601</v>
      </c>
      <c r="AQ986" t="s">
        <v>2601</v>
      </c>
      <c r="AR986" t="s">
        <v>133</v>
      </c>
      <c r="AS986" t="s">
        <v>133</v>
      </c>
    </row>
    <row r="987" spans="1:54" x14ac:dyDescent="0.4">
      <c r="A987" t="s">
        <v>792</v>
      </c>
      <c r="B987" t="s">
        <v>10</v>
      </c>
      <c r="C987" s="1">
        <v>97227</v>
      </c>
      <c r="D987" t="s">
        <v>11</v>
      </c>
      <c r="E987" s="2">
        <v>5.0000000000000001E-4</v>
      </c>
      <c r="F987" t="s">
        <v>12</v>
      </c>
      <c r="G987" s="4" t="s">
        <v>793</v>
      </c>
      <c r="H987" s="1">
        <v>97227</v>
      </c>
      <c r="I987" t="s">
        <v>794</v>
      </c>
      <c r="J987" t="s">
        <v>795</v>
      </c>
      <c r="K987" t="s">
        <v>23</v>
      </c>
      <c r="L987" s="2">
        <v>0.03</v>
      </c>
      <c r="M987" t="s">
        <v>796</v>
      </c>
      <c r="N987" t="s">
        <v>121</v>
      </c>
      <c r="O987" t="s">
        <v>797</v>
      </c>
      <c r="P987" s="1">
        <v>96829</v>
      </c>
      <c r="Q987" s="1">
        <v>96695</v>
      </c>
      <c r="R987" s="1">
        <v>95775</v>
      </c>
      <c r="S987" s="1">
        <v>93745</v>
      </c>
      <c r="T987" t="s">
        <v>798</v>
      </c>
      <c r="U987" s="1">
        <v>89415</v>
      </c>
      <c r="V987" s="1">
        <v>97328</v>
      </c>
      <c r="W987" s="1">
        <v>97366</v>
      </c>
      <c r="X987" t="s">
        <v>799</v>
      </c>
      <c r="Y987" t="s">
        <v>799</v>
      </c>
      <c r="Z987" t="s">
        <v>799</v>
      </c>
      <c r="AA987" t="s">
        <v>800</v>
      </c>
      <c r="AB987" s="2">
        <v>1.9E-3</v>
      </c>
      <c r="AC987" s="2">
        <v>1.9E-3</v>
      </c>
      <c r="AD987" s="2">
        <v>1.2200000000000001E-2</v>
      </c>
      <c r="AE987" s="2">
        <v>2.6700000000000002E-2</v>
      </c>
      <c r="AF987" s="2">
        <v>3.5799999999999998E-2</v>
      </c>
      <c r="AG987" s="2">
        <v>-5.9400000000000001E-2</v>
      </c>
      <c r="AH987" t="s">
        <v>801</v>
      </c>
      <c r="AI987" t="s">
        <v>130</v>
      </c>
      <c r="AJ987" t="s">
        <v>131</v>
      </c>
      <c r="AK987" t="s">
        <v>40</v>
      </c>
      <c r="AL987">
        <v>1</v>
      </c>
      <c r="AM987" t="s">
        <v>41</v>
      </c>
      <c r="AN987" t="s">
        <v>42</v>
      </c>
      <c r="AO987" t="s">
        <v>797</v>
      </c>
      <c r="AP987" t="s">
        <v>802</v>
      </c>
      <c r="AQ987" t="s">
        <v>802</v>
      </c>
      <c r="AR987" t="s">
        <v>133</v>
      </c>
      <c r="AS987" t="s">
        <v>133</v>
      </c>
    </row>
    <row r="988" spans="1:54" x14ac:dyDescent="0.4">
      <c r="A988" t="s">
        <v>3540</v>
      </c>
      <c r="B988" t="s">
        <v>10</v>
      </c>
      <c r="C988" s="1">
        <v>97949</v>
      </c>
      <c r="D988" t="s">
        <v>11</v>
      </c>
      <c r="E988" s="2">
        <v>8.0000000000000004E-4</v>
      </c>
      <c r="F988" t="s">
        <v>12</v>
      </c>
      <c r="G988" s="4" t="s">
        <v>3541</v>
      </c>
      <c r="H988" s="1">
        <v>97949</v>
      </c>
      <c r="I988" t="s">
        <v>3542</v>
      </c>
      <c r="J988" t="s">
        <v>3543</v>
      </c>
      <c r="K988" t="s">
        <v>23</v>
      </c>
      <c r="L988" s="2">
        <v>0.03</v>
      </c>
      <c r="M988" t="s">
        <v>3544</v>
      </c>
      <c r="N988" t="s">
        <v>121</v>
      </c>
      <c r="O988" t="s">
        <v>3545</v>
      </c>
      <c r="P988" s="1">
        <v>97646</v>
      </c>
      <c r="Q988" t="s">
        <v>830</v>
      </c>
      <c r="R988" s="1">
        <v>96375</v>
      </c>
      <c r="S988" s="1">
        <v>94985</v>
      </c>
      <c r="T988" t="s">
        <v>3546</v>
      </c>
      <c r="U988" t="s">
        <v>3221</v>
      </c>
      <c r="V988" s="1">
        <v>97949</v>
      </c>
      <c r="W988" s="1">
        <v>97949</v>
      </c>
      <c r="X988" s="1">
        <v>98366</v>
      </c>
      <c r="Y988" s="1">
        <v>98366</v>
      </c>
      <c r="Z988" s="1">
        <v>98366</v>
      </c>
      <c r="AA988" s="1">
        <v>103265</v>
      </c>
      <c r="AB988" s="2">
        <v>3.3999999999999998E-3</v>
      </c>
      <c r="AC988" s="2">
        <v>3.0000000000000001E-3</v>
      </c>
      <c r="AD988" s="2">
        <v>1.6299999999999999E-2</v>
      </c>
      <c r="AE988" s="2">
        <v>2.6499999999999999E-2</v>
      </c>
      <c r="AF988" s="2">
        <v>3.49E-2</v>
      </c>
      <c r="AG988" s="2">
        <v>-5.1499999999999997E-2</v>
      </c>
      <c r="AH988" t="s">
        <v>801</v>
      </c>
      <c r="AI988" t="s">
        <v>130</v>
      </c>
      <c r="AJ988" t="s">
        <v>131</v>
      </c>
      <c r="AK988" t="s">
        <v>40</v>
      </c>
      <c r="AL988">
        <v>1</v>
      </c>
      <c r="AM988" t="s">
        <v>41</v>
      </c>
      <c r="AN988" t="s">
        <v>42</v>
      </c>
      <c r="AO988" t="s">
        <v>3545</v>
      </c>
      <c r="AP988" t="s">
        <v>814</v>
      </c>
      <c r="AQ988" t="s">
        <v>814</v>
      </c>
      <c r="AR988" t="s">
        <v>133</v>
      </c>
      <c r="AS988" t="s">
        <v>133</v>
      </c>
    </row>
    <row r="989" spans="1:54" x14ac:dyDescent="0.4">
      <c r="A989" t="s">
        <v>4518</v>
      </c>
      <c r="B989" t="s">
        <v>10</v>
      </c>
      <c r="C989" t="s">
        <v>110</v>
      </c>
      <c r="D989" t="s">
        <v>11</v>
      </c>
      <c r="E989" s="2">
        <v>0</v>
      </c>
      <c r="F989" t="s">
        <v>12</v>
      </c>
      <c r="G989" s="4" t="s">
        <v>15</v>
      </c>
      <c r="H989" t="s">
        <v>110</v>
      </c>
      <c r="I989" t="s">
        <v>2163</v>
      </c>
      <c r="J989" t="s">
        <v>2163</v>
      </c>
      <c r="K989" t="s">
        <v>23</v>
      </c>
      <c r="L989" s="2">
        <v>1.0800000000000001E-2</v>
      </c>
      <c r="M989" t="s">
        <v>815</v>
      </c>
      <c r="N989" t="s">
        <v>6537</v>
      </c>
      <c r="O989" t="s">
        <v>635</v>
      </c>
      <c r="P989" t="s">
        <v>110</v>
      </c>
      <c r="Q989" t="s">
        <v>110</v>
      </c>
      <c r="R989" t="s">
        <v>110</v>
      </c>
      <c r="S989" t="s">
        <v>110</v>
      </c>
      <c r="T989" t="s">
        <v>110</v>
      </c>
      <c r="U989" t="s">
        <v>110</v>
      </c>
      <c r="V989" t="s">
        <v>110</v>
      </c>
      <c r="W989" t="s">
        <v>110</v>
      </c>
      <c r="X989" t="s">
        <v>110</v>
      </c>
      <c r="Y989" t="s">
        <v>110</v>
      </c>
      <c r="Z989" t="s">
        <v>110</v>
      </c>
      <c r="AA989" t="s">
        <v>110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t="s">
        <v>6538</v>
      </c>
      <c r="AI989" t="s">
        <v>232</v>
      </c>
      <c r="AJ989" t="s">
        <v>131</v>
      </c>
      <c r="AK989" t="s">
        <v>40</v>
      </c>
      <c r="AL989">
        <v>100</v>
      </c>
      <c r="AM989" t="s">
        <v>41</v>
      </c>
      <c r="AN989" t="s">
        <v>42</v>
      </c>
      <c r="AO989" t="s">
        <v>635</v>
      </c>
      <c r="AP989" t="s">
        <v>6539</v>
      </c>
      <c r="AZ989">
        <v>100</v>
      </c>
      <c r="BA989" t="s">
        <v>360</v>
      </c>
    </row>
    <row r="990" spans="1:54" x14ac:dyDescent="0.4">
      <c r="A990" t="s">
        <v>1450</v>
      </c>
      <c r="B990" t="s">
        <v>10</v>
      </c>
      <c r="C990" t="s">
        <v>6837</v>
      </c>
      <c r="D990" t="s">
        <v>11</v>
      </c>
      <c r="E990" s="2">
        <v>5.0000000000000001E-3</v>
      </c>
      <c r="F990" t="s">
        <v>12</v>
      </c>
      <c r="G990" s="4" t="s">
        <v>6838</v>
      </c>
      <c r="H990" t="s">
        <v>6837</v>
      </c>
      <c r="I990" t="s">
        <v>6839</v>
      </c>
      <c r="J990" t="s">
        <v>6840</v>
      </c>
      <c r="K990" t="s">
        <v>23</v>
      </c>
      <c r="L990" s="2">
        <v>3.125E-2</v>
      </c>
      <c r="M990" t="s">
        <v>3566</v>
      </c>
      <c r="N990" t="s">
        <v>121</v>
      </c>
      <c r="O990" t="s">
        <v>4813</v>
      </c>
      <c r="P990" t="s">
        <v>6841</v>
      </c>
      <c r="Q990" t="s">
        <v>6841</v>
      </c>
      <c r="R990" t="s">
        <v>6841</v>
      </c>
      <c r="S990" t="s">
        <v>6841</v>
      </c>
      <c r="T990" t="s">
        <v>6842</v>
      </c>
      <c r="U990" t="s">
        <v>6842</v>
      </c>
      <c r="V990" t="s">
        <v>6843</v>
      </c>
      <c r="W990" t="s">
        <v>6844</v>
      </c>
      <c r="X990" t="s">
        <v>6845</v>
      </c>
      <c r="Y990" t="s">
        <v>6845</v>
      </c>
      <c r="Z990" t="s">
        <v>6845</v>
      </c>
      <c r="AA990" t="s">
        <v>3374</v>
      </c>
      <c r="AB990" s="2">
        <v>-1.1299999999999999E-2</v>
      </c>
      <c r="AC990" s="2">
        <v>-4.4600000000000001E-2</v>
      </c>
      <c r="AD990" s="2">
        <v>-3.4700000000000002E-2</v>
      </c>
      <c r="AE990" s="2">
        <v>-4.6699999999999998E-2</v>
      </c>
      <c r="AF990" s="2">
        <v>-8.3199999999999996E-2</v>
      </c>
      <c r="AG990" s="2">
        <v>-0.33650000000000002</v>
      </c>
      <c r="AH990" t="s">
        <v>6846</v>
      </c>
      <c r="AI990" t="s">
        <v>130</v>
      </c>
      <c r="AJ990" t="s">
        <v>131</v>
      </c>
      <c r="AK990" t="s">
        <v>40</v>
      </c>
      <c r="AL990">
        <v>2</v>
      </c>
      <c r="AM990" t="s">
        <v>41</v>
      </c>
      <c r="AN990" t="s">
        <v>42</v>
      </c>
      <c r="AO990" t="s">
        <v>4813</v>
      </c>
      <c r="AP990" t="s">
        <v>171</v>
      </c>
      <c r="AQ990" t="s">
        <v>171</v>
      </c>
      <c r="AR990" t="s">
        <v>133</v>
      </c>
      <c r="AS990" t="s">
        <v>133</v>
      </c>
    </row>
    <row r="991" spans="1:54" x14ac:dyDescent="0.4">
      <c r="A991" t="s">
        <v>4453</v>
      </c>
      <c r="B991" t="s">
        <v>10</v>
      </c>
      <c r="C991" t="s">
        <v>1163</v>
      </c>
      <c r="D991" t="s">
        <v>11</v>
      </c>
      <c r="E991" s="2">
        <v>-2.8999999999999998E-3</v>
      </c>
      <c r="F991" t="s">
        <v>178</v>
      </c>
      <c r="G991" s="4">
        <f>-0.29 / -0.29%</f>
        <v>100</v>
      </c>
      <c r="H991" t="s">
        <v>1163</v>
      </c>
      <c r="I991" t="s">
        <v>6847</v>
      </c>
      <c r="J991" t="s">
        <v>6848</v>
      </c>
      <c r="K991" t="s">
        <v>23</v>
      </c>
      <c r="L991" s="2">
        <v>5.0500000000000003E-2</v>
      </c>
      <c r="M991" t="s">
        <v>6849</v>
      </c>
      <c r="N991" t="s">
        <v>121</v>
      </c>
      <c r="O991" t="s">
        <v>2441</v>
      </c>
      <c r="P991" t="s">
        <v>4095</v>
      </c>
      <c r="Q991" t="s">
        <v>4095</v>
      </c>
      <c r="R991" t="s">
        <v>4095</v>
      </c>
      <c r="S991" t="s">
        <v>2941</v>
      </c>
      <c r="T991" t="s">
        <v>2941</v>
      </c>
      <c r="U991" t="s">
        <v>2941</v>
      </c>
      <c r="V991" t="s">
        <v>3172</v>
      </c>
      <c r="W991" t="s">
        <v>6047</v>
      </c>
      <c r="X991" t="s">
        <v>6720</v>
      </c>
      <c r="Y991" t="s">
        <v>6720</v>
      </c>
      <c r="Z991" t="s">
        <v>6720</v>
      </c>
      <c r="AA991" t="s">
        <v>6720</v>
      </c>
      <c r="AB991" s="2">
        <v>-2.0000000000000001E-4</v>
      </c>
      <c r="AC991" s="2">
        <v>-1.18E-2</v>
      </c>
      <c r="AD991" s="2">
        <v>-2.8E-3</v>
      </c>
      <c r="AE991" s="2">
        <v>1.44E-2</v>
      </c>
      <c r="AF991" s="2">
        <v>1.44E-2</v>
      </c>
      <c r="AG991" s="2">
        <v>1.44E-2</v>
      </c>
      <c r="AH991" t="s">
        <v>6850</v>
      </c>
      <c r="AI991" t="s">
        <v>130</v>
      </c>
      <c r="AJ991" t="s">
        <v>131</v>
      </c>
      <c r="AK991" t="s">
        <v>40</v>
      </c>
      <c r="AL991">
        <v>2</v>
      </c>
      <c r="AM991" t="s">
        <v>41</v>
      </c>
      <c r="AN991" t="s">
        <v>42</v>
      </c>
      <c r="AO991" t="s">
        <v>2441</v>
      </c>
      <c r="AP991" t="s">
        <v>357</v>
      </c>
      <c r="AQ991" t="s">
        <v>357</v>
      </c>
      <c r="AR991" t="s">
        <v>133</v>
      </c>
      <c r="AS991" t="s">
        <v>133</v>
      </c>
    </row>
    <row r="992" spans="1:54" x14ac:dyDescent="0.4">
      <c r="A992" t="s">
        <v>4453</v>
      </c>
      <c r="B992" t="s">
        <v>10</v>
      </c>
      <c r="C992" t="s">
        <v>219</v>
      </c>
      <c r="D992" t="s">
        <v>11</v>
      </c>
      <c r="E992" s="2">
        <v>2.3999999999999998E-3</v>
      </c>
      <c r="F992" t="s">
        <v>178</v>
      </c>
      <c r="G992" s="4" t="s">
        <v>6851</v>
      </c>
      <c r="H992" t="s">
        <v>219</v>
      </c>
      <c r="I992" t="s">
        <v>6852</v>
      </c>
      <c r="J992" t="s">
        <v>6853</v>
      </c>
      <c r="K992" t="s">
        <v>23</v>
      </c>
      <c r="L992" s="2">
        <v>5.7500000000000002E-2</v>
      </c>
      <c r="M992" t="s">
        <v>4641</v>
      </c>
      <c r="N992" t="s">
        <v>121</v>
      </c>
      <c r="O992" t="s">
        <v>1162</v>
      </c>
      <c r="P992" t="s">
        <v>5322</v>
      </c>
      <c r="Q992" t="s">
        <v>5322</v>
      </c>
      <c r="R992" t="s">
        <v>5322</v>
      </c>
      <c r="S992" t="s">
        <v>5322</v>
      </c>
      <c r="T992" t="s">
        <v>5322</v>
      </c>
      <c r="U992" t="s">
        <v>5322</v>
      </c>
      <c r="V992" t="s">
        <v>219</v>
      </c>
      <c r="W992" t="s">
        <v>284</v>
      </c>
      <c r="X992" t="s">
        <v>6854</v>
      </c>
      <c r="Y992" t="s">
        <v>6854</v>
      </c>
      <c r="Z992" t="s">
        <v>6854</v>
      </c>
      <c r="AA992" t="s">
        <v>6854</v>
      </c>
      <c r="AB992" s="2">
        <v>1.6000000000000001E-3</v>
      </c>
      <c r="AC992" s="2">
        <v>-1.6899999999999998E-2</v>
      </c>
      <c r="AD992" s="2">
        <v>-1.23E-2</v>
      </c>
      <c r="AE992" s="2">
        <v>-2.0500000000000001E-2</v>
      </c>
      <c r="AF992" s="2">
        <v>-2.0500000000000001E-2</v>
      </c>
      <c r="AG992" s="2">
        <v>-2.0500000000000001E-2</v>
      </c>
      <c r="AH992" t="s">
        <v>6855</v>
      </c>
      <c r="AI992" t="s">
        <v>130</v>
      </c>
      <c r="AJ992" t="s">
        <v>131</v>
      </c>
      <c r="AK992" t="s">
        <v>40</v>
      </c>
      <c r="AL992">
        <v>2</v>
      </c>
      <c r="AM992" t="s">
        <v>41</v>
      </c>
      <c r="AN992" t="s">
        <v>42</v>
      </c>
      <c r="AO992" t="s">
        <v>1162</v>
      </c>
      <c r="AP992" t="s">
        <v>643</v>
      </c>
      <c r="AQ992" t="s">
        <v>643</v>
      </c>
      <c r="AR992" t="s">
        <v>133</v>
      </c>
      <c r="AS992" t="s">
        <v>133</v>
      </c>
    </row>
    <row r="993" spans="1:46" x14ac:dyDescent="0.4">
      <c r="A993" t="s">
        <v>3376</v>
      </c>
      <c r="B993" t="s">
        <v>10</v>
      </c>
      <c r="C993" t="s">
        <v>1901</v>
      </c>
      <c r="D993" t="s">
        <v>11</v>
      </c>
      <c r="E993" s="2">
        <v>-4.0000000000000002E-4</v>
      </c>
      <c r="F993" t="s">
        <v>1057</v>
      </c>
      <c r="G993" s="4">
        <f>-0.04 / -0.04%</f>
        <v>100</v>
      </c>
      <c r="H993" t="s">
        <v>1901</v>
      </c>
      <c r="I993" t="s">
        <v>3377</v>
      </c>
      <c r="J993" t="s">
        <v>3378</v>
      </c>
      <c r="K993" t="s">
        <v>23</v>
      </c>
      <c r="L993" s="2">
        <v>4.8750000000000002E-2</v>
      </c>
      <c r="M993" t="s">
        <v>3379</v>
      </c>
      <c r="N993" t="s">
        <v>28</v>
      </c>
      <c r="O993" t="s">
        <v>3380</v>
      </c>
      <c r="P993" t="s">
        <v>1642</v>
      </c>
      <c r="Q993" t="s">
        <v>1642</v>
      </c>
      <c r="R993" t="s">
        <v>1642</v>
      </c>
      <c r="S993" t="s">
        <v>3381</v>
      </c>
      <c r="T993" t="s">
        <v>2214</v>
      </c>
      <c r="U993" t="s">
        <v>2214</v>
      </c>
      <c r="V993" t="s">
        <v>3382</v>
      </c>
      <c r="W993" t="s">
        <v>3383</v>
      </c>
      <c r="X993" t="s">
        <v>3384</v>
      </c>
      <c r="Y993" t="s">
        <v>3384</v>
      </c>
      <c r="Z993" t="s">
        <v>3385</v>
      </c>
      <c r="AA993" t="s">
        <v>3385</v>
      </c>
      <c r="AB993" s="2">
        <v>-7.4000000000000003E-3</v>
      </c>
      <c r="AC993" s="2">
        <v>-7.1999999999999998E-3</v>
      </c>
      <c r="AD993" s="2">
        <v>-1.1000000000000001E-3</v>
      </c>
      <c r="AE993" s="2">
        <v>-9.7999999999999997E-3</v>
      </c>
      <c r="AF993" s="2">
        <v>4.2599999999999999E-2</v>
      </c>
      <c r="AG993" s="2">
        <v>4.2599999999999999E-2</v>
      </c>
      <c r="AH993" t="s">
        <v>3386</v>
      </c>
      <c r="AI993" t="s">
        <v>130</v>
      </c>
      <c r="AJ993" t="s">
        <v>131</v>
      </c>
      <c r="AK993" t="s">
        <v>40</v>
      </c>
      <c r="AL993">
        <v>1</v>
      </c>
      <c r="AM993" t="s">
        <v>41</v>
      </c>
      <c r="AN993" t="s">
        <v>42</v>
      </c>
      <c r="AO993" t="s">
        <v>3380</v>
      </c>
      <c r="AP993" t="s">
        <v>3387</v>
      </c>
      <c r="AQ993" t="s">
        <v>3387</v>
      </c>
      <c r="AR993" t="s">
        <v>48</v>
      </c>
      <c r="AS993" t="s">
        <v>48</v>
      </c>
    </row>
    <row r="994" spans="1:46" x14ac:dyDescent="0.4">
      <c r="A994" t="s">
        <v>4453</v>
      </c>
      <c r="B994" t="s">
        <v>10</v>
      </c>
      <c r="C994" t="s">
        <v>1871</v>
      </c>
      <c r="D994" t="s">
        <v>11</v>
      </c>
      <c r="E994" s="2">
        <v>-4.0000000000000002E-4</v>
      </c>
      <c r="F994" t="s">
        <v>1057</v>
      </c>
      <c r="G994" s="4">
        <f>-0.04 / -0.04%</f>
        <v>100</v>
      </c>
      <c r="H994" t="s">
        <v>1871</v>
      </c>
      <c r="I994" t="s">
        <v>5151</v>
      </c>
      <c r="J994" t="s">
        <v>5152</v>
      </c>
      <c r="K994" t="s">
        <v>23</v>
      </c>
      <c r="L994" s="2">
        <v>4.1250000000000002E-2</v>
      </c>
      <c r="M994" t="s">
        <v>1262</v>
      </c>
      <c r="N994" t="s">
        <v>28</v>
      </c>
      <c r="O994" t="s">
        <v>1263</v>
      </c>
      <c r="P994" t="s">
        <v>572</v>
      </c>
      <c r="Q994" t="s">
        <v>5153</v>
      </c>
      <c r="R994" t="s">
        <v>3650</v>
      </c>
      <c r="S994" t="s">
        <v>1641</v>
      </c>
      <c r="T994" t="s">
        <v>1823</v>
      </c>
      <c r="U994" t="s">
        <v>1823</v>
      </c>
      <c r="V994" t="s">
        <v>1765</v>
      </c>
      <c r="W994" t="s">
        <v>529</v>
      </c>
      <c r="X994" t="s">
        <v>529</v>
      </c>
      <c r="Y994" t="s">
        <v>529</v>
      </c>
      <c r="Z994" t="s">
        <v>529</v>
      </c>
      <c r="AA994" t="s">
        <v>529</v>
      </c>
      <c r="AB994" s="2">
        <v>-9.5999999999999992E-3</v>
      </c>
      <c r="AC994" s="2">
        <v>-4.7000000000000002E-3</v>
      </c>
      <c r="AD994" s="2">
        <v>9.5999999999999992E-3</v>
      </c>
      <c r="AE994" s="2">
        <v>0.01</v>
      </c>
      <c r="AF994" s="2">
        <v>3.32E-2</v>
      </c>
      <c r="AG994" s="2">
        <v>3.32E-2</v>
      </c>
      <c r="AH994" t="s">
        <v>5154</v>
      </c>
      <c r="AI994" t="s">
        <v>130</v>
      </c>
      <c r="AJ994" t="s">
        <v>131</v>
      </c>
      <c r="AK994" t="s">
        <v>40</v>
      </c>
      <c r="AL994">
        <v>100</v>
      </c>
      <c r="AM994" t="s">
        <v>41</v>
      </c>
      <c r="AN994" t="s">
        <v>42</v>
      </c>
      <c r="AO994" t="s">
        <v>1263</v>
      </c>
      <c r="AP994" t="s">
        <v>357</v>
      </c>
      <c r="AQ994" t="s">
        <v>357</v>
      </c>
      <c r="AR994" t="s">
        <v>48</v>
      </c>
      <c r="AS994" t="s">
        <v>48</v>
      </c>
    </row>
    <row r="995" spans="1:46" x14ac:dyDescent="0.4">
      <c r="A995" t="s">
        <v>630</v>
      </c>
      <c r="B995" t="s">
        <v>10</v>
      </c>
      <c r="C995" t="s">
        <v>1538</v>
      </c>
      <c r="D995" t="s">
        <v>11</v>
      </c>
      <c r="E995" s="2">
        <v>-6.3E-3</v>
      </c>
      <c r="F995" t="s">
        <v>12</v>
      </c>
      <c r="G995" s="4">
        <f>-0.65 / -0.63%</f>
        <v>103.17460317460318</v>
      </c>
      <c r="H995" t="s">
        <v>1538</v>
      </c>
      <c r="I995" t="s">
        <v>5227</v>
      </c>
      <c r="J995" t="s">
        <v>5228</v>
      </c>
      <c r="K995" t="s">
        <v>23</v>
      </c>
      <c r="L995" s="2">
        <v>1.4E-2</v>
      </c>
      <c r="M995" t="s">
        <v>5229</v>
      </c>
      <c r="N995" t="s">
        <v>28</v>
      </c>
      <c r="O995" t="s">
        <v>5230</v>
      </c>
      <c r="P995" t="s">
        <v>1538</v>
      </c>
      <c r="Q995" t="s">
        <v>2211</v>
      </c>
      <c r="R995" t="s">
        <v>2211</v>
      </c>
      <c r="S995" t="s">
        <v>4571</v>
      </c>
      <c r="T995" t="s">
        <v>5231</v>
      </c>
      <c r="U995" t="s">
        <v>5232</v>
      </c>
      <c r="V995" t="s">
        <v>2390</v>
      </c>
      <c r="W995" t="s">
        <v>5233</v>
      </c>
      <c r="X995" t="s">
        <v>5233</v>
      </c>
      <c r="Y995" t="s">
        <v>5233</v>
      </c>
      <c r="Z995" t="s">
        <v>5233</v>
      </c>
      <c r="AA995" t="s">
        <v>5233</v>
      </c>
      <c r="AB995" s="2">
        <v>-1.21E-2</v>
      </c>
      <c r="AC995" s="2">
        <v>-2.3E-3</v>
      </c>
      <c r="AD995" s="2">
        <v>1.34E-2</v>
      </c>
      <c r="AE995" s="2">
        <v>2.5700000000000001E-2</v>
      </c>
      <c r="AF995" s="2">
        <v>4.0300000000000002E-2</v>
      </c>
      <c r="AG995" s="2">
        <v>3.5499999999999997E-2</v>
      </c>
      <c r="AH995" t="s">
        <v>5234</v>
      </c>
      <c r="AI995" t="s">
        <v>130</v>
      </c>
      <c r="AJ995" t="s">
        <v>131</v>
      </c>
      <c r="AK995" t="s">
        <v>40</v>
      </c>
      <c r="AL995">
        <v>5</v>
      </c>
      <c r="AM995" t="s">
        <v>41</v>
      </c>
      <c r="AN995" t="s">
        <v>42</v>
      </c>
      <c r="AO995" t="s">
        <v>5230</v>
      </c>
      <c r="AP995" t="s">
        <v>2382</v>
      </c>
      <c r="AQ995" t="s">
        <v>2382</v>
      </c>
      <c r="AR995" t="s">
        <v>1694</v>
      </c>
      <c r="AS995" t="s">
        <v>1694</v>
      </c>
    </row>
    <row r="996" spans="1:46" x14ac:dyDescent="0.4">
      <c r="A996" t="s">
        <v>4453</v>
      </c>
      <c r="B996" t="s">
        <v>10</v>
      </c>
      <c r="C996" t="s">
        <v>799</v>
      </c>
      <c r="D996" t="s">
        <v>11</v>
      </c>
      <c r="E996" s="2">
        <v>-8.9999999999999998E-4</v>
      </c>
      <c r="F996" t="s">
        <v>310</v>
      </c>
      <c r="G996" s="4">
        <f>-0.09 / -0.09%</f>
        <v>100</v>
      </c>
      <c r="H996" t="s">
        <v>799</v>
      </c>
      <c r="I996" t="s">
        <v>6439</v>
      </c>
      <c r="J996" t="s">
        <v>6440</v>
      </c>
      <c r="K996" t="s">
        <v>23</v>
      </c>
      <c r="M996" t="s">
        <v>6441</v>
      </c>
      <c r="N996" t="s">
        <v>28</v>
      </c>
      <c r="O996" t="s">
        <v>477</v>
      </c>
      <c r="P996" s="1">
        <v>97975</v>
      </c>
      <c r="Q996" s="1">
        <v>97695</v>
      </c>
      <c r="R996" s="1">
        <v>96225</v>
      </c>
      <c r="S996" t="s">
        <v>4711</v>
      </c>
      <c r="T996" t="s">
        <v>6442</v>
      </c>
      <c r="U996" t="s">
        <v>4487</v>
      </c>
      <c r="V996" s="1">
        <v>98595</v>
      </c>
      <c r="W996" s="1">
        <v>98675</v>
      </c>
      <c r="X996" s="1">
        <v>98675</v>
      </c>
      <c r="Y996" s="1">
        <v>98675</v>
      </c>
      <c r="Z996" s="1">
        <v>98675</v>
      </c>
      <c r="AA996" s="1">
        <v>99555</v>
      </c>
      <c r="AB996" s="2">
        <v>-5.5999999999999999E-3</v>
      </c>
      <c r="AC996" s="2">
        <v>4.0000000000000001E-3</v>
      </c>
      <c r="AD996" s="2">
        <v>1.9599999999999999E-2</v>
      </c>
      <c r="AE996" s="2">
        <v>4.0800000000000003E-2</v>
      </c>
      <c r="AF996" s="2">
        <v>6.2700000000000006E-2</v>
      </c>
      <c r="AG996" s="2">
        <v>-1.4500000000000001E-2</v>
      </c>
      <c r="AH996" t="s">
        <v>6443</v>
      </c>
      <c r="AI996" t="s">
        <v>130</v>
      </c>
      <c r="AJ996" t="s">
        <v>131</v>
      </c>
      <c r="AK996" t="s">
        <v>40</v>
      </c>
      <c r="AL996">
        <v>5</v>
      </c>
      <c r="AM996" t="s">
        <v>41</v>
      </c>
      <c r="AN996" t="s">
        <v>42</v>
      </c>
      <c r="AO996" t="s">
        <v>477</v>
      </c>
      <c r="AP996" t="s">
        <v>6444</v>
      </c>
      <c r="AQ996" t="s">
        <v>6444</v>
      </c>
      <c r="AR996" t="s">
        <v>1694</v>
      </c>
      <c r="AS996" t="s">
        <v>1694</v>
      </c>
      <c r="AT996" t="s">
        <v>6445</v>
      </c>
    </row>
    <row r="997" spans="1:46" x14ac:dyDescent="0.4">
      <c r="A997" t="s">
        <v>4453</v>
      </c>
      <c r="B997" t="s">
        <v>10</v>
      </c>
      <c r="C997" t="s">
        <v>768</v>
      </c>
      <c r="D997" t="s">
        <v>11</v>
      </c>
      <c r="E997" s="2">
        <v>-5.8999999999999999E-3</v>
      </c>
      <c r="F997" t="s">
        <v>1057</v>
      </c>
      <c r="G997" s="4">
        <f>-0.51 / -0.59%</f>
        <v>86.440677966101703</v>
      </c>
      <c r="H997" t="s">
        <v>768</v>
      </c>
      <c r="I997" t="s">
        <v>6446</v>
      </c>
      <c r="J997" t="s">
        <v>6447</v>
      </c>
      <c r="K997" t="s">
        <v>23</v>
      </c>
      <c r="L997" s="2">
        <v>1E-3</v>
      </c>
      <c r="M997" t="s">
        <v>6441</v>
      </c>
      <c r="N997" t="s">
        <v>28</v>
      </c>
      <c r="O997" t="s">
        <v>477</v>
      </c>
      <c r="P997" t="s">
        <v>6448</v>
      </c>
      <c r="Q997" t="s">
        <v>6448</v>
      </c>
      <c r="R997" t="s">
        <v>6449</v>
      </c>
      <c r="S997" t="s">
        <v>6450</v>
      </c>
      <c r="T997" t="s">
        <v>6451</v>
      </c>
      <c r="U997" t="s">
        <v>6452</v>
      </c>
      <c r="V997" t="s">
        <v>5277</v>
      </c>
      <c r="W997" t="s">
        <v>5446</v>
      </c>
      <c r="X997" t="s">
        <v>5446</v>
      </c>
      <c r="Y997" t="s">
        <v>5446</v>
      </c>
      <c r="Z997" t="s">
        <v>5446</v>
      </c>
      <c r="AA997" t="s">
        <v>388</v>
      </c>
      <c r="AB997" s="2">
        <v>-3.3099999999999997E-2</v>
      </c>
      <c r="AC997" s="2">
        <v>1.1299999999999999E-2</v>
      </c>
      <c r="AD997" s="2">
        <v>1.9900000000000001E-2</v>
      </c>
      <c r="AE997" s="2">
        <v>0.1255</v>
      </c>
      <c r="AF997" s="2">
        <v>0.20319999999999999</v>
      </c>
      <c r="AG997" s="2">
        <v>-0.1101</v>
      </c>
      <c r="AH997" t="s">
        <v>6443</v>
      </c>
      <c r="AI997" t="s">
        <v>130</v>
      </c>
      <c r="AJ997" t="s">
        <v>131</v>
      </c>
      <c r="AK997" t="s">
        <v>40</v>
      </c>
      <c r="AL997">
        <v>5</v>
      </c>
      <c r="AM997" t="s">
        <v>41</v>
      </c>
      <c r="AN997" t="s">
        <v>42</v>
      </c>
      <c r="AO997" t="s">
        <v>477</v>
      </c>
      <c r="AP997" t="s">
        <v>6453</v>
      </c>
      <c r="AQ997" t="s">
        <v>6453</v>
      </c>
      <c r="AR997" t="s">
        <v>1694</v>
      </c>
      <c r="AS997" t="s">
        <v>1694</v>
      </c>
    </row>
    <row r="998" spans="1:46" x14ac:dyDescent="0.4">
      <c r="A998" t="s">
        <v>3301</v>
      </c>
      <c r="B998" t="s">
        <v>10</v>
      </c>
      <c r="C998" t="s">
        <v>143</v>
      </c>
      <c r="D998" t="s">
        <v>11</v>
      </c>
      <c r="E998" s="2">
        <v>1.0999999999999999E-2</v>
      </c>
      <c r="F998" t="s">
        <v>178</v>
      </c>
      <c r="G998" s="4" t="s">
        <v>3302</v>
      </c>
      <c r="H998" t="s">
        <v>143</v>
      </c>
      <c r="I998" t="s">
        <v>3303</v>
      </c>
      <c r="J998" t="s">
        <v>3304</v>
      </c>
      <c r="K998" t="s">
        <v>23</v>
      </c>
      <c r="L998" s="2">
        <v>1.2999999999999999E-2</v>
      </c>
      <c r="M998" t="s">
        <v>3305</v>
      </c>
      <c r="N998" t="s">
        <v>28</v>
      </c>
      <c r="O998" t="s">
        <v>569</v>
      </c>
      <c r="P998" t="s">
        <v>1129</v>
      </c>
      <c r="Q998" t="s">
        <v>1129</v>
      </c>
      <c r="R998" t="s">
        <v>3306</v>
      </c>
      <c r="S998" t="s">
        <v>2527</v>
      </c>
      <c r="T998" t="s">
        <v>2527</v>
      </c>
      <c r="U998" t="s">
        <v>2527</v>
      </c>
      <c r="V998" t="s">
        <v>143</v>
      </c>
      <c r="W998" t="s">
        <v>3307</v>
      </c>
      <c r="X998" t="s">
        <v>3307</v>
      </c>
      <c r="Y998" t="s">
        <v>3307</v>
      </c>
      <c r="Z998" t="s">
        <v>3307</v>
      </c>
      <c r="AA998" t="s">
        <v>3307</v>
      </c>
      <c r="AB998" s="2">
        <v>-4.0000000000000002E-4</v>
      </c>
      <c r="AC998" s="2">
        <v>1.5299999999999999E-2</v>
      </c>
      <c r="AD998" s="2">
        <v>2.1600000000000001E-2</v>
      </c>
      <c r="AE998" s="2">
        <v>0.06</v>
      </c>
      <c r="AF998" s="2">
        <v>6.0900000000000003E-2</v>
      </c>
      <c r="AG998" s="2">
        <v>6.0900000000000003E-2</v>
      </c>
      <c r="AH998" t="s">
        <v>3308</v>
      </c>
      <c r="AI998" t="s">
        <v>130</v>
      </c>
      <c r="AJ998" t="s">
        <v>131</v>
      </c>
      <c r="AK998" t="s">
        <v>40</v>
      </c>
      <c r="AL998">
        <v>5</v>
      </c>
      <c r="AM998" t="s">
        <v>41</v>
      </c>
      <c r="AN998" t="s">
        <v>42</v>
      </c>
      <c r="AO998" t="s">
        <v>569</v>
      </c>
      <c r="AP998" t="s">
        <v>978</v>
      </c>
      <c r="AQ998" t="s">
        <v>978</v>
      </c>
      <c r="AR998" t="s">
        <v>1694</v>
      </c>
      <c r="AS998" t="s">
        <v>1694</v>
      </c>
    </row>
    <row r="999" spans="1:46" x14ac:dyDescent="0.4">
      <c r="A999" t="s">
        <v>630</v>
      </c>
      <c r="B999" t="s">
        <v>10</v>
      </c>
      <c r="C999" t="s">
        <v>1806</v>
      </c>
      <c r="D999" t="s">
        <v>11</v>
      </c>
      <c r="E999" s="2">
        <v>1E-4</v>
      </c>
      <c r="F999" t="s">
        <v>12</v>
      </c>
      <c r="G999" s="4" t="s">
        <v>148</v>
      </c>
      <c r="H999" t="s">
        <v>1806</v>
      </c>
      <c r="I999" t="s">
        <v>3452</v>
      </c>
      <c r="J999" t="s">
        <v>3453</v>
      </c>
      <c r="K999" t="s">
        <v>23</v>
      </c>
      <c r="L999" s="2">
        <v>0.05</v>
      </c>
      <c r="M999" t="s">
        <v>3454</v>
      </c>
      <c r="N999" t="s">
        <v>28</v>
      </c>
      <c r="O999" t="s">
        <v>3455</v>
      </c>
      <c r="P999" t="s">
        <v>394</v>
      </c>
      <c r="Q999" t="s">
        <v>939</v>
      </c>
      <c r="R999" t="s">
        <v>1307</v>
      </c>
      <c r="S999" t="s">
        <v>1307</v>
      </c>
      <c r="T999" t="s">
        <v>1307</v>
      </c>
      <c r="U999" t="s">
        <v>1307</v>
      </c>
      <c r="V999" t="s">
        <v>257</v>
      </c>
      <c r="W999" t="s">
        <v>257</v>
      </c>
      <c r="X999" t="s">
        <v>257</v>
      </c>
      <c r="Y999" t="s">
        <v>110</v>
      </c>
      <c r="Z999" t="s">
        <v>919</v>
      </c>
      <c r="AA999" t="s">
        <v>1767</v>
      </c>
      <c r="AB999" s="2">
        <v>2.0400000000000001E-2</v>
      </c>
      <c r="AC999" s="2">
        <v>6.5299999999999997E-2</v>
      </c>
      <c r="AD999" s="2">
        <v>1.5599999999999999E-2</v>
      </c>
      <c r="AE999" s="2">
        <v>0.1012</v>
      </c>
      <c r="AF999" s="2">
        <v>1.04E-2</v>
      </c>
      <c r="AG999" s="2">
        <v>-4.3799999999999999E-2</v>
      </c>
      <c r="AH999" t="s">
        <v>3456</v>
      </c>
      <c r="AI999" t="s">
        <v>232</v>
      </c>
      <c r="AJ999" t="s">
        <v>131</v>
      </c>
      <c r="AK999" t="s">
        <v>40</v>
      </c>
      <c r="AL999">
        <v>1</v>
      </c>
      <c r="AM999" t="s">
        <v>41</v>
      </c>
      <c r="AN999" t="s">
        <v>42</v>
      </c>
      <c r="AO999" t="s">
        <v>3455</v>
      </c>
      <c r="AP999" t="s">
        <v>2055</v>
      </c>
      <c r="AQ999" t="s">
        <v>2055</v>
      </c>
      <c r="AR999" t="s">
        <v>48</v>
      </c>
      <c r="AS999" t="s">
        <v>48</v>
      </c>
    </row>
    <row r="1000" spans="1:46" x14ac:dyDescent="0.4">
      <c r="A1000" t="s">
        <v>4453</v>
      </c>
      <c r="B1000" t="s">
        <v>10</v>
      </c>
      <c r="C1000" t="s">
        <v>5085</v>
      </c>
      <c r="D1000" t="s">
        <v>11</v>
      </c>
      <c r="E1000" s="2">
        <v>-1E-4</v>
      </c>
      <c r="F1000" t="s">
        <v>363</v>
      </c>
      <c r="G1000" s="4">
        <f>-0.01 / -0.01%</f>
        <v>100</v>
      </c>
      <c r="H1000" t="s">
        <v>5085</v>
      </c>
      <c r="I1000" t="s">
        <v>5086</v>
      </c>
      <c r="J1000" t="s">
        <v>5087</v>
      </c>
      <c r="K1000" t="s">
        <v>23</v>
      </c>
      <c r="L1000" s="2">
        <v>0.02</v>
      </c>
      <c r="M1000" t="s">
        <v>4832</v>
      </c>
      <c r="N1000" t="s">
        <v>28</v>
      </c>
      <c r="O1000" t="s">
        <v>5088</v>
      </c>
      <c r="P1000" t="s">
        <v>1098</v>
      </c>
      <c r="Q1000" t="s">
        <v>1098</v>
      </c>
      <c r="R1000" t="s">
        <v>5089</v>
      </c>
      <c r="S1000" t="s">
        <v>5090</v>
      </c>
      <c r="T1000" t="s">
        <v>5091</v>
      </c>
      <c r="U1000" t="s">
        <v>5092</v>
      </c>
      <c r="V1000" t="s">
        <v>2757</v>
      </c>
      <c r="W1000" t="s">
        <v>927</v>
      </c>
      <c r="X1000" t="s">
        <v>927</v>
      </c>
      <c r="Y1000" t="s">
        <v>927</v>
      </c>
      <c r="Z1000" t="s">
        <v>927</v>
      </c>
      <c r="AA1000" t="s">
        <v>473</v>
      </c>
      <c r="AB1000" s="2">
        <v>2.8999999999999998E-3</v>
      </c>
      <c r="AC1000" s="2">
        <v>1.01E-2</v>
      </c>
      <c r="AD1000" s="2">
        <v>9.4000000000000004E-3</v>
      </c>
      <c r="AE1000" s="2">
        <v>2.7900000000000001E-2</v>
      </c>
      <c r="AF1000" s="2">
        <v>0.12330000000000001</v>
      </c>
      <c r="AG1000" s="2">
        <v>-4.2999999999999997E-2</v>
      </c>
      <c r="AH1000" t="s">
        <v>5093</v>
      </c>
      <c r="AI1000" t="s">
        <v>232</v>
      </c>
      <c r="AJ1000" t="s">
        <v>131</v>
      </c>
      <c r="AK1000" t="s">
        <v>40</v>
      </c>
      <c r="AL1000">
        <v>100</v>
      </c>
      <c r="AM1000" t="s">
        <v>41</v>
      </c>
      <c r="AN1000" t="s">
        <v>42</v>
      </c>
      <c r="AO1000" t="s">
        <v>5088</v>
      </c>
      <c r="AP1000" t="s">
        <v>225</v>
      </c>
      <c r="AQ1000" t="s">
        <v>225</v>
      </c>
      <c r="AR1000" t="s">
        <v>48</v>
      </c>
      <c r="AS1000" t="s">
        <v>48</v>
      </c>
    </row>
    <row r="1001" spans="1:46" x14ac:dyDescent="0.4">
      <c r="A1001" t="s">
        <v>777</v>
      </c>
      <c r="B1001" t="s">
        <v>10</v>
      </c>
      <c r="C1001" t="s">
        <v>778</v>
      </c>
      <c r="D1001" t="s">
        <v>11</v>
      </c>
      <c r="E1001" s="2">
        <v>1.5E-3</v>
      </c>
      <c r="F1001" t="s">
        <v>178</v>
      </c>
      <c r="G1001" s="4" t="s">
        <v>779</v>
      </c>
      <c r="H1001" t="s">
        <v>778</v>
      </c>
      <c r="I1001" t="s">
        <v>780</v>
      </c>
      <c r="J1001" t="s">
        <v>781</v>
      </c>
      <c r="K1001" t="s">
        <v>23</v>
      </c>
      <c r="L1001" s="2">
        <v>1.6250000000000001E-2</v>
      </c>
      <c r="M1001" t="s">
        <v>782</v>
      </c>
      <c r="N1001" t="s">
        <v>28</v>
      </c>
      <c r="O1001" t="s">
        <v>783</v>
      </c>
      <c r="P1001" t="s">
        <v>784</v>
      </c>
      <c r="Q1001" t="s">
        <v>784</v>
      </c>
      <c r="R1001" t="s">
        <v>785</v>
      </c>
      <c r="S1001" t="s">
        <v>785</v>
      </c>
      <c r="T1001" t="s">
        <v>786</v>
      </c>
      <c r="U1001" t="s">
        <v>787</v>
      </c>
      <c r="V1001" t="s">
        <v>788</v>
      </c>
      <c r="W1001" t="s">
        <v>789</v>
      </c>
      <c r="X1001" t="s">
        <v>789</v>
      </c>
      <c r="Y1001" t="s">
        <v>789</v>
      </c>
      <c r="Z1001" t="s">
        <v>789</v>
      </c>
      <c r="AA1001" t="s">
        <v>790</v>
      </c>
      <c r="AB1001" s="2">
        <v>-4.7000000000000002E-3</v>
      </c>
      <c r="AC1001" s="2">
        <v>6.7999999999999996E-3</v>
      </c>
      <c r="AD1001" s="2">
        <v>2.35E-2</v>
      </c>
      <c r="AE1001" s="2">
        <v>2.5100000000000001E-2</v>
      </c>
      <c r="AF1001" s="2">
        <v>6.8699999999999997E-2</v>
      </c>
      <c r="AG1001" s="2">
        <v>-0.25180000000000002</v>
      </c>
      <c r="AH1001" t="s">
        <v>791</v>
      </c>
      <c r="AI1001" t="s">
        <v>130</v>
      </c>
      <c r="AJ1001" t="s">
        <v>131</v>
      </c>
      <c r="AK1001" t="s">
        <v>40</v>
      </c>
      <c r="AL1001">
        <v>100</v>
      </c>
      <c r="AM1001" t="s">
        <v>41</v>
      </c>
      <c r="AN1001" t="s">
        <v>42</v>
      </c>
      <c r="AO1001" t="s">
        <v>783</v>
      </c>
      <c r="AP1001" t="s">
        <v>225</v>
      </c>
      <c r="AQ1001" t="s">
        <v>225</v>
      </c>
      <c r="AR1001" t="s">
        <v>48</v>
      </c>
      <c r="AS1001" t="s">
        <v>48</v>
      </c>
    </row>
  </sheetData>
  <autoFilter ref="A1:BC1001" xr:uid="{8B0AB5EB-2F87-4D05-A063-EAA3C64F773D}">
    <sortState xmlns:xlrd2="http://schemas.microsoft.com/office/spreadsheetml/2017/richdata2" ref="A2:BC1001">
      <sortCondition ref="AH1:AH1001"/>
    </sortState>
  </autoFilter>
  <phoneticPr fontId="19" type="noConversion"/>
  <hyperlinks>
    <hyperlink ref="BC264" r:id="rId1" xr:uid="{86CFBE00-76F9-4C72-B170-72656FD748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4219-479E-41FC-9839-925FA43BF139}">
  <dimension ref="A1:N1001"/>
  <sheetViews>
    <sheetView tabSelected="1" topLeftCell="E1" workbookViewId="0">
      <selection activeCell="J12" sqref="J12"/>
    </sheetView>
  </sheetViews>
  <sheetFormatPr defaultRowHeight="14.6" x14ac:dyDescent="0.4"/>
  <cols>
    <col min="5" max="5" width="71.765625" bestFit="1" customWidth="1"/>
    <col min="6" max="6" width="17.53515625" bestFit="1" customWidth="1"/>
    <col min="7" max="7" width="40.4609375" bestFit="1" customWidth="1"/>
    <col min="10" max="10" width="33.3828125" bestFit="1" customWidth="1"/>
    <col min="12" max="12" width="15.3046875" bestFit="1" customWidth="1"/>
    <col min="13" max="13" width="33.3828125" bestFit="1" customWidth="1"/>
    <col min="14" max="14" width="16.3828125" customWidth="1"/>
  </cols>
  <sheetData>
    <row r="1" spans="1:14" x14ac:dyDescent="0.4">
      <c r="A1" t="s">
        <v>7570</v>
      </c>
      <c r="E1" t="s">
        <v>7571</v>
      </c>
      <c r="F1" t="s">
        <v>7572</v>
      </c>
      <c r="G1" t="s">
        <v>7573</v>
      </c>
      <c r="J1" t="s">
        <v>7574</v>
      </c>
      <c r="K1" t="s">
        <v>7575</v>
      </c>
      <c r="M1" t="s">
        <v>7574</v>
      </c>
      <c r="N1" t="s">
        <v>7575</v>
      </c>
    </row>
    <row r="2" spans="1:14" x14ac:dyDescent="0.4">
      <c r="A2" t="s">
        <v>5144</v>
      </c>
      <c r="E2" t="s">
        <v>977</v>
      </c>
      <c r="F2">
        <f>COUNTIF($A$2:$A$1001,E2)</f>
        <v>72</v>
      </c>
      <c r="G2" t="str">
        <f>VLOOKUP(Table1[[#This Row],[Unique Emitters]],Cleaned!$AH$2:$AI$1001,2,FALSE)</f>
        <v>Pfandbriefe von Hypothekenbankenoder</v>
      </c>
      <c r="J2" s="7" t="str">
        <f>VLOOKUP(Table1[[#This Row],[Unique Emitters]],Cleaned!$AH$2:$AI$1001,2,FALSE)</f>
        <v>Pfandbriefe von Hypothekenbankenoder</v>
      </c>
      <c r="K2" s="9">
        <f>COUNTIFS(Cleaned!$AI$2:$AI$1001,Table2[[#This Row],[Sector Overview]])</f>
        <v>119</v>
      </c>
      <c r="M2" t="s">
        <v>620</v>
      </c>
      <c r="N2">
        <v>119</v>
      </c>
    </row>
    <row r="3" spans="1:14" x14ac:dyDescent="0.4">
      <c r="A3" t="s">
        <v>6983</v>
      </c>
      <c r="E3" t="s">
        <v>223</v>
      </c>
      <c r="F3">
        <f>COUNTIF($A$2:$A$1001,E3)</f>
        <v>68</v>
      </c>
      <c r="G3" t="str">
        <f>VLOOKUP(Table1[[#This Row],[Unique Emitters]],Cleaned!$AH$2:$AI$1001,2,FALSE)</f>
        <v>WÃ¤hrungsanleihen</v>
      </c>
      <c r="J3" s="7" t="str">
        <f>VLOOKUP(Table1[[#This Row],[Unique Emitters]],Cleaned!$AH$2:$AI$1001,2,FALSE)</f>
        <v>WÃ¤hrungsanleihen</v>
      </c>
      <c r="K3" s="7">
        <f>COUNTIFS(Cleaned!$AI$2:$AI$1001,Table2[[#This Row],[Sector Overview]])</f>
        <v>609</v>
      </c>
      <c r="M3" t="s">
        <v>130</v>
      </c>
      <c r="N3">
        <v>609</v>
      </c>
    </row>
    <row r="4" spans="1:14" x14ac:dyDescent="0.4">
      <c r="A4" t="s">
        <v>6971</v>
      </c>
      <c r="E4" t="s">
        <v>129</v>
      </c>
      <c r="F4">
        <f>COUNTIF($A$2:$A$1001,E4)</f>
        <v>53</v>
      </c>
      <c r="G4" t="str">
        <f>VLOOKUP(Table1[[#This Row],[Unique Emitters]],Cleaned!$AH$2:$AI$1001,2,FALSE)</f>
        <v>WÃ¤hrungsanleihen</v>
      </c>
      <c r="J4" s="7" t="str">
        <f>VLOOKUP(Table1[[#This Row],[Unique Emitters]],Cleaned!$AH$2:$AI$1001,2,FALSE)</f>
        <v>WÃ¤hrungsanleihen</v>
      </c>
      <c r="K4" s="7">
        <f>COUNTIFS(Cleaned!$AI$2:$AI$1001,Table2[[#This Row],[Sector Overview]])</f>
        <v>609</v>
      </c>
      <c r="M4" t="s">
        <v>36</v>
      </c>
      <c r="N4">
        <v>63</v>
      </c>
    </row>
    <row r="5" spans="1:14" x14ac:dyDescent="0.4">
      <c r="A5" t="s">
        <v>1545</v>
      </c>
      <c r="E5" t="s">
        <v>34</v>
      </c>
      <c r="F5">
        <f>COUNTIF($A$2:$A$1001,E5)</f>
        <v>44</v>
      </c>
      <c r="G5" t="str">
        <f>VLOOKUP(Table1[[#This Row],[Unique Emitters]],Cleaned!$AH$2:$AI$1001,2,FALSE)</f>
        <v>Bundesanleihen</v>
      </c>
      <c r="J5" s="7" t="str">
        <f>VLOOKUP(Table1[[#This Row],[Unique Emitters]],Cleaned!$AH$2:$AI$1001,2,FALSE)</f>
        <v>Bundesanleihen</v>
      </c>
      <c r="K5" s="7">
        <f>COUNTIFS(Cleaned!$AI$2:$AI$1001,Table2[[#This Row],[Sector Overview]])</f>
        <v>63</v>
      </c>
    </row>
    <row r="6" spans="1:14" x14ac:dyDescent="0.4">
      <c r="A6" t="s">
        <v>5504</v>
      </c>
      <c r="E6" t="s">
        <v>4452</v>
      </c>
      <c r="F6">
        <f>COUNTIF($A$2:$A$1001,E6)</f>
        <v>30</v>
      </c>
      <c r="G6" t="str">
        <f>VLOOKUP(Table1[[#This Row],[Unique Emitters]],Cleaned!$AH$2:$AI$1001,2,FALSE)</f>
        <v>Pfandbriefe von Hypothekenbankenoder</v>
      </c>
      <c r="J6" s="6" t="str">
        <f>VLOOKUP(Table1[[#This Row],[Unique Emitters]],Cleaned!$AH$2:$AI$1001,2,FALSE)</f>
        <v>Pfandbriefe von Hypothekenbankenoder</v>
      </c>
      <c r="K6" s="7">
        <f>COUNTIFS(Cleaned!$AI$2:$AI$1001,Table2[[#This Row],[Sector Overview]])</f>
        <v>119</v>
      </c>
    </row>
    <row r="7" spans="1:14" x14ac:dyDescent="0.4">
      <c r="A7" t="s">
        <v>5057</v>
      </c>
      <c r="E7" t="s">
        <v>1668</v>
      </c>
      <c r="F7">
        <f>COUNTIF($A$2:$A$1001,E7)</f>
        <v>13</v>
      </c>
      <c r="G7" t="str">
        <f>VLOOKUP(Table1[[#This Row],[Unique Emitters]],Cleaned!$AH$2:$AI$1001,2,FALSE)</f>
        <v>WÃ¤hrungsanleihen</v>
      </c>
      <c r="J7" s="6" t="str">
        <f>VLOOKUP(Table1[[#This Row],[Unique Emitters]],Cleaned!$AH$2:$AI$1001,2,FALSE)</f>
        <v>WÃ¤hrungsanleihen</v>
      </c>
      <c r="K7" s="7">
        <f>COUNTIFS(Cleaned!$AI$2:$AI$1001,Table2[[#This Row],[Sector Overview]])</f>
        <v>609</v>
      </c>
    </row>
    <row r="8" spans="1:14" x14ac:dyDescent="0.4">
      <c r="A8" t="s">
        <v>5057</v>
      </c>
      <c r="E8" t="s">
        <v>920</v>
      </c>
      <c r="F8">
        <f>COUNTIF($A$2:$A$1001,E8)</f>
        <v>12</v>
      </c>
      <c r="G8" t="str">
        <f>VLOOKUP(Table1[[#This Row],[Unique Emitters]],Cleaned!$AH$2:$AI$1001,2,FALSE)</f>
        <v>WÃ¤hrungsanleihen</v>
      </c>
      <c r="J8" s="7" t="str">
        <f>VLOOKUP(Table1[[#This Row],[Unique Emitters]],Cleaned!$AH$2:$AI$1001,2,FALSE)</f>
        <v>WÃ¤hrungsanleihen</v>
      </c>
      <c r="K8" s="8">
        <f>COUNTIFS(Cleaned!$AI$2:$AI$1001,Table2[[#This Row],[Sector Overview]])</f>
        <v>609</v>
      </c>
    </row>
    <row r="9" spans="1:14" x14ac:dyDescent="0.4">
      <c r="A9" t="s">
        <v>5057</v>
      </c>
      <c r="E9" t="s">
        <v>1171</v>
      </c>
      <c r="F9">
        <f>COUNTIF($A$2:$A$1001,E9)</f>
        <v>11</v>
      </c>
      <c r="G9" t="str">
        <f>VLOOKUP(Table1[[#This Row],[Unique Emitters]],Cleaned!$AH$2:$AI$1001,2,FALSE)</f>
        <v>Schuldverschreibungen von Sonderinstituten</v>
      </c>
    </row>
    <row r="10" spans="1:14" x14ac:dyDescent="0.4">
      <c r="A10" t="s">
        <v>4809</v>
      </c>
      <c r="E10" t="s">
        <v>321</v>
      </c>
      <c r="F10">
        <f>COUNTIF($A$2:$A$1001,E10)</f>
        <v>11</v>
      </c>
      <c r="G10" t="str">
        <f>VLOOKUP(Table1[[#This Row],[Unique Emitters]],Cleaned!$AH$2:$AI$1001,2,FALSE)</f>
        <v>WÃ¤hrungsanleihen</v>
      </c>
    </row>
    <row r="11" spans="1:14" x14ac:dyDescent="0.4">
      <c r="A11" t="s">
        <v>406</v>
      </c>
      <c r="E11" t="s">
        <v>1091</v>
      </c>
      <c r="F11">
        <f>COUNTIF($A$2:$A$1001,E11)</f>
        <v>10</v>
      </c>
      <c r="G11" t="str">
        <f>VLOOKUP(Table1[[#This Row],[Unique Emitters]],Cleaned!$AH$2:$AI$1001,2,FALSE)</f>
        <v>WÃ¤hrungsanleihen</v>
      </c>
    </row>
    <row r="12" spans="1:14" x14ac:dyDescent="0.4">
      <c r="A12" t="s">
        <v>6293</v>
      </c>
      <c r="E12" t="s">
        <v>1210</v>
      </c>
      <c r="F12">
        <f>COUNTIF($A$2:$A$1001,E12)</f>
        <v>10</v>
      </c>
      <c r="G12" t="str">
        <f>VLOOKUP(Table1[[#This Row],[Unique Emitters]],Cleaned!$AH$2:$AI$1001,2,FALSE)</f>
        <v>WÃ¤hrungsanleihen</v>
      </c>
    </row>
    <row r="13" spans="1:14" x14ac:dyDescent="0.4">
      <c r="A13" t="s">
        <v>761</v>
      </c>
      <c r="E13" t="s">
        <v>1164</v>
      </c>
      <c r="F13">
        <f>COUNTIF($A$2:$A$1001,E13)</f>
        <v>10</v>
      </c>
      <c r="G13" t="str">
        <f>VLOOKUP(Table1[[#This Row],[Unique Emitters]],Cleaned!$AH$2:$AI$1001,2,FALSE)</f>
        <v>WÃ¤hrungsanleihen</v>
      </c>
    </row>
    <row r="14" spans="1:14" x14ac:dyDescent="0.4">
      <c r="A14" t="s">
        <v>4817</v>
      </c>
      <c r="E14" t="s">
        <v>2620</v>
      </c>
      <c r="F14">
        <f>COUNTIF($A$2:$A$1001,E14)</f>
        <v>10</v>
      </c>
      <c r="G14" t="str">
        <f>VLOOKUP(Table1[[#This Row],[Unique Emitters]],Cleaned!$AH$2:$AI$1001,2,FALSE)</f>
        <v>Pfandbriefe von Hypothekenbankenoder</v>
      </c>
    </row>
    <row r="15" spans="1:14" x14ac:dyDescent="0.4">
      <c r="A15" t="s">
        <v>7006</v>
      </c>
      <c r="E15" t="s">
        <v>378</v>
      </c>
      <c r="F15">
        <f>COUNTIF($A$2:$A$1001,E15)</f>
        <v>8</v>
      </c>
      <c r="G15" t="str">
        <f>VLOOKUP(Table1[[#This Row],[Unique Emitters]],Cleaned!$AH$2:$AI$1001,2,FALSE)</f>
        <v>WÃ¤hrungsanleihen</v>
      </c>
    </row>
    <row r="16" spans="1:14" x14ac:dyDescent="0.4">
      <c r="A16" t="s">
        <v>4828</v>
      </c>
      <c r="E16" t="s">
        <v>999</v>
      </c>
      <c r="F16">
        <f>COUNTIF($A$2:$A$1001,E16)</f>
        <v>8</v>
      </c>
      <c r="G16" t="str">
        <f>VLOOKUP(Table1[[#This Row],[Unique Emitters]],Cleaned!$AH$2:$AI$1001,2,FALSE)</f>
        <v>WÃ¤hrungsanleihen</v>
      </c>
    </row>
    <row r="17" spans="1:7" x14ac:dyDescent="0.4">
      <c r="A17" t="s">
        <v>5119</v>
      </c>
      <c r="E17" t="s">
        <v>690</v>
      </c>
      <c r="F17">
        <f>COUNTIF($A$2:$A$1001,E17)</f>
        <v>8</v>
      </c>
      <c r="G17" t="str">
        <f>VLOOKUP(Table1[[#This Row],[Unique Emitters]],Cleaned!$AH$2:$AI$1001,2,FALSE)</f>
        <v>WÃ¤hrungsanleihen</v>
      </c>
    </row>
    <row r="18" spans="1:7" x14ac:dyDescent="0.4">
      <c r="A18" t="s">
        <v>5119</v>
      </c>
      <c r="E18" t="s">
        <v>356</v>
      </c>
      <c r="F18">
        <f>COUNTIF($A$2:$A$1001,E18)</f>
        <v>8</v>
      </c>
      <c r="G18" t="str">
        <f>VLOOKUP(Table1[[#This Row],[Unique Emitters]],Cleaned!$AH$2:$AI$1001,2,FALSE)</f>
        <v>(Industrie-) und Bankschuldverschreibungen</v>
      </c>
    </row>
    <row r="19" spans="1:7" x14ac:dyDescent="0.4">
      <c r="A19" t="s">
        <v>5513</v>
      </c>
      <c r="E19" t="s">
        <v>5240</v>
      </c>
      <c r="F19">
        <f>COUNTIF($A$2:$A$1001,E19)</f>
        <v>7</v>
      </c>
      <c r="G19" t="str">
        <f>VLOOKUP(Table1[[#This Row],[Unique Emitters]],Cleaned!$AH$2:$AI$1001,2,FALSE)</f>
        <v>Bundesanleihen</v>
      </c>
    </row>
    <row r="20" spans="1:7" x14ac:dyDescent="0.4">
      <c r="A20" t="s">
        <v>5513</v>
      </c>
      <c r="E20" t="s">
        <v>870</v>
      </c>
      <c r="F20">
        <f>COUNTIF($A$2:$A$1001,E20)</f>
        <v>6</v>
      </c>
      <c r="G20" t="str">
        <f>VLOOKUP(Table1[[#This Row],[Unique Emitters]],Cleaned!$AH$2:$AI$1001,2,FALSE)</f>
        <v>WÃ¤hrungsanleihen</v>
      </c>
    </row>
    <row r="21" spans="1:7" x14ac:dyDescent="0.4">
      <c r="A21" t="s">
        <v>4993</v>
      </c>
      <c r="E21" t="s">
        <v>1644</v>
      </c>
      <c r="F21">
        <f>COUNTIF($A$2:$A$1001,E21)</f>
        <v>6</v>
      </c>
      <c r="G21" t="str">
        <f>VLOOKUP(Table1[[#This Row],[Unique Emitters]],Cleaned!$AH$2:$AI$1001,2,FALSE)</f>
        <v>(Industrie-) und Bankschuldverschreibungen</v>
      </c>
    </row>
    <row r="22" spans="1:7" x14ac:dyDescent="0.4">
      <c r="A22" t="s">
        <v>4993</v>
      </c>
      <c r="E22" t="s">
        <v>2282</v>
      </c>
      <c r="F22">
        <f>COUNTIF($A$2:$A$1001,E22)</f>
        <v>6</v>
      </c>
      <c r="G22" t="str">
        <f>VLOOKUP(Table1[[#This Row],[Unique Emitters]],Cleaned!$AH$2:$AI$1001,2,FALSE)</f>
        <v>WÃ¤hrungsanleihen</v>
      </c>
    </row>
    <row r="23" spans="1:7" x14ac:dyDescent="0.4">
      <c r="A23" t="s">
        <v>4993</v>
      </c>
      <c r="E23" t="s">
        <v>1808</v>
      </c>
      <c r="F23">
        <f>COUNTIF($A$2:$A$1001,E23)</f>
        <v>6</v>
      </c>
      <c r="G23" t="str">
        <f>VLOOKUP(Table1[[#This Row],[Unique Emitters]],Cleaned!$AH$2:$AI$1001,2,FALSE)</f>
        <v>WÃ¤hrungsanleihen</v>
      </c>
    </row>
    <row r="24" spans="1:7" x14ac:dyDescent="0.4">
      <c r="A24" t="s">
        <v>3047</v>
      </c>
      <c r="E24" t="s">
        <v>834</v>
      </c>
      <c r="F24">
        <f>COUNTIF($A$2:$A$1001,E24)</f>
        <v>6</v>
      </c>
      <c r="G24" t="str">
        <f>VLOOKUP(Table1[[#This Row],[Unique Emitters]],Cleaned!$AH$2:$AI$1001,2,FALSE)</f>
        <v>Pfandbriefe von Hypothekenbankenoder</v>
      </c>
    </row>
    <row r="25" spans="1:7" x14ac:dyDescent="0.4">
      <c r="A25" t="s">
        <v>3047</v>
      </c>
      <c r="E25" t="s">
        <v>6037</v>
      </c>
      <c r="F25">
        <f>COUNTIF($A$2:$A$1001,E25)</f>
        <v>5</v>
      </c>
      <c r="G25" t="str">
        <f>VLOOKUP(Table1[[#This Row],[Unique Emitters]],Cleaned!$AH$2:$AI$1001,2,FALSE)</f>
        <v>WÃ¤hrungsanleihen</v>
      </c>
    </row>
    <row r="26" spans="1:7" x14ac:dyDescent="0.4">
      <c r="A26" t="s">
        <v>6079</v>
      </c>
      <c r="E26" t="s">
        <v>4507</v>
      </c>
      <c r="F26">
        <f>COUNTIF($A$2:$A$1001,E26)</f>
        <v>5</v>
      </c>
      <c r="G26" t="str">
        <f>VLOOKUP(Table1[[#This Row],[Unique Emitters]],Cleaned!$AH$2:$AI$1001,2,FALSE)</f>
        <v>WÃ¤hrungsanleihen</v>
      </c>
    </row>
    <row r="27" spans="1:7" x14ac:dyDescent="0.4">
      <c r="A27" t="s">
        <v>5838</v>
      </c>
      <c r="E27" t="s">
        <v>1127</v>
      </c>
      <c r="F27">
        <f>COUNTIF($A$2:$A$1001,E27)</f>
        <v>5</v>
      </c>
      <c r="G27" t="str">
        <f>VLOOKUP(Table1[[#This Row],[Unique Emitters]],Cleaned!$AH$2:$AI$1001,2,FALSE)</f>
        <v>WÃ¤hrungsanleihen</v>
      </c>
    </row>
    <row r="28" spans="1:7" x14ac:dyDescent="0.4">
      <c r="A28" t="s">
        <v>5518</v>
      </c>
      <c r="E28" t="s">
        <v>1077</v>
      </c>
      <c r="F28">
        <f>COUNTIF($A$2:$A$1001,E28)</f>
        <v>5</v>
      </c>
      <c r="G28" t="str">
        <f>VLOOKUP(Table1[[#This Row],[Unique Emitters]],Cleaned!$AH$2:$AI$1001,2,FALSE)</f>
        <v>WÃ¤hrungsanleihen</v>
      </c>
    </row>
    <row r="29" spans="1:7" x14ac:dyDescent="0.4">
      <c r="A29" t="s">
        <v>3247</v>
      </c>
      <c r="E29" t="s">
        <v>629</v>
      </c>
      <c r="F29">
        <f>COUNTIF($A$2:$A$1001,E29)</f>
        <v>5</v>
      </c>
      <c r="G29" t="str">
        <f>VLOOKUP(Table1[[#This Row],[Unique Emitters]],Cleaned!$AH$2:$AI$1001,2,FALSE)</f>
        <v>(Industrie-) und Bankschuldverschreibungen</v>
      </c>
    </row>
    <row r="30" spans="1:7" x14ac:dyDescent="0.4">
      <c r="A30" t="s">
        <v>3247</v>
      </c>
      <c r="E30" t="s">
        <v>1985</v>
      </c>
      <c r="F30">
        <f>COUNTIF($A$2:$A$1001,E30)</f>
        <v>5</v>
      </c>
      <c r="G30" t="str">
        <f>VLOOKUP(Table1[[#This Row],[Unique Emitters]],Cleaned!$AH$2:$AI$1001,2,FALSE)</f>
        <v>WÃ¤hrungsanleihen</v>
      </c>
    </row>
    <row r="31" spans="1:7" x14ac:dyDescent="0.4">
      <c r="A31" t="s">
        <v>6066</v>
      </c>
      <c r="E31" t="s">
        <v>801</v>
      </c>
      <c r="F31">
        <f>COUNTIF($A$2:$A$1001,E31)</f>
        <v>5</v>
      </c>
      <c r="G31" t="str">
        <f>VLOOKUP(Table1[[#This Row],[Unique Emitters]],Cleaned!$AH$2:$AI$1001,2,FALSE)</f>
        <v>WÃ¤hrungsanleihen</v>
      </c>
    </row>
    <row r="32" spans="1:7" x14ac:dyDescent="0.4">
      <c r="A32" t="s">
        <v>7449</v>
      </c>
      <c r="E32" t="s">
        <v>5160</v>
      </c>
      <c r="F32">
        <f>COUNTIF($A$2:$A$1001,E32)</f>
        <v>4</v>
      </c>
      <c r="G32" t="str">
        <f>VLOOKUP(Table1[[#This Row],[Unique Emitters]],Cleaned!$AH$2:$AI$1001,2,FALSE)</f>
        <v>WÃ¤hrungsanleihen</v>
      </c>
    </row>
    <row r="33" spans="1:7" x14ac:dyDescent="0.4">
      <c r="A33" t="s">
        <v>5523</v>
      </c>
      <c r="E33" t="s">
        <v>2328</v>
      </c>
      <c r="F33">
        <f>COUNTIF($A$2:$A$1001,E33)</f>
        <v>4</v>
      </c>
      <c r="G33" t="str">
        <f>VLOOKUP(Table1[[#This Row],[Unique Emitters]],Cleaned!$AH$2:$AI$1001,2,FALSE)</f>
        <v>WÃ¤hrungsanleihen</v>
      </c>
    </row>
    <row r="34" spans="1:7" x14ac:dyDescent="0.4">
      <c r="A34" t="s">
        <v>4100</v>
      </c>
      <c r="E34" t="s">
        <v>499</v>
      </c>
      <c r="F34">
        <f>COUNTIF($A$2:$A$1001,E34)</f>
        <v>4</v>
      </c>
      <c r="G34" t="str">
        <f>VLOOKUP(Table1[[#This Row],[Unique Emitters]],Cleaned!$AH$2:$AI$1001,2,FALSE)</f>
        <v>WÃ¤hrungsanleihen</v>
      </c>
    </row>
    <row r="35" spans="1:7" x14ac:dyDescent="0.4">
      <c r="A35" t="s">
        <v>4100</v>
      </c>
      <c r="E35" t="s">
        <v>295</v>
      </c>
      <c r="F35">
        <f>COUNTIF($A$2:$A$1001,E35)</f>
        <v>4</v>
      </c>
      <c r="G35" t="str">
        <f>VLOOKUP(Table1[[#This Row],[Unique Emitters]],Cleaned!$AH$2:$AI$1001,2,FALSE)</f>
        <v>(Industrie-) und Bankschuldverschreibungen</v>
      </c>
    </row>
    <row r="36" spans="1:7" x14ac:dyDescent="0.4">
      <c r="A36" t="s">
        <v>7469</v>
      </c>
      <c r="E36" t="s">
        <v>2488</v>
      </c>
      <c r="F36">
        <f>COUNTIF($A$2:$A$1001,E36)</f>
        <v>4</v>
      </c>
      <c r="G36" t="str">
        <f>VLOOKUP(Table1[[#This Row],[Unique Emitters]],Cleaned!$AH$2:$AI$1001,2,FALSE)</f>
        <v>WÃ¤hrungsanleihen</v>
      </c>
    </row>
    <row r="37" spans="1:7" x14ac:dyDescent="0.4">
      <c r="A37" t="s">
        <v>1668</v>
      </c>
      <c r="E37" t="s">
        <v>1041</v>
      </c>
      <c r="F37">
        <f>COUNTIF($A$2:$A$1001,E37)</f>
        <v>4</v>
      </c>
      <c r="G37" t="str">
        <f>VLOOKUP(Table1[[#This Row],[Unique Emitters]],Cleaned!$AH$2:$AI$1001,2,FALSE)</f>
        <v>(Industrie-) und Bankschuldverschreibungen</v>
      </c>
    </row>
    <row r="38" spans="1:7" x14ac:dyDescent="0.4">
      <c r="A38" t="s">
        <v>1668</v>
      </c>
      <c r="E38" t="s">
        <v>509</v>
      </c>
      <c r="F38">
        <f>COUNTIF($A$2:$A$1001,E38)</f>
        <v>4</v>
      </c>
      <c r="G38" t="str">
        <f>VLOOKUP(Table1[[#This Row],[Unique Emitters]],Cleaned!$AH$2:$AI$1001,2,FALSE)</f>
        <v>(Industrie-) und Bankschuldverschreibungen</v>
      </c>
    </row>
    <row r="39" spans="1:7" x14ac:dyDescent="0.4">
      <c r="A39" t="s">
        <v>1668</v>
      </c>
      <c r="E39" t="s">
        <v>2024</v>
      </c>
      <c r="F39">
        <f>COUNTIF($A$2:$A$1001,E39)</f>
        <v>4</v>
      </c>
      <c r="G39" t="str">
        <f>VLOOKUP(Table1[[#This Row],[Unique Emitters]],Cleaned!$AH$2:$AI$1001,2,FALSE)</f>
        <v>WÃ¤hrungsanleihen</v>
      </c>
    </row>
    <row r="40" spans="1:7" x14ac:dyDescent="0.4">
      <c r="A40" t="s">
        <v>1668</v>
      </c>
      <c r="E40" t="s">
        <v>467</v>
      </c>
      <c r="F40">
        <f>COUNTIF($A$2:$A$1001,E40)</f>
        <v>4</v>
      </c>
      <c r="G40" t="str">
        <f>VLOOKUP(Table1[[#This Row],[Unique Emitters]],Cleaned!$AH$2:$AI$1001,2,FALSE)</f>
        <v>WÃ¤hrungsanleihen</v>
      </c>
    </row>
    <row r="41" spans="1:7" x14ac:dyDescent="0.4">
      <c r="A41" t="s">
        <v>1668</v>
      </c>
      <c r="E41" t="s">
        <v>670</v>
      </c>
      <c r="F41">
        <f>COUNTIF($A$2:$A$1001,E41)</f>
        <v>4</v>
      </c>
      <c r="G41" t="str">
        <f>VLOOKUP(Table1[[#This Row],[Unique Emitters]],Cleaned!$AH$2:$AI$1001,2,FALSE)</f>
        <v>WÃ¤hrungsanleihen</v>
      </c>
    </row>
    <row r="42" spans="1:7" x14ac:dyDescent="0.4">
      <c r="A42" t="s">
        <v>1668</v>
      </c>
      <c r="E42" t="s">
        <v>1020</v>
      </c>
      <c r="F42">
        <f>COUNTIF($A$2:$A$1001,E42)</f>
        <v>4</v>
      </c>
      <c r="G42" t="str">
        <f>VLOOKUP(Table1[[#This Row],[Unique Emitters]],Cleaned!$AH$2:$AI$1001,2,FALSE)</f>
        <v>Bundesanleihen</v>
      </c>
    </row>
    <row r="43" spans="1:7" x14ac:dyDescent="0.4">
      <c r="A43" t="s">
        <v>1668</v>
      </c>
      <c r="E43" t="s">
        <v>900</v>
      </c>
      <c r="F43">
        <f>COUNTIF($A$2:$A$1001,E43)</f>
        <v>4</v>
      </c>
      <c r="G43" t="str">
        <f>VLOOKUP(Table1[[#This Row],[Unique Emitters]],Cleaned!$AH$2:$AI$1001,2,FALSE)</f>
        <v>(Industrie-) und Bankschuldverschreibungen</v>
      </c>
    </row>
    <row r="44" spans="1:7" x14ac:dyDescent="0.4">
      <c r="A44" t="s">
        <v>1668</v>
      </c>
      <c r="E44" t="s">
        <v>5057</v>
      </c>
      <c r="F44">
        <f>COUNTIF($A$2:$A$1001,E44)</f>
        <v>3</v>
      </c>
      <c r="G44" t="str">
        <f>VLOOKUP(Table1[[#This Row],[Unique Emitters]],Cleaned!$AH$2:$AI$1001,2,FALSE)</f>
        <v>WÃ¤hrungsanleihen</v>
      </c>
    </row>
    <row r="45" spans="1:7" x14ac:dyDescent="0.4">
      <c r="A45" t="s">
        <v>1668</v>
      </c>
      <c r="E45" t="s">
        <v>4993</v>
      </c>
      <c r="F45">
        <f>COUNTIF($A$2:$A$1001,E45)</f>
        <v>3</v>
      </c>
      <c r="G45" t="str">
        <f>VLOOKUP(Table1[[#This Row],[Unique Emitters]],Cleaned!$AH$2:$AI$1001,2,FALSE)</f>
        <v>WÃ¤hrungsanleihen</v>
      </c>
    </row>
    <row r="46" spans="1:7" x14ac:dyDescent="0.4">
      <c r="A46" t="s">
        <v>1668</v>
      </c>
      <c r="E46" t="s">
        <v>6104</v>
      </c>
      <c r="F46">
        <f>COUNTIF($A$2:$A$1001,E46)</f>
        <v>3</v>
      </c>
      <c r="G46" t="str">
        <f>VLOOKUP(Table1[[#This Row],[Unique Emitters]],Cleaned!$AH$2:$AI$1001,2,FALSE)</f>
        <v>WÃ¤hrungsanleihen</v>
      </c>
    </row>
    <row r="47" spans="1:7" x14ac:dyDescent="0.4">
      <c r="A47" t="s">
        <v>1668</v>
      </c>
      <c r="E47" t="s">
        <v>5178</v>
      </c>
      <c r="F47">
        <f>COUNTIF($A$2:$A$1001,E47)</f>
        <v>3</v>
      </c>
      <c r="G47" t="str">
        <f>VLOOKUP(Table1[[#This Row],[Unique Emitters]],Cleaned!$AH$2:$AI$1001,2,FALSE)</f>
        <v>WÃ¤hrungsanleihen</v>
      </c>
    </row>
    <row r="48" spans="1:7" x14ac:dyDescent="0.4">
      <c r="A48" t="s">
        <v>1668</v>
      </c>
      <c r="E48" t="s">
        <v>720</v>
      </c>
      <c r="F48">
        <f>COUNTIF($A$2:$A$1001,E48)</f>
        <v>3</v>
      </c>
      <c r="G48" t="str">
        <f>VLOOKUP(Table1[[#This Row],[Unique Emitters]],Cleaned!$AH$2:$AI$1001,2,FALSE)</f>
        <v>(Industrie-) und Bankschuldverschreibungen</v>
      </c>
    </row>
    <row r="49" spans="1:7" x14ac:dyDescent="0.4">
      <c r="A49" t="s">
        <v>1668</v>
      </c>
      <c r="E49" t="s">
        <v>516</v>
      </c>
      <c r="F49">
        <f>COUNTIF($A$2:$A$1001,E49)</f>
        <v>3</v>
      </c>
      <c r="G49" t="str">
        <f>VLOOKUP(Table1[[#This Row],[Unique Emitters]],Cleaned!$AH$2:$AI$1001,2,FALSE)</f>
        <v>WÃ¤hrungsanleihen</v>
      </c>
    </row>
    <row r="50" spans="1:7" x14ac:dyDescent="0.4">
      <c r="A50" t="s">
        <v>7223</v>
      </c>
      <c r="E50" t="s">
        <v>574</v>
      </c>
      <c r="F50">
        <f>COUNTIF($A$2:$A$1001,E50)</f>
        <v>3</v>
      </c>
      <c r="G50" t="str">
        <f>VLOOKUP(Table1[[#This Row],[Unique Emitters]],Cleaned!$AH$2:$AI$1001,2,FALSE)</f>
        <v>WÃ¤hrungsanleihen</v>
      </c>
    </row>
    <row r="51" spans="1:7" x14ac:dyDescent="0.4">
      <c r="A51" t="s">
        <v>2885</v>
      </c>
      <c r="E51" t="s">
        <v>538</v>
      </c>
      <c r="F51">
        <f>COUNTIF($A$2:$A$1001,E51)</f>
        <v>3</v>
      </c>
      <c r="G51" t="str">
        <f>VLOOKUP(Table1[[#This Row],[Unique Emitters]],Cleaned!$AH$2:$AI$1001,2,FALSE)</f>
        <v>(Industrie-) und Bankschuldverschreibungen</v>
      </c>
    </row>
    <row r="52" spans="1:7" x14ac:dyDescent="0.4">
      <c r="A52" t="s">
        <v>6104</v>
      </c>
      <c r="E52" t="s">
        <v>1103</v>
      </c>
      <c r="F52">
        <f>COUNTIF($A$2:$A$1001,E52)</f>
        <v>3</v>
      </c>
      <c r="G52" t="str">
        <f>VLOOKUP(Table1[[#This Row],[Unique Emitters]],Cleaned!$AH$2:$AI$1001,2,FALSE)</f>
        <v>(Industrie-) und Bankschuldverschreibungen</v>
      </c>
    </row>
    <row r="53" spans="1:7" x14ac:dyDescent="0.4">
      <c r="A53" t="s">
        <v>6104</v>
      </c>
      <c r="E53" t="s">
        <v>1067</v>
      </c>
      <c r="F53">
        <f>COUNTIF($A$2:$A$1001,E53)</f>
        <v>3</v>
      </c>
      <c r="G53" t="str">
        <f>VLOOKUP(Table1[[#This Row],[Unique Emitters]],Cleaned!$AH$2:$AI$1001,2,FALSE)</f>
        <v>(Industrie-) und Bankschuldverschreibungen</v>
      </c>
    </row>
    <row r="54" spans="1:7" x14ac:dyDescent="0.4">
      <c r="A54" t="s">
        <v>6104</v>
      </c>
      <c r="E54" t="s">
        <v>264</v>
      </c>
      <c r="F54">
        <f>COUNTIF($A$2:$A$1001,E54)</f>
        <v>3</v>
      </c>
      <c r="G54" t="str">
        <f>VLOOKUP(Table1[[#This Row],[Unique Emitters]],Cleaned!$AH$2:$AI$1001,2,FALSE)</f>
        <v>WÃ¤hrungsanleihen</v>
      </c>
    </row>
    <row r="55" spans="1:7" x14ac:dyDescent="0.4">
      <c r="A55" t="s">
        <v>3263</v>
      </c>
      <c r="E55" t="s">
        <v>1395</v>
      </c>
      <c r="F55">
        <f>COUNTIF($A$2:$A$1001,E55)</f>
        <v>3</v>
      </c>
      <c r="G55" t="str">
        <f>VLOOKUP(Table1[[#This Row],[Unique Emitters]],Cleaned!$AH$2:$AI$1001,2,FALSE)</f>
        <v>Bundesanleihen</v>
      </c>
    </row>
    <row r="56" spans="1:7" x14ac:dyDescent="0.4">
      <c r="A56" t="s">
        <v>3263</v>
      </c>
      <c r="E56" t="s">
        <v>3724</v>
      </c>
      <c r="F56">
        <f>COUNTIF($A$2:$A$1001,E56)</f>
        <v>3</v>
      </c>
      <c r="G56" t="str">
        <f>VLOOKUP(Table1[[#This Row],[Unique Emitters]],Cleaned!$AH$2:$AI$1001,2,FALSE)</f>
        <v>(Industrie-) und Bankschuldverschreibungen</v>
      </c>
    </row>
    <row r="57" spans="1:7" x14ac:dyDescent="0.4">
      <c r="A57" t="s">
        <v>6140</v>
      </c>
      <c r="E57" t="s">
        <v>306</v>
      </c>
      <c r="F57">
        <f>COUNTIF($A$2:$A$1001,E57)</f>
        <v>3</v>
      </c>
      <c r="G57" t="str">
        <f>VLOOKUP(Table1[[#This Row],[Unique Emitters]],Cleaned!$AH$2:$AI$1001,2,FALSE)</f>
        <v>WÃ¤hrungsanleihen</v>
      </c>
    </row>
    <row r="58" spans="1:7" x14ac:dyDescent="0.4">
      <c r="A58" t="s">
        <v>7482</v>
      </c>
      <c r="E58" t="s">
        <v>6023</v>
      </c>
      <c r="F58">
        <f>COUNTIF($A$2:$A$1001,E58)</f>
        <v>3</v>
      </c>
      <c r="G58" t="str">
        <f>VLOOKUP(Table1[[#This Row],[Unique Emitters]],Cleaned!$AH$2:$AI$1001,2,FALSE)</f>
        <v>Pfandbriefe von Hypothekenbankenoder</v>
      </c>
    </row>
    <row r="59" spans="1:7" x14ac:dyDescent="0.4">
      <c r="A59" t="s">
        <v>6143</v>
      </c>
      <c r="E59" t="s">
        <v>2303</v>
      </c>
      <c r="F59">
        <f>COUNTIF($A$2:$A$1001,E59)</f>
        <v>3</v>
      </c>
      <c r="G59" t="str">
        <f>VLOOKUP(Table1[[#This Row],[Unique Emitters]],Cleaned!$AH$2:$AI$1001,2,FALSE)</f>
        <v>Pfandbriefe von Hypothekenbankenoder</v>
      </c>
    </row>
    <row r="60" spans="1:7" x14ac:dyDescent="0.4">
      <c r="A60" t="s">
        <v>2567</v>
      </c>
      <c r="E60" t="s">
        <v>2298</v>
      </c>
      <c r="F60">
        <f>COUNTIF($A$2:$A$1001,E60)</f>
        <v>3</v>
      </c>
      <c r="G60" t="str">
        <f>VLOOKUP(Table1[[#This Row],[Unique Emitters]],Cleaned!$AH$2:$AI$1001,2,FALSE)</f>
        <v>WÃ¤hrungsanleihen</v>
      </c>
    </row>
    <row r="61" spans="1:7" x14ac:dyDescent="0.4">
      <c r="A61" t="s">
        <v>7233</v>
      </c>
      <c r="E61" t="s">
        <v>5900</v>
      </c>
      <c r="F61">
        <f>COUNTIF($A$2:$A$1001,E61)</f>
        <v>3</v>
      </c>
      <c r="G61" t="str">
        <f>VLOOKUP(Table1[[#This Row],[Unique Emitters]],Cleaned!$AH$2:$AI$1001,2,FALSE)</f>
        <v>Bundesanleihen</v>
      </c>
    </row>
    <row r="62" spans="1:7" x14ac:dyDescent="0.4">
      <c r="A62" t="s">
        <v>1442</v>
      </c>
      <c r="E62" t="s">
        <v>5870</v>
      </c>
      <c r="F62">
        <f>COUNTIF($A$2:$A$1001,E62)</f>
        <v>3</v>
      </c>
      <c r="G62" t="str">
        <f>VLOOKUP(Table1[[#This Row],[Unique Emitters]],Cleaned!$AH$2:$AI$1001,2,FALSE)</f>
        <v>WÃ¤hrungsanleihen</v>
      </c>
    </row>
    <row r="63" spans="1:7" x14ac:dyDescent="0.4">
      <c r="A63" t="s">
        <v>7533</v>
      </c>
      <c r="E63" t="s">
        <v>442</v>
      </c>
      <c r="F63">
        <f>COUNTIF($A$2:$A$1001,E63)</f>
        <v>3</v>
      </c>
      <c r="G63" t="str">
        <f>VLOOKUP(Table1[[#This Row],[Unique Emitters]],Cleaned!$AH$2:$AI$1001,2,FALSE)</f>
        <v>(Industrie-) und Bankschuldverschreibungen</v>
      </c>
    </row>
    <row r="64" spans="1:7" x14ac:dyDescent="0.4">
      <c r="A64" t="s">
        <v>6308</v>
      </c>
      <c r="E64" t="s">
        <v>601</v>
      </c>
      <c r="F64">
        <f>COUNTIF($A$2:$A$1001,E64)</f>
        <v>3</v>
      </c>
      <c r="G64" t="str">
        <f>VLOOKUP(Table1[[#This Row],[Unique Emitters]],Cleaned!$AH$2:$AI$1001,2,FALSE)</f>
        <v>WÃ¤hrungsanleihen</v>
      </c>
    </row>
    <row r="65" spans="1:7" x14ac:dyDescent="0.4">
      <c r="A65" t="s">
        <v>5160</v>
      </c>
      <c r="E65" t="s">
        <v>4768</v>
      </c>
      <c r="F65">
        <f>COUNTIF($A$2:$A$1001,E65)</f>
        <v>3</v>
      </c>
      <c r="G65" t="str">
        <f>VLOOKUP(Table1[[#This Row],[Unique Emitters]],Cleaned!$AH$2:$AI$1001,2,FALSE)</f>
        <v>WÃ¤hrungsanleihen</v>
      </c>
    </row>
    <row r="66" spans="1:7" x14ac:dyDescent="0.4">
      <c r="A66" t="s">
        <v>5160</v>
      </c>
      <c r="E66" t="s">
        <v>5003</v>
      </c>
      <c r="F66">
        <f>COUNTIF($A$2:$A$1001,E66)</f>
        <v>3</v>
      </c>
      <c r="G66" t="str">
        <f>VLOOKUP(Table1[[#This Row],[Unique Emitters]],Cleaned!$AH$2:$AI$1001,2,FALSE)</f>
        <v>WÃ¤hrungsanleihen</v>
      </c>
    </row>
    <row r="67" spans="1:7" x14ac:dyDescent="0.4">
      <c r="A67" t="s">
        <v>5160</v>
      </c>
      <c r="E67" t="s">
        <v>5119</v>
      </c>
      <c r="F67">
        <f>COUNTIF($A$2:$A$1001,E67)</f>
        <v>2</v>
      </c>
      <c r="G67" t="str">
        <f>VLOOKUP(Table1[[#This Row],[Unique Emitters]],Cleaned!$AH$2:$AI$1001,2,FALSE)</f>
        <v>WÃ¤hrungsanleihen</v>
      </c>
    </row>
    <row r="68" spans="1:7" x14ac:dyDescent="0.4">
      <c r="A68" t="s">
        <v>5160</v>
      </c>
      <c r="E68" t="s">
        <v>5513</v>
      </c>
      <c r="F68">
        <f>COUNTIF($A$2:$A$1001,E68)</f>
        <v>2</v>
      </c>
      <c r="G68" t="str">
        <f>VLOOKUP(Table1[[#This Row],[Unique Emitters]],Cleaned!$AH$2:$AI$1001,2,FALSE)</f>
        <v>WÃ¤hrungsanleihen</v>
      </c>
    </row>
    <row r="69" spans="1:7" x14ac:dyDescent="0.4">
      <c r="A69" t="s">
        <v>4835</v>
      </c>
      <c r="E69" t="s">
        <v>3047</v>
      </c>
      <c r="F69">
        <f>COUNTIF($A$2:$A$1001,E69)</f>
        <v>2</v>
      </c>
      <c r="G69" t="str">
        <f>VLOOKUP(Table1[[#This Row],[Unique Emitters]],Cleaned!$AH$2:$AI$1001,2,FALSE)</f>
        <v>WÃ¤hrungsanleihen</v>
      </c>
    </row>
    <row r="70" spans="1:7" x14ac:dyDescent="0.4">
      <c r="A70" t="s">
        <v>4843</v>
      </c>
      <c r="E70" t="s">
        <v>3247</v>
      </c>
      <c r="F70">
        <f>COUNTIF($A$2:$A$1001,E70)</f>
        <v>2</v>
      </c>
      <c r="G70" t="str">
        <f>VLOOKUP(Table1[[#This Row],[Unique Emitters]],Cleaned!$AH$2:$AI$1001,2,FALSE)</f>
        <v>WÃ¤hrungsanleihen</v>
      </c>
    </row>
    <row r="71" spans="1:7" x14ac:dyDescent="0.4">
      <c r="A71" t="s">
        <v>5178</v>
      </c>
      <c r="E71" t="s">
        <v>4100</v>
      </c>
      <c r="F71">
        <f>COUNTIF($A$2:$A$1001,E71)</f>
        <v>2</v>
      </c>
      <c r="G71" t="str">
        <f>VLOOKUP(Table1[[#This Row],[Unique Emitters]],Cleaned!$AH$2:$AI$1001,2,FALSE)</f>
        <v>WÃ¤hrungsanleihen</v>
      </c>
    </row>
    <row r="72" spans="1:7" x14ac:dyDescent="0.4">
      <c r="A72" t="s">
        <v>5178</v>
      </c>
      <c r="E72" t="s">
        <v>3263</v>
      </c>
      <c r="F72">
        <f>COUNTIF($A$2:$A$1001,E72)</f>
        <v>2</v>
      </c>
      <c r="G72" t="str">
        <f>VLOOKUP(Table1[[#This Row],[Unique Emitters]],Cleaned!$AH$2:$AI$1001,2,FALSE)</f>
        <v>WÃ¤hrungsanleihen</v>
      </c>
    </row>
    <row r="73" spans="1:7" x14ac:dyDescent="0.4">
      <c r="A73" t="s">
        <v>5178</v>
      </c>
      <c r="E73" t="s">
        <v>1880</v>
      </c>
      <c r="F73">
        <f>COUNTIF($A$2:$A$1001,E73)</f>
        <v>2</v>
      </c>
      <c r="G73" t="str">
        <f>VLOOKUP(Table1[[#This Row],[Unique Emitters]],Cleaned!$AH$2:$AI$1001,2,FALSE)</f>
        <v>(Industrie-) und Bankschuldverschreibungen</v>
      </c>
    </row>
    <row r="74" spans="1:7" x14ac:dyDescent="0.4">
      <c r="A74" t="s">
        <v>7029</v>
      </c>
      <c r="E74" t="s">
        <v>192</v>
      </c>
      <c r="F74">
        <f>COUNTIF($A$2:$A$1001,E74)</f>
        <v>2</v>
      </c>
      <c r="G74" t="str">
        <f>VLOOKUP(Table1[[#This Row],[Unique Emitters]],Cleaned!$AH$2:$AI$1001,2,FALSE)</f>
        <v>WÃ¤hrungsanleihen</v>
      </c>
    </row>
    <row r="75" spans="1:7" x14ac:dyDescent="0.4">
      <c r="A75" t="s">
        <v>1880</v>
      </c>
      <c r="E75" t="s">
        <v>4228</v>
      </c>
      <c r="F75">
        <f>COUNTIF($A$2:$A$1001,E75)</f>
        <v>2</v>
      </c>
      <c r="G75" t="str">
        <f>VLOOKUP(Table1[[#This Row],[Unique Emitters]],Cleaned!$AH$2:$AI$1001,2,FALSE)</f>
        <v>WÃ¤hrungsanleihen</v>
      </c>
    </row>
    <row r="76" spans="1:7" x14ac:dyDescent="0.4">
      <c r="A76" t="s">
        <v>1880</v>
      </c>
      <c r="E76" t="s">
        <v>7075</v>
      </c>
      <c r="F76">
        <f>COUNTIF($A$2:$A$1001,E76)</f>
        <v>2</v>
      </c>
      <c r="G76" t="str">
        <f>VLOOKUP(Table1[[#This Row],[Unique Emitters]],Cleaned!$AH$2:$AI$1001,2,FALSE)</f>
        <v>(Industrie-) und Bankschuldverschreibungen</v>
      </c>
    </row>
    <row r="77" spans="1:7" x14ac:dyDescent="0.4">
      <c r="A77" t="s">
        <v>720</v>
      </c>
      <c r="E77" t="s">
        <v>562</v>
      </c>
      <c r="F77">
        <f>COUNTIF($A$2:$A$1001,E77)</f>
        <v>2</v>
      </c>
      <c r="G77" t="str">
        <f>VLOOKUP(Table1[[#This Row],[Unique Emitters]],Cleaned!$AH$2:$AI$1001,2,FALSE)</f>
        <v>(Industrie-) und Bankschuldverschreibungen</v>
      </c>
    </row>
    <row r="78" spans="1:7" x14ac:dyDescent="0.4">
      <c r="A78" t="s">
        <v>720</v>
      </c>
      <c r="E78" t="s">
        <v>1723</v>
      </c>
      <c r="F78">
        <f>COUNTIF($A$2:$A$1001,E78)</f>
        <v>2</v>
      </c>
      <c r="G78" t="str">
        <f>VLOOKUP(Table1[[#This Row],[Unique Emitters]],Cleaned!$AH$2:$AI$1001,2,FALSE)</f>
        <v>WÃ¤hrungsanleihen</v>
      </c>
    </row>
    <row r="79" spans="1:7" x14ac:dyDescent="0.4">
      <c r="A79" t="s">
        <v>720</v>
      </c>
      <c r="E79" t="s">
        <v>1623</v>
      </c>
      <c r="F79">
        <f>COUNTIF($A$2:$A$1001,E79)</f>
        <v>2</v>
      </c>
      <c r="G79" t="str">
        <f>VLOOKUP(Table1[[#This Row],[Unique Emitters]],Cleaned!$AH$2:$AI$1001,2,FALSE)</f>
        <v>WÃ¤hrungsanleihen</v>
      </c>
    </row>
    <row r="80" spans="1:7" x14ac:dyDescent="0.4">
      <c r="A80" t="s">
        <v>6485</v>
      </c>
      <c r="E80" t="s">
        <v>1372</v>
      </c>
      <c r="F80">
        <f>COUNTIF($A$2:$A$1001,E80)</f>
        <v>2</v>
      </c>
      <c r="G80" t="str">
        <f>VLOOKUP(Table1[[#This Row],[Unique Emitters]],Cleaned!$AH$2:$AI$1001,2,FALSE)</f>
        <v>WÃ¤hrungsanleihen</v>
      </c>
    </row>
    <row r="81" spans="1:7" x14ac:dyDescent="0.4">
      <c r="A81" t="s">
        <v>6909</v>
      </c>
      <c r="E81" t="s">
        <v>5851</v>
      </c>
      <c r="F81">
        <f>COUNTIF($A$2:$A$1001,E81)</f>
        <v>2</v>
      </c>
      <c r="G81" t="str">
        <f>VLOOKUP(Table1[[#This Row],[Unique Emitters]],Cleaned!$AH$2:$AI$1001,2,FALSE)</f>
        <v>WÃ¤hrungsanleihen</v>
      </c>
    </row>
    <row r="82" spans="1:7" x14ac:dyDescent="0.4">
      <c r="A82" t="s">
        <v>2328</v>
      </c>
      <c r="E82" t="s">
        <v>1563</v>
      </c>
      <c r="F82">
        <f>COUNTIF($A$2:$A$1001,E82)</f>
        <v>2</v>
      </c>
      <c r="G82" t="str">
        <f>VLOOKUP(Table1[[#This Row],[Unique Emitters]],Cleaned!$AH$2:$AI$1001,2,FALSE)</f>
        <v>(Industrie-) und Bankschuldverschreibungen</v>
      </c>
    </row>
    <row r="83" spans="1:7" x14ac:dyDescent="0.4">
      <c r="A83" t="s">
        <v>2328</v>
      </c>
      <c r="E83" t="s">
        <v>3299</v>
      </c>
      <c r="F83">
        <f>COUNTIF($A$2:$A$1001,E83)</f>
        <v>2</v>
      </c>
      <c r="G83" t="str">
        <f>VLOOKUP(Table1[[#This Row],[Unique Emitters]],Cleaned!$AH$2:$AI$1001,2,FALSE)</f>
        <v>WÃ¤hrungsanleihen</v>
      </c>
    </row>
    <row r="84" spans="1:7" x14ac:dyDescent="0.4">
      <c r="A84" t="s">
        <v>2328</v>
      </c>
      <c r="E84" t="s">
        <v>4166</v>
      </c>
      <c r="F84">
        <f>COUNTIF($A$2:$A$1001,E84)</f>
        <v>2</v>
      </c>
      <c r="G84" t="str">
        <f>VLOOKUP(Table1[[#This Row],[Unique Emitters]],Cleaned!$AH$2:$AI$1001,2,FALSE)</f>
        <v>(Industrie-) und Bankschuldverschreibungen</v>
      </c>
    </row>
    <row r="85" spans="1:7" x14ac:dyDescent="0.4">
      <c r="A85" t="s">
        <v>2328</v>
      </c>
      <c r="E85" t="s">
        <v>3361</v>
      </c>
      <c r="F85">
        <f>COUNTIF($A$2:$A$1001,E85)</f>
        <v>2</v>
      </c>
      <c r="G85" t="str">
        <f>VLOOKUP(Table1[[#This Row],[Unique Emitters]],Cleaned!$AH$2:$AI$1001,2,FALSE)</f>
        <v>WÃ¤hrungsanleihen</v>
      </c>
    </row>
    <row r="86" spans="1:7" x14ac:dyDescent="0.4">
      <c r="A86" t="s">
        <v>7522</v>
      </c>
      <c r="E86" t="s">
        <v>239</v>
      </c>
      <c r="F86">
        <f>COUNTIF($A$2:$A$1001,E86)</f>
        <v>2</v>
      </c>
      <c r="G86" t="str">
        <f>VLOOKUP(Table1[[#This Row],[Unique Emitters]],Cleaned!$AH$2:$AI$1001,2,FALSE)</f>
        <v>(Industrie-) und Bankschuldverschreibungen</v>
      </c>
    </row>
    <row r="87" spans="1:7" x14ac:dyDescent="0.4">
      <c r="A87" t="s">
        <v>2665</v>
      </c>
      <c r="E87" t="s">
        <v>526</v>
      </c>
      <c r="F87">
        <f>COUNTIF($A$2:$A$1001,E87)</f>
        <v>2</v>
      </c>
      <c r="G87" t="str">
        <f>VLOOKUP(Table1[[#This Row],[Unique Emitters]],Cleaned!$AH$2:$AI$1001,2,FALSE)</f>
        <v>(Industrie-) und Bankschuldverschreibungen</v>
      </c>
    </row>
    <row r="88" spans="1:7" x14ac:dyDescent="0.4">
      <c r="A88" t="s">
        <v>489</v>
      </c>
      <c r="E88" t="s">
        <v>5859</v>
      </c>
      <c r="F88">
        <f>COUNTIF($A$2:$A$1001,E88)</f>
        <v>2</v>
      </c>
      <c r="G88" t="str">
        <f>VLOOKUP(Table1[[#This Row],[Unique Emitters]],Cleaned!$AH$2:$AI$1001,2,FALSE)</f>
        <v>WÃ¤hrungsanleihen</v>
      </c>
    </row>
    <row r="89" spans="1:7" x14ac:dyDescent="0.4">
      <c r="A89" t="s">
        <v>4964</v>
      </c>
      <c r="E89" t="s">
        <v>5038</v>
      </c>
      <c r="F89">
        <f>COUNTIF($A$2:$A$1001,E89)</f>
        <v>2</v>
      </c>
      <c r="G89" t="str">
        <f>VLOOKUP(Table1[[#This Row],[Unique Emitters]],Cleaned!$AH$2:$AI$1001,2,FALSE)</f>
        <v>WÃ¤hrungsanleihen</v>
      </c>
    </row>
    <row r="90" spans="1:7" x14ac:dyDescent="0.4">
      <c r="A90" t="s">
        <v>3861</v>
      </c>
      <c r="E90" t="s">
        <v>2370</v>
      </c>
      <c r="F90">
        <f>COUNTIF($A$2:$A$1001,E90)</f>
        <v>2</v>
      </c>
      <c r="G90" t="str">
        <f>VLOOKUP(Table1[[#This Row],[Unique Emitters]],Cleaned!$AH$2:$AI$1001,2,FALSE)</f>
        <v>(Industrie-) und Bankschuldverschreibungen</v>
      </c>
    </row>
    <row r="91" spans="1:7" x14ac:dyDescent="0.4">
      <c r="A91" t="s">
        <v>7248</v>
      </c>
      <c r="E91" t="s">
        <v>5043</v>
      </c>
      <c r="F91">
        <f>COUNTIF($A$2:$A$1001,E91)</f>
        <v>2</v>
      </c>
      <c r="G91" t="str">
        <f>VLOOKUP(Table1[[#This Row],[Unique Emitters]],Cleaned!$AH$2:$AI$1001,2,FALSE)</f>
        <v>WÃ¤hrungsanleihen</v>
      </c>
    </row>
    <row r="92" spans="1:7" x14ac:dyDescent="0.4">
      <c r="A92" t="s">
        <v>6149</v>
      </c>
      <c r="E92" t="s">
        <v>4890</v>
      </c>
      <c r="F92">
        <f>COUNTIF($A$2:$A$1001,E92)</f>
        <v>2</v>
      </c>
      <c r="G92" t="str">
        <f>VLOOKUP(Table1[[#This Row],[Unique Emitters]],Cleaned!$AH$2:$AI$1001,2,FALSE)</f>
        <v>WÃ¤hrungsanleihen</v>
      </c>
    </row>
    <row r="93" spans="1:7" x14ac:dyDescent="0.4">
      <c r="A93" t="s">
        <v>3234</v>
      </c>
      <c r="E93" t="s">
        <v>3697</v>
      </c>
      <c r="F93">
        <f>COUNTIF($A$2:$A$1001,E93)</f>
        <v>2</v>
      </c>
      <c r="G93" t="str">
        <f>VLOOKUP(Table1[[#This Row],[Unique Emitters]],Cleaned!$AH$2:$AI$1001,2,FALSE)</f>
        <v>Schuldverschreibungen von Sonderinstituten</v>
      </c>
    </row>
    <row r="94" spans="1:7" x14ac:dyDescent="0.4">
      <c r="A94" t="s">
        <v>4793</v>
      </c>
      <c r="E94" t="s">
        <v>1610</v>
      </c>
      <c r="F94">
        <f>COUNTIF($A$2:$A$1001,E94)</f>
        <v>2</v>
      </c>
      <c r="G94" t="str">
        <f>VLOOKUP(Table1[[#This Row],[Unique Emitters]],Cleaned!$AH$2:$AI$1001,2,FALSE)</f>
        <v>WÃ¤hrungsanleihen</v>
      </c>
    </row>
    <row r="95" spans="1:7" x14ac:dyDescent="0.4">
      <c r="A95" t="s">
        <v>870</v>
      </c>
      <c r="E95" t="s">
        <v>3091</v>
      </c>
      <c r="F95">
        <f>COUNTIF($A$2:$A$1001,E95)</f>
        <v>2</v>
      </c>
      <c r="G95" t="str">
        <f>VLOOKUP(Table1[[#This Row],[Unique Emitters]],Cleaned!$AH$2:$AI$1001,2,FALSE)</f>
        <v>WÃ¤hrungsanleihen</v>
      </c>
    </row>
    <row r="96" spans="1:7" x14ac:dyDescent="0.4">
      <c r="A96" t="s">
        <v>870</v>
      </c>
      <c r="E96" t="s">
        <v>6387</v>
      </c>
      <c r="F96">
        <f>COUNTIF($A$2:$A$1001,E96)</f>
        <v>2</v>
      </c>
      <c r="G96" t="str">
        <f>VLOOKUP(Table1[[#This Row],[Unique Emitters]],Cleaned!$AH$2:$AI$1001,2,FALSE)</f>
        <v>WÃ¤hrungsanleihen</v>
      </c>
    </row>
    <row r="97" spans="1:7" x14ac:dyDescent="0.4">
      <c r="A97" t="s">
        <v>870</v>
      </c>
      <c r="E97" t="s">
        <v>476</v>
      </c>
      <c r="F97">
        <f>COUNTIF($A$2:$A$1001,E97)</f>
        <v>2</v>
      </c>
      <c r="G97" t="str">
        <f>VLOOKUP(Table1[[#This Row],[Unique Emitters]],Cleaned!$AH$2:$AI$1001,2,FALSE)</f>
        <v>(Industrie-) und Bankschuldverschreibungen</v>
      </c>
    </row>
    <row r="98" spans="1:7" x14ac:dyDescent="0.4">
      <c r="A98" t="s">
        <v>870</v>
      </c>
      <c r="E98" t="s">
        <v>642</v>
      </c>
      <c r="F98">
        <f>COUNTIF($A$2:$A$1001,E98)</f>
        <v>2</v>
      </c>
      <c r="G98" t="str">
        <f>VLOOKUP(Table1[[#This Row],[Unique Emitters]],Cleaned!$AH$2:$AI$1001,2,FALSE)</f>
        <v>(Industrie-) und Bankschuldverschreibungen</v>
      </c>
    </row>
    <row r="99" spans="1:7" x14ac:dyDescent="0.4">
      <c r="A99" t="s">
        <v>870</v>
      </c>
      <c r="E99" t="s">
        <v>7044</v>
      </c>
      <c r="F99">
        <f>COUNTIF($A$2:$A$1001,E99)</f>
        <v>2</v>
      </c>
      <c r="G99" t="str">
        <f>VLOOKUP(Table1[[#This Row],[Unique Emitters]],Cleaned!$AH$2:$AI$1001,2,FALSE)</f>
        <v>WÃ¤hrungsanleihen</v>
      </c>
    </row>
    <row r="100" spans="1:7" x14ac:dyDescent="0.4">
      <c r="A100" t="s">
        <v>870</v>
      </c>
      <c r="E100" t="s">
        <v>6029</v>
      </c>
      <c r="F100">
        <f>COUNTIF($A$2:$A$1001,E100)</f>
        <v>2</v>
      </c>
      <c r="G100" t="str">
        <f>VLOOKUP(Table1[[#This Row],[Unique Emitters]],Cleaned!$AH$2:$AI$1001,2,FALSE)</f>
        <v>WÃ¤hrungsanleihen</v>
      </c>
    </row>
    <row r="101" spans="1:7" x14ac:dyDescent="0.4">
      <c r="A101" t="s">
        <v>516</v>
      </c>
      <c r="E101" t="s">
        <v>3079</v>
      </c>
      <c r="F101">
        <f>COUNTIF($A$2:$A$1001,E101)</f>
        <v>2</v>
      </c>
      <c r="G101" t="str">
        <f>VLOOKUP(Table1[[#This Row],[Unique Emitters]],Cleaned!$AH$2:$AI$1001,2,FALSE)</f>
        <v>(Industrie-) und Bankschuldverschreibungen</v>
      </c>
    </row>
    <row r="102" spans="1:7" x14ac:dyDescent="0.4">
      <c r="A102" t="s">
        <v>516</v>
      </c>
      <c r="E102" t="s">
        <v>4159</v>
      </c>
      <c r="F102">
        <f>COUNTIF($A$2:$A$1001,E102)</f>
        <v>2</v>
      </c>
      <c r="G102" t="str">
        <f>VLOOKUP(Table1[[#This Row],[Unique Emitters]],Cleaned!$AH$2:$AI$1001,2,FALSE)</f>
        <v>WÃ¤hrungsanleihen</v>
      </c>
    </row>
    <row r="103" spans="1:7" x14ac:dyDescent="0.4">
      <c r="A103" t="s">
        <v>516</v>
      </c>
      <c r="E103" t="s">
        <v>417</v>
      </c>
      <c r="F103">
        <f>COUNTIF($A$2:$A$1001,E103)</f>
        <v>2</v>
      </c>
      <c r="G103" t="str">
        <f>VLOOKUP(Table1[[#This Row],[Unique Emitters]],Cleaned!$AH$2:$AI$1001,2,FALSE)</f>
        <v>WÃ¤hrungsanleihen</v>
      </c>
    </row>
    <row r="104" spans="1:7" x14ac:dyDescent="0.4">
      <c r="A104" t="s">
        <v>7067</v>
      </c>
      <c r="E104" t="s">
        <v>969</v>
      </c>
      <c r="F104">
        <f>COUNTIF($A$2:$A$1001,E104)</f>
        <v>2</v>
      </c>
      <c r="G104" t="str">
        <f>VLOOKUP(Table1[[#This Row],[Unique Emitters]],Cleaned!$AH$2:$AI$1001,2,FALSE)</f>
        <v>WÃ¤hrungsanleihen</v>
      </c>
    </row>
    <row r="105" spans="1:7" x14ac:dyDescent="0.4">
      <c r="A105" t="s">
        <v>7039</v>
      </c>
      <c r="E105" t="s">
        <v>2631</v>
      </c>
      <c r="F105">
        <f>COUNTIF($A$2:$A$1001,E105)</f>
        <v>2</v>
      </c>
      <c r="G105" t="str">
        <f>VLOOKUP(Table1[[#This Row],[Unique Emitters]],Cleaned!$AH$2:$AI$1001,2,FALSE)</f>
        <v>(Industrie-) und Bankschuldverschreibungen</v>
      </c>
    </row>
    <row r="106" spans="1:7" x14ac:dyDescent="0.4">
      <c r="A106" t="s">
        <v>192</v>
      </c>
      <c r="E106" t="s">
        <v>5629</v>
      </c>
      <c r="F106">
        <f>COUNTIF($A$2:$A$1001,E106)</f>
        <v>2</v>
      </c>
      <c r="G106" t="str">
        <f>VLOOKUP(Table1[[#This Row],[Unique Emitters]],Cleaned!$AH$2:$AI$1001,2,FALSE)</f>
        <v>WÃ¤hrungsanleihen</v>
      </c>
    </row>
    <row r="107" spans="1:7" x14ac:dyDescent="0.4">
      <c r="A107" t="s">
        <v>192</v>
      </c>
      <c r="E107" t="s">
        <v>3222</v>
      </c>
      <c r="F107">
        <f>COUNTIF($A$2:$A$1001,E107)</f>
        <v>2</v>
      </c>
      <c r="G107" t="str">
        <f>VLOOKUP(Table1[[#This Row],[Unique Emitters]],Cleaned!$AH$2:$AI$1001,2,FALSE)</f>
        <v>WÃ¤hrungsanleihen</v>
      </c>
    </row>
    <row r="108" spans="1:7" x14ac:dyDescent="0.4">
      <c r="A108" t="s">
        <v>6733</v>
      </c>
      <c r="E108" t="s">
        <v>2498</v>
      </c>
      <c r="F108">
        <f>COUNTIF($A$2:$A$1001,E108)</f>
        <v>2</v>
      </c>
      <c r="G108" t="str">
        <f>VLOOKUP(Table1[[#This Row],[Unique Emitters]],Cleaned!$AH$2:$AI$1001,2,FALSE)</f>
        <v>(Industrie-) und Bankschuldverschreibungen</v>
      </c>
    </row>
    <row r="109" spans="1:7" x14ac:dyDescent="0.4">
      <c r="A109" t="s">
        <v>4862</v>
      </c>
      <c r="E109" t="s">
        <v>2391</v>
      </c>
      <c r="F109">
        <f>COUNTIF($A$2:$A$1001,E109)</f>
        <v>2</v>
      </c>
      <c r="G109" t="str">
        <f>VLOOKUP(Table1[[#This Row],[Unique Emitters]],Cleaned!$AH$2:$AI$1001,2,FALSE)</f>
        <v>(Industrie-) und Bankschuldverschreibungen</v>
      </c>
    </row>
    <row r="110" spans="1:7" x14ac:dyDescent="0.4">
      <c r="A110" t="s">
        <v>7547</v>
      </c>
      <c r="E110" t="s">
        <v>2731</v>
      </c>
      <c r="F110">
        <f>COUNTIF($A$2:$A$1001,E110)</f>
        <v>2</v>
      </c>
      <c r="G110" t="str">
        <f>VLOOKUP(Table1[[#This Row],[Unique Emitters]],Cleaned!$AH$2:$AI$1001,2,FALSE)</f>
        <v>WÃ¤hrungsanleihen</v>
      </c>
    </row>
    <row r="111" spans="1:7" x14ac:dyDescent="0.4">
      <c r="A111" t="s">
        <v>6154</v>
      </c>
      <c r="E111" t="s">
        <v>6259</v>
      </c>
      <c r="F111">
        <f>COUNTIF($A$2:$A$1001,E111)</f>
        <v>2</v>
      </c>
      <c r="G111" t="str">
        <f>VLOOKUP(Table1[[#This Row],[Unique Emitters]],Cleaned!$AH$2:$AI$1001,2,FALSE)</f>
        <v>WÃ¤hrungsanleihen</v>
      </c>
    </row>
    <row r="112" spans="1:7" x14ac:dyDescent="0.4">
      <c r="A112" t="s">
        <v>749</v>
      </c>
      <c r="E112" t="s">
        <v>3152</v>
      </c>
      <c r="F112">
        <f>COUNTIF($A$2:$A$1001,E112)</f>
        <v>2</v>
      </c>
      <c r="G112" t="str">
        <f>VLOOKUP(Table1[[#This Row],[Unique Emitters]],Cleaned!$AH$2:$AI$1001,2,FALSE)</f>
        <v>WÃ¤hrungsanleihen</v>
      </c>
    </row>
    <row r="113" spans="1:7" x14ac:dyDescent="0.4">
      <c r="A113" t="s">
        <v>4772</v>
      </c>
      <c r="E113" t="s">
        <v>6478</v>
      </c>
      <c r="F113">
        <f>COUNTIF($A$2:$A$1001,E113)</f>
        <v>2</v>
      </c>
      <c r="G113" t="str">
        <f>VLOOKUP(Table1[[#This Row],[Unique Emitters]],Cleaned!$AH$2:$AI$1001,2,FALSE)</f>
        <v>WÃ¤hrungsanleihen</v>
      </c>
    </row>
    <row r="114" spans="1:7" x14ac:dyDescent="0.4">
      <c r="A114" t="s">
        <v>4779</v>
      </c>
      <c r="E114" t="s">
        <v>5464</v>
      </c>
      <c r="F114">
        <f>COUNTIF($A$2:$A$1001,E114)</f>
        <v>2</v>
      </c>
      <c r="G114" t="str">
        <f>VLOOKUP(Table1[[#This Row],[Unique Emitters]],Cleaned!$AH$2:$AI$1001,2,FALSE)</f>
        <v>WÃ¤hrungsanleihen</v>
      </c>
    </row>
    <row r="115" spans="1:7" x14ac:dyDescent="0.4">
      <c r="A115" t="s">
        <v>5496</v>
      </c>
      <c r="E115" t="s">
        <v>1961</v>
      </c>
      <c r="F115">
        <f>COUNTIF($A$2:$A$1001,E115)</f>
        <v>2</v>
      </c>
      <c r="G115" t="str">
        <f>VLOOKUP(Table1[[#This Row],[Unique Emitters]],Cleaned!$AH$2:$AI$1001,2,FALSE)</f>
        <v>WÃ¤hrungsanleihen</v>
      </c>
    </row>
    <row r="116" spans="1:7" x14ac:dyDescent="0.4">
      <c r="A116" t="s">
        <v>6071</v>
      </c>
      <c r="E116" t="s">
        <v>6443</v>
      </c>
      <c r="F116">
        <f>COUNTIF($A$2:$A$1001,E116)</f>
        <v>2</v>
      </c>
      <c r="G116" t="str">
        <f>VLOOKUP(Table1[[#This Row],[Unique Emitters]],Cleaned!$AH$2:$AI$1001,2,FALSE)</f>
        <v>WÃ¤hrungsanleihen</v>
      </c>
    </row>
    <row r="117" spans="1:7" x14ac:dyDescent="0.4">
      <c r="A117" t="s">
        <v>4228</v>
      </c>
      <c r="E117" t="s">
        <v>5144</v>
      </c>
      <c r="F117">
        <f>COUNTIF($A$2:$A$1001,E117)</f>
        <v>1</v>
      </c>
      <c r="G117" t="str">
        <f>VLOOKUP(Table1[[#This Row],[Unique Emitters]],Cleaned!$AH$2:$AI$1001,2,FALSE)</f>
        <v>WÃ¤hrungsanleihen</v>
      </c>
    </row>
    <row r="118" spans="1:7" x14ac:dyDescent="0.4">
      <c r="A118" t="s">
        <v>4228</v>
      </c>
      <c r="E118" t="s">
        <v>6983</v>
      </c>
      <c r="F118">
        <f>COUNTIF($A$2:$A$1001,E118)</f>
        <v>1</v>
      </c>
      <c r="G118" t="str">
        <f>VLOOKUP(Table1[[#This Row],[Unique Emitters]],Cleaned!$AH$2:$AI$1001,2,FALSE)</f>
        <v>WÃ¤hrungsanleihen</v>
      </c>
    </row>
    <row r="119" spans="1:7" x14ac:dyDescent="0.4">
      <c r="A119" t="s">
        <v>5539</v>
      </c>
      <c r="E119" t="s">
        <v>6971</v>
      </c>
      <c r="F119">
        <f>COUNTIF($A$2:$A$1001,E119)</f>
        <v>1</v>
      </c>
      <c r="G119" t="str">
        <f>VLOOKUP(Table1[[#This Row],[Unique Emitters]],Cleaned!$AH$2:$AI$1001,2,FALSE)</f>
        <v>WÃ¤hrungsanleihen</v>
      </c>
    </row>
    <row r="120" spans="1:7" x14ac:dyDescent="0.4">
      <c r="A120" t="s">
        <v>7412</v>
      </c>
      <c r="E120" t="s">
        <v>1545</v>
      </c>
      <c r="F120">
        <f>COUNTIF($A$2:$A$1001,E120)</f>
        <v>1</v>
      </c>
      <c r="G120" t="str">
        <f>VLOOKUP(Table1[[#This Row],[Unique Emitters]],Cleaned!$AH$2:$AI$1001,2,FALSE)</f>
        <v>(Industrie-) und Bankschuldverschreibungen</v>
      </c>
    </row>
    <row r="121" spans="1:7" x14ac:dyDescent="0.4">
      <c r="A121" t="s">
        <v>4784</v>
      </c>
      <c r="E121" t="s">
        <v>5504</v>
      </c>
      <c r="F121">
        <f>COUNTIF($A$2:$A$1001,E121)</f>
        <v>1</v>
      </c>
      <c r="G121" t="str">
        <f>VLOOKUP(Table1[[#This Row],[Unique Emitters]],Cleaned!$AH$2:$AI$1001,2,FALSE)</f>
        <v>WÃ¤hrungsanleihen</v>
      </c>
    </row>
    <row r="122" spans="1:7" x14ac:dyDescent="0.4">
      <c r="A122" t="s">
        <v>6060</v>
      </c>
      <c r="E122" t="s">
        <v>4809</v>
      </c>
      <c r="F122">
        <f>COUNTIF($A$2:$A$1001,E122)</f>
        <v>1</v>
      </c>
      <c r="G122" t="str">
        <f>VLOOKUP(Table1[[#This Row],[Unique Emitters]],Cleaned!$AH$2:$AI$1001,2,FALSE)</f>
        <v>WÃ¤hrungsanleihen</v>
      </c>
    </row>
    <row r="123" spans="1:7" x14ac:dyDescent="0.4">
      <c r="A123" t="s">
        <v>6980</v>
      </c>
      <c r="E123" t="s">
        <v>406</v>
      </c>
      <c r="F123">
        <f>COUNTIF($A$2:$A$1001,E123)</f>
        <v>1</v>
      </c>
      <c r="G123" t="str">
        <f>VLOOKUP(Table1[[#This Row],[Unique Emitters]],Cleaned!$AH$2:$AI$1001,2,FALSE)</f>
        <v>WÃ¤hrungsanleihen</v>
      </c>
    </row>
    <row r="124" spans="1:7" x14ac:dyDescent="0.4">
      <c r="A124" t="s">
        <v>4011</v>
      </c>
      <c r="E124" t="s">
        <v>6293</v>
      </c>
      <c r="F124">
        <f>COUNTIF($A$2:$A$1001,E124)</f>
        <v>1</v>
      </c>
      <c r="G124" t="str">
        <f>VLOOKUP(Table1[[#This Row],[Unique Emitters]],Cleaned!$AH$2:$AI$1001,2,FALSE)</f>
        <v>WÃ¤hrungsanleihen</v>
      </c>
    </row>
    <row r="125" spans="1:7" x14ac:dyDescent="0.4">
      <c r="A125" t="s">
        <v>5064</v>
      </c>
      <c r="E125" t="s">
        <v>761</v>
      </c>
      <c r="F125">
        <f>COUNTIF($A$2:$A$1001,E125)</f>
        <v>1</v>
      </c>
      <c r="G125" t="str">
        <f>VLOOKUP(Table1[[#This Row],[Unique Emitters]],Cleaned!$AH$2:$AI$1001,2,FALSE)</f>
        <v>WÃ¤hrungsanleihen</v>
      </c>
    </row>
    <row r="126" spans="1:7" x14ac:dyDescent="0.4">
      <c r="A126" t="s">
        <v>6417</v>
      </c>
      <c r="E126" t="s">
        <v>4817</v>
      </c>
      <c r="F126">
        <f>COUNTIF($A$2:$A$1001,E126)</f>
        <v>1</v>
      </c>
      <c r="G126" t="str">
        <f>VLOOKUP(Table1[[#This Row],[Unique Emitters]],Cleaned!$AH$2:$AI$1001,2,FALSE)</f>
        <v>WÃ¤hrungsanleihen</v>
      </c>
    </row>
    <row r="127" spans="1:7" x14ac:dyDescent="0.4">
      <c r="A127" t="s">
        <v>2241</v>
      </c>
      <c r="E127" t="s">
        <v>7006</v>
      </c>
      <c r="F127">
        <f>COUNTIF($A$2:$A$1001,E127)</f>
        <v>1</v>
      </c>
      <c r="G127" t="str">
        <f>VLOOKUP(Table1[[#This Row],[Unique Emitters]],Cleaned!$AH$2:$AI$1001,2,FALSE)</f>
        <v>WÃ¤hrungsanleihen</v>
      </c>
    </row>
    <row r="128" spans="1:7" x14ac:dyDescent="0.4">
      <c r="A128" t="s">
        <v>6128</v>
      </c>
      <c r="E128" t="s">
        <v>4828</v>
      </c>
      <c r="F128">
        <f>COUNTIF($A$2:$A$1001,E128)</f>
        <v>1</v>
      </c>
      <c r="G128" t="str">
        <f>VLOOKUP(Table1[[#This Row],[Unique Emitters]],Cleaned!$AH$2:$AI$1001,2,FALSE)</f>
        <v>WÃ¤hrungsanleihen</v>
      </c>
    </row>
    <row r="129" spans="1:7" x14ac:dyDescent="0.4">
      <c r="A129" t="s">
        <v>6176</v>
      </c>
      <c r="E129" t="s">
        <v>6079</v>
      </c>
      <c r="F129">
        <f>COUNTIF($A$2:$A$1001,E129)</f>
        <v>1</v>
      </c>
      <c r="G129" t="str">
        <f>VLOOKUP(Table1[[#This Row],[Unique Emitters]],Cleaned!$AH$2:$AI$1001,2,FALSE)</f>
        <v>WÃ¤hrungsanleihen</v>
      </c>
    </row>
    <row r="130" spans="1:7" x14ac:dyDescent="0.4">
      <c r="A130" t="s">
        <v>231</v>
      </c>
      <c r="E130" t="s">
        <v>5838</v>
      </c>
      <c r="F130">
        <f>COUNTIF($A$2:$A$1001,E130)</f>
        <v>1</v>
      </c>
      <c r="G130" t="str">
        <f>VLOOKUP(Table1[[#This Row],[Unique Emitters]],Cleaned!$AH$2:$AI$1001,2,FALSE)</f>
        <v>WÃ¤hrungsanleihen</v>
      </c>
    </row>
    <row r="131" spans="1:7" x14ac:dyDescent="0.4">
      <c r="A131" t="s">
        <v>7454</v>
      </c>
      <c r="E131" t="s">
        <v>5518</v>
      </c>
      <c r="F131">
        <f>COUNTIF($A$2:$A$1001,E131)</f>
        <v>1</v>
      </c>
      <c r="G131" t="str">
        <f>VLOOKUP(Table1[[#This Row],[Unique Emitters]],Cleaned!$AH$2:$AI$1001,2,FALSE)</f>
        <v>WÃ¤hrungsanleihen</v>
      </c>
    </row>
    <row r="132" spans="1:7" x14ac:dyDescent="0.4">
      <c r="A132" t="s">
        <v>6931</v>
      </c>
      <c r="E132" t="s">
        <v>6066</v>
      </c>
      <c r="F132">
        <f>COUNTIF($A$2:$A$1001,E132)</f>
        <v>1</v>
      </c>
      <c r="G132" t="str">
        <f>VLOOKUP(Table1[[#This Row],[Unique Emitters]],Cleaned!$AH$2:$AI$1001,2,FALSE)</f>
        <v>WÃ¤hrungsanleihen</v>
      </c>
    </row>
    <row r="133" spans="1:7" x14ac:dyDescent="0.4">
      <c r="A133" t="s">
        <v>6312</v>
      </c>
      <c r="E133" t="s">
        <v>7449</v>
      </c>
      <c r="F133">
        <f>COUNTIF($A$2:$A$1001,E133)</f>
        <v>1</v>
      </c>
      <c r="G133" t="str">
        <f>VLOOKUP(Table1[[#This Row],[Unique Emitters]],Cleaned!$AH$2:$AI$1001,2,FALSE)</f>
        <v>WÃ¤hrungsanleihen</v>
      </c>
    </row>
    <row r="134" spans="1:7" x14ac:dyDescent="0.4">
      <c r="A134" t="s">
        <v>7442</v>
      </c>
      <c r="E134" t="s">
        <v>5523</v>
      </c>
      <c r="F134">
        <f>COUNTIF($A$2:$A$1001,E134)</f>
        <v>1</v>
      </c>
      <c r="G134" t="str">
        <f>VLOOKUP(Table1[[#This Row],[Unique Emitters]],Cleaned!$AH$2:$AI$1001,2,FALSE)</f>
        <v>WÃ¤hrungsanleihen</v>
      </c>
    </row>
    <row r="135" spans="1:7" x14ac:dyDescent="0.4">
      <c r="A135" t="s">
        <v>499</v>
      </c>
      <c r="E135" t="s">
        <v>7469</v>
      </c>
      <c r="F135">
        <f>COUNTIF($A$2:$A$1001,E135)</f>
        <v>1</v>
      </c>
      <c r="G135" t="str">
        <f>VLOOKUP(Table1[[#This Row],[Unique Emitters]],Cleaned!$AH$2:$AI$1001,2,FALSE)</f>
        <v>WÃ¤hrungsanleihen</v>
      </c>
    </row>
    <row r="136" spans="1:7" x14ac:dyDescent="0.4">
      <c r="A136" t="s">
        <v>499</v>
      </c>
      <c r="E136" t="s">
        <v>7223</v>
      </c>
      <c r="F136">
        <f>COUNTIF($A$2:$A$1001,E136)</f>
        <v>1</v>
      </c>
      <c r="G136" t="str">
        <f>VLOOKUP(Table1[[#This Row],[Unique Emitters]],Cleaned!$AH$2:$AI$1001,2,FALSE)</f>
        <v>WÃ¤hrungsanleihen</v>
      </c>
    </row>
    <row r="137" spans="1:7" x14ac:dyDescent="0.4">
      <c r="A137" t="s">
        <v>499</v>
      </c>
      <c r="E137" t="s">
        <v>2885</v>
      </c>
      <c r="F137">
        <f>COUNTIF($A$2:$A$1001,E137)</f>
        <v>1</v>
      </c>
      <c r="G137" t="str">
        <f>VLOOKUP(Table1[[#This Row],[Unique Emitters]],Cleaned!$AH$2:$AI$1001,2,FALSE)</f>
        <v>WÃ¤hrungsanleihen</v>
      </c>
    </row>
    <row r="138" spans="1:7" x14ac:dyDescent="0.4">
      <c r="A138" t="s">
        <v>499</v>
      </c>
      <c r="E138" t="s">
        <v>6140</v>
      </c>
      <c r="F138">
        <f>COUNTIF($A$2:$A$1001,E138)</f>
        <v>1</v>
      </c>
      <c r="G138" t="str">
        <f>VLOOKUP(Table1[[#This Row],[Unique Emitters]],Cleaned!$AH$2:$AI$1001,2,FALSE)</f>
        <v>WÃ¤hrungsanleihen</v>
      </c>
    </row>
    <row r="139" spans="1:7" x14ac:dyDescent="0.4">
      <c r="A139" t="s">
        <v>5071</v>
      </c>
      <c r="E139" t="s">
        <v>7482</v>
      </c>
      <c r="F139">
        <f>COUNTIF($A$2:$A$1001,E139)</f>
        <v>1</v>
      </c>
      <c r="G139" t="str">
        <f>VLOOKUP(Table1[[#This Row],[Unique Emitters]],Cleaned!$AH$2:$AI$1001,2,FALSE)</f>
        <v>WÃ¤hrungsanleihen</v>
      </c>
    </row>
    <row r="140" spans="1:7" x14ac:dyDescent="0.4">
      <c r="A140" t="s">
        <v>4869</v>
      </c>
      <c r="E140" t="s">
        <v>6143</v>
      </c>
      <c r="F140">
        <f>COUNTIF($A$2:$A$1001,E140)</f>
        <v>1</v>
      </c>
      <c r="G140" t="str">
        <f>VLOOKUP(Table1[[#This Row],[Unique Emitters]],Cleaned!$AH$2:$AI$1001,2,FALSE)</f>
        <v>WÃ¤hrungsanleihen</v>
      </c>
    </row>
    <row r="141" spans="1:7" x14ac:dyDescent="0.4">
      <c r="A141" t="s">
        <v>4471</v>
      </c>
      <c r="E141" t="s">
        <v>2567</v>
      </c>
      <c r="F141">
        <f>COUNTIF($A$2:$A$1001,E141)</f>
        <v>1</v>
      </c>
      <c r="G141" t="str">
        <f>VLOOKUP(Table1[[#This Row],[Unique Emitters]],Cleaned!$AH$2:$AI$1001,2,FALSE)</f>
        <v>WÃ¤hrungsanleihen</v>
      </c>
    </row>
    <row r="142" spans="1:7" x14ac:dyDescent="0.4">
      <c r="A142" t="s">
        <v>574</v>
      </c>
      <c r="E142" t="s">
        <v>7233</v>
      </c>
      <c r="F142">
        <f>COUNTIF($A$2:$A$1001,E142)</f>
        <v>1</v>
      </c>
      <c r="G142" t="str">
        <f>VLOOKUP(Table1[[#This Row],[Unique Emitters]],Cleaned!$AH$2:$AI$1001,2,FALSE)</f>
        <v>WÃ¤hrungsanleihen</v>
      </c>
    </row>
    <row r="143" spans="1:7" x14ac:dyDescent="0.4">
      <c r="A143" t="s">
        <v>574</v>
      </c>
      <c r="E143" t="s">
        <v>1442</v>
      </c>
      <c r="F143">
        <f>COUNTIF($A$2:$A$1001,E143)</f>
        <v>1</v>
      </c>
      <c r="G143" t="str">
        <f>VLOOKUP(Table1[[#This Row],[Unique Emitters]],Cleaned!$AH$2:$AI$1001,2,FALSE)</f>
        <v>WÃ¤hrungsanleihen</v>
      </c>
    </row>
    <row r="144" spans="1:7" x14ac:dyDescent="0.4">
      <c r="A144" t="s">
        <v>574</v>
      </c>
      <c r="E144" t="s">
        <v>7533</v>
      </c>
      <c r="F144">
        <f>COUNTIF($A$2:$A$1001,E144)</f>
        <v>1</v>
      </c>
      <c r="G144" t="str">
        <f>VLOOKUP(Table1[[#This Row],[Unique Emitters]],Cleaned!$AH$2:$AI$1001,2,FALSE)</f>
        <v>WÃ¤hrungsanleihen</v>
      </c>
    </row>
    <row r="145" spans="1:7" x14ac:dyDescent="0.4">
      <c r="A145" t="s">
        <v>170</v>
      </c>
      <c r="E145" t="s">
        <v>6308</v>
      </c>
      <c r="F145">
        <f>COUNTIF($A$2:$A$1001,E145)</f>
        <v>1</v>
      </c>
      <c r="G145" t="str">
        <f>VLOOKUP(Table1[[#This Row],[Unique Emitters]],Cleaned!$AH$2:$AI$1001,2,FALSE)</f>
        <v>WÃ¤hrungsanleihen</v>
      </c>
    </row>
    <row r="146" spans="1:7" x14ac:dyDescent="0.4">
      <c r="A146" t="s">
        <v>295</v>
      </c>
      <c r="E146" t="s">
        <v>4835</v>
      </c>
      <c r="F146">
        <f>COUNTIF($A$2:$A$1001,E146)</f>
        <v>1</v>
      </c>
      <c r="G146" t="str">
        <f>VLOOKUP(Table1[[#This Row],[Unique Emitters]],Cleaned!$AH$2:$AI$1001,2,FALSE)</f>
        <v>WÃ¤hrungsanleihen</v>
      </c>
    </row>
    <row r="147" spans="1:7" x14ac:dyDescent="0.4">
      <c r="A147" t="s">
        <v>295</v>
      </c>
      <c r="E147" t="s">
        <v>4843</v>
      </c>
      <c r="F147">
        <f>COUNTIF($A$2:$A$1001,E147)</f>
        <v>1</v>
      </c>
      <c r="G147" t="str">
        <f>VLOOKUP(Table1[[#This Row],[Unique Emitters]],Cleaned!$AH$2:$AI$1001,2,FALSE)</f>
        <v>WÃ¤hrungsanleihen</v>
      </c>
    </row>
    <row r="148" spans="1:7" x14ac:dyDescent="0.4">
      <c r="A148" t="s">
        <v>295</v>
      </c>
      <c r="E148" t="s">
        <v>7029</v>
      </c>
      <c r="F148">
        <f>COUNTIF($A$2:$A$1001,E148)</f>
        <v>1</v>
      </c>
      <c r="G148" t="str">
        <f>VLOOKUP(Table1[[#This Row],[Unique Emitters]],Cleaned!$AH$2:$AI$1001,2,FALSE)</f>
        <v>WÃ¤hrungsanleihen</v>
      </c>
    </row>
    <row r="149" spans="1:7" x14ac:dyDescent="0.4">
      <c r="A149" t="s">
        <v>295</v>
      </c>
      <c r="E149" t="s">
        <v>6485</v>
      </c>
      <c r="F149">
        <f>COUNTIF($A$2:$A$1001,E149)</f>
        <v>1</v>
      </c>
      <c r="G149" t="str">
        <f>VLOOKUP(Table1[[#This Row],[Unique Emitters]],Cleaned!$AH$2:$AI$1001,2,FALSE)</f>
        <v>Bundesanleihen</v>
      </c>
    </row>
    <row r="150" spans="1:7" x14ac:dyDescent="0.4">
      <c r="A150" t="s">
        <v>6037</v>
      </c>
      <c r="E150" t="s">
        <v>6909</v>
      </c>
      <c r="F150">
        <f>COUNTIF($A$2:$A$1001,E150)</f>
        <v>1</v>
      </c>
      <c r="G150" t="str">
        <f>VLOOKUP(Table1[[#This Row],[Unique Emitters]],Cleaned!$AH$2:$AI$1001,2,FALSE)</f>
        <v>WÃ¤hrungsanleihen</v>
      </c>
    </row>
    <row r="151" spans="1:7" x14ac:dyDescent="0.4">
      <c r="A151" t="s">
        <v>6037</v>
      </c>
      <c r="E151" t="s">
        <v>7522</v>
      </c>
      <c r="F151">
        <f>COUNTIF($A$2:$A$1001,E151)</f>
        <v>1</v>
      </c>
      <c r="G151" t="str">
        <f>VLOOKUP(Table1[[#This Row],[Unique Emitters]],Cleaned!$AH$2:$AI$1001,2,FALSE)</f>
        <v>WÃ¤hrungsanleihen</v>
      </c>
    </row>
    <row r="152" spans="1:7" x14ac:dyDescent="0.4">
      <c r="A152" t="s">
        <v>6037</v>
      </c>
      <c r="E152" t="s">
        <v>2665</v>
      </c>
      <c r="F152">
        <f>COUNTIF($A$2:$A$1001,E152)</f>
        <v>1</v>
      </c>
      <c r="G152" t="str">
        <f>VLOOKUP(Table1[[#This Row],[Unique Emitters]],Cleaned!$AH$2:$AI$1001,2,FALSE)</f>
        <v>Bundesanleihen</v>
      </c>
    </row>
    <row r="153" spans="1:7" x14ac:dyDescent="0.4">
      <c r="A153" t="s">
        <v>6037</v>
      </c>
      <c r="E153" t="s">
        <v>489</v>
      </c>
      <c r="F153">
        <f>COUNTIF($A$2:$A$1001,E153)</f>
        <v>1</v>
      </c>
      <c r="G153" t="str">
        <f>VLOOKUP(Table1[[#This Row],[Unique Emitters]],Cleaned!$AH$2:$AI$1001,2,FALSE)</f>
        <v>Holdinggesellschaften</v>
      </c>
    </row>
    <row r="154" spans="1:7" x14ac:dyDescent="0.4">
      <c r="A154" t="s">
        <v>6037</v>
      </c>
      <c r="E154" t="s">
        <v>4964</v>
      </c>
      <c r="F154">
        <f>COUNTIF($A$2:$A$1001,E154)</f>
        <v>1</v>
      </c>
      <c r="G154" t="str">
        <f>VLOOKUP(Table1[[#This Row],[Unique Emitters]],Cleaned!$AH$2:$AI$1001,2,FALSE)</f>
        <v>WÃ¤hrungsanleihen</v>
      </c>
    </row>
    <row r="155" spans="1:7" x14ac:dyDescent="0.4">
      <c r="A155" t="s">
        <v>7278</v>
      </c>
      <c r="E155" t="s">
        <v>3861</v>
      </c>
      <c r="F155">
        <f>COUNTIF($A$2:$A$1001,E155)</f>
        <v>1</v>
      </c>
      <c r="G155" t="str">
        <f>VLOOKUP(Table1[[#This Row],[Unique Emitters]],Cleaned!$AH$2:$AI$1001,2,FALSE)</f>
        <v>WÃ¤hrungsanleihen</v>
      </c>
    </row>
    <row r="156" spans="1:7" x14ac:dyDescent="0.4">
      <c r="A156" t="s">
        <v>1413</v>
      </c>
      <c r="E156" t="s">
        <v>7248</v>
      </c>
      <c r="F156">
        <f>COUNTIF($A$2:$A$1001,E156)</f>
        <v>1</v>
      </c>
      <c r="G156" t="str">
        <f>VLOOKUP(Table1[[#This Row],[Unique Emitters]],Cleaned!$AH$2:$AI$1001,2,FALSE)</f>
        <v>WÃ¤hrungsanleihen</v>
      </c>
    </row>
    <row r="157" spans="1:7" x14ac:dyDescent="0.4">
      <c r="A157" t="s">
        <v>4958</v>
      </c>
      <c r="E157" t="s">
        <v>6149</v>
      </c>
      <c r="F157">
        <f>COUNTIF($A$2:$A$1001,E157)</f>
        <v>1</v>
      </c>
      <c r="G157" t="str">
        <f>VLOOKUP(Table1[[#This Row],[Unique Emitters]],Cleaned!$AH$2:$AI$1001,2,FALSE)</f>
        <v>WÃ¤hrungsanleihen</v>
      </c>
    </row>
    <row r="158" spans="1:7" x14ac:dyDescent="0.4">
      <c r="A158" t="s">
        <v>3651</v>
      </c>
      <c r="E158" t="s">
        <v>3234</v>
      </c>
      <c r="F158">
        <f>COUNTIF($A$2:$A$1001,E158)</f>
        <v>1</v>
      </c>
      <c r="G158" t="str">
        <f>VLOOKUP(Table1[[#This Row],[Unique Emitters]],Cleaned!$AH$2:$AI$1001,2,FALSE)</f>
        <v>(Industrie-) und Bankschuldverschreibungen</v>
      </c>
    </row>
    <row r="159" spans="1:7" x14ac:dyDescent="0.4">
      <c r="A159" t="s">
        <v>7256</v>
      </c>
      <c r="E159" t="s">
        <v>4793</v>
      </c>
      <c r="F159">
        <f>COUNTIF($A$2:$A$1001,E159)</f>
        <v>1</v>
      </c>
      <c r="G159" t="str">
        <f>VLOOKUP(Table1[[#This Row],[Unique Emitters]],Cleaned!$AH$2:$AI$1001,2,FALSE)</f>
        <v>AuslÃ¤ndische Wandelanleihen/Optionsanleihen</v>
      </c>
    </row>
    <row r="160" spans="1:7" x14ac:dyDescent="0.4">
      <c r="A160" t="s">
        <v>7267</v>
      </c>
      <c r="E160" t="s">
        <v>7067</v>
      </c>
      <c r="F160">
        <f>COUNTIF($A$2:$A$1001,E160)</f>
        <v>1</v>
      </c>
      <c r="G160" t="str">
        <f>VLOOKUP(Table1[[#This Row],[Unique Emitters]],Cleaned!$AH$2:$AI$1001,2,FALSE)</f>
        <v>WÃ¤hrungsanleihen</v>
      </c>
    </row>
    <row r="161" spans="1:7" x14ac:dyDescent="0.4">
      <c r="A161" t="s">
        <v>6368</v>
      </c>
      <c r="E161" t="s">
        <v>7039</v>
      </c>
      <c r="F161">
        <f>COUNTIF($A$2:$A$1001,E161)</f>
        <v>1</v>
      </c>
      <c r="G161" t="str">
        <f>VLOOKUP(Table1[[#This Row],[Unique Emitters]],Cleaned!$AH$2:$AI$1001,2,FALSE)</f>
        <v>WÃ¤hrungsanleihen</v>
      </c>
    </row>
    <row r="162" spans="1:7" x14ac:dyDescent="0.4">
      <c r="A162" t="s">
        <v>4970</v>
      </c>
      <c r="E162" t="s">
        <v>6733</v>
      </c>
      <c r="F162">
        <f>COUNTIF($A$2:$A$1001,E162)</f>
        <v>1</v>
      </c>
      <c r="G162" t="str">
        <f>VLOOKUP(Table1[[#This Row],[Unique Emitters]],Cleaned!$AH$2:$AI$1001,2,FALSE)</f>
        <v>WÃ¤hrungsanleihen</v>
      </c>
    </row>
    <row r="163" spans="1:7" x14ac:dyDescent="0.4">
      <c r="A163" t="s">
        <v>1768</v>
      </c>
      <c r="E163" t="s">
        <v>4862</v>
      </c>
      <c r="F163">
        <f>COUNTIF($A$2:$A$1001,E163)</f>
        <v>1</v>
      </c>
      <c r="G163" t="str">
        <f>VLOOKUP(Table1[[#This Row],[Unique Emitters]],Cleaned!$AH$2:$AI$1001,2,FALSE)</f>
        <v>WÃ¤hrungsanleihen</v>
      </c>
    </row>
    <row r="164" spans="1:7" x14ac:dyDescent="0.4">
      <c r="A164" t="s">
        <v>4452</v>
      </c>
      <c r="E164" t="s">
        <v>7547</v>
      </c>
      <c r="F164">
        <f>COUNTIF($A$2:$A$1001,E164)</f>
        <v>1</v>
      </c>
      <c r="G164" t="str">
        <f>VLOOKUP(Table1[[#This Row],[Unique Emitters]],Cleaned!$AH$2:$AI$1001,2,FALSE)</f>
        <v>WÃ¤hrungsanleihen</v>
      </c>
    </row>
    <row r="165" spans="1:7" x14ac:dyDescent="0.4">
      <c r="A165" t="s">
        <v>4452</v>
      </c>
      <c r="E165" t="s">
        <v>6154</v>
      </c>
      <c r="F165">
        <f>COUNTIF($A$2:$A$1001,E165)</f>
        <v>1</v>
      </c>
      <c r="G165" t="str">
        <f>VLOOKUP(Table1[[#This Row],[Unique Emitters]],Cleaned!$AH$2:$AI$1001,2,FALSE)</f>
        <v>WÃ¤hrungsanleihen</v>
      </c>
    </row>
    <row r="166" spans="1:7" x14ac:dyDescent="0.4">
      <c r="A166" t="s">
        <v>4452</v>
      </c>
      <c r="E166" t="s">
        <v>749</v>
      </c>
      <c r="F166">
        <f>COUNTIF($A$2:$A$1001,E166)</f>
        <v>1</v>
      </c>
      <c r="G166" t="str">
        <f>VLOOKUP(Table1[[#This Row],[Unique Emitters]],Cleaned!$AH$2:$AI$1001,2,FALSE)</f>
        <v>WÃ¤hrungsanleihen</v>
      </c>
    </row>
    <row r="167" spans="1:7" x14ac:dyDescent="0.4">
      <c r="A167" t="s">
        <v>4452</v>
      </c>
      <c r="E167" t="s">
        <v>4772</v>
      </c>
      <c r="F167">
        <f>COUNTIF($A$2:$A$1001,E167)</f>
        <v>1</v>
      </c>
      <c r="G167" t="str">
        <f>VLOOKUP(Table1[[#This Row],[Unique Emitters]],Cleaned!$AH$2:$AI$1001,2,FALSE)</f>
        <v>WÃ¤hrungsanleihen</v>
      </c>
    </row>
    <row r="168" spans="1:7" x14ac:dyDescent="0.4">
      <c r="A168" t="s">
        <v>4452</v>
      </c>
      <c r="E168" t="s">
        <v>4779</v>
      </c>
      <c r="F168">
        <f>COUNTIF($A$2:$A$1001,E168)</f>
        <v>1</v>
      </c>
      <c r="G168" t="str">
        <f>VLOOKUP(Table1[[#This Row],[Unique Emitters]],Cleaned!$AH$2:$AI$1001,2,FALSE)</f>
        <v>WÃ¤hrungsanleihen</v>
      </c>
    </row>
    <row r="169" spans="1:7" x14ac:dyDescent="0.4">
      <c r="A169" t="s">
        <v>4452</v>
      </c>
      <c r="E169" t="s">
        <v>5496</v>
      </c>
      <c r="F169">
        <f>COUNTIF($A$2:$A$1001,E169)</f>
        <v>1</v>
      </c>
      <c r="G169" t="str">
        <f>VLOOKUP(Table1[[#This Row],[Unique Emitters]],Cleaned!$AH$2:$AI$1001,2,FALSE)</f>
        <v>WÃ¤hrungsanleihen</v>
      </c>
    </row>
    <row r="170" spans="1:7" x14ac:dyDescent="0.4">
      <c r="A170" t="s">
        <v>4452</v>
      </c>
      <c r="E170" t="s">
        <v>6071</v>
      </c>
      <c r="F170">
        <f>COUNTIF($A$2:$A$1001,E170)</f>
        <v>1</v>
      </c>
      <c r="G170" t="str">
        <f>VLOOKUP(Table1[[#This Row],[Unique Emitters]],Cleaned!$AH$2:$AI$1001,2,FALSE)</f>
        <v>WÃ¤hrungsanleihen</v>
      </c>
    </row>
    <row r="171" spans="1:7" x14ac:dyDescent="0.4">
      <c r="A171" t="s">
        <v>4452</v>
      </c>
      <c r="E171" t="s">
        <v>5539</v>
      </c>
      <c r="F171">
        <f>COUNTIF($A$2:$A$1001,E171)</f>
        <v>1</v>
      </c>
      <c r="G171" t="str">
        <f>VLOOKUP(Table1[[#This Row],[Unique Emitters]],Cleaned!$AH$2:$AI$1001,2,FALSE)</f>
        <v>WÃ¤hrungsanleihen</v>
      </c>
    </row>
    <row r="172" spans="1:7" x14ac:dyDescent="0.4">
      <c r="A172" t="s">
        <v>4452</v>
      </c>
      <c r="E172" t="s">
        <v>7412</v>
      </c>
      <c r="F172">
        <f>COUNTIF($A$2:$A$1001,E172)</f>
        <v>1</v>
      </c>
      <c r="G172" t="str">
        <f>VLOOKUP(Table1[[#This Row],[Unique Emitters]],Cleaned!$AH$2:$AI$1001,2,FALSE)</f>
        <v>WÃ¤hrungsanleihen</v>
      </c>
    </row>
    <row r="173" spans="1:7" x14ac:dyDescent="0.4">
      <c r="A173" t="s">
        <v>4452</v>
      </c>
      <c r="E173" t="s">
        <v>4784</v>
      </c>
      <c r="F173">
        <f>COUNTIF($A$2:$A$1001,E173)</f>
        <v>1</v>
      </c>
      <c r="G173" t="str">
        <f>VLOOKUP(Table1[[#This Row],[Unique Emitters]],Cleaned!$AH$2:$AI$1001,2,FALSE)</f>
        <v>WÃ¤hrungsanleihen</v>
      </c>
    </row>
    <row r="174" spans="1:7" x14ac:dyDescent="0.4">
      <c r="A174" t="s">
        <v>4452</v>
      </c>
      <c r="E174" t="s">
        <v>6060</v>
      </c>
      <c r="F174">
        <f>COUNTIF($A$2:$A$1001,E174)</f>
        <v>1</v>
      </c>
      <c r="G174" t="str">
        <f>VLOOKUP(Table1[[#This Row],[Unique Emitters]],Cleaned!$AH$2:$AI$1001,2,FALSE)</f>
        <v>WÃ¤hrungsanleihen</v>
      </c>
    </row>
    <row r="175" spans="1:7" x14ac:dyDescent="0.4">
      <c r="A175" t="s">
        <v>4452</v>
      </c>
      <c r="E175" t="s">
        <v>6980</v>
      </c>
      <c r="F175">
        <f>COUNTIF($A$2:$A$1001,E175)</f>
        <v>1</v>
      </c>
      <c r="G175" t="str">
        <f>VLOOKUP(Table1[[#This Row],[Unique Emitters]],Cleaned!$AH$2:$AI$1001,2,FALSE)</f>
        <v>WÃ¤hrungsanleihen</v>
      </c>
    </row>
    <row r="176" spans="1:7" x14ac:dyDescent="0.4">
      <c r="A176" t="s">
        <v>4452</v>
      </c>
      <c r="E176" t="s">
        <v>4011</v>
      </c>
      <c r="F176">
        <f>COUNTIF($A$2:$A$1001,E176)</f>
        <v>1</v>
      </c>
      <c r="G176" t="str">
        <f>VLOOKUP(Table1[[#This Row],[Unique Emitters]],Cleaned!$AH$2:$AI$1001,2,FALSE)</f>
        <v>WÃ¤hrungsanleihen</v>
      </c>
    </row>
    <row r="177" spans="1:7" x14ac:dyDescent="0.4">
      <c r="A177" t="s">
        <v>4452</v>
      </c>
      <c r="E177" t="s">
        <v>5064</v>
      </c>
      <c r="F177">
        <f>COUNTIF($A$2:$A$1001,E177)</f>
        <v>1</v>
      </c>
      <c r="G177" t="str">
        <f>VLOOKUP(Table1[[#This Row],[Unique Emitters]],Cleaned!$AH$2:$AI$1001,2,FALSE)</f>
        <v>WÃ¤hrungsanleihen</v>
      </c>
    </row>
    <row r="178" spans="1:7" x14ac:dyDescent="0.4">
      <c r="A178" t="s">
        <v>4452</v>
      </c>
      <c r="E178" t="s">
        <v>6417</v>
      </c>
      <c r="F178">
        <f>COUNTIF($A$2:$A$1001,E178)</f>
        <v>1</v>
      </c>
      <c r="G178" t="str">
        <f>VLOOKUP(Table1[[#This Row],[Unique Emitters]],Cleaned!$AH$2:$AI$1001,2,FALSE)</f>
        <v>WÃ¤hrungsanleihen</v>
      </c>
    </row>
    <row r="179" spans="1:7" x14ac:dyDescent="0.4">
      <c r="A179" t="s">
        <v>4452</v>
      </c>
      <c r="E179" t="s">
        <v>2241</v>
      </c>
      <c r="F179">
        <f>COUNTIF($A$2:$A$1001,E179)</f>
        <v>1</v>
      </c>
      <c r="G179" t="str">
        <f>VLOOKUP(Table1[[#This Row],[Unique Emitters]],Cleaned!$AH$2:$AI$1001,2,FALSE)</f>
        <v>WÃ¤hrungsanleihen</v>
      </c>
    </row>
    <row r="180" spans="1:7" x14ac:dyDescent="0.4">
      <c r="A180" t="s">
        <v>4452</v>
      </c>
      <c r="E180" t="s">
        <v>6128</v>
      </c>
      <c r="F180">
        <f>COUNTIF($A$2:$A$1001,E180)</f>
        <v>1</v>
      </c>
      <c r="G180" t="str">
        <f>VLOOKUP(Table1[[#This Row],[Unique Emitters]],Cleaned!$AH$2:$AI$1001,2,FALSE)</f>
        <v>WÃ¤hrungsanleihen</v>
      </c>
    </row>
    <row r="181" spans="1:7" x14ac:dyDescent="0.4">
      <c r="A181" t="s">
        <v>4452</v>
      </c>
      <c r="E181" t="s">
        <v>6176</v>
      </c>
      <c r="F181">
        <f>COUNTIF($A$2:$A$1001,E181)</f>
        <v>1</v>
      </c>
      <c r="G181" t="str">
        <f>VLOOKUP(Table1[[#This Row],[Unique Emitters]],Cleaned!$AH$2:$AI$1001,2,FALSE)</f>
        <v>WÃ¤hrungsanleihen</v>
      </c>
    </row>
    <row r="182" spans="1:7" x14ac:dyDescent="0.4">
      <c r="A182" t="s">
        <v>4452</v>
      </c>
      <c r="E182" t="s">
        <v>231</v>
      </c>
      <c r="F182">
        <f>COUNTIF($A$2:$A$1001,E182)</f>
        <v>1</v>
      </c>
      <c r="G182" t="str">
        <f>VLOOKUP(Table1[[#This Row],[Unique Emitters]],Cleaned!$AH$2:$AI$1001,2,FALSE)</f>
        <v>(Industrie-) und Bankschuldverschreibungen</v>
      </c>
    </row>
    <row r="183" spans="1:7" x14ac:dyDescent="0.4">
      <c r="A183" t="s">
        <v>4452</v>
      </c>
      <c r="E183" t="s">
        <v>7454</v>
      </c>
      <c r="F183">
        <f>COUNTIF($A$2:$A$1001,E183)</f>
        <v>1</v>
      </c>
      <c r="G183" t="str">
        <f>VLOOKUP(Table1[[#This Row],[Unique Emitters]],Cleaned!$AH$2:$AI$1001,2,FALSE)</f>
        <v>WÃ¤hrungsanleihen</v>
      </c>
    </row>
    <row r="184" spans="1:7" x14ac:dyDescent="0.4">
      <c r="A184" t="s">
        <v>4452</v>
      </c>
      <c r="E184" t="s">
        <v>6931</v>
      </c>
      <c r="F184">
        <f>COUNTIF($A$2:$A$1001,E184)</f>
        <v>1</v>
      </c>
      <c r="G184" t="str">
        <f>VLOOKUP(Table1[[#This Row],[Unique Emitters]],Cleaned!$AH$2:$AI$1001,2,FALSE)</f>
        <v>WÃ¤hrungsanleihen</v>
      </c>
    </row>
    <row r="185" spans="1:7" x14ac:dyDescent="0.4">
      <c r="A185" t="s">
        <v>4452</v>
      </c>
      <c r="E185" t="s">
        <v>6312</v>
      </c>
      <c r="F185">
        <f>COUNTIF($A$2:$A$1001,E185)</f>
        <v>1</v>
      </c>
      <c r="G185" t="str">
        <f>VLOOKUP(Table1[[#This Row],[Unique Emitters]],Cleaned!$AH$2:$AI$1001,2,FALSE)</f>
        <v>WÃ¤hrungsanleihen</v>
      </c>
    </row>
    <row r="186" spans="1:7" x14ac:dyDescent="0.4">
      <c r="A186" t="s">
        <v>4452</v>
      </c>
      <c r="E186" t="s">
        <v>7442</v>
      </c>
      <c r="F186">
        <f>COUNTIF($A$2:$A$1001,E186)</f>
        <v>1</v>
      </c>
      <c r="G186" t="str">
        <f>VLOOKUP(Table1[[#This Row],[Unique Emitters]],Cleaned!$AH$2:$AI$1001,2,FALSE)</f>
        <v>WÃ¤hrungsanleihen</v>
      </c>
    </row>
    <row r="187" spans="1:7" x14ac:dyDescent="0.4">
      <c r="A187" t="s">
        <v>4452</v>
      </c>
      <c r="E187" t="s">
        <v>5071</v>
      </c>
      <c r="F187">
        <f>COUNTIF($A$2:$A$1001,E187)</f>
        <v>1</v>
      </c>
      <c r="G187" t="str">
        <f>VLOOKUP(Table1[[#This Row],[Unique Emitters]],Cleaned!$AH$2:$AI$1001,2,FALSE)</f>
        <v>WÃ¤hrungsanleihen</v>
      </c>
    </row>
    <row r="188" spans="1:7" x14ac:dyDescent="0.4">
      <c r="A188" t="s">
        <v>4452</v>
      </c>
      <c r="E188" t="s">
        <v>4869</v>
      </c>
      <c r="F188">
        <f>COUNTIF($A$2:$A$1001,E188)</f>
        <v>1</v>
      </c>
      <c r="G188" t="str">
        <f>VLOOKUP(Table1[[#This Row],[Unique Emitters]],Cleaned!$AH$2:$AI$1001,2,FALSE)</f>
        <v>WÃ¤hrungsanleihen</v>
      </c>
    </row>
    <row r="189" spans="1:7" x14ac:dyDescent="0.4">
      <c r="A189" t="s">
        <v>4452</v>
      </c>
      <c r="E189" t="s">
        <v>4471</v>
      </c>
      <c r="F189">
        <f>COUNTIF($A$2:$A$1001,E189)</f>
        <v>1</v>
      </c>
      <c r="G189" t="str">
        <f>VLOOKUP(Table1[[#This Row],[Unique Emitters]],Cleaned!$AH$2:$AI$1001,2,FALSE)</f>
        <v>WÃ¤hrungsanleihen</v>
      </c>
    </row>
    <row r="190" spans="1:7" x14ac:dyDescent="0.4">
      <c r="A190" t="s">
        <v>4452</v>
      </c>
      <c r="E190" t="s">
        <v>170</v>
      </c>
      <c r="F190">
        <f>COUNTIF($A$2:$A$1001,E190)</f>
        <v>1</v>
      </c>
      <c r="G190" t="str">
        <f>VLOOKUP(Table1[[#This Row],[Unique Emitters]],Cleaned!$AH$2:$AI$1001,2,FALSE)</f>
        <v>WÃ¤hrungsanleihen</v>
      </c>
    </row>
    <row r="191" spans="1:7" x14ac:dyDescent="0.4">
      <c r="A191" t="s">
        <v>4452</v>
      </c>
      <c r="E191" t="s">
        <v>7278</v>
      </c>
      <c r="F191">
        <f>COUNTIF($A$2:$A$1001,E191)</f>
        <v>1</v>
      </c>
      <c r="G191" t="str">
        <f>VLOOKUP(Table1[[#This Row],[Unique Emitters]],Cleaned!$AH$2:$AI$1001,2,FALSE)</f>
        <v>WÃ¤hrungsanleihen</v>
      </c>
    </row>
    <row r="192" spans="1:7" x14ac:dyDescent="0.4">
      <c r="A192" t="s">
        <v>4452</v>
      </c>
      <c r="E192" t="s">
        <v>1413</v>
      </c>
      <c r="F192">
        <f>COUNTIF($A$2:$A$1001,E192)</f>
        <v>1</v>
      </c>
      <c r="G192" t="str">
        <f>VLOOKUP(Table1[[#This Row],[Unique Emitters]],Cleaned!$AH$2:$AI$1001,2,FALSE)</f>
        <v>(Industrie-) und Bankschuldverschreibungen</v>
      </c>
    </row>
    <row r="193" spans="1:7" x14ac:dyDescent="0.4">
      <c r="A193" t="s">
        <v>4452</v>
      </c>
      <c r="E193" t="s">
        <v>4958</v>
      </c>
      <c r="F193">
        <f>COUNTIF($A$2:$A$1001,E193)</f>
        <v>1</v>
      </c>
      <c r="G193" t="str">
        <f>VLOOKUP(Table1[[#This Row],[Unique Emitters]],Cleaned!$AH$2:$AI$1001,2,FALSE)</f>
        <v>WÃ¤hrungsanleihen</v>
      </c>
    </row>
    <row r="194" spans="1:7" x14ac:dyDescent="0.4">
      <c r="A194" t="s">
        <v>7075</v>
      </c>
      <c r="E194" t="s">
        <v>3651</v>
      </c>
      <c r="F194">
        <f>COUNTIF($A$2:$A$1001,E194)</f>
        <v>1</v>
      </c>
      <c r="G194" t="str">
        <f>VLOOKUP(Table1[[#This Row],[Unique Emitters]],Cleaned!$AH$2:$AI$1001,2,FALSE)</f>
        <v>(Industrie-) und Bankschuldverschreibungen</v>
      </c>
    </row>
    <row r="195" spans="1:7" x14ac:dyDescent="0.4">
      <c r="A195" t="s">
        <v>7075</v>
      </c>
      <c r="E195" t="s">
        <v>7256</v>
      </c>
      <c r="F195">
        <f>COUNTIF($A$2:$A$1001,E195)</f>
        <v>1</v>
      </c>
      <c r="G195" t="str">
        <f>VLOOKUP(Table1[[#This Row],[Unique Emitters]],Cleaned!$AH$2:$AI$1001,2,FALSE)</f>
        <v>WÃ¤hrungsanleihen</v>
      </c>
    </row>
    <row r="196" spans="1:7" x14ac:dyDescent="0.4">
      <c r="A196" t="s">
        <v>7284</v>
      </c>
      <c r="E196" t="s">
        <v>7267</v>
      </c>
      <c r="F196">
        <f>COUNTIF($A$2:$A$1001,E196)</f>
        <v>1</v>
      </c>
      <c r="G196" t="str">
        <f>VLOOKUP(Table1[[#This Row],[Unique Emitters]],Cleaned!$AH$2:$AI$1001,2,FALSE)</f>
        <v>WÃ¤hrungsanleihen</v>
      </c>
    </row>
    <row r="197" spans="1:7" x14ac:dyDescent="0.4">
      <c r="A197" t="s">
        <v>562</v>
      </c>
      <c r="E197" t="s">
        <v>6368</v>
      </c>
      <c r="F197">
        <f>COUNTIF($A$2:$A$1001,E197)</f>
        <v>1</v>
      </c>
      <c r="G197" t="str">
        <f>VLOOKUP(Table1[[#This Row],[Unique Emitters]],Cleaned!$AH$2:$AI$1001,2,FALSE)</f>
        <v>WÃ¤hrungsanleihen</v>
      </c>
    </row>
    <row r="198" spans="1:7" x14ac:dyDescent="0.4">
      <c r="A198" t="s">
        <v>562</v>
      </c>
      <c r="E198" t="s">
        <v>4970</v>
      </c>
      <c r="F198">
        <f>COUNTIF($A$2:$A$1001,E198)</f>
        <v>1</v>
      </c>
      <c r="G198" t="str">
        <f>VLOOKUP(Table1[[#This Row],[Unique Emitters]],Cleaned!$AH$2:$AI$1001,2,FALSE)</f>
        <v>WÃ¤hrungsanleihen</v>
      </c>
    </row>
    <row r="199" spans="1:7" x14ac:dyDescent="0.4">
      <c r="A199" t="s">
        <v>538</v>
      </c>
      <c r="E199" t="s">
        <v>1768</v>
      </c>
      <c r="F199">
        <f>COUNTIF($A$2:$A$1001,E199)</f>
        <v>1</v>
      </c>
      <c r="G199" t="str">
        <f>VLOOKUP(Table1[[#This Row],[Unique Emitters]],Cleaned!$AH$2:$AI$1001,2,FALSE)</f>
        <v>(Industrie-) und Bankschuldverschreibungen</v>
      </c>
    </row>
    <row r="200" spans="1:7" x14ac:dyDescent="0.4">
      <c r="A200" t="s">
        <v>538</v>
      </c>
      <c r="E200" t="s">
        <v>7284</v>
      </c>
      <c r="F200">
        <f>COUNTIF($A$2:$A$1001,E200)</f>
        <v>1</v>
      </c>
      <c r="G200" t="str">
        <f>VLOOKUP(Table1[[#This Row],[Unique Emitters]],Cleaned!$AH$2:$AI$1001,2,FALSE)</f>
        <v>WÃ¤hrungsanleihen</v>
      </c>
    </row>
    <row r="201" spans="1:7" x14ac:dyDescent="0.4">
      <c r="A201" t="s">
        <v>538</v>
      </c>
      <c r="E201" t="s">
        <v>619</v>
      </c>
      <c r="F201">
        <f>COUNTIF($A$2:$A$1001,E201)</f>
        <v>1</v>
      </c>
      <c r="G201" t="str">
        <f>VLOOKUP(Table1[[#This Row],[Unique Emitters]],Cleaned!$AH$2:$AI$1001,2,FALSE)</f>
        <v>Pfandbriefe von Hypothekenbankenoder</v>
      </c>
    </row>
    <row r="202" spans="1:7" x14ac:dyDescent="0.4">
      <c r="A202" t="s">
        <v>2488</v>
      </c>
      <c r="E202" t="s">
        <v>5895</v>
      </c>
      <c r="F202">
        <f>COUNTIF($A$2:$A$1001,E202)</f>
        <v>1</v>
      </c>
      <c r="G202" t="str">
        <f>VLOOKUP(Table1[[#This Row],[Unique Emitters]],Cleaned!$AH$2:$AI$1001,2,FALSE)</f>
        <v>WÃ¤hrungsanleihen</v>
      </c>
    </row>
    <row r="203" spans="1:7" x14ac:dyDescent="0.4">
      <c r="A203" t="s">
        <v>2488</v>
      </c>
      <c r="E203" t="s">
        <v>5247</v>
      </c>
      <c r="F203">
        <f>COUNTIF($A$2:$A$1001,E203)</f>
        <v>1</v>
      </c>
      <c r="G203" t="str">
        <f>VLOOKUP(Table1[[#This Row],[Unique Emitters]],Cleaned!$AH$2:$AI$1001,2,FALSE)</f>
        <v>WÃ¤hrungsanleihen</v>
      </c>
    </row>
    <row r="204" spans="1:7" x14ac:dyDescent="0.4">
      <c r="A204" t="s">
        <v>2488</v>
      </c>
      <c r="E204" t="s">
        <v>3283</v>
      </c>
      <c r="F204">
        <f>COUNTIF($A$2:$A$1001,E204)</f>
        <v>1</v>
      </c>
      <c r="G204" t="str">
        <f>VLOOKUP(Table1[[#This Row],[Unique Emitters]],Cleaned!$AH$2:$AI$1001,2,FALSE)</f>
        <v>WÃ¤hrungsanleihen</v>
      </c>
    </row>
    <row r="205" spans="1:7" x14ac:dyDescent="0.4">
      <c r="A205" t="s">
        <v>2488</v>
      </c>
      <c r="E205" t="s">
        <v>6528</v>
      </c>
      <c r="F205">
        <f>COUNTIF($A$2:$A$1001,E205)</f>
        <v>1</v>
      </c>
      <c r="G205" t="str">
        <f>VLOOKUP(Table1[[#This Row],[Unique Emitters]],Cleaned!$AH$2:$AI$1001,2,FALSE)</f>
        <v>(Industrie-) und Bankschuldverschreibungen</v>
      </c>
    </row>
    <row r="206" spans="1:7" x14ac:dyDescent="0.4">
      <c r="A206" t="s">
        <v>1041</v>
      </c>
      <c r="E206" t="s">
        <v>7490</v>
      </c>
      <c r="F206">
        <f>COUNTIF($A$2:$A$1001,E206)</f>
        <v>1</v>
      </c>
      <c r="G206" t="str">
        <f>VLOOKUP(Table1[[#This Row],[Unique Emitters]],Cleaned!$AH$2:$AI$1001,2,FALSE)</f>
        <v>WÃ¤hrungsanleihen</v>
      </c>
    </row>
    <row r="207" spans="1:7" x14ac:dyDescent="0.4">
      <c r="A207" t="s">
        <v>1041</v>
      </c>
      <c r="E207" t="s">
        <v>6397</v>
      </c>
      <c r="F207">
        <f>COUNTIF($A$2:$A$1001,E207)</f>
        <v>1</v>
      </c>
      <c r="G207" t="str">
        <f>VLOOKUP(Table1[[#This Row],[Unique Emitters]],Cleaned!$AH$2:$AI$1001,2,FALSE)</f>
        <v>WÃ¤hrungsanleihen</v>
      </c>
    </row>
    <row r="208" spans="1:7" x14ac:dyDescent="0.4">
      <c r="A208" t="s">
        <v>1041</v>
      </c>
      <c r="E208" t="s">
        <v>7294</v>
      </c>
      <c r="F208">
        <f>COUNTIF($A$2:$A$1001,E208)</f>
        <v>1</v>
      </c>
      <c r="G208" t="str">
        <f>VLOOKUP(Table1[[#This Row],[Unique Emitters]],Cleaned!$AH$2:$AI$1001,2,FALSE)</f>
        <v>WÃ¤hrungsanleihen</v>
      </c>
    </row>
    <row r="209" spans="1:7" x14ac:dyDescent="0.4">
      <c r="A209" t="s">
        <v>1041</v>
      </c>
      <c r="E209" t="s">
        <v>6993</v>
      </c>
      <c r="F209">
        <f>COUNTIF($A$2:$A$1001,E209)</f>
        <v>1</v>
      </c>
      <c r="G209" t="str">
        <f>VLOOKUP(Table1[[#This Row],[Unique Emitters]],Cleaned!$AH$2:$AI$1001,2,FALSE)</f>
        <v>WÃ¤hrungsanleihen</v>
      </c>
    </row>
    <row r="210" spans="1:7" x14ac:dyDescent="0.4">
      <c r="A210" t="s">
        <v>619</v>
      </c>
      <c r="E210" t="s">
        <v>5551</v>
      </c>
      <c r="F210">
        <f>COUNTIF($A$2:$A$1001,E210)</f>
        <v>1</v>
      </c>
      <c r="G210" t="str">
        <f>VLOOKUP(Table1[[#This Row],[Unique Emitters]],Cleaned!$AH$2:$AI$1001,2,FALSE)</f>
        <v>WÃ¤hrungsanleihen</v>
      </c>
    </row>
    <row r="211" spans="1:7" x14ac:dyDescent="0.4">
      <c r="A211" t="s">
        <v>509</v>
      </c>
      <c r="E211" t="s">
        <v>7297</v>
      </c>
      <c r="F211">
        <f>COUNTIF($A$2:$A$1001,E211)</f>
        <v>1</v>
      </c>
      <c r="G211" t="str">
        <f>VLOOKUP(Table1[[#This Row],[Unique Emitters]],Cleaned!$AH$2:$AI$1001,2,FALSE)</f>
        <v>WÃ¤hrungsanleihen</v>
      </c>
    </row>
    <row r="212" spans="1:7" x14ac:dyDescent="0.4">
      <c r="A212" t="s">
        <v>509</v>
      </c>
      <c r="E212" t="s">
        <v>5787</v>
      </c>
      <c r="F212">
        <f>COUNTIF($A$2:$A$1001,E212)</f>
        <v>1</v>
      </c>
      <c r="G212" t="str">
        <f>VLOOKUP(Table1[[#This Row],[Unique Emitters]],Cleaned!$AH$2:$AI$1001,2,FALSE)</f>
        <v>WÃ¤hrungsanleihen</v>
      </c>
    </row>
    <row r="213" spans="1:7" x14ac:dyDescent="0.4">
      <c r="A213" t="s">
        <v>509</v>
      </c>
      <c r="E213" t="s">
        <v>6189</v>
      </c>
      <c r="F213">
        <f>COUNTIF($A$2:$A$1001,E213)</f>
        <v>1</v>
      </c>
      <c r="G213" t="str">
        <f>VLOOKUP(Table1[[#This Row],[Unique Emitters]],Cleaned!$AH$2:$AI$1001,2,FALSE)</f>
        <v>WÃ¤hrungsanleihen</v>
      </c>
    </row>
    <row r="214" spans="1:7" x14ac:dyDescent="0.4">
      <c r="A214" t="s">
        <v>509</v>
      </c>
      <c r="E214" t="s">
        <v>5083</v>
      </c>
      <c r="F214">
        <f>COUNTIF($A$2:$A$1001,E214)</f>
        <v>1</v>
      </c>
      <c r="G214" t="str">
        <f>VLOOKUP(Table1[[#This Row],[Unique Emitters]],Cleaned!$AH$2:$AI$1001,2,FALSE)</f>
        <v>WÃ¤hrungsanleihen</v>
      </c>
    </row>
    <row r="215" spans="1:7" x14ac:dyDescent="0.4">
      <c r="A215" t="s">
        <v>5895</v>
      </c>
      <c r="E215" t="s">
        <v>3766</v>
      </c>
      <c r="F215">
        <f>COUNTIF($A$2:$A$1001,E215)</f>
        <v>1</v>
      </c>
      <c r="G215" t="str">
        <f>VLOOKUP(Table1[[#This Row],[Unique Emitters]],Cleaned!$AH$2:$AI$1001,2,FALSE)</f>
        <v>WÃ¤hrungsanleihen</v>
      </c>
    </row>
    <row r="216" spans="1:7" x14ac:dyDescent="0.4">
      <c r="A216" t="s">
        <v>5247</v>
      </c>
      <c r="E216" t="s">
        <v>3909</v>
      </c>
      <c r="F216">
        <f>COUNTIF($A$2:$A$1001,E216)</f>
        <v>1</v>
      </c>
      <c r="G216" t="str">
        <f>VLOOKUP(Table1[[#This Row],[Unique Emitters]],Cleaned!$AH$2:$AI$1001,2,FALSE)</f>
        <v>WÃ¤hrungsanleihen</v>
      </c>
    </row>
    <row r="217" spans="1:7" x14ac:dyDescent="0.4">
      <c r="A217" t="s">
        <v>1103</v>
      </c>
      <c r="E217" t="s">
        <v>6222</v>
      </c>
      <c r="F217">
        <f>COUNTIF($A$2:$A$1001,E217)</f>
        <v>1</v>
      </c>
      <c r="G217" t="str">
        <f>VLOOKUP(Table1[[#This Row],[Unique Emitters]],Cleaned!$AH$2:$AI$1001,2,FALSE)</f>
        <v>WÃ¤hrungsanleihen</v>
      </c>
    </row>
    <row r="218" spans="1:7" x14ac:dyDescent="0.4">
      <c r="A218" t="s">
        <v>1103</v>
      </c>
      <c r="E218" t="s">
        <v>5211</v>
      </c>
      <c r="F218">
        <f>COUNTIF($A$2:$A$1001,E218)</f>
        <v>1</v>
      </c>
      <c r="G218" t="str">
        <f>VLOOKUP(Table1[[#This Row],[Unique Emitters]],Cleaned!$AH$2:$AI$1001,2,FALSE)</f>
        <v>WÃ¤hrungsanleihen</v>
      </c>
    </row>
    <row r="219" spans="1:7" x14ac:dyDescent="0.4">
      <c r="A219" t="s">
        <v>1103</v>
      </c>
      <c r="E219" t="s">
        <v>4762</v>
      </c>
      <c r="F219">
        <f>COUNTIF($A$2:$A$1001,E219)</f>
        <v>1</v>
      </c>
      <c r="G219" t="str">
        <f>VLOOKUP(Table1[[#This Row],[Unique Emitters]],Cleaned!$AH$2:$AI$1001,2,FALSE)</f>
        <v>WÃ¤hrungsanleihen</v>
      </c>
    </row>
    <row r="220" spans="1:7" x14ac:dyDescent="0.4">
      <c r="A220" t="s">
        <v>3283</v>
      </c>
      <c r="E220" t="s">
        <v>5564</v>
      </c>
      <c r="F220">
        <f>COUNTIF($A$2:$A$1001,E220)</f>
        <v>1</v>
      </c>
      <c r="G220" t="str">
        <f>VLOOKUP(Table1[[#This Row],[Unique Emitters]],Cleaned!$AH$2:$AI$1001,2,FALSE)</f>
        <v>WÃ¤hrungsanleihen</v>
      </c>
    </row>
    <row r="221" spans="1:7" x14ac:dyDescent="0.4">
      <c r="A221" t="s">
        <v>34</v>
      </c>
      <c r="E221" t="s">
        <v>3432</v>
      </c>
      <c r="F221">
        <f>COUNTIF($A$2:$A$1001,E221)</f>
        <v>1</v>
      </c>
      <c r="G221" t="str">
        <f>VLOOKUP(Table1[[#This Row],[Unique Emitters]],Cleaned!$AH$2:$AI$1001,2,FALSE)</f>
        <v>(Industrie-) und Bankschuldverschreibungen</v>
      </c>
    </row>
    <row r="222" spans="1:7" x14ac:dyDescent="0.4">
      <c r="A222" t="s">
        <v>34</v>
      </c>
      <c r="E222" t="s">
        <v>4276</v>
      </c>
      <c r="F222">
        <f>COUNTIF($A$2:$A$1001,E222)</f>
        <v>1</v>
      </c>
      <c r="G222" t="str">
        <f>VLOOKUP(Table1[[#This Row],[Unique Emitters]],Cleaned!$AH$2:$AI$1001,2,FALSE)</f>
        <v>(Industrie-) und Bankschuldverschreibungen</v>
      </c>
    </row>
    <row r="223" spans="1:7" x14ac:dyDescent="0.4">
      <c r="A223" t="s">
        <v>34</v>
      </c>
      <c r="E223" t="s">
        <v>2875</v>
      </c>
      <c r="F223">
        <f>COUNTIF($A$2:$A$1001,E223)</f>
        <v>1</v>
      </c>
      <c r="G223" t="str">
        <f>VLOOKUP(Table1[[#This Row],[Unique Emitters]],Cleaned!$AH$2:$AI$1001,2,FALSE)</f>
        <v>(Industrie-) und Bankschuldverschreibungen</v>
      </c>
    </row>
    <row r="224" spans="1:7" x14ac:dyDescent="0.4">
      <c r="A224" t="s">
        <v>34</v>
      </c>
      <c r="E224" t="s">
        <v>6051</v>
      </c>
      <c r="F224">
        <f>COUNTIF($A$2:$A$1001,E224)</f>
        <v>1</v>
      </c>
      <c r="G224" t="str">
        <f>VLOOKUP(Table1[[#This Row],[Unique Emitters]],Cleaned!$AH$2:$AI$1001,2,FALSE)</f>
        <v>WÃ¤hrungsanleihen</v>
      </c>
    </row>
    <row r="225" spans="1:7" x14ac:dyDescent="0.4">
      <c r="A225" t="s">
        <v>34</v>
      </c>
      <c r="E225" t="s">
        <v>6754</v>
      </c>
      <c r="F225">
        <f>COUNTIF($A$2:$A$1001,E225)</f>
        <v>1</v>
      </c>
      <c r="G225" t="str">
        <f>VLOOKUP(Table1[[#This Row],[Unique Emitters]],Cleaned!$AH$2:$AI$1001,2,FALSE)</f>
        <v>WÃ¤hrungsanleihen</v>
      </c>
    </row>
    <row r="226" spans="1:7" x14ac:dyDescent="0.4">
      <c r="A226" t="s">
        <v>34</v>
      </c>
      <c r="E226" t="s">
        <v>1337</v>
      </c>
      <c r="F226">
        <f>COUNTIF($A$2:$A$1001,E226)</f>
        <v>1</v>
      </c>
      <c r="G226" t="str">
        <f>VLOOKUP(Table1[[#This Row],[Unique Emitters]],Cleaned!$AH$2:$AI$1001,2,FALSE)</f>
        <v>WÃ¤hrungsanleihen</v>
      </c>
    </row>
    <row r="227" spans="1:7" x14ac:dyDescent="0.4">
      <c r="A227" t="s">
        <v>34</v>
      </c>
      <c r="E227" t="s">
        <v>4344</v>
      </c>
      <c r="F227">
        <f>COUNTIF($A$2:$A$1001,E227)</f>
        <v>1</v>
      </c>
      <c r="G227" t="str">
        <f>VLOOKUP(Table1[[#This Row],[Unique Emitters]],Cleaned!$AH$2:$AI$1001,2,FALSE)</f>
        <v>(Industrie-) und Bankschuldverschreibungen</v>
      </c>
    </row>
    <row r="228" spans="1:7" x14ac:dyDescent="0.4">
      <c r="A228" t="s">
        <v>34</v>
      </c>
      <c r="E228" t="s">
        <v>6290</v>
      </c>
      <c r="F228">
        <f>COUNTIF($A$2:$A$1001,E228)</f>
        <v>1</v>
      </c>
      <c r="G228" t="str">
        <f>VLOOKUP(Table1[[#This Row],[Unique Emitters]],Cleaned!$AH$2:$AI$1001,2,FALSE)</f>
        <v>WÃ¤hrungsanleihen</v>
      </c>
    </row>
    <row r="229" spans="1:7" x14ac:dyDescent="0.4">
      <c r="A229" t="s">
        <v>34</v>
      </c>
      <c r="E229" t="s">
        <v>4872</v>
      </c>
      <c r="F229">
        <f>COUNTIF($A$2:$A$1001,E229)</f>
        <v>1</v>
      </c>
      <c r="G229" t="str">
        <f>VLOOKUP(Table1[[#This Row],[Unique Emitters]],Cleaned!$AH$2:$AI$1001,2,FALSE)</f>
        <v>WÃ¤hrungsanleihen</v>
      </c>
    </row>
    <row r="230" spans="1:7" x14ac:dyDescent="0.4">
      <c r="A230" t="s">
        <v>34</v>
      </c>
      <c r="E230" t="s">
        <v>452</v>
      </c>
      <c r="F230">
        <f>COUNTIF($A$2:$A$1001,E230)</f>
        <v>1</v>
      </c>
      <c r="G230" t="str">
        <f>VLOOKUP(Table1[[#This Row],[Unique Emitters]],Cleaned!$AH$2:$AI$1001,2,FALSE)</f>
        <v>(Industrie-) und Bankschuldverschreibungen</v>
      </c>
    </row>
    <row r="231" spans="1:7" x14ac:dyDescent="0.4">
      <c r="A231" t="s">
        <v>34</v>
      </c>
      <c r="E231" t="s">
        <v>2319</v>
      </c>
      <c r="F231">
        <f>COUNTIF($A$2:$A$1001,E231)</f>
        <v>1</v>
      </c>
      <c r="G231" t="str">
        <f>VLOOKUP(Table1[[#This Row],[Unique Emitters]],Cleaned!$AH$2:$AI$1001,2,FALSE)</f>
        <v>(Industrie-) und Bankschuldverschreibungen</v>
      </c>
    </row>
    <row r="232" spans="1:7" x14ac:dyDescent="0.4">
      <c r="A232" t="s">
        <v>34</v>
      </c>
      <c r="E232" t="s">
        <v>6767</v>
      </c>
      <c r="F232">
        <f>COUNTIF($A$2:$A$1001,E232)</f>
        <v>1</v>
      </c>
      <c r="G232" t="str">
        <f>VLOOKUP(Table1[[#This Row],[Unique Emitters]],Cleaned!$AH$2:$AI$1001,2,FALSE)</f>
        <v>WÃ¤hrungsanleihen</v>
      </c>
    </row>
    <row r="233" spans="1:7" x14ac:dyDescent="0.4">
      <c r="A233" t="s">
        <v>34</v>
      </c>
      <c r="E233" t="s">
        <v>393</v>
      </c>
      <c r="F233">
        <f>COUNTIF($A$2:$A$1001,E233)</f>
        <v>1</v>
      </c>
      <c r="G233" t="str">
        <f>VLOOKUP(Table1[[#This Row],[Unique Emitters]],Cleaned!$AH$2:$AI$1001,2,FALSE)</f>
        <v>WÃ¤hrungsanleihen</v>
      </c>
    </row>
    <row r="234" spans="1:7" x14ac:dyDescent="0.4">
      <c r="A234" t="s">
        <v>34</v>
      </c>
      <c r="E234" t="s">
        <v>6192</v>
      </c>
      <c r="F234">
        <f>COUNTIF($A$2:$A$1001,E234)</f>
        <v>1</v>
      </c>
      <c r="G234" t="str">
        <f>VLOOKUP(Table1[[#This Row],[Unique Emitters]],Cleaned!$AH$2:$AI$1001,2,FALSE)</f>
        <v>AuslÃ¤ndische Wandelanleihen/Optionsanleihen</v>
      </c>
    </row>
    <row r="235" spans="1:7" x14ac:dyDescent="0.4">
      <c r="A235" t="s">
        <v>34</v>
      </c>
      <c r="E235" t="s">
        <v>3903</v>
      </c>
      <c r="F235">
        <f>COUNTIF($A$2:$A$1001,E235)</f>
        <v>1</v>
      </c>
      <c r="G235" t="str">
        <f>VLOOKUP(Table1[[#This Row],[Unique Emitters]],Cleaned!$AH$2:$AI$1001,2,FALSE)</f>
        <v>WÃ¤hrungsanleihen</v>
      </c>
    </row>
    <row r="236" spans="1:7" x14ac:dyDescent="0.4">
      <c r="A236" t="s">
        <v>34</v>
      </c>
      <c r="E236" t="s">
        <v>6774</v>
      </c>
      <c r="F236">
        <f>COUNTIF($A$2:$A$1001,E236)</f>
        <v>1</v>
      </c>
      <c r="G236" t="str">
        <f>VLOOKUP(Table1[[#This Row],[Unique Emitters]],Cleaned!$AH$2:$AI$1001,2,FALSE)</f>
        <v>WÃ¤hrungsanleihen</v>
      </c>
    </row>
    <row r="237" spans="1:7" x14ac:dyDescent="0.4">
      <c r="A237" t="s">
        <v>34</v>
      </c>
      <c r="E237" t="s">
        <v>332</v>
      </c>
      <c r="F237">
        <f>COUNTIF($A$2:$A$1001,E237)</f>
        <v>1</v>
      </c>
      <c r="G237" t="str">
        <f>VLOOKUP(Table1[[#This Row],[Unique Emitters]],Cleaned!$AH$2:$AI$1001,2,FALSE)</f>
        <v>(Industrie-) und Bankschuldverschreibungen</v>
      </c>
    </row>
    <row r="238" spans="1:7" x14ac:dyDescent="0.4">
      <c r="A238" t="s">
        <v>34</v>
      </c>
      <c r="E238" t="s">
        <v>5729</v>
      </c>
      <c r="F238">
        <f>COUNTIF($A$2:$A$1001,E238)</f>
        <v>1</v>
      </c>
      <c r="G238" t="str">
        <f>VLOOKUP(Table1[[#This Row],[Unique Emitters]],Cleaned!$AH$2:$AI$1001,2,FALSE)</f>
        <v>WÃ¤hrungsanleihen</v>
      </c>
    </row>
    <row r="239" spans="1:7" x14ac:dyDescent="0.4">
      <c r="A239" t="s">
        <v>34</v>
      </c>
      <c r="E239" t="s">
        <v>4246</v>
      </c>
      <c r="F239">
        <f>COUNTIF($A$2:$A$1001,E239)</f>
        <v>1</v>
      </c>
      <c r="G239" t="str">
        <f>VLOOKUP(Table1[[#This Row],[Unique Emitters]],Cleaned!$AH$2:$AI$1001,2,FALSE)</f>
        <v>WÃ¤hrungsanleihen</v>
      </c>
    </row>
    <row r="240" spans="1:7" x14ac:dyDescent="0.4">
      <c r="A240" t="s">
        <v>34</v>
      </c>
      <c r="E240" t="s">
        <v>7186</v>
      </c>
      <c r="F240">
        <f>COUNTIF($A$2:$A$1001,E240)</f>
        <v>1</v>
      </c>
      <c r="G240" t="str">
        <f>VLOOKUP(Table1[[#This Row],[Unique Emitters]],Cleaned!$AH$2:$AI$1001,2,FALSE)</f>
        <v>WÃ¤hrungsanleihen</v>
      </c>
    </row>
    <row r="241" spans="1:7" x14ac:dyDescent="0.4">
      <c r="A241" t="s">
        <v>34</v>
      </c>
      <c r="E241" t="s">
        <v>5569</v>
      </c>
      <c r="F241">
        <f>COUNTIF($A$2:$A$1001,E241)</f>
        <v>1</v>
      </c>
      <c r="G241" t="str">
        <f>VLOOKUP(Table1[[#This Row],[Unique Emitters]],Cleaned!$AH$2:$AI$1001,2,FALSE)</f>
        <v>WÃ¤hrungsanleihen</v>
      </c>
    </row>
    <row r="242" spans="1:7" x14ac:dyDescent="0.4">
      <c r="A242" t="s">
        <v>34</v>
      </c>
      <c r="E242" t="s">
        <v>4878</v>
      </c>
      <c r="F242">
        <f>COUNTIF($A$2:$A$1001,E242)</f>
        <v>1</v>
      </c>
      <c r="G242" t="str">
        <f>VLOOKUP(Table1[[#This Row],[Unique Emitters]],Cleaned!$AH$2:$AI$1001,2,FALSE)</f>
        <v>WÃ¤hrungsanleihen</v>
      </c>
    </row>
    <row r="243" spans="1:7" x14ac:dyDescent="0.4">
      <c r="A243" t="s">
        <v>34</v>
      </c>
      <c r="E243" t="s">
        <v>6203</v>
      </c>
      <c r="F243">
        <f>COUNTIF($A$2:$A$1001,E243)</f>
        <v>1</v>
      </c>
      <c r="G243" t="str">
        <f>VLOOKUP(Table1[[#This Row],[Unique Emitters]],Cleaned!$AH$2:$AI$1001,2,FALSE)</f>
        <v>WÃ¤hrungsanleihen</v>
      </c>
    </row>
    <row r="244" spans="1:7" x14ac:dyDescent="0.4">
      <c r="A244" t="s">
        <v>34</v>
      </c>
      <c r="E244" t="s">
        <v>6214</v>
      </c>
      <c r="F244">
        <f>COUNTIF($A$2:$A$1001,E244)</f>
        <v>1</v>
      </c>
      <c r="G244" t="str">
        <f>VLOOKUP(Table1[[#This Row],[Unique Emitters]],Cleaned!$AH$2:$AI$1001,2,FALSE)</f>
        <v>WÃ¤hrungsanleihen</v>
      </c>
    </row>
    <row r="245" spans="1:7" x14ac:dyDescent="0.4">
      <c r="A245" t="s">
        <v>34</v>
      </c>
      <c r="E245" t="s">
        <v>6893</v>
      </c>
      <c r="F245">
        <f>COUNTIF($A$2:$A$1001,E245)</f>
        <v>1</v>
      </c>
      <c r="G245" t="str">
        <f>VLOOKUP(Table1[[#This Row],[Unique Emitters]],Cleaned!$AH$2:$AI$1001,2,FALSE)</f>
        <v>WÃ¤hrungsanleihen</v>
      </c>
    </row>
    <row r="246" spans="1:7" x14ac:dyDescent="0.4">
      <c r="A246" t="s">
        <v>34</v>
      </c>
      <c r="E246" t="s">
        <v>2439</v>
      </c>
      <c r="F246">
        <f>COUNTIF($A$2:$A$1001,E246)</f>
        <v>1</v>
      </c>
      <c r="G246" t="str">
        <f>VLOOKUP(Table1[[#This Row],[Unique Emitters]],Cleaned!$AH$2:$AI$1001,2,FALSE)</f>
        <v>(Industrie-) und Bankschuldverschreibungen</v>
      </c>
    </row>
    <row r="247" spans="1:7" x14ac:dyDescent="0.4">
      <c r="A247" t="s">
        <v>34</v>
      </c>
      <c r="E247" t="s">
        <v>7318</v>
      </c>
      <c r="F247">
        <f>COUNTIF($A$2:$A$1001,E247)</f>
        <v>1</v>
      </c>
      <c r="G247" t="str">
        <f>VLOOKUP(Table1[[#This Row],[Unique Emitters]],Cleaned!$AH$2:$AI$1001,2,FALSE)</f>
        <v>WÃ¤hrungsanleihen</v>
      </c>
    </row>
    <row r="248" spans="1:7" x14ac:dyDescent="0.4">
      <c r="A248" t="s">
        <v>34</v>
      </c>
      <c r="E248" t="s">
        <v>1680</v>
      </c>
      <c r="F248">
        <f>COUNTIF($A$2:$A$1001,E248)</f>
        <v>1</v>
      </c>
      <c r="G248" t="str">
        <f>VLOOKUP(Table1[[#This Row],[Unique Emitters]],Cleaned!$AH$2:$AI$1001,2,FALSE)</f>
        <v>WÃ¤hrungsanleihen</v>
      </c>
    </row>
    <row r="249" spans="1:7" x14ac:dyDescent="0.4">
      <c r="A249" t="s">
        <v>34</v>
      </c>
      <c r="E249" t="s">
        <v>1031</v>
      </c>
      <c r="F249">
        <f>COUNTIF($A$2:$A$1001,E249)</f>
        <v>1</v>
      </c>
      <c r="G249" t="str">
        <f>VLOOKUP(Table1[[#This Row],[Unique Emitters]],Cleaned!$AH$2:$AI$1001,2,FALSE)</f>
        <v>(Industrie-) und Bankschuldverschreibungen</v>
      </c>
    </row>
    <row r="250" spans="1:7" x14ac:dyDescent="0.4">
      <c r="A250" t="s">
        <v>34</v>
      </c>
      <c r="E250" t="s">
        <v>2710</v>
      </c>
      <c r="F250">
        <f>COUNTIF($A$2:$A$1001,E250)</f>
        <v>1</v>
      </c>
      <c r="G250" t="str">
        <f>VLOOKUP(Table1[[#This Row],[Unique Emitters]],Cleaned!$AH$2:$AI$1001,2,FALSE)</f>
        <v>(Industrie-) und Bankschuldverschreibungen</v>
      </c>
    </row>
    <row r="251" spans="1:7" x14ac:dyDescent="0.4">
      <c r="A251" t="s">
        <v>34</v>
      </c>
      <c r="E251" t="s">
        <v>347</v>
      </c>
      <c r="F251">
        <f>COUNTIF($A$2:$A$1001,E251)</f>
        <v>1</v>
      </c>
      <c r="G251" t="str">
        <f>VLOOKUP(Table1[[#This Row],[Unique Emitters]],Cleaned!$AH$2:$AI$1001,2,FALSE)</f>
        <v>WÃ¤hrungsanleihen</v>
      </c>
    </row>
    <row r="252" spans="1:7" x14ac:dyDescent="0.4">
      <c r="A252" t="s">
        <v>34</v>
      </c>
      <c r="E252" t="s">
        <v>7421</v>
      </c>
      <c r="F252">
        <f>COUNTIF($A$2:$A$1001,E252)</f>
        <v>1</v>
      </c>
      <c r="G252" t="str">
        <f>VLOOKUP(Table1[[#This Row],[Unique Emitters]],Cleaned!$AH$2:$AI$1001,2,FALSE)</f>
        <v>WÃ¤hrungsanleihen</v>
      </c>
    </row>
    <row r="253" spans="1:7" x14ac:dyDescent="0.4">
      <c r="A253" t="s">
        <v>34</v>
      </c>
      <c r="E253" t="s">
        <v>7326</v>
      </c>
      <c r="F253">
        <f>COUNTIF($A$2:$A$1001,E253)</f>
        <v>1</v>
      </c>
      <c r="G253" t="str">
        <f>VLOOKUP(Table1[[#This Row],[Unique Emitters]],Cleaned!$AH$2:$AI$1001,2,FALSE)</f>
        <v>WÃ¤hrungsanleihen</v>
      </c>
    </row>
    <row r="254" spans="1:7" x14ac:dyDescent="0.4">
      <c r="A254" t="s">
        <v>34</v>
      </c>
      <c r="E254" t="s">
        <v>6114</v>
      </c>
      <c r="F254">
        <f>COUNTIF($A$2:$A$1001,E254)</f>
        <v>1</v>
      </c>
      <c r="G254" t="str">
        <f>VLOOKUP(Table1[[#This Row],[Unique Emitters]],Cleaned!$AH$2:$AI$1001,2,FALSE)</f>
        <v>WÃ¤hrungsanleihen</v>
      </c>
    </row>
    <row r="255" spans="1:7" x14ac:dyDescent="0.4">
      <c r="A255" t="s">
        <v>34</v>
      </c>
      <c r="E255" t="s">
        <v>3925</v>
      </c>
      <c r="F255">
        <f>COUNTIF($A$2:$A$1001,E255)</f>
        <v>1</v>
      </c>
      <c r="G255" t="str">
        <f>VLOOKUP(Table1[[#This Row],[Unique Emitters]],Cleaned!$AH$2:$AI$1001,2,FALSE)</f>
        <v>WÃ¤hrungsanleihen</v>
      </c>
    </row>
    <row r="256" spans="1:7" x14ac:dyDescent="0.4">
      <c r="A256" t="s">
        <v>34</v>
      </c>
      <c r="E256" t="s">
        <v>3804</v>
      </c>
      <c r="F256">
        <f>COUNTIF($A$2:$A$1001,E256)</f>
        <v>1</v>
      </c>
      <c r="G256" t="str">
        <f>VLOOKUP(Table1[[#This Row],[Unique Emitters]],Cleaned!$AH$2:$AI$1001,2,FALSE)</f>
        <v>WÃ¤hrungsanleihen</v>
      </c>
    </row>
    <row r="257" spans="1:7" x14ac:dyDescent="0.4">
      <c r="A257" t="s">
        <v>34</v>
      </c>
      <c r="E257" t="s">
        <v>5175</v>
      </c>
      <c r="F257">
        <f>COUNTIF($A$2:$A$1001,E257)</f>
        <v>1</v>
      </c>
      <c r="G257" t="str">
        <f>VLOOKUP(Table1[[#This Row],[Unique Emitters]],Cleaned!$AH$2:$AI$1001,2,FALSE)</f>
        <v>WÃ¤hrungsanleihen</v>
      </c>
    </row>
    <row r="258" spans="1:7" x14ac:dyDescent="0.4">
      <c r="A258" t="s">
        <v>34</v>
      </c>
      <c r="E258" t="s">
        <v>5717</v>
      </c>
      <c r="F258">
        <f>COUNTIF($A$2:$A$1001,E258)</f>
        <v>1</v>
      </c>
      <c r="G258" t="str">
        <f>VLOOKUP(Table1[[#This Row],[Unique Emitters]],Cleaned!$AH$2:$AI$1001,2,FALSE)</f>
        <v>WÃ¤hrungsanleihen</v>
      </c>
    </row>
    <row r="259" spans="1:7" x14ac:dyDescent="0.4">
      <c r="A259" t="s">
        <v>34</v>
      </c>
      <c r="E259" t="s">
        <v>4489</v>
      </c>
      <c r="F259">
        <f>COUNTIF($A$2:$A$1001,E259)</f>
        <v>1</v>
      </c>
      <c r="G259" t="str">
        <f>VLOOKUP(Table1[[#This Row],[Unique Emitters]],Cleaned!$AH$2:$AI$1001,2,FALSE)</f>
        <v>WÃ¤hrungsanleihen</v>
      </c>
    </row>
    <row r="260" spans="1:7" x14ac:dyDescent="0.4">
      <c r="A260" t="s">
        <v>34</v>
      </c>
      <c r="E260" t="s">
        <v>6219</v>
      </c>
      <c r="F260">
        <f>COUNTIF($A$2:$A$1001,E260)</f>
        <v>1</v>
      </c>
      <c r="G260" t="str">
        <f>VLOOKUP(Table1[[#This Row],[Unique Emitters]],Cleaned!$AH$2:$AI$1001,2,FALSE)</f>
        <v>WÃ¤hrungsanleihen</v>
      </c>
    </row>
    <row r="261" spans="1:7" x14ac:dyDescent="0.4">
      <c r="A261" t="s">
        <v>34</v>
      </c>
      <c r="E261" t="s">
        <v>6914</v>
      </c>
      <c r="F261">
        <f>COUNTIF($A$2:$A$1001,E261)</f>
        <v>1</v>
      </c>
      <c r="G261" t="str">
        <f>VLOOKUP(Table1[[#This Row],[Unique Emitters]],Cleaned!$AH$2:$AI$1001,2,FALSE)</f>
        <v>WÃ¤hrungsanleihen</v>
      </c>
    </row>
    <row r="262" spans="1:7" x14ac:dyDescent="0.4">
      <c r="A262" t="s">
        <v>34</v>
      </c>
      <c r="E262" t="s">
        <v>7002</v>
      </c>
      <c r="F262">
        <f>COUNTIF($A$2:$A$1001,E262)</f>
        <v>1</v>
      </c>
      <c r="G262" t="str">
        <f>VLOOKUP(Table1[[#This Row],[Unique Emitters]],Cleaned!$AH$2:$AI$1001,2,FALSE)</f>
        <v>WÃ¤hrungsanleihen</v>
      </c>
    </row>
    <row r="263" spans="1:7" x14ac:dyDescent="0.4">
      <c r="A263" t="s">
        <v>34</v>
      </c>
      <c r="E263" t="s">
        <v>5701</v>
      </c>
      <c r="F263">
        <f>COUNTIF($A$2:$A$1001,E263)</f>
        <v>1</v>
      </c>
      <c r="G263" t="str">
        <f>VLOOKUP(Table1[[#This Row],[Unique Emitters]],Cleaned!$AH$2:$AI$1001,2,FALSE)</f>
        <v>WÃ¤hrungsanleihen</v>
      </c>
    </row>
    <row r="264" spans="1:7" x14ac:dyDescent="0.4">
      <c r="A264" t="s">
        <v>34</v>
      </c>
      <c r="E264" t="s">
        <v>6326</v>
      </c>
      <c r="F264">
        <f>COUNTIF($A$2:$A$1001,E264)</f>
        <v>1</v>
      </c>
      <c r="G264" t="str">
        <f>VLOOKUP(Table1[[#This Row],[Unique Emitters]],Cleaned!$AH$2:$AI$1001,2,FALSE)</f>
        <v>WÃ¤hrungsanleihen</v>
      </c>
    </row>
    <row r="265" spans="1:7" x14ac:dyDescent="0.4">
      <c r="A265" t="s">
        <v>6528</v>
      </c>
      <c r="E265" t="s">
        <v>4116</v>
      </c>
      <c r="F265">
        <f>COUNTIF($A$2:$A$1001,E265)</f>
        <v>1</v>
      </c>
      <c r="G265" t="str">
        <f>VLOOKUP(Table1[[#This Row],[Unique Emitters]],Cleaned!$AH$2:$AI$1001,2,FALSE)</f>
        <v>WÃ¤hrungsanleihen</v>
      </c>
    </row>
    <row r="266" spans="1:7" x14ac:dyDescent="0.4">
      <c r="A266" t="s">
        <v>7490</v>
      </c>
      <c r="E266" t="s">
        <v>5029</v>
      </c>
      <c r="F266">
        <f>COUNTIF($A$2:$A$1001,E266)</f>
        <v>1</v>
      </c>
      <c r="G266" t="str">
        <f>VLOOKUP(Table1[[#This Row],[Unique Emitters]],Cleaned!$AH$2:$AI$1001,2,FALSE)</f>
        <v>WÃ¤hrungsanleihen</v>
      </c>
    </row>
    <row r="267" spans="1:7" x14ac:dyDescent="0.4">
      <c r="A267" t="s">
        <v>6397</v>
      </c>
      <c r="E267" t="s">
        <v>5845</v>
      </c>
      <c r="F267">
        <f>COUNTIF($A$2:$A$1001,E267)</f>
        <v>1</v>
      </c>
      <c r="G267" t="str">
        <f>VLOOKUP(Table1[[#This Row],[Unique Emitters]],Cleaned!$AH$2:$AI$1001,2,FALSE)</f>
        <v>WÃ¤hrungsanleihen</v>
      </c>
    </row>
    <row r="268" spans="1:7" x14ac:dyDescent="0.4">
      <c r="A268" t="s">
        <v>7294</v>
      </c>
      <c r="E268" t="s">
        <v>6795</v>
      </c>
      <c r="F268">
        <f>COUNTIF($A$2:$A$1001,E268)</f>
        <v>1</v>
      </c>
      <c r="G268" t="str">
        <f>VLOOKUP(Table1[[#This Row],[Unique Emitters]],Cleaned!$AH$2:$AI$1001,2,FALSE)</f>
        <v>WÃ¤hrungsanleihen</v>
      </c>
    </row>
    <row r="269" spans="1:7" x14ac:dyDescent="0.4">
      <c r="A269" t="s">
        <v>6993</v>
      </c>
      <c r="E269" t="s">
        <v>3353</v>
      </c>
      <c r="F269">
        <f>COUNTIF($A$2:$A$1001,E269)</f>
        <v>1</v>
      </c>
      <c r="G269" t="str">
        <f>VLOOKUP(Table1[[#This Row],[Unique Emitters]],Cleaned!$AH$2:$AI$1001,2,FALSE)</f>
        <v>(Industrie-) und Bankschuldverschreibungen</v>
      </c>
    </row>
    <row r="270" spans="1:7" x14ac:dyDescent="0.4">
      <c r="A270" t="s">
        <v>5551</v>
      </c>
      <c r="E270" t="s">
        <v>6747</v>
      </c>
      <c r="F270">
        <f>COUNTIF($A$2:$A$1001,E270)</f>
        <v>1</v>
      </c>
      <c r="G270" t="str">
        <f>VLOOKUP(Table1[[#This Row],[Unique Emitters]],Cleaned!$AH$2:$AI$1001,2,FALSE)</f>
        <v>WÃ¤hrungsanleihen</v>
      </c>
    </row>
    <row r="271" spans="1:7" x14ac:dyDescent="0.4">
      <c r="A271" t="s">
        <v>7297</v>
      </c>
      <c r="E271" t="s">
        <v>4894</v>
      </c>
      <c r="F271">
        <f>COUNTIF($A$2:$A$1001,E271)</f>
        <v>1</v>
      </c>
      <c r="G271" t="str">
        <f>VLOOKUP(Table1[[#This Row],[Unique Emitters]],Cleaned!$AH$2:$AI$1001,2,FALSE)</f>
        <v>WÃ¤hrungsanleihen</v>
      </c>
    </row>
    <row r="272" spans="1:7" x14ac:dyDescent="0.4">
      <c r="A272" t="s">
        <v>223</v>
      </c>
      <c r="E272" t="s">
        <v>370</v>
      </c>
      <c r="F272">
        <f>COUNTIF($A$2:$A$1001,E272)</f>
        <v>1</v>
      </c>
      <c r="G272" t="str">
        <f>VLOOKUP(Table1[[#This Row],[Unique Emitters]],Cleaned!$AH$2:$AI$1001,2,FALSE)</f>
        <v>WÃ¤hrungsanleihen</v>
      </c>
    </row>
    <row r="273" spans="1:7" x14ac:dyDescent="0.4">
      <c r="A273" t="s">
        <v>223</v>
      </c>
      <c r="E273" t="s">
        <v>3121</v>
      </c>
      <c r="F273">
        <f>COUNTIF($A$2:$A$1001,E273)</f>
        <v>1</v>
      </c>
      <c r="G273" t="str">
        <f>VLOOKUP(Table1[[#This Row],[Unique Emitters]],Cleaned!$AH$2:$AI$1001,2,FALSE)</f>
        <v>(Industrie-) und Bankschuldverschreibungen</v>
      </c>
    </row>
    <row r="274" spans="1:7" x14ac:dyDescent="0.4">
      <c r="A274" t="s">
        <v>223</v>
      </c>
      <c r="E274" t="s">
        <v>5577</v>
      </c>
      <c r="F274">
        <f>COUNTIF($A$2:$A$1001,E274)</f>
        <v>1</v>
      </c>
      <c r="G274" t="str">
        <f>VLOOKUP(Table1[[#This Row],[Unique Emitters]],Cleaned!$AH$2:$AI$1001,2,FALSE)</f>
        <v>WÃ¤hrungsanleihen</v>
      </c>
    </row>
    <row r="275" spans="1:7" x14ac:dyDescent="0.4">
      <c r="A275" t="s">
        <v>223</v>
      </c>
      <c r="E275" t="s">
        <v>7275</v>
      </c>
      <c r="F275">
        <f>COUNTIF($A$2:$A$1001,E275)</f>
        <v>1</v>
      </c>
      <c r="G275" t="str">
        <f>VLOOKUP(Table1[[#This Row],[Unique Emitters]],Cleaned!$AH$2:$AI$1001,2,FALSE)</f>
        <v>WÃ¤hrungsanleihen</v>
      </c>
    </row>
    <row r="276" spans="1:7" x14ac:dyDescent="0.4">
      <c r="A276" t="s">
        <v>223</v>
      </c>
      <c r="E276" t="s">
        <v>5132</v>
      </c>
      <c r="F276">
        <f>COUNTIF($A$2:$A$1001,E276)</f>
        <v>1</v>
      </c>
      <c r="G276" t="str">
        <f>VLOOKUP(Table1[[#This Row],[Unique Emitters]],Cleaned!$AH$2:$AI$1001,2,FALSE)</f>
        <v>WÃ¤hrungsanleihen</v>
      </c>
    </row>
    <row r="277" spans="1:7" x14ac:dyDescent="0.4">
      <c r="A277" t="s">
        <v>223</v>
      </c>
      <c r="E277" t="s">
        <v>2435</v>
      </c>
      <c r="F277">
        <f>COUNTIF($A$2:$A$1001,E277)</f>
        <v>1</v>
      </c>
      <c r="G277" t="str">
        <f>VLOOKUP(Table1[[#This Row],[Unique Emitters]],Cleaned!$AH$2:$AI$1001,2,FALSE)</f>
        <v>WÃ¤hrungsanleihen</v>
      </c>
    </row>
    <row r="278" spans="1:7" x14ac:dyDescent="0.4">
      <c r="A278" t="s">
        <v>223</v>
      </c>
      <c r="E278" t="s">
        <v>3836</v>
      </c>
      <c r="F278">
        <f>COUNTIF($A$2:$A$1001,E278)</f>
        <v>1</v>
      </c>
      <c r="G278" t="str">
        <f>VLOOKUP(Table1[[#This Row],[Unique Emitters]],Cleaned!$AH$2:$AI$1001,2,FALSE)</f>
        <v>WÃ¤hrungsanleihen</v>
      </c>
    </row>
    <row r="279" spans="1:7" x14ac:dyDescent="0.4">
      <c r="A279" t="s">
        <v>223</v>
      </c>
      <c r="E279" t="s">
        <v>4431</v>
      </c>
      <c r="F279">
        <f>COUNTIF($A$2:$A$1001,E279)</f>
        <v>1</v>
      </c>
      <c r="G279" t="str">
        <f>VLOOKUP(Table1[[#This Row],[Unique Emitters]],Cleaned!$AH$2:$AI$1001,2,FALSE)</f>
        <v>(Industrie-) und Bankschuldverschreibungen</v>
      </c>
    </row>
    <row r="280" spans="1:7" x14ac:dyDescent="0.4">
      <c r="A280" t="s">
        <v>223</v>
      </c>
      <c r="E280" t="s">
        <v>6088</v>
      </c>
      <c r="F280">
        <f>COUNTIF($A$2:$A$1001,E280)</f>
        <v>1</v>
      </c>
      <c r="G280" t="str">
        <f>VLOOKUP(Table1[[#This Row],[Unique Emitters]],Cleaned!$AH$2:$AI$1001,2,FALSE)</f>
        <v>WÃ¤hrungsanleihen</v>
      </c>
    </row>
    <row r="281" spans="1:7" x14ac:dyDescent="0.4">
      <c r="A281" t="s">
        <v>223</v>
      </c>
      <c r="E281" t="s">
        <v>4047</v>
      </c>
      <c r="F281">
        <f>COUNTIF($A$2:$A$1001,E281)</f>
        <v>1</v>
      </c>
      <c r="G281" t="str">
        <f>VLOOKUP(Table1[[#This Row],[Unique Emitters]],Cleaned!$AH$2:$AI$1001,2,FALSE)</f>
        <v>WÃ¤hrungsanleihen</v>
      </c>
    </row>
    <row r="282" spans="1:7" x14ac:dyDescent="0.4">
      <c r="A282" t="s">
        <v>223</v>
      </c>
      <c r="E282" t="s">
        <v>2074</v>
      </c>
      <c r="F282">
        <f>COUNTIF($A$2:$A$1001,E282)</f>
        <v>1</v>
      </c>
      <c r="G282" t="str">
        <f>VLOOKUP(Table1[[#This Row],[Unique Emitters]],Cleaned!$AH$2:$AI$1001,2,FALSE)</f>
        <v>(Industrie-) und Bankschuldverschreibungen</v>
      </c>
    </row>
    <row r="283" spans="1:7" x14ac:dyDescent="0.4">
      <c r="A283" t="s">
        <v>223</v>
      </c>
      <c r="E283" t="s">
        <v>5226</v>
      </c>
      <c r="F283">
        <f>COUNTIF($A$2:$A$1001,E283)</f>
        <v>1</v>
      </c>
      <c r="G283" t="str">
        <f>VLOOKUP(Table1[[#This Row],[Unique Emitters]],Cleaned!$AH$2:$AI$1001,2,FALSE)</f>
        <v>WÃ¤hrungsanleihen</v>
      </c>
    </row>
    <row r="284" spans="1:7" x14ac:dyDescent="0.4">
      <c r="A284" t="s">
        <v>223</v>
      </c>
      <c r="E284" t="s">
        <v>4200</v>
      </c>
      <c r="F284">
        <f>COUNTIF($A$2:$A$1001,E284)</f>
        <v>1</v>
      </c>
      <c r="G284" t="str">
        <f>VLOOKUP(Table1[[#This Row],[Unique Emitters]],Cleaned!$AH$2:$AI$1001,2,FALSE)</f>
        <v>(Industrie-) und Bankschuldverschreibungen</v>
      </c>
    </row>
    <row r="285" spans="1:7" x14ac:dyDescent="0.4">
      <c r="A285" t="s">
        <v>223</v>
      </c>
      <c r="E285" t="s">
        <v>959</v>
      </c>
      <c r="F285">
        <f>COUNTIF($A$2:$A$1001,E285)</f>
        <v>1</v>
      </c>
      <c r="G285" t="str">
        <f>VLOOKUP(Table1[[#This Row],[Unique Emitters]],Cleaned!$AH$2:$AI$1001,2,FALSE)</f>
        <v>WÃ¤hrungsanleihen</v>
      </c>
    </row>
    <row r="286" spans="1:7" x14ac:dyDescent="0.4">
      <c r="A286" t="s">
        <v>223</v>
      </c>
      <c r="E286" t="s">
        <v>6803</v>
      </c>
      <c r="F286">
        <f>COUNTIF($A$2:$A$1001,E286)</f>
        <v>1</v>
      </c>
      <c r="G286" t="str">
        <f>VLOOKUP(Table1[[#This Row],[Unique Emitters]],Cleaned!$AH$2:$AI$1001,2,FALSE)</f>
        <v>AuslÃ¤ndische Wandelanleihen/Optionsanleihen</v>
      </c>
    </row>
    <row r="287" spans="1:7" x14ac:dyDescent="0.4">
      <c r="A287" t="s">
        <v>223</v>
      </c>
      <c r="E287" t="s">
        <v>4500</v>
      </c>
      <c r="F287">
        <f>COUNTIF($A$2:$A$1001,E287)</f>
        <v>1</v>
      </c>
      <c r="G287" t="str">
        <f>VLOOKUP(Table1[[#This Row],[Unique Emitters]],Cleaned!$AH$2:$AI$1001,2,FALSE)</f>
        <v>WÃ¤hrungsanleihen</v>
      </c>
    </row>
    <row r="288" spans="1:7" x14ac:dyDescent="0.4">
      <c r="A288" t="s">
        <v>223</v>
      </c>
      <c r="E288" t="s">
        <v>6887</v>
      </c>
      <c r="F288">
        <f>COUNTIF($A$2:$A$1001,E288)</f>
        <v>1</v>
      </c>
      <c r="G288" t="str">
        <f>VLOOKUP(Table1[[#This Row],[Unique Emitters]],Cleaned!$AH$2:$AI$1001,2,FALSE)</f>
        <v>WÃ¤hrungsanleihen</v>
      </c>
    </row>
    <row r="289" spans="1:7" x14ac:dyDescent="0.4">
      <c r="A289" t="s">
        <v>223</v>
      </c>
      <c r="E289" t="s">
        <v>5217</v>
      </c>
      <c r="F289">
        <f>COUNTIF($A$2:$A$1001,E289)</f>
        <v>1</v>
      </c>
      <c r="G289" t="str">
        <f>VLOOKUP(Table1[[#This Row],[Unique Emitters]],Cleaned!$AH$2:$AI$1001,2,FALSE)</f>
        <v>WÃ¤hrungsanleihen</v>
      </c>
    </row>
    <row r="290" spans="1:7" x14ac:dyDescent="0.4">
      <c r="A290" t="s">
        <v>223</v>
      </c>
      <c r="E290" t="s">
        <v>7019</v>
      </c>
      <c r="F290">
        <f>COUNTIF($A$2:$A$1001,E290)</f>
        <v>1</v>
      </c>
      <c r="G290" t="str">
        <f>VLOOKUP(Table1[[#This Row],[Unique Emitters]],Cleaned!$AH$2:$AI$1001,2,FALSE)</f>
        <v>WÃ¤hrungsanleihen</v>
      </c>
    </row>
    <row r="291" spans="1:7" x14ac:dyDescent="0.4">
      <c r="A291" t="s">
        <v>223</v>
      </c>
      <c r="E291" t="s">
        <v>5592</v>
      </c>
      <c r="F291">
        <f>COUNTIF($A$2:$A$1001,E291)</f>
        <v>1</v>
      </c>
      <c r="G291" t="str">
        <f>VLOOKUP(Table1[[#This Row],[Unique Emitters]],Cleaned!$AH$2:$AI$1001,2,FALSE)</f>
        <v>WÃ¤hrungsanleihen</v>
      </c>
    </row>
    <row r="292" spans="1:7" x14ac:dyDescent="0.4">
      <c r="A292" t="s">
        <v>223</v>
      </c>
      <c r="E292" t="s">
        <v>7218</v>
      </c>
      <c r="F292">
        <f>COUNTIF($A$2:$A$1001,E292)</f>
        <v>1</v>
      </c>
      <c r="G292" t="str">
        <f>VLOOKUP(Table1[[#This Row],[Unique Emitters]],Cleaned!$AH$2:$AI$1001,2,FALSE)</f>
        <v>WÃ¤hrungsanleihen</v>
      </c>
    </row>
    <row r="293" spans="1:7" x14ac:dyDescent="0.4">
      <c r="A293" t="s">
        <v>223</v>
      </c>
      <c r="E293" t="s">
        <v>5599</v>
      </c>
      <c r="F293">
        <f>COUNTIF($A$2:$A$1001,E293)</f>
        <v>1</v>
      </c>
      <c r="G293" t="str">
        <f>VLOOKUP(Table1[[#This Row],[Unique Emitters]],Cleaned!$AH$2:$AI$1001,2,FALSE)</f>
        <v>WÃ¤hrungsanleihen</v>
      </c>
    </row>
    <row r="294" spans="1:7" x14ac:dyDescent="0.4">
      <c r="A294" t="s">
        <v>223</v>
      </c>
      <c r="E294" t="s">
        <v>7476</v>
      </c>
      <c r="F294">
        <f>COUNTIF($A$2:$A$1001,E294)</f>
        <v>1</v>
      </c>
      <c r="G294" t="str">
        <f>VLOOKUP(Table1[[#This Row],[Unique Emitters]],Cleaned!$AH$2:$AI$1001,2,FALSE)</f>
        <v>WÃ¤hrungsanleihen</v>
      </c>
    </row>
    <row r="295" spans="1:7" x14ac:dyDescent="0.4">
      <c r="A295" t="s">
        <v>223</v>
      </c>
      <c r="E295" t="s">
        <v>2094</v>
      </c>
      <c r="F295">
        <f>COUNTIF($A$2:$A$1001,E295)</f>
        <v>1</v>
      </c>
      <c r="G295" t="str">
        <f>VLOOKUP(Table1[[#This Row],[Unique Emitters]],Cleaned!$AH$2:$AI$1001,2,FALSE)</f>
        <v>WÃ¤hrungsanleihen</v>
      </c>
    </row>
    <row r="296" spans="1:7" x14ac:dyDescent="0.4">
      <c r="A296" t="s">
        <v>223</v>
      </c>
      <c r="E296" t="s">
        <v>6402</v>
      </c>
      <c r="F296">
        <f>COUNTIF($A$2:$A$1001,E296)</f>
        <v>1</v>
      </c>
      <c r="G296" t="str">
        <f>VLOOKUP(Table1[[#This Row],[Unique Emitters]],Cleaned!$AH$2:$AI$1001,2,FALSE)</f>
        <v>(Industrie-) und Bankschuldverschreibungen</v>
      </c>
    </row>
    <row r="297" spans="1:7" x14ac:dyDescent="0.4">
      <c r="A297" t="s">
        <v>223</v>
      </c>
      <c r="E297" t="s">
        <v>3626</v>
      </c>
      <c r="F297">
        <f>COUNTIF($A$2:$A$1001,E297)</f>
        <v>1</v>
      </c>
      <c r="G297" t="str">
        <f>VLOOKUP(Table1[[#This Row],[Unique Emitters]],Cleaned!$AH$2:$AI$1001,2,FALSE)</f>
        <v>(Industrie-) und Bankschuldverschreibungen</v>
      </c>
    </row>
    <row r="298" spans="1:7" x14ac:dyDescent="0.4">
      <c r="A298" t="s">
        <v>223</v>
      </c>
      <c r="E298" t="s">
        <v>5607</v>
      </c>
      <c r="F298">
        <f>COUNTIF($A$2:$A$1001,E298)</f>
        <v>1</v>
      </c>
      <c r="G298" t="str">
        <f>VLOOKUP(Table1[[#This Row],[Unique Emitters]],Cleaned!$AH$2:$AI$1001,2,FALSE)</f>
        <v>WÃ¤hrungsanleihen</v>
      </c>
    </row>
    <row r="299" spans="1:7" x14ac:dyDescent="0.4">
      <c r="A299" t="s">
        <v>223</v>
      </c>
      <c r="E299" t="s">
        <v>6868</v>
      </c>
      <c r="F299">
        <f>COUNTIF($A$2:$A$1001,E299)</f>
        <v>1</v>
      </c>
      <c r="G299" t="str">
        <f>VLOOKUP(Table1[[#This Row],[Unique Emitters]],Cleaned!$AH$2:$AI$1001,2,FALSE)</f>
        <v>WÃ¤hrungsanleihen</v>
      </c>
    </row>
    <row r="300" spans="1:7" x14ac:dyDescent="0.4">
      <c r="A300" t="s">
        <v>223</v>
      </c>
      <c r="E300" t="s">
        <v>5125</v>
      </c>
      <c r="F300">
        <f>COUNTIF($A$2:$A$1001,E300)</f>
        <v>1</v>
      </c>
      <c r="G300" t="str">
        <f>VLOOKUP(Table1[[#This Row],[Unique Emitters]],Cleaned!$AH$2:$AI$1001,2,FALSE)</f>
        <v>WÃ¤hrungsanleihen</v>
      </c>
    </row>
    <row r="301" spans="1:7" x14ac:dyDescent="0.4">
      <c r="A301" t="s">
        <v>223</v>
      </c>
      <c r="E301" t="s">
        <v>7341</v>
      </c>
      <c r="F301">
        <f>COUNTIF($A$2:$A$1001,E301)</f>
        <v>1</v>
      </c>
      <c r="G301" t="str">
        <f>VLOOKUP(Table1[[#This Row],[Unique Emitters]],Cleaned!$AH$2:$AI$1001,2,FALSE)</f>
        <v>WÃ¤hrungsanleihen</v>
      </c>
    </row>
    <row r="302" spans="1:7" x14ac:dyDescent="0.4">
      <c r="A302" t="s">
        <v>223</v>
      </c>
      <c r="E302" t="s">
        <v>5614</v>
      </c>
      <c r="F302">
        <f>COUNTIF($A$2:$A$1001,E302)</f>
        <v>1</v>
      </c>
      <c r="G302" t="str">
        <f>VLOOKUP(Table1[[#This Row],[Unique Emitters]],Cleaned!$AH$2:$AI$1001,2,FALSE)</f>
        <v>WÃ¤hrungsanleihen</v>
      </c>
    </row>
    <row r="303" spans="1:7" x14ac:dyDescent="0.4">
      <c r="A303" t="s">
        <v>223</v>
      </c>
      <c r="E303" t="s">
        <v>5583</v>
      </c>
      <c r="F303">
        <f>COUNTIF($A$2:$A$1001,E303)</f>
        <v>1</v>
      </c>
      <c r="G303" t="str">
        <f>VLOOKUP(Table1[[#This Row],[Unique Emitters]],Cleaned!$AH$2:$AI$1001,2,FALSE)</f>
        <v>WÃ¤hrungsanleihen</v>
      </c>
    </row>
    <row r="304" spans="1:7" x14ac:dyDescent="0.4">
      <c r="A304" t="s">
        <v>223</v>
      </c>
      <c r="E304" t="s">
        <v>3684</v>
      </c>
      <c r="F304">
        <f>COUNTIF($A$2:$A$1001,E304)</f>
        <v>1</v>
      </c>
      <c r="G304" t="str">
        <f>VLOOKUP(Table1[[#This Row],[Unique Emitters]],Cleaned!$AH$2:$AI$1001,2,FALSE)</f>
        <v>(Industrie-) und Bankschuldverschreibungen</v>
      </c>
    </row>
    <row r="305" spans="1:7" x14ac:dyDescent="0.4">
      <c r="A305" t="s">
        <v>223</v>
      </c>
      <c r="E305" t="s">
        <v>6345</v>
      </c>
      <c r="F305">
        <f>COUNTIF($A$2:$A$1001,E305)</f>
        <v>1</v>
      </c>
      <c r="G305" t="str">
        <f>VLOOKUP(Table1[[#This Row],[Unique Emitters]],Cleaned!$AH$2:$AI$1001,2,FALSE)</f>
        <v>WÃ¤hrungsanleihen</v>
      </c>
    </row>
    <row r="306" spans="1:7" x14ac:dyDescent="0.4">
      <c r="A306" t="s">
        <v>223</v>
      </c>
      <c r="E306" t="s">
        <v>5009</v>
      </c>
      <c r="F306">
        <f>COUNTIF($A$2:$A$1001,E306)</f>
        <v>1</v>
      </c>
      <c r="G306" t="str">
        <f>VLOOKUP(Table1[[#This Row],[Unique Emitters]],Cleaned!$AH$2:$AI$1001,2,FALSE)</f>
        <v>WÃ¤hrungsanleihen</v>
      </c>
    </row>
    <row r="307" spans="1:7" x14ac:dyDescent="0.4">
      <c r="A307" t="s">
        <v>223</v>
      </c>
      <c r="E307" t="s">
        <v>6231</v>
      </c>
      <c r="F307">
        <f>COUNTIF($A$2:$A$1001,E307)</f>
        <v>1</v>
      </c>
      <c r="G307" t="str">
        <f>VLOOKUP(Table1[[#This Row],[Unique Emitters]],Cleaned!$AH$2:$AI$1001,2,FALSE)</f>
        <v>WÃ¤hrungsanleihen</v>
      </c>
    </row>
    <row r="308" spans="1:7" x14ac:dyDescent="0.4">
      <c r="A308" t="s">
        <v>223</v>
      </c>
      <c r="E308" t="s">
        <v>5842</v>
      </c>
      <c r="F308">
        <f>COUNTIF($A$2:$A$1001,E308)</f>
        <v>1</v>
      </c>
      <c r="G308" t="str">
        <f>VLOOKUP(Table1[[#This Row],[Unique Emitters]],Cleaned!$AH$2:$AI$1001,2,FALSE)</f>
        <v>WÃ¤hrungsanleihen</v>
      </c>
    </row>
    <row r="309" spans="1:7" x14ac:dyDescent="0.4">
      <c r="A309" t="s">
        <v>223</v>
      </c>
      <c r="E309" t="s">
        <v>4035</v>
      </c>
      <c r="F309">
        <f>COUNTIF($A$2:$A$1001,E309)</f>
        <v>1</v>
      </c>
      <c r="G309" t="str">
        <f>VLOOKUP(Table1[[#This Row],[Unique Emitters]],Cleaned!$AH$2:$AI$1001,2,FALSE)</f>
        <v>WÃ¤hrungsanleihen</v>
      </c>
    </row>
    <row r="310" spans="1:7" x14ac:dyDescent="0.4">
      <c r="A310" t="s">
        <v>223</v>
      </c>
      <c r="E310" t="s">
        <v>1484</v>
      </c>
      <c r="F310">
        <f>COUNTIF($A$2:$A$1001,E310)</f>
        <v>1</v>
      </c>
      <c r="G310" t="str">
        <f>VLOOKUP(Table1[[#This Row],[Unique Emitters]],Cleaned!$AH$2:$AI$1001,2,FALSE)</f>
        <v>(Industrie-) und Bankschuldverschreibungen</v>
      </c>
    </row>
    <row r="311" spans="1:7" x14ac:dyDescent="0.4">
      <c r="A311" t="s">
        <v>223</v>
      </c>
      <c r="E311" t="s">
        <v>6438</v>
      </c>
      <c r="F311">
        <f>COUNTIF($A$2:$A$1001,E311)</f>
        <v>1</v>
      </c>
      <c r="G311" t="str">
        <f>VLOOKUP(Table1[[#This Row],[Unique Emitters]],Cleaned!$AH$2:$AI$1001,2,FALSE)</f>
        <v>WÃ¤hrungsanleihen</v>
      </c>
    </row>
    <row r="312" spans="1:7" x14ac:dyDescent="0.4">
      <c r="A312" t="s">
        <v>223</v>
      </c>
      <c r="E312" t="s">
        <v>7345</v>
      </c>
      <c r="F312">
        <f>COUNTIF($A$2:$A$1001,E312)</f>
        <v>1</v>
      </c>
      <c r="G312" t="str">
        <f>VLOOKUP(Table1[[#This Row],[Unique Emitters]],Cleaned!$AH$2:$AI$1001,2,FALSE)</f>
        <v>WÃ¤hrungsanleihen</v>
      </c>
    </row>
    <row r="313" spans="1:7" x14ac:dyDescent="0.4">
      <c r="A313" t="s">
        <v>223</v>
      </c>
      <c r="E313" t="s">
        <v>5141</v>
      </c>
      <c r="F313">
        <f>COUNTIF($A$2:$A$1001,E313)</f>
        <v>1</v>
      </c>
      <c r="G313" t="str">
        <f>VLOOKUP(Table1[[#This Row],[Unique Emitters]],Cleaned!$AH$2:$AI$1001,2,FALSE)</f>
        <v>WÃ¤hrungsanleihen</v>
      </c>
    </row>
    <row r="314" spans="1:7" x14ac:dyDescent="0.4">
      <c r="A314" t="s">
        <v>223</v>
      </c>
      <c r="E314" t="s">
        <v>4182</v>
      </c>
      <c r="F314">
        <f>COUNTIF($A$2:$A$1001,E314)</f>
        <v>1</v>
      </c>
      <c r="G314" t="str">
        <f>VLOOKUP(Table1[[#This Row],[Unique Emitters]],Cleaned!$AH$2:$AI$1001,2,FALSE)</f>
        <v>(Industrie-) und Bankschuldverschreibungen</v>
      </c>
    </row>
    <row r="315" spans="1:7" x14ac:dyDescent="0.4">
      <c r="A315" t="s">
        <v>223</v>
      </c>
      <c r="E315" t="s">
        <v>4788</v>
      </c>
      <c r="F315">
        <f>COUNTIF($A$2:$A$1001,E315)</f>
        <v>1</v>
      </c>
      <c r="G315" t="str">
        <f>VLOOKUP(Table1[[#This Row],[Unique Emitters]],Cleaned!$AH$2:$AI$1001,2,FALSE)</f>
        <v>WÃ¤hrungsanleihen</v>
      </c>
    </row>
    <row r="316" spans="1:7" x14ac:dyDescent="0.4">
      <c r="A316" t="s">
        <v>223</v>
      </c>
      <c r="E316" t="s">
        <v>1526</v>
      </c>
      <c r="F316">
        <f>COUNTIF($A$2:$A$1001,E316)</f>
        <v>1</v>
      </c>
      <c r="G316" t="str">
        <f>VLOOKUP(Table1[[#This Row],[Unique Emitters]],Cleaned!$AH$2:$AI$1001,2,FALSE)</f>
        <v>WÃ¤hrungsanleihen</v>
      </c>
    </row>
    <row r="317" spans="1:7" x14ac:dyDescent="0.4">
      <c r="A317" t="s">
        <v>223</v>
      </c>
      <c r="E317" t="s">
        <v>5150</v>
      </c>
      <c r="F317">
        <f>COUNTIF($A$2:$A$1001,E317)</f>
        <v>1</v>
      </c>
      <c r="G317" t="str">
        <f>VLOOKUP(Table1[[#This Row],[Unique Emitters]],Cleaned!$AH$2:$AI$1001,2,FALSE)</f>
        <v>WÃ¤hrungsanleihen</v>
      </c>
    </row>
    <row r="318" spans="1:7" x14ac:dyDescent="0.4">
      <c r="A318" t="s">
        <v>223</v>
      </c>
      <c r="E318" t="s">
        <v>610</v>
      </c>
      <c r="F318">
        <f>COUNTIF($A$2:$A$1001,E318)</f>
        <v>1</v>
      </c>
      <c r="G318" t="str">
        <f>VLOOKUP(Table1[[#This Row],[Unique Emitters]],Cleaned!$AH$2:$AI$1001,2,FALSE)</f>
        <v>WÃ¤hrungsanleihen</v>
      </c>
    </row>
    <row r="319" spans="1:7" x14ac:dyDescent="0.4">
      <c r="A319" t="s">
        <v>223</v>
      </c>
      <c r="E319" t="s">
        <v>3999</v>
      </c>
      <c r="F319">
        <f>COUNTIF($A$2:$A$1001,E319)</f>
        <v>1</v>
      </c>
      <c r="G319" t="str">
        <f>VLOOKUP(Table1[[#This Row],[Unique Emitters]],Cleaned!$AH$2:$AI$1001,2,FALSE)</f>
        <v>WÃ¤hrungsanleihen</v>
      </c>
    </row>
    <row r="320" spans="1:7" x14ac:dyDescent="0.4">
      <c r="A320" t="s">
        <v>223</v>
      </c>
      <c r="E320" t="s">
        <v>6926</v>
      </c>
      <c r="F320">
        <f>COUNTIF($A$2:$A$1001,E320)</f>
        <v>1</v>
      </c>
      <c r="G320" t="str">
        <f>VLOOKUP(Table1[[#This Row],[Unique Emitters]],Cleaned!$AH$2:$AI$1001,2,FALSE)</f>
        <v>WÃ¤hrungsanleihen</v>
      </c>
    </row>
    <row r="321" spans="1:7" x14ac:dyDescent="0.4">
      <c r="A321" t="s">
        <v>223</v>
      </c>
      <c r="E321" t="s">
        <v>6421</v>
      </c>
      <c r="F321">
        <f>COUNTIF($A$2:$A$1001,E321)</f>
        <v>1</v>
      </c>
      <c r="G321" t="str">
        <f>VLOOKUP(Table1[[#This Row],[Unique Emitters]],Cleaned!$AH$2:$AI$1001,2,FALSE)</f>
        <v>WÃ¤hrungsanleihen</v>
      </c>
    </row>
    <row r="322" spans="1:7" x14ac:dyDescent="0.4">
      <c r="A322" t="s">
        <v>223</v>
      </c>
      <c r="E322" t="s">
        <v>7402</v>
      </c>
      <c r="F322">
        <f>COUNTIF($A$2:$A$1001,E322)</f>
        <v>1</v>
      </c>
      <c r="G322" t="str">
        <f>VLOOKUP(Table1[[#This Row],[Unique Emitters]],Cleaned!$AH$2:$AI$1001,2,FALSE)</f>
        <v>WÃ¤hrungsanleihen</v>
      </c>
    </row>
    <row r="323" spans="1:7" x14ac:dyDescent="0.4">
      <c r="A323" t="s">
        <v>223</v>
      </c>
      <c r="E323" t="s">
        <v>5744</v>
      </c>
      <c r="F323">
        <f>COUNTIF($A$2:$A$1001,E323)</f>
        <v>1</v>
      </c>
      <c r="G323" t="str">
        <f>VLOOKUP(Table1[[#This Row],[Unique Emitters]],Cleaned!$AH$2:$AI$1001,2,FALSE)</f>
        <v>WÃ¤hrungsanleihen</v>
      </c>
    </row>
    <row r="324" spans="1:7" x14ac:dyDescent="0.4">
      <c r="A324" t="s">
        <v>223</v>
      </c>
      <c r="E324" t="s">
        <v>3143</v>
      </c>
      <c r="F324">
        <f>COUNTIF($A$2:$A$1001,E324)</f>
        <v>1</v>
      </c>
      <c r="G324" t="str">
        <f>VLOOKUP(Table1[[#This Row],[Unique Emitters]],Cleaned!$AH$2:$AI$1001,2,FALSE)</f>
        <v>WÃ¤hrungsanleihen</v>
      </c>
    </row>
    <row r="325" spans="1:7" x14ac:dyDescent="0.4">
      <c r="A325" t="s">
        <v>223</v>
      </c>
      <c r="E325" t="s">
        <v>6814</v>
      </c>
      <c r="F325">
        <f>COUNTIF($A$2:$A$1001,E325)</f>
        <v>1</v>
      </c>
      <c r="G325" t="str">
        <f>VLOOKUP(Table1[[#This Row],[Unique Emitters]],Cleaned!$AH$2:$AI$1001,2,FALSE)</f>
        <v>WÃ¤hrungsanleihen</v>
      </c>
    </row>
    <row r="326" spans="1:7" x14ac:dyDescent="0.4">
      <c r="A326" t="s">
        <v>223</v>
      </c>
      <c r="E326" t="s">
        <v>7190</v>
      </c>
      <c r="F326">
        <f>COUNTIF($A$2:$A$1001,E326)</f>
        <v>1</v>
      </c>
      <c r="G326" t="str">
        <f>VLOOKUP(Table1[[#This Row],[Unique Emitters]],Cleaned!$AH$2:$AI$1001,2,FALSE)</f>
        <v>AuslÃ¤ndische Wandelanleihen/Optionsanleihen</v>
      </c>
    </row>
    <row r="327" spans="1:7" x14ac:dyDescent="0.4">
      <c r="A327" t="s">
        <v>223</v>
      </c>
      <c r="E327" t="s">
        <v>2612</v>
      </c>
      <c r="F327">
        <f>COUNTIF($A$2:$A$1001,E327)</f>
        <v>1</v>
      </c>
      <c r="G327" t="str">
        <f>VLOOKUP(Table1[[#This Row],[Unique Emitters]],Cleaned!$AH$2:$AI$1001,2,FALSE)</f>
        <v>(Industrie-) und Bankschuldverschreibungen</v>
      </c>
    </row>
    <row r="328" spans="1:7" x14ac:dyDescent="0.4">
      <c r="A328" t="s">
        <v>223</v>
      </c>
      <c r="E328" t="s">
        <v>1913</v>
      </c>
      <c r="F328">
        <f>COUNTIF($A$2:$A$1001,E328)</f>
        <v>1</v>
      </c>
      <c r="G328" t="str">
        <f>VLOOKUP(Table1[[#This Row],[Unique Emitters]],Cleaned!$AH$2:$AI$1001,2,FALSE)</f>
        <v>(Industrie-) und Bankschuldverschreibungen</v>
      </c>
    </row>
    <row r="329" spans="1:7" x14ac:dyDescent="0.4">
      <c r="A329" t="s">
        <v>223</v>
      </c>
      <c r="E329" t="s">
        <v>5779</v>
      </c>
      <c r="F329">
        <f>COUNTIF($A$2:$A$1001,E329)</f>
        <v>1</v>
      </c>
      <c r="G329" t="str">
        <f>VLOOKUP(Table1[[#This Row],[Unique Emitters]],Cleaned!$AH$2:$AI$1001,2,FALSE)</f>
        <v>WÃ¤hrungsanleihen</v>
      </c>
    </row>
    <row r="330" spans="1:7" x14ac:dyDescent="0.4">
      <c r="A330" t="s">
        <v>223</v>
      </c>
      <c r="E330" t="s">
        <v>2126</v>
      </c>
      <c r="F330">
        <f>COUNTIF($A$2:$A$1001,E330)</f>
        <v>1</v>
      </c>
      <c r="G330" t="str">
        <f>VLOOKUP(Table1[[#This Row],[Unique Emitters]],Cleaned!$AH$2:$AI$1001,2,FALSE)</f>
        <v>(Industrie-) und Bankschuldverschreibungen</v>
      </c>
    </row>
    <row r="331" spans="1:7" x14ac:dyDescent="0.4">
      <c r="A331" t="s">
        <v>223</v>
      </c>
      <c r="E331" t="s">
        <v>5705</v>
      </c>
      <c r="F331">
        <f>COUNTIF($A$2:$A$1001,E331)</f>
        <v>1</v>
      </c>
      <c r="G331" t="str">
        <f>VLOOKUP(Table1[[#This Row],[Unique Emitters]],Cleaned!$AH$2:$AI$1001,2,FALSE)</f>
        <v>WÃ¤hrungsanleihen</v>
      </c>
    </row>
    <row r="332" spans="1:7" x14ac:dyDescent="0.4">
      <c r="A332" t="s">
        <v>223</v>
      </c>
      <c r="E332" t="s">
        <v>7509</v>
      </c>
      <c r="F332">
        <f>COUNTIF($A$2:$A$1001,E332)</f>
        <v>1</v>
      </c>
      <c r="G332" t="str">
        <f>VLOOKUP(Table1[[#This Row],[Unique Emitters]],Cleaned!$AH$2:$AI$1001,2,FALSE)</f>
        <v>WÃ¤hrungsanleihen</v>
      </c>
    </row>
    <row r="333" spans="1:7" x14ac:dyDescent="0.4">
      <c r="A333" t="s">
        <v>223</v>
      </c>
      <c r="E333" t="s">
        <v>7352</v>
      </c>
      <c r="F333">
        <f>COUNTIF($A$2:$A$1001,E333)</f>
        <v>1</v>
      </c>
      <c r="G333" t="str">
        <f>VLOOKUP(Table1[[#This Row],[Unique Emitters]],Cleaned!$AH$2:$AI$1001,2,FALSE)</f>
        <v>WÃ¤hrungsanleihen</v>
      </c>
    </row>
    <row r="334" spans="1:7" x14ac:dyDescent="0.4">
      <c r="A334" t="s">
        <v>223</v>
      </c>
      <c r="E334" t="s">
        <v>2542</v>
      </c>
      <c r="F334">
        <f>COUNTIF($A$2:$A$1001,E334)</f>
        <v>1</v>
      </c>
      <c r="G334" t="str">
        <f>VLOOKUP(Table1[[#This Row],[Unique Emitters]],Cleaned!$AH$2:$AI$1001,2,FALSE)</f>
        <v>WÃ¤hrungsanleihen</v>
      </c>
    </row>
    <row r="335" spans="1:7" x14ac:dyDescent="0.4">
      <c r="A335" t="s">
        <v>223</v>
      </c>
      <c r="E335" t="s">
        <v>3438</v>
      </c>
      <c r="F335">
        <f>COUNTIF($A$2:$A$1001,E335)</f>
        <v>1</v>
      </c>
      <c r="G335" t="str">
        <f>VLOOKUP(Table1[[#This Row],[Unique Emitters]],Cleaned!$AH$2:$AI$1001,2,FALSE)</f>
        <v>WÃ¤hrungsanleihen</v>
      </c>
    </row>
    <row r="336" spans="1:7" x14ac:dyDescent="0.4">
      <c r="A336" t="s">
        <v>223</v>
      </c>
      <c r="E336" t="s">
        <v>2403</v>
      </c>
      <c r="F336">
        <f>COUNTIF($A$2:$A$1001,E336)</f>
        <v>1</v>
      </c>
      <c r="G336" t="str">
        <f>VLOOKUP(Table1[[#This Row],[Unique Emitters]],Cleaned!$AH$2:$AI$1001,2,FALSE)</f>
        <v>WÃ¤hrungsanleihen</v>
      </c>
    </row>
    <row r="337" spans="1:7" x14ac:dyDescent="0.4">
      <c r="A337" t="s">
        <v>223</v>
      </c>
      <c r="E337" t="s">
        <v>1537</v>
      </c>
      <c r="F337">
        <f>COUNTIF($A$2:$A$1001,E337)</f>
        <v>1</v>
      </c>
      <c r="G337" t="str">
        <f>VLOOKUP(Table1[[#This Row],[Unique Emitters]],Cleaned!$AH$2:$AI$1001,2,FALSE)</f>
        <v>WÃ¤hrungsanleihen</v>
      </c>
    </row>
    <row r="338" spans="1:7" x14ac:dyDescent="0.4">
      <c r="A338" t="s">
        <v>223</v>
      </c>
      <c r="E338" t="s">
        <v>4799</v>
      </c>
      <c r="F338">
        <f>COUNTIF($A$2:$A$1001,E338)</f>
        <v>1</v>
      </c>
      <c r="G338" t="str">
        <f>VLOOKUP(Table1[[#This Row],[Unique Emitters]],Cleaned!$AH$2:$AI$1001,2,FALSE)</f>
        <v>WÃ¤hrungsanleihen</v>
      </c>
    </row>
    <row r="339" spans="1:7" x14ac:dyDescent="0.4">
      <c r="A339" t="s">
        <v>223</v>
      </c>
      <c r="E339" t="s">
        <v>6823</v>
      </c>
      <c r="F339">
        <f>COUNTIF($A$2:$A$1001,E339)</f>
        <v>1</v>
      </c>
      <c r="G339" t="str">
        <f>VLOOKUP(Table1[[#This Row],[Unique Emitters]],Cleaned!$AH$2:$AI$1001,2,FALSE)</f>
        <v>AuslÃ¤ndische Wandelanleihen/Optionsanleihen</v>
      </c>
    </row>
    <row r="340" spans="1:7" x14ac:dyDescent="0.4">
      <c r="A340" t="s">
        <v>1644</v>
      </c>
      <c r="E340" t="s">
        <v>4909</v>
      </c>
      <c r="F340">
        <f>COUNTIF($A$2:$A$1001,E340)</f>
        <v>1</v>
      </c>
      <c r="G340" t="str">
        <f>VLOOKUP(Table1[[#This Row],[Unique Emitters]],Cleaned!$AH$2:$AI$1001,2,FALSE)</f>
        <v>WÃ¤hrungsanleihen</v>
      </c>
    </row>
    <row r="341" spans="1:7" x14ac:dyDescent="0.4">
      <c r="A341" t="s">
        <v>1644</v>
      </c>
      <c r="E341" t="s">
        <v>696</v>
      </c>
      <c r="F341">
        <f>COUNTIF($A$2:$A$1001,E341)</f>
        <v>1</v>
      </c>
      <c r="G341" t="str">
        <f>VLOOKUP(Table1[[#This Row],[Unique Emitters]],Cleaned!$AH$2:$AI$1001,2,FALSE)</f>
        <v>WÃ¤hrungsanleihen</v>
      </c>
    </row>
    <row r="342" spans="1:7" x14ac:dyDescent="0.4">
      <c r="A342" t="s">
        <v>1644</v>
      </c>
      <c r="E342" t="s">
        <v>7365</v>
      </c>
      <c r="F342">
        <f>COUNTIF($A$2:$A$1001,E342)</f>
        <v>1</v>
      </c>
      <c r="G342" t="str">
        <f>VLOOKUP(Table1[[#This Row],[Unique Emitters]],Cleaned!$AH$2:$AI$1001,2,FALSE)</f>
        <v>WÃ¤hrungsanleihen</v>
      </c>
    </row>
    <row r="343" spans="1:7" x14ac:dyDescent="0.4">
      <c r="A343" t="s">
        <v>1644</v>
      </c>
      <c r="E343" t="s">
        <v>6928</v>
      </c>
      <c r="F343">
        <f>COUNTIF($A$2:$A$1001,E343)</f>
        <v>1</v>
      </c>
      <c r="G343" t="str">
        <f>VLOOKUP(Table1[[#This Row],[Unique Emitters]],Cleaned!$AH$2:$AI$1001,2,FALSE)</f>
        <v>WÃ¤hrungsanleihen</v>
      </c>
    </row>
    <row r="344" spans="1:7" x14ac:dyDescent="0.4">
      <c r="A344" t="s">
        <v>1644</v>
      </c>
      <c r="E344" t="s">
        <v>6952</v>
      </c>
      <c r="F344">
        <f>COUNTIF($A$2:$A$1001,E344)</f>
        <v>1</v>
      </c>
      <c r="G344" t="str">
        <f>VLOOKUP(Table1[[#This Row],[Unique Emitters]],Cleaned!$AH$2:$AI$1001,2,FALSE)</f>
        <v>WÃ¤hrungsanleihen</v>
      </c>
    </row>
    <row r="345" spans="1:7" x14ac:dyDescent="0.4">
      <c r="A345" t="s">
        <v>1644</v>
      </c>
      <c r="E345" t="s">
        <v>7374</v>
      </c>
      <c r="F345">
        <f>COUNTIF($A$2:$A$1001,E345)</f>
        <v>1</v>
      </c>
      <c r="G345" t="str">
        <f>VLOOKUP(Table1[[#This Row],[Unique Emitters]],Cleaned!$AH$2:$AI$1001,2,FALSE)</f>
        <v>WÃ¤hrungsanleihen</v>
      </c>
    </row>
    <row r="346" spans="1:7" x14ac:dyDescent="0.4">
      <c r="A346" t="s">
        <v>5787</v>
      </c>
      <c r="E346" t="s">
        <v>3034</v>
      </c>
      <c r="F346">
        <f>COUNTIF($A$2:$A$1001,E346)</f>
        <v>1</v>
      </c>
      <c r="G346" t="str">
        <f>VLOOKUP(Table1[[#This Row],[Unique Emitters]],Cleaned!$AH$2:$AI$1001,2,FALSE)</f>
        <v>WÃ¤hrungsanleihen</v>
      </c>
    </row>
    <row r="347" spans="1:7" x14ac:dyDescent="0.4">
      <c r="A347" t="s">
        <v>6189</v>
      </c>
      <c r="E347" t="s">
        <v>7537</v>
      </c>
      <c r="F347">
        <f>COUNTIF($A$2:$A$1001,E347)</f>
        <v>1</v>
      </c>
      <c r="G347" t="str">
        <f>VLOOKUP(Table1[[#This Row],[Unique Emitters]],Cleaned!$AH$2:$AI$1001,2,FALSE)</f>
        <v>WÃ¤hrungsanleihen</v>
      </c>
    </row>
    <row r="348" spans="1:7" x14ac:dyDescent="0.4">
      <c r="A348" t="s">
        <v>5083</v>
      </c>
      <c r="E348" t="s">
        <v>5734</v>
      </c>
      <c r="F348">
        <f>COUNTIF($A$2:$A$1001,E348)</f>
        <v>1</v>
      </c>
      <c r="G348" t="str">
        <f>VLOOKUP(Table1[[#This Row],[Unique Emitters]],Cleaned!$AH$2:$AI$1001,2,FALSE)</f>
        <v>WÃ¤hrungsanleihen</v>
      </c>
    </row>
    <row r="349" spans="1:7" x14ac:dyDescent="0.4">
      <c r="A349" t="s">
        <v>3766</v>
      </c>
      <c r="E349" t="s">
        <v>6240</v>
      </c>
      <c r="F349">
        <f>COUNTIF($A$2:$A$1001,E349)</f>
        <v>1</v>
      </c>
      <c r="G349" t="str">
        <f>VLOOKUP(Table1[[#This Row],[Unique Emitters]],Cleaned!$AH$2:$AI$1001,2,FALSE)</f>
        <v>WÃ¤hrungsanleihen</v>
      </c>
    </row>
    <row r="350" spans="1:7" x14ac:dyDescent="0.4">
      <c r="A350" t="s">
        <v>3909</v>
      </c>
      <c r="E350" t="s">
        <v>4447</v>
      </c>
      <c r="F350">
        <f>COUNTIF($A$2:$A$1001,E350)</f>
        <v>1</v>
      </c>
      <c r="G350" t="str">
        <f>VLOOKUP(Table1[[#This Row],[Unique Emitters]],Cleaned!$AH$2:$AI$1001,2,FALSE)</f>
        <v>(Industrie-) und Bankschuldverschreibungen</v>
      </c>
    </row>
    <row r="351" spans="1:7" x14ac:dyDescent="0.4">
      <c r="A351" t="s">
        <v>6222</v>
      </c>
      <c r="E351" t="s">
        <v>4754</v>
      </c>
      <c r="F351">
        <f>COUNTIF($A$2:$A$1001,E351)</f>
        <v>1</v>
      </c>
      <c r="G351" t="str">
        <f>VLOOKUP(Table1[[#This Row],[Unique Emitters]],Cleaned!$AH$2:$AI$1001,2,FALSE)</f>
        <v>WÃ¤hrungsanleihen</v>
      </c>
    </row>
    <row r="352" spans="1:7" x14ac:dyDescent="0.4">
      <c r="A352" t="s">
        <v>5211</v>
      </c>
      <c r="E352" t="s">
        <v>5166</v>
      </c>
      <c r="F352">
        <f>COUNTIF($A$2:$A$1001,E352)</f>
        <v>1</v>
      </c>
      <c r="G352" t="str">
        <f>VLOOKUP(Table1[[#This Row],[Unique Emitters]],Cleaned!$AH$2:$AI$1001,2,FALSE)</f>
        <v>WÃ¤hrungsanleihen</v>
      </c>
    </row>
    <row r="353" spans="1:7" x14ac:dyDescent="0.4">
      <c r="A353" t="s">
        <v>4762</v>
      </c>
      <c r="E353" t="s">
        <v>2582</v>
      </c>
      <c r="F353">
        <f>COUNTIF($A$2:$A$1001,E353)</f>
        <v>1</v>
      </c>
      <c r="G353" t="str">
        <f>VLOOKUP(Table1[[#This Row],[Unique Emitters]],Cleaned!$AH$2:$AI$1001,2,FALSE)</f>
        <v>Bundesanleihen</v>
      </c>
    </row>
    <row r="354" spans="1:7" x14ac:dyDescent="0.4">
      <c r="A354" t="s">
        <v>1723</v>
      </c>
      <c r="E354" t="s">
        <v>4290</v>
      </c>
      <c r="F354">
        <f>COUNTIF($A$2:$A$1001,E354)</f>
        <v>1</v>
      </c>
      <c r="G354" t="str">
        <f>VLOOKUP(Table1[[#This Row],[Unique Emitters]],Cleaned!$AH$2:$AI$1001,2,FALSE)</f>
        <v>(Industrie-) und Bankschuldverschreibungen</v>
      </c>
    </row>
    <row r="355" spans="1:7" x14ac:dyDescent="0.4">
      <c r="A355" t="s">
        <v>1723</v>
      </c>
      <c r="E355" t="s">
        <v>2168</v>
      </c>
      <c r="F355">
        <f>COUNTIF($A$2:$A$1001,E355)</f>
        <v>1</v>
      </c>
      <c r="G355" t="str">
        <f>VLOOKUP(Table1[[#This Row],[Unique Emitters]],Cleaned!$AH$2:$AI$1001,2,FALSE)</f>
        <v>WÃ¤hrungsanleihen</v>
      </c>
    </row>
    <row r="356" spans="1:7" x14ac:dyDescent="0.4">
      <c r="A356" t="s">
        <v>5564</v>
      </c>
      <c r="E356" t="s">
        <v>6339</v>
      </c>
      <c r="F356">
        <f>COUNTIF($A$2:$A$1001,E356)</f>
        <v>1</v>
      </c>
      <c r="G356" t="str">
        <f>VLOOKUP(Table1[[#This Row],[Unique Emitters]],Cleaned!$AH$2:$AI$1001,2,FALSE)</f>
        <v>WÃ¤hrungsanleihen</v>
      </c>
    </row>
    <row r="357" spans="1:7" x14ac:dyDescent="0.4">
      <c r="A357" t="s">
        <v>3432</v>
      </c>
      <c r="E357" t="s">
        <v>5755</v>
      </c>
      <c r="F357">
        <f>COUNTIF($A$2:$A$1001,E357)</f>
        <v>1</v>
      </c>
      <c r="G357" t="str">
        <f>VLOOKUP(Table1[[#This Row],[Unique Emitters]],Cleaned!$AH$2:$AI$1001,2,FALSE)</f>
        <v>WÃ¤hrungsanleihen</v>
      </c>
    </row>
    <row r="358" spans="1:7" x14ac:dyDescent="0.4">
      <c r="A358" t="s">
        <v>4276</v>
      </c>
      <c r="E358" t="s">
        <v>6392</v>
      </c>
      <c r="F358">
        <f>COUNTIF($A$2:$A$1001,E358)</f>
        <v>1</v>
      </c>
      <c r="G358" t="str">
        <f>VLOOKUP(Table1[[#This Row],[Unique Emitters]],Cleaned!$AH$2:$AI$1001,2,FALSE)</f>
        <v>WÃ¤hrungsanleihen</v>
      </c>
    </row>
    <row r="359" spans="1:7" x14ac:dyDescent="0.4">
      <c r="A359" t="s">
        <v>2875</v>
      </c>
      <c r="E359" t="s">
        <v>7461</v>
      </c>
      <c r="F359">
        <f>COUNTIF($A$2:$A$1001,E359)</f>
        <v>1</v>
      </c>
      <c r="G359" t="str">
        <f>VLOOKUP(Table1[[#This Row],[Unique Emitters]],Cleaned!$AH$2:$AI$1001,2,FALSE)</f>
        <v>WÃ¤hrungsanleihen</v>
      </c>
    </row>
    <row r="360" spans="1:7" x14ac:dyDescent="0.4">
      <c r="A360" t="s">
        <v>6051</v>
      </c>
      <c r="E360" t="s">
        <v>6721</v>
      </c>
      <c r="F360">
        <f>COUNTIF($A$2:$A$1001,E360)</f>
        <v>1</v>
      </c>
      <c r="G360" t="str">
        <f>VLOOKUP(Table1[[#This Row],[Unique Emitters]],Cleaned!$AH$2:$AI$1001,2,FALSE)</f>
        <v>WÃ¤hrungsanleihen</v>
      </c>
    </row>
    <row r="361" spans="1:7" x14ac:dyDescent="0.4">
      <c r="A361" t="s">
        <v>6754</v>
      </c>
      <c r="E361" t="s">
        <v>5768</v>
      </c>
      <c r="F361">
        <f>COUNTIF($A$2:$A$1001,E361)</f>
        <v>1</v>
      </c>
      <c r="G361" t="str">
        <f>VLOOKUP(Table1[[#This Row],[Unique Emitters]],Cleaned!$AH$2:$AI$1001,2,FALSE)</f>
        <v>(Industrie-) und Bankschuldverschreibungen</v>
      </c>
    </row>
    <row r="362" spans="1:7" x14ac:dyDescent="0.4">
      <c r="A362" t="s">
        <v>1337</v>
      </c>
      <c r="E362" t="s">
        <v>3704</v>
      </c>
      <c r="F362">
        <f>COUNTIF($A$2:$A$1001,E362)</f>
        <v>1</v>
      </c>
      <c r="G362" t="str">
        <f>VLOOKUP(Table1[[#This Row],[Unique Emitters]],Cleaned!$AH$2:$AI$1001,2,FALSE)</f>
        <v>WÃ¤hrungsanleihen</v>
      </c>
    </row>
    <row r="363" spans="1:7" x14ac:dyDescent="0.4">
      <c r="A363" t="s">
        <v>4507</v>
      </c>
      <c r="E363" t="s">
        <v>1835</v>
      </c>
      <c r="F363">
        <f>COUNTIF($A$2:$A$1001,E363)</f>
        <v>1</v>
      </c>
      <c r="G363" t="str">
        <f>VLOOKUP(Table1[[#This Row],[Unique Emitters]],Cleaned!$AH$2:$AI$1001,2,FALSE)</f>
        <v>WÃ¤hrungsanleihen</v>
      </c>
    </row>
    <row r="364" spans="1:7" x14ac:dyDescent="0.4">
      <c r="A364" t="s">
        <v>4507</v>
      </c>
      <c r="E364" t="s">
        <v>7194</v>
      </c>
      <c r="F364">
        <f>COUNTIF($A$2:$A$1001,E364)</f>
        <v>1</v>
      </c>
      <c r="G364" t="str">
        <f>VLOOKUP(Table1[[#This Row],[Unique Emitters]],Cleaned!$AH$2:$AI$1001,2,FALSE)</f>
        <v>WÃ¤hrungsanleihen</v>
      </c>
    </row>
    <row r="365" spans="1:7" x14ac:dyDescent="0.4">
      <c r="A365" t="s">
        <v>4507</v>
      </c>
      <c r="E365" t="s">
        <v>4325</v>
      </c>
      <c r="F365">
        <f>COUNTIF($A$2:$A$1001,E365)</f>
        <v>1</v>
      </c>
      <c r="G365" t="str">
        <f>VLOOKUP(Table1[[#This Row],[Unique Emitters]],Cleaned!$AH$2:$AI$1001,2,FALSE)</f>
        <v>(Industrie-) und Bankschuldverschreibungen</v>
      </c>
    </row>
    <row r="366" spans="1:7" x14ac:dyDescent="0.4">
      <c r="A366" t="s">
        <v>4507</v>
      </c>
      <c r="E366" t="s">
        <v>1691</v>
      </c>
      <c r="F366">
        <f>COUNTIF($A$2:$A$1001,E366)</f>
        <v>1</v>
      </c>
      <c r="G366" t="str">
        <f>VLOOKUP(Table1[[#This Row],[Unique Emitters]],Cleaned!$AH$2:$AI$1001,2,FALSE)</f>
        <v>WÃ¤hrungsanleihen</v>
      </c>
    </row>
    <row r="367" spans="1:7" x14ac:dyDescent="0.4">
      <c r="A367" t="s">
        <v>4507</v>
      </c>
      <c r="E367" t="s">
        <v>989</v>
      </c>
      <c r="F367">
        <f>COUNTIF($A$2:$A$1001,E367)</f>
        <v>1</v>
      </c>
      <c r="G367" t="str">
        <f>VLOOKUP(Table1[[#This Row],[Unique Emitters]],Cleaned!$AH$2:$AI$1001,2,FALSE)</f>
        <v>(Industrie-) und Bankschuldverschreibungen</v>
      </c>
    </row>
    <row r="368" spans="1:7" x14ac:dyDescent="0.4">
      <c r="A368" t="s">
        <v>1091</v>
      </c>
      <c r="E368" t="s">
        <v>6362</v>
      </c>
      <c r="F368">
        <f>COUNTIF($A$2:$A$1001,E368)</f>
        <v>1</v>
      </c>
      <c r="G368" t="str">
        <f>VLOOKUP(Table1[[#This Row],[Unique Emitters]],Cleaned!$AH$2:$AI$1001,2,FALSE)</f>
        <v>WÃ¤hrungsanleihen</v>
      </c>
    </row>
    <row r="369" spans="1:7" x14ac:dyDescent="0.4">
      <c r="A369" t="s">
        <v>1091</v>
      </c>
      <c r="E369" t="s">
        <v>5191</v>
      </c>
      <c r="F369">
        <f>COUNTIF($A$2:$A$1001,E369)</f>
        <v>1</v>
      </c>
      <c r="G369" t="str">
        <f>VLOOKUP(Table1[[#This Row],[Unique Emitters]],Cleaned!$AH$2:$AI$1001,2,FALSE)</f>
        <v>WÃ¤hrungsanleihen</v>
      </c>
    </row>
    <row r="370" spans="1:7" x14ac:dyDescent="0.4">
      <c r="A370" t="s">
        <v>1091</v>
      </c>
      <c r="E370" t="s">
        <v>7495</v>
      </c>
      <c r="F370">
        <f>COUNTIF($A$2:$A$1001,E370)</f>
        <v>1</v>
      </c>
      <c r="G370" t="str">
        <f>VLOOKUP(Table1[[#This Row],[Unique Emitters]],Cleaned!$AH$2:$AI$1001,2,FALSE)</f>
        <v>WÃ¤hrungsanleihen</v>
      </c>
    </row>
    <row r="371" spans="1:7" x14ac:dyDescent="0.4">
      <c r="A371" t="s">
        <v>1091</v>
      </c>
      <c r="E371" t="s">
        <v>3274</v>
      </c>
      <c r="F371">
        <f>COUNTIF($A$2:$A$1001,E371)</f>
        <v>1</v>
      </c>
      <c r="G371" t="str">
        <f>VLOOKUP(Table1[[#This Row],[Unique Emitters]],Cleaned!$AH$2:$AI$1001,2,FALSE)</f>
        <v>(Industrie-) und Bankschuldverschreibungen</v>
      </c>
    </row>
    <row r="372" spans="1:7" x14ac:dyDescent="0.4">
      <c r="A372" t="s">
        <v>1091</v>
      </c>
      <c r="E372" t="s">
        <v>6300</v>
      </c>
      <c r="F372">
        <f>COUNTIF($A$2:$A$1001,E372)</f>
        <v>1</v>
      </c>
      <c r="G372" t="str">
        <f>VLOOKUP(Table1[[#This Row],[Unique Emitters]],Cleaned!$AH$2:$AI$1001,2,FALSE)</f>
        <v>WÃ¤hrungsanleihen</v>
      </c>
    </row>
    <row r="373" spans="1:7" x14ac:dyDescent="0.4">
      <c r="A373" t="s">
        <v>1091</v>
      </c>
      <c r="E373" t="s">
        <v>3173</v>
      </c>
      <c r="F373">
        <f>COUNTIF($A$2:$A$1001,E373)</f>
        <v>1</v>
      </c>
      <c r="G373" t="str">
        <f>VLOOKUP(Table1[[#This Row],[Unique Emitters]],Cleaned!$AH$2:$AI$1001,2,FALSE)</f>
        <v>(Industrie-) und Bankschuldverschreibungen</v>
      </c>
    </row>
    <row r="374" spans="1:7" x14ac:dyDescent="0.4">
      <c r="A374" t="s">
        <v>1091</v>
      </c>
      <c r="E374" t="s">
        <v>6379</v>
      </c>
      <c r="F374">
        <f>COUNTIF($A$2:$A$1001,E374)</f>
        <v>1</v>
      </c>
      <c r="G374" t="str">
        <f>VLOOKUP(Table1[[#This Row],[Unique Emitters]],Cleaned!$AH$2:$AI$1001,2,FALSE)</f>
        <v>WÃ¤hrungsanleihen</v>
      </c>
    </row>
    <row r="375" spans="1:7" x14ac:dyDescent="0.4">
      <c r="A375" t="s">
        <v>1091</v>
      </c>
      <c r="E375" t="s">
        <v>5509</v>
      </c>
      <c r="F375">
        <f>COUNTIF($A$2:$A$1001,E375)</f>
        <v>1</v>
      </c>
      <c r="G375" t="str">
        <f>VLOOKUP(Table1[[#This Row],[Unique Emitters]],Cleaned!$AH$2:$AI$1001,2,FALSE)</f>
        <v>(Industrie-) und Bankschuldverschreibungen</v>
      </c>
    </row>
    <row r="376" spans="1:7" x14ac:dyDescent="0.4">
      <c r="A376" t="s">
        <v>1091</v>
      </c>
      <c r="E376" t="s">
        <v>6874</v>
      </c>
      <c r="F376">
        <f>COUNTIF($A$2:$A$1001,E376)</f>
        <v>1</v>
      </c>
      <c r="G376" t="str">
        <f>VLOOKUP(Table1[[#This Row],[Unique Emitters]],Cleaned!$AH$2:$AI$1001,2,FALSE)</f>
        <v>WÃ¤hrungsanleihen</v>
      </c>
    </row>
    <row r="377" spans="1:7" x14ac:dyDescent="0.4">
      <c r="A377" t="s">
        <v>1091</v>
      </c>
      <c r="E377" t="s">
        <v>6903</v>
      </c>
      <c r="F377">
        <f>COUNTIF($A$2:$A$1001,E377)</f>
        <v>1</v>
      </c>
      <c r="G377" t="str">
        <f>VLOOKUP(Table1[[#This Row],[Unique Emitters]],Cleaned!$AH$2:$AI$1001,2,FALSE)</f>
        <v>WÃ¤hrungsanleihen</v>
      </c>
    </row>
    <row r="378" spans="1:7" x14ac:dyDescent="0.4">
      <c r="A378" t="s">
        <v>1623</v>
      </c>
      <c r="E378" t="s">
        <v>5479</v>
      </c>
      <c r="F378">
        <f>COUNTIF($A$2:$A$1001,E378)</f>
        <v>1</v>
      </c>
      <c r="G378" t="str">
        <f>VLOOKUP(Table1[[#This Row],[Unique Emitters]],Cleaned!$AH$2:$AI$1001,2,FALSE)</f>
        <v>WÃ¤hrungsanleihen</v>
      </c>
    </row>
    <row r="379" spans="1:7" x14ac:dyDescent="0.4">
      <c r="A379" t="s">
        <v>1623</v>
      </c>
      <c r="E379" t="s">
        <v>7015</v>
      </c>
      <c r="F379">
        <f>COUNTIF($A$2:$A$1001,E379)</f>
        <v>1</v>
      </c>
      <c r="G379" t="str">
        <f>VLOOKUP(Table1[[#This Row],[Unique Emitters]],Cleaned!$AH$2:$AI$1001,2,FALSE)</f>
        <v>WÃ¤hrungsanleihen</v>
      </c>
    </row>
    <row r="380" spans="1:7" x14ac:dyDescent="0.4">
      <c r="A380" t="s">
        <v>2282</v>
      </c>
      <c r="E380" t="s">
        <v>4438</v>
      </c>
      <c r="F380">
        <f>COUNTIF($A$2:$A$1001,E380)</f>
        <v>1</v>
      </c>
      <c r="G380" t="str">
        <f>VLOOKUP(Table1[[#This Row],[Unique Emitters]],Cleaned!$AH$2:$AI$1001,2,FALSE)</f>
        <v>(Industrie-) und Bankschuldverschreibungen</v>
      </c>
    </row>
    <row r="381" spans="1:7" x14ac:dyDescent="0.4">
      <c r="A381" t="s">
        <v>2282</v>
      </c>
      <c r="E381" t="s">
        <v>6252</v>
      </c>
      <c r="F381">
        <f>COUNTIF($A$2:$A$1001,E381)</f>
        <v>1</v>
      </c>
      <c r="G381" t="str">
        <f>VLOOKUP(Table1[[#This Row],[Unique Emitters]],Cleaned!$AH$2:$AI$1001,2,FALSE)</f>
        <v>WÃ¤hrungsanleihen</v>
      </c>
    </row>
    <row r="382" spans="1:7" x14ac:dyDescent="0.4">
      <c r="A382" t="s">
        <v>2282</v>
      </c>
      <c r="E382" t="s">
        <v>776</v>
      </c>
      <c r="F382">
        <f>COUNTIF($A$2:$A$1001,E382)</f>
        <v>1</v>
      </c>
      <c r="G382" t="str">
        <f>VLOOKUP(Table1[[#This Row],[Unique Emitters]],Cleaned!$AH$2:$AI$1001,2,FALSE)</f>
        <v>WÃ¤hrungsanleihen</v>
      </c>
    </row>
    <row r="383" spans="1:7" x14ac:dyDescent="0.4">
      <c r="A383" t="s">
        <v>2282</v>
      </c>
      <c r="E383" t="s">
        <v>6470</v>
      </c>
      <c r="F383">
        <f>COUNTIF($A$2:$A$1001,E383)</f>
        <v>1</v>
      </c>
      <c r="G383" t="str">
        <f>VLOOKUP(Table1[[#This Row],[Unique Emitters]],Cleaned!$AH$2:$AI$1001,2,FALSE)</f>
        <v>WÃ¤hrungsanleihen</v>
      </c>
    </row>
    <row r="384" spans="1:7" x14ac:dyDescent="0.4">
      <c r="A384" t="s">
        <v>2282</v>
      </c>
      <c r="E384" t="s">
        <v>5637</v>
      </c>
      <c r="F384">
        <f>COUNTIF($A$2:$A$1001,E384)</f>
        <v>1</v>
      </c>
      <c r="G384" t="str">
        <f>VLOOKUP(Table1[[#This Row],[Unique Emitters]],Cleaned!$AH$2:$AI$1001,2,FALSE)</f>
        <v>AuslÃ¤ndische Wandelanleihen/Optionsanleihen</v>
      </c>
    </row>
    <row r="385" spans="1:7" x14ac:dyDescent="0.4">
      <c r="A385" t="s">
        <v>2282</v>
      </c>
      <c r="E385" t="s">
        <v>6352</v>
      </c>
      <c r="F385">
        <f>COUNTIF($A$2:$A$1001,E385)</f>
        <v>1</v>
      </c>
      <c r="G385" t="str">
        <f>VLOOKUP(Table1[[#This Row],[Unique Emitters]],Cleaned!$AH$2:$AI$1001,2,FALSE)</f>
        <v>WÃ¤hrungsanleihen</v>
      </c>
    </row>
    <row r="386" spans="1:7" x14ac:dyDescent="0.4">
      <c r="A386" t="s">
        <v>1372</v>
      </c>
      <c r="E386" t="s">
        <v>7305</v>
      </c>
      <c r="F386">
        <f>COUNTIF($A$2:$A$1001,E386)</f>
        <v>1</v>
      </c>
      <c r="G386" t="str">
        <f>VLOOKUP(Table1[[#This Row],[Unique Emitters]],Cleaned!$AH$2:$AI$1001,2,FALSE)</f>
        <v>WÃ¤hrungsanleihen</v>
      </c>
    </row>
    <row r="387" spans="1:7" x14ac:dyDescent="0.4">
      <c r="A387" t="s">
        <v>1372</v>
      </c>
      <c r="E387" t="s">
        <v>7550</v>
      </c>
      <c r="F387">
        <f>COUNTIF($A$2:$A$1001,E387)</f>
        <v>1</v>
      </c>
      <c r="G387" t="str">
        <f>VLOOKUP(Table1[[#This Row],[Unique Emitters]],Cleaned!$AH$2:$AI$1001,2,FALSE)</f>
        <v>WÃ¤hrungsanleihen</v>
      </c>
    </row>
    <row r="388" spans="1:7" x14ac:dyDescent="0.4">
      <c r="A388" t="s">
        <v>1210</v>
      </c>
      <c r="E388" t="s">
        <v>2987</v>
      </c>
      <c r="F388">
        <f>COUNTIF($A$2:$A$1001,E388)</f>
        <v>1</v>
      </c>
      <c r="G388" t="str">
        <f>VLOOKUP(Table1[[#This Row],[Unique Emitters]],Cleaned!$AH$2:$AI$1001,2,FALSE)</f>
        <v>WÃ¤hrungsanleihen</v>
      </c>
    </row>
    <row r="389" spans="1:7" x14ac:dyDescent="0.4">
      <c r="A389" t="s">
        <v>1210</v>
      </c>
      <c r="E389" t="s">
        <v>6358</v>
      </c>
      <c r="F389">
        <f>COUNTIF($A$2:$A$1001,E389)</f>
        <v>1</v>
      </c>
      <c r="G389" t="str">
        <f>VLOOKUP(Table1[[#This Row],[Unique Emitters]],Cleaned!$AH$2:$AI$1001,2,FALSE)</f>
        <v>WÃ¤hrungsanleihen</v>
      </c>
    </row>
    <row r="390" spans="1:7" x14ac:dyDescent="0.4">
      <c r="A390" t="s">
        <v>1210</v>
      </c>
      <c r="E390" t="s">
        <v>6406</v>
      </c>
      <c r="F390">
        <f>COUNTIF($A$2:$A$1001,E390)</f>
        <v>1</v>
      </c>
      <c r="G390" t="str">
        <f>VLOOKUP(Table1[[#This Row],[Unique Emitters]],Cleaned!$AH$2:$AI$1001,2,FALSE)</f>
        <v>WÃ¤hrungsanleihen</v>
      </c>
    </row>
    <row r="391" spans="1:7" x14ac:dyDescent="0.4">
      <c r="A391" t="s">
        <v>1210</v>
      </c>
      <c r="E391" t="s">
        <v>7023</v>
      </c>
      <c r="F391">
        <f>COUNTIF($A$2:$A$1001,E391)</f>
        <v>1</v>
      </c>
      <c r="G391" t="str">
        <f>VLOOKUP(Table1[[#This Row],[Unique Emitters]],Cleaned!$AH$2:$AI$1001,2,FALSE)</f>
        <v>WÃ¤hrungsanleihen</v>
      </c>
    </row>
    <row r="392" spans="1:7" x14ac:dyDescent="0.4">
      <c r="A392" t="s">
        <v>1210</v>
      </c>
      <c r="E392" t="s">
        <v>7499</v>
      </c>
      <c r="F392">
        <f>COUNTIF($A$2:$A$1001,E392)</f>
        <v>1</v>
      </c>
      <c r="G392" t="str">
        <f>VLOOKUP(Table1[[#This Row],[Unique Emitters]],Cleaned!$AH$2:$AI$1001,2,FALSE)</f>
        <v>WÃ¤hrungsanleihen</v>
      </c>
    </row>
    <row r="393" spans="1:7" x14ac:dyDescent="0.4">
      <c r="A393" t="s">
        <v>1210</v>
      </c>
      <c r="E393" t="s">
        <v>5646</v>
      </c>
      <c r="F393">
        <f>COUNTIF($A$2:$A$1001,E393)</f>
        <v>1</v>
      </c>
      <c r="G393" t="str">
        <f>VLOOKUP(Table1[[#This Row],[Unique Emitters]],Cleaned!$AH$2:$AI$1001,2,FALSE)</f>
        <v>WÃ¤hrungsanleihen</v>
      </c>
    </row>
    <row r="394" spans="1:7" x14ac:dyDescent="0.4">
      <c r="A394" t="s">
        <v>1210</v>
      </c>
      <c r="E394" t="s">
        <v>4848</v>
      </c>
      <c r="F394">
        <f>COUNTIF($A$2:$A$1001,E394)</f>
        <v>1</v>
      </c>
      <c r="G394" t="str">
        <f>VLOOKUP(Table1[[#This Row],[Unique Emitters]],Cleaned!$AH$2:$AI$1001,2,FALSE)</f>
        <v>WÃ¤hrungsanleihen</v>
      </c>
    </row>
    <row r="395" spans="1:7" x14ac:dyDescent="0.4">
      <c r="A395" t="s">
        <v>1210</v>
      </c>
      <c r="E395" t="s">
        <v>6184</v>
      </c>
      <c r="F395">
        <f>COUNTIF($A$2:$A$1001,E395)</f>
        <v>1</v>
      </c>
      <c r="G395" t="str">
        <f>VLOOKUP(Table1[[#This Row],[Unique Emitters]],Cleaned!$AH$2:$AI$1001,2,FALSE)</f>
        <v>WÃ¤hrungsanleihen</v>
      </c>
    </row>
    <row r="396" spans="1:7" x14ac:dyDescent="0.4">
      <c r="A396" t="s">
        <v>1210</v>
      </c>
      <c r="E396" t="s">
        <v>3814</v>
      </c>
      <c r="F396">
        <f>COUNTIF($A$2:$A$1001,E396)</f>
        <v>1</v>
      </c>
      <c r="G396" t="str">
        <f>VLOOKUP(Table1[[#This Row],[Unique Emitters]],Cleaned!$AH$2:$AI$1001,2,FALSE)</f>
        <v>WÃ¤hrungsanleihen</v>
      </c>
    </row>
    <row r="397" spans="1:7" x14ac:dyDescent="0.4">
      <c r="A397" t="s">
        <v>1210</v>
      </c>
      <c r="E397" t="s">
        <v>3065</v>
      </c>
      <c r="F397">
        <f>COUNTIF($A$2:$A$1001,E397)</f>
        <v>1</v>
      </c>
      <c r="G397" t="str">
        <f>VLOOKUP(Table1[[#This Row],[Unique Emitters]],Cleaned!$AH$2:$AI$1001,2,FALSE)</f>
        <v>WÃ¤hrungsanleihen</v>
      </c>
    </row>
    <row r="398" spans="1:7" x14ac:dyDescent="0.4">
      <c r="A398" t="s">
        <v>4344</v>
      </c>
      <c r="E398" t="s">
        <v>4982</v>
      </c>
      <c r="F398">
        <f>COUNTIF($A$2:$A$1001,E398)</f>
        <v>1</v>
      </c>
      <c r="G398" t="str">
        <f>VLOOKUP(Table1[[#This Row],[Unique Emitters]],Cleaned!$AH$2:$AI$1001,2,FALSE)</f>
        <v>WÃ¤hrungsanleihen</v>
      </c>
    </row>
    <row r="399" spans="1:7" x14ac:dyDescent="0.4">
      <c r="A399" t="s">
        <v>6290</v>
      </c>
      <c r="E399" t="s">
        <v>6783</v>
      </c>
      <c r="F399">
        <f>COUNTIF($A$2:$A$1001,E399)</f>
        <v>1</v>
      </c>
      <c r="G399" t="str">
        <f>VLOOKUP(Table1[[#This Row],[Unique Emitters]],Cleaned!$AH$2:$AI$1001,2,FALSE)</f>
        <v>WÃ¤hrungsanleihen</v>
      </c>
    </row>
    <row r="400" spans="1:7" x14ac:dyDescent="0.4">
      <c r="A400" t="s">
        <v>4872</v>
      </c>
      <c r="E400" t="s">
        <v>4901</v>
      </c>
      <c r="F400">
        <f>COUNTIF($A$2:$A$1001,E400)</f>
        <v>1</v>
      </c>
      <c r="G400" t="str">
        <f>VLOOKUP(Table1[[#This Row],[Unique Emitters]],Cleaned!$AH$2:$AI$1001,2,FALSE)</f>
        <v>WÃ¤hrungsanleihen</v>
      </c>
    </row>
    <row r="401" spans="1:7" x14ac:dyDescent="0.4">
      <c r="A401" t="s">
        <v>452</v>
      </c>
      <c r="E401" t="s">
        <v>1555</v>
      </c>
      <c r="F401">
        <f>COUNTIF($A$2:$A$1001,E401)</f>
        <v>1</v>
      </c>
      <c r="G401" t="str">
        <f>VLOOKUP(Table1[[#This Row],[Unique Emitters]],Cleaned!$AH$2:$AI$1001,2,FALSE)</f>
        <v>(Industrie-) und Bankschuldverschreibungen</v>
      </c>
    </row>
    <row r="402" spans="1:7" x14ac:dyDescent="0.4">
      <c r="A402" t="s">
        <v>2319</v>
      </c>
      <c r="E402" t="s">
        <v>7525</v>
      </c>
      <c r="F402">
        <f>COUNTIF($A$2:$A$1001,E402)</f>
        <v>1</v>
      </c>
      <c r="G402" t="str">
        <f>VLOOKUP(Table1[[#This Row],[Unique Emitters]],Cleaned!$AH$2:$AI$1001,2,FALSE)</f>
        <v>WÃ¤hrungsanleihen</v>
      </c>
    </row>
    <row r="403" spans="1:7" x14ac:dyDescent="0.4">
      <c r="A403" t="s">
        <v>6767</v>
      </c>
      <c r="E403" t="s">
        <v>6942</v>
      </c>
      <c r="F403">
        <f>COUNTIF($A$2:$A$1001,E403)</f>
        <v>1</v>
      </c>
      <c r="G403" t="str">
        <f>VLOOKUP(Table1[[#This Row],[Unique Emitters]],Cleaned!$AH$2:$AI$1001,2,FALSE)</f>
        <v>WÃ¤hrungsanleihen</v>
      </c>
    </row>
    <row r="404" spans="1:7" x14ac:dyDescent="0.4">
      <c r="A404" t="s">
        <v>2024</v>
      </c>
      <c r="E404" t="s">
        <v>658</v>
      </c>
      <c r="F404">
        <f>COUNTIF($A$2:$A$1001,E404)</f>
        <v>1</v>
      </c>
      <c r="G404" t="str">
        <f>VLOOKUP(Table1[[#This Row],[Unique Emitters]],Cleaned!$AH$2:$AI$1001,2,FALSE)</f>
        <v>WÃ¤hrungsanleihen</v>
      </c>
    </row>
    <row r="405" spans="1:7" x14ac:dyDescent="0.4">
      <c r="A405" t="s">
        <v>2024</v>
      </c>
      <c r="E405" t="s">
        <v>5110</v>
      </c>
      <c r="F405">
        <f>COUNTIF($A$2:$A$1001,E405)</f>
        <v>1</v>
      </c>
      <c r="G405" t="str">
        <f>VLOOKUP(Table1[[#This Row],[Unique Emitters]],Cleaned!$AH$2:$AI$1001,2,FALSE)</f>
        <v>WÃ¤hrungsanleihen</v>
      </c>
    </row>
    <row r="406" spans="1:7" x14ac:dyDescent="0.4">
      <c r="A406" t="s">
        <v>2024</v>
      </c>
      <c r="E406" t="s">
        <v>5657</v>
      </c>
      <c r="F406">
        <f>COUNTIF($A$2:$A$1001,E406)</f>
        <v>1</v>
      </c>
      <c r="G406" t="str">
        <f>VLOOKUP(Table1[[#This Row],[Unique Emitters]],Cleaned!$AH$2:$AI$1001,2,FALSE)</f>
        <v>WÃ¤hrungsanleihen</v>
      </c>
    </row>
    <row r="407" spans="1:7" x14ac:dyDescent="0.4">
      <c r="A407" t="s">
        <v>2024</v>
      </c>
      <c r="E407" t="s">
        <v>6989</v>
      </c>
      <c r="F407">
        <f>COUNTIF($A$2:$A$1001,E407)</f>
        <v>1</v>
      </c>
      <c r="G407" t="str">
        <f>VLOOKUP(Table1[[#This Row],[Unique Emitters]],Cleaned!$AH$2:$AI$1001,2,FALSE)</f>
        <v>WÃ¤hrungsanleihen</v>
      </c>
    </row>
    <row r="408" spans="1:7" x14ac:dyDescent="0.4">
      <c r="A408" t="s">
        <v>393</v>
      </c>
      <c r="E408" t="s">
        <v>5188</v>
      </c>
      <c r="F408">
        <f>COUNTIF($A$2:$A$1001,E408)</f>
        <v>1</v>
      </c>
      <c r="G408" t="str">
        <f>VLOOKUP(Table1[[#This Row],[Unique Emitters]],Cleaned!$AH$2:$AI$1001,2,FALSE)</f>
        <v>WÃ¤hrungsanleihen</v>
      </c>
    </row>
    <row r="409" spans="1:7" x14ac:dyDescent="0.4">
      <c r="A409" t="s">
        <v>6192</v>
      </c>
      <c r="E409" t="s">
        <v>5667</v>
      </c>
      <c r="F409">
        <f>COUNTIF($A$2:$A$1001,E409)</f>
        <v>1</v>
      </c>
      <c r="G409" t="str">
        <f>VLOOKUP(Table1[[#This Row],[Unique Emitters]],Cleaned!$AH$2:$AI$1001,2,FALSE)</f>
        <v>WÃ¤hrungsanleihen</v>
      </c>
    </row>
    <row r="410" spans="1:7" x14ac:dyDescent="0.4">
      <c r="A410" t="s">
        <v>5851</v>
      </c>
      <c r="E410" t="s">
        <v>7168</v>
      </c>
      <c r="F410">
        <f>COUNTIF($A$2:$A$1001,E410)</f>
        <v>1</v>
      </c>
      <c r="G410" t="str">
        <f>VLOOKUP(Table1[[#This Row],[Unique Emitters]],Cleaned!$AH$2:$AI$1001,2,FALSE)</f>
        <v>(Industrie-) und Bankschuldverschreibungen</v>
      </c>
    </row>
    <row r="411" spans="1:7" x14ac:dyDescent="0.4">
      <c r="A411" t="s">
        <v>5851</v>
      </c>
      <c r="E411" t="s">
        <v>6967</v>
      </c>
      <c r="F411">
        <f>COUNTIF($A$2:$A$1001,E411)</f>
        <v>1</v>
      </c>
      <c r="G411" t="str">
        <f>VLOOKUP(Table1[[#This Row],[Unique Emitters]],Cleaned!$AH$2:$AI$1001,2,FALSE)</f>
        <v>WÃ¤hrungsanleihen</v>
      </c>
    </row>
    <row r="412" spans="1:7" x14ac:dyDescent="0.4">
      <c r="A412" t="s">
        <v>3903</v>
      </c>
      <c r="E412" t="s">
        <v>4925</v>
      </c>
      <c r="F412">
        <f>COUNTIF($A$2:$A$1001,E412)</f>
        <v>1</v>
      </c>
      <c r="G412" t="str">
        <f>VLOOKUP(Table1[[#This Row],[Unique Emitters]],Cleaned!$AH$2:$AI$1001,2,FALSE)</f>
        <v>WÃ¤hrungsanleihen</v>
      </c>
    </row>
    <row r="413" spans="1:7" x14ac:dyDescent="0.4">
      <c r="A413" t="s">
        <v>6774</v>
      </c>
      <c r="E413" t="s">
        <v>6277</v>
      </c>
      <c r="F413">
        <f>COUNTIF($A$2:$A$1001,E413)</f>
        <v>1</v>
      </c>
      <c r="G413" t="str">
        <f>VLOOKUP(Table1[[#This Row],[Unique Emitters]],Cleaned!$AH$2:$AI$1001,2,FALSE)</f>
        <v>WÃ¤hrungsanleihen</v>
      </c>
    </row>
    <row r="414" spans="1:7" x14ac:dyDescent="0.4">
      <c r="A414" t="s">
        <v>378</v>
      </c>
      <c r="E414" t="s">
        <v>5623</v>
      </c>
      <c r="F414">
        <f>COUNTIF($A$2:$A$1001,E414)</f>
        <v>1</v>
      </c>
      <c r="G414" t="str">
        <f>VLOOKUP(Table1[[#This Row],[Unique Emitters]],Cleaned!$AH$2:$AI$1001,2,FALSE)</f>
        <v>WÃ¤hrungsanleihen</v>
      </c>
    </row>
    <row r="415" spans="1:7" x14ac:dyDescent="0.4">
      <c r="A415" t="s">
        <v>378</v>
      </c>
      <c r="E415" t="s">
        <v>7395</v>
      </c>
      <c r="F415">
        <f>COUNTIF($A$2:$A$1001,E415)</f>
        <v>1</v>
      </c>
      <c r="G415" t="str">
        <f>VLOOKUP(Table1[[#This Row],[Unique Emitters]],Cleaned!$AH$2:$AI$1001,2,FALSE)</f>
        <v>WÃ¤hrungsanleihen</v>
      </c>
    </row>
    <row r="416" spans="1:7" x14ac:dyDescent="0.4">
      <c r="A416" t="s">
        <v>378</v>
      </c>
      <c r="E416" t="s">
        <v>1314</v>
      </c>
      <c r="F416">
        <f>COUNTIF($A$2:$A$1001,E416)</f>
        <v>1</v>
      </c>
      <c r="G416" t="str">
        <f>VLOOKUP(Table1[[#This Row],[Unique Emitters]],Cleaned!$AH$2:$AI$1001,2,FALSE)</f>
        <v>(Industrie-) und Bankschuldverschreibungen</v>
      </c>
    </row>
    <row r="417" spans="1:7" x14ac:dyDescent="0.4">
      <c r="A417" t="s">
        <v>378</v>
      </c>
      <c r="E417" t="s">
        <v>4334</v>
      </c>
      <c r="F417">
        <f>COUNTIF($A$2:$A$1001,E417)</f>
        <v>1</v>
      </c>
      <c r="G417" t="str">
        <f>VLOOKUP(Table1[[#This Row],[Unique Emitters]],Cleaned!$AH$2:$AI$1001,2,FALSE)</f>
        <v>WÃ¤hrungsanleihen</v>
      </c>
    </row>
    <row r="418" spans="1:7" x14ac:dyDescent="0.4">
      <c r="A418" t="s">
        <v>378</v>
      </c>
      <c r="E418" t="s">
        <v>5677</v>
      </c>
      <c r="F418">
        <f>COUNTIF($A$2:$A$1001,E418)</f>
        <v>1</v>
      </c>
      <c r="G418" t="str">
        <f>VLOOKUP(Table1[[#This Row],[Unique Emitters]],Cleaned!$AH$2:$AI$1001,2,FALSE)</f>
        <v>WÃ¤hrungsanleihen</v>
      </c>
    </row>
    <row r="419" spans="1:7" x14ac:dyDescent="0.4">
      <c r="A419" t="s">
        <v>378</v>
      </c>
      <c r="E419" t="s">
        <v>5691</v>
      </c>
      <c r="F419">
        <f>COUNTIF($A$2:$A$1001,E419)</f>
        <v>1</v>
      </c>
      <c r="G419" t="str">
        <f>VLOOKUP(Table1[[#This Row],[Unique Emitters]],Cleaned!$AH$2:$AI$1001,2,FALSE)</f>
        <v>WÃ¤hrungsanleihen</v>
      </c>
    </row>
    <row r="420" spans="1:7" x14ac:dyDescent="0.4">
      <c r="A420" t="s">
        <v>378</v>
      </c>
      <c r="E420" t="s">
        <v>5199</v>
      </c>
      <c r="F420">
        <f>COUNTIF($A$2:$A$1001,E420)</f>
        <v>1</v>
      </c>
      <c r="G420" t="str">
        <f>VLOOKUP(Table1[[#This Row],[Unique Emitters]],Cleaned!$AH$2:$AI$1001,2,FALSE)</f>
        <v>WÃ¤hrungsanleihen</v>
      </c>
    </row>
    <row r="421" spans="1:7" x14ac:dyDescent="0.4">
      <c r="A421" t="s">
        <v>378</v>
      </c>
      <c r="E421" t="s">
        <v>4949</v>
      </c>
      <c r="F421">
        <f>COUNTIF($A$2:$A$1001,E421)</f>
        <v>1</v>
      </c>
      <c r="G421" t="str">
        <f>VLOOKUP(Table1[[#This Row],[Unique Emitters]],Cleaned!$AH$2:$AI$1001,2,FALSE)</f>
        <v>WÃ¤hrungsanleihen</v>
      </c>
    </row>
    <row r="422" spans="1:7" x14ac:dyDescent="0.4">
      <c r="A422" t="s">
        <v>332</v>
      </c>
      <c r="E422" t="s">
        <v>4975</v>
      </c>
      <c r="F422">
        <f>COUNTIF($A$2:$A$1001,E422)</f>
        <v>1</v>
      </c>
      <c r="G422" t="str">
        <f>VLOOKUP(Table1[[#This Row],[Unique Emitters]],Cleaned!$AH$2:$AI$1001,2,FALSE)</f>
        <v>WÃ¤hrungsanleihen</v>
      </c>
    </row>
    <row r="423" spans="1:7" x14ac:dyDescent="0.4">
      <c r="A423" t="s">
        <v>1563</v>
      </c>
      <c r="E423" t="s">
        <v>585</v>
      </c>
      <c r="F423">
        <f>COUNTIF($A$2:$A$1001,E423)</f>
        <v>1</v>
      </c>
      <c r="G423" t="str">
        <f>VLOOKUP(Table1[[#This Row],[Unique Emitters]],Cleaned!$AH$2:$AI$1001,2,FALSE)</f>
        <v>WÃ¤hrungsanleihen</v>
      </c>
    </row>
    <row r="424" spans="1:7" x14ac:dyDescent="0.4">
      <c r="A424" t="s">
        <v>1563</v>
      </c>
      <c r="E424" t="s">
        <v>4237</v>
      </c>
      <c r="F424">
        <f>COUNTIF($A$2:$A$1001,E424)</f>
        <v>1</v>
      </c>
      <c r="G424" t="str">
        <f>VLOOKUP(Table1[[#This Row],[Unique Emitters]],Cleaned!$AH$2:$AI$1001,2,FALSE)</f>
        <v>WÃ¤hrungsanleihen</v>
      </c>
    </row>
    <row r="425" spans="1:7" x14ac:dyDescent="0.4">
      <c r="A425" t="s">
        <v>1067</v>
      </c>
      <c r="E425" t="s">
        <v>7544</v>
      </c>
      <c r="F425">
        <f>COUNTIF($A$2:$A$1001,E425)</f>
        <v>1</v>
      </c>
      <c r="G425" t="str">
        <f>VLOOKUP(Table1[[#This Row],[Unique Emitters]],Cleaned!$AH$2:$AI$1001,2,FALSE)</f>
        <v>WÃ¤hrungsanleihen</v>
      </c>
    </row>
    <row r="426" spans="1:7" x14ac:dyDescent="0.4">
      <c r="A426" t="s">
        <v>1067</v>
      </c>
      <c r="E426" t="s">
        <v>5260</v>
      </c>
      <c r="F426">
        <f>COUNTIF($A$2:$A$1001,E426)</f>
        <v>1</v>
      </c>
      <c r="G426" t="str">
        <f>VLOOKUP(Table1[[#This Row],[Unique Emitters]],Cleaned!$AH$2:$AI$1001,2,FALSE)</f>
        <v>WÃ¤hrungsanleihen</v>
      </c>
    </row>
    <row r="427" spans="1:7" x14ac:dyDescent="0.4">
      <c r="A427" t="s">
        <v>1067</v>
      </c>
      <c r="E427" t="s">
        <v>3489</v>
      </c>
      <c r="F427">
        <f>COUNTIF($A$2:$A$1001,E427)</f>
        <v>1</v>
      </c>
      <c r="G427" t="str">
        <f>VLOOKUP(Table1[[#This Row],[Unique Emitters]],Cleaned!$AH$2:$AI$1001,2,FALSE)</f>
        <v>WÃ¤hrungsanleihen</v>
      </c>
    </row>
    <row r="428" spans="1:7" x14ac:dyDescent="0.4">
      <c r="A428" t="s">
        <v>5729</v>
      </c>
      <c r="E428" t="s">
        <v>6225</v>
      </c>
      <c r="F428">
        <f>COUNTIF($A$2:$A$1001,E428)</f>
        <v>1</v>
      </c>
      <c r="G428" t="str">
        <f>VLOOKUP(Table1[[#This Row],[Unique Emitters]],Cleaned!$AH$2:$AI$1001,2,FALSE)</f>
        <v>WÃ¤hrungsanleihen</v>
      </c>
    </row>
    <row r="429" spans="1:7" x14ac:dyDescent="0.4">
      <c r="A429" t="s">
        <v>4246</v>
      </c>
      <c r="E429" t="s">
        <v>6829</v>
      </c>
      <c r="F429">
        <f>COUNTIF($A$2:$A$1001,E429)</f>
        <v>1</v>
      </c>
      <c r="G429" t="str">
        <f>VLOOKUP(Table1[[#This Row],[Unique Emitters]],Cleaned!$AH$2:$AI$1001,2,FALSE)</f>
        <v>WÃ¤hrungsanleihen</v>
      </c>
    </row>
    <row r="430" spans="1:7" x14ac:dyDescent="0.4">
      <c r="A430" t="s">
        <v>7186</v>
      </c>
      <c r="E430" t="s">
        <v>6282</v>
      </c>
      <c r="F430">
        <f>COUNTIF($A$2:$A$1001,E430)</f>
        <v>1</v>
      </c>
      <c r="G430" t="str">
        <f>VLOOKUP(Table1[[#This Row],[Unique Emitters]],Cleaned!$AH$2:$AI$1001,2,FALSE)</f>
        <v>WÃ¤hrungsanleihen</v>
      </c>
    </row>
    <row r="431" spans="1:7" x14ac:dyDescent="0.4">
      <c r="A431" t="s">
        <v>5569</v>
      </c>
      <c r="E431" t="s">
        <v>6538</v>
      </c>
      <c r="F431">
        <f>COUNTIF($A$2:$A$1001,E431)</f>
        <v>1</v>
      </c>
      <c r="G431" t="str">
        <f>VLOOKUP(Table1[[#This Row],[Unique Emitters]],Cleaned!$AH$2:$AI$1001,2,FALSE)</f>
        <v>(Industrie-) und Bankschuldverschreibungen</v>
      </c>
    </row>
    <row r="432" spans="1:7" x14ac:dyDescent="0.4">
      <c r="A432" t="s">
        <v>4878</v>
      </c>
      <c r="E432" t="s">
        <v>6846</v>
      </c>
      <c r="F432">
        <f>COUNTIF($A$2:$A$1001,E432)</f>
        <v>1</v>
      </c>
      <c r="G432" t="str">
        <f>VLOOKUP(Table1[[#This Row],[Unique Emitters]],Cleaned!$AH$2:$AI$1001,2,FALSE)</f>
        <v>WÃ¤hrungsanleihen</v>
      </c>
    </row>
    <row r="433" spans="1:7" x14ac:dyDescent="0.4">
      <c r="A433" t="s">
        <v>3299</v>
      </c>
      <c r="E433" t="s">
        <v>6850</v>
      </c>
      <c r="F433">
        <f>COUNTIF($A$2:$A$1001,E433)</f>
        <v>1</v>
      </c>
      <c r="G433" t="str">
        <f>VLOOKUP(Table1[[#This Row],[Unique Emitters]],Cleaned!$AH$2:$AI$1001,2,FALSE)</f>
        <v>WÃ¤hrungsanleihen</v>
      </c>
    </row>
    <row r="434" spans="1:7" x14ac:dyDescent="0.4">
      <c r="A434" t="s">
        <v>3299</v>
      </c>
      <c r="E434" t="s">
        <v>6855</v>
      </c>
      <c r="F434">
        <f>COUNTIF($A$2:$A$1001,E434)</f>
        <v>1</v>
      </c>
      <c r="G434" t="str">
        <f>VLOOKUP(Table1[[#This Row],[Unique Emitters]],Cleaned!$AH$2:$AI$1001,2,FALSE)</f>
        <v>WÃ¤hrungsanleihen</v>
      </c>
    </row>
    <row r="435" spans="1:7" x14ac:dyDescent="0.4">
      <c r="A435" t="s">
        <v>4166</v>
      </c>
      <c r="E435" t="s">
        <v>3386</v>
      </c>
      <c r="F435">
        <f>COUNTIF($A$2:$A$1001,E435)</f>
        <v>1</v>
      </c>
      <c r="G435" t="str">
        <f>VLOOKUP(Table1[[#This Row],[Unique Emitters]],Cleaned!$AH$2:$AI$1001,2,FALSE)</f>
        <v>WÃ¤hrungsanleihen</v>
      </c>
    </row>
    <row r="436" spans="1:7" x14ac:dyDescent="0.4">
      <c r="A436" t="s">
        <v>4166</v>
      </c>
      <c r="E436" t="s">
        <v>5154</v>
      </c>
      <c r="F436">
        <f>COUNTIF($A$2:$A$1001,E436)</f>
        <v>1</v>
      </c>
      <c r="G436" t="str">
        <f>VLOOKUP(Table1[[#This Row],[Unique Emitters]],Cleaned!$AH$2:$AI$1001,2,FALSE)</f>
        <v>WÃ¤hrungsanleihen</v>
      </c>
    </row>
    <row r="437" spans="1:7" x14ac:dyDescent="0.4">
      <c r="A437" t="s">
        <v>6203</v>
      </c>
      <c r="E437" t="s">
        <v>5234</v>
      </c>
      <c r="F437">
        <f>COUNTIF($A$2:$A$1001,E437)</f>
        <v>1</v>
      </c>
      <c r="G437" t="str">
        <f>VLOOKUP(Table1[[#This Row],[Unique Emitters]],Cleaned!$AH$2:$AI$1001,2,FALSE)</f>
        <v>WÃ¤hrungsanleihen</v>
      </c>
    </row>
    <row r="438" spans="1:7" x14ac:dyDescent="0.4">
      <c r="A438" t="s">
        <v>6214</v>
      </c>
      <c r="E438" t="s">
        <v>3308</v>
      </c>
      <c r="F438">
        <f>COUNTIF($A$2:$A$1001,E438)</f>
        <v>1</v>
      </c>
      <c r="G438" t="str">
        <f>VLOOKUP(Table1[[#This Row],[Unique Emitters]],Cleaned!$AH$2:$AI$1001,2,FALSE)</f>
        <v>WÃ¤hrungsanleihen</v>
      </c>
    </row>
    <row r="439" spans="1:7" x14ac:dyDescent="0.4">
      <c r="A439" t="s">
        <v>6893</v>
      </c>
      <c r="E439" t="s">
        <v>3456</v>
      </c>
      <c r="F439">
        <f>COUNTIF($A$2:$A$1001,E439)</f>
        <v>1</v>
      </c>
      <c r="G439" t="str">
        <f>VLOOKUP(Table1[[#This Row],[Unique Emitters]],Cleaned!$AH$2:$AI$1001,2,FALSE)</f>
        <v>(Industrie-) und Bankschuldverschreibungen</v>
      </c>
    </row>
    <row r="440" spans="1:7" x14ac:dyDescent="0.4">
      <c r="A440" t="s">
        <v>264</v>
      </c>
      <c r="E440" t="s">
        <v>5093</v>
      </c>
      <c r="F440">
        <f>COUNTIF($A$2:$A$1001,E440)</f>
        <v>1</v>
      </c>
      <c r="G440" t="str">
        <f>VLOOKUP(Table1[[#This Row],[Unique Emitters]],Cleaned!$AH$2:$AI$1001,2,FALSE)</f>
        <v>(Industrie-) und Bankschuldverschreibungen</v>
      </c>
    </row>
    <row r="441" spans="1:7" x14ac:dyDescent="0.4">
      <c r="A441" t="s">
        <v>264</v>
      </c>
      <c r="E441" t="s">
        <v>791</v>
      </c>
      <c r="F441">
        <f>COUNTIF($A$2:$A$1001,E441)</f>
        <v>1</v>
      </c>
      <c r="G441" t="str">
        <f>VLOOKUP(Table1[[#This Row],[Unique Emitters]],Cleaned!$AH$2:$AI$1001,2,FALSE)</f>
        <v>WÃ¤hrungsanleihen</v>
      </c>
    </row>
    <row r="442" spans="1:7" x14ac:dyDescent="0.4">
      <c r="A442" t="s">
        <v>264</v>
      </c>
    </row>
    <row r="443" spans="1:7" x14ac:dyDescent="0.4">
      <c r="A443" t="s">
        <v>1127</v>
      </c>
    </row>
    <row r="444" spans="1:7" x14ac:dyDescent="0.4">
      <c r="A444" t="s">
        <v>1127</v>
      </c>
    </row>
    <row r="445" spans="1:7" x14ac:dyDescent="0.4">
      <c r="A445" t="s">
        <v>1127</v>
      </c>
    </row>
    <row r="446" spans="1:7" x14ac:dyDescent="0.4">
      <c r="A446" t="s">
        <v>1127</v>
      </c>
    </row>
    <row r="447" spans="1:7" x14ac:dyDescent="0.4">
      <c r="A447" t="s">
        <v>1127</v>
      </c>
    </row>
    <row r="448" spans="1:7" x14ac:dyDescent="0.4">
      <c r="A448" t="s">
        <v>2439</v>
      </c>
    </row>
    <row r="449" spans="1:1" x14ac:dyDescent="0.4">
      <c r="A449" t="s">
        <v>3361</v>
      </c>
    </row>
    <row r="450" spans="1:1" x14ac:dyDescent="0.4">
      <c r="A450" t="s">
        <v>3361</v>
      </c>
    </row>
    <row r="451" spans="1:1" x14ac:dyDescent="0.4">
      <c r="A451" t="s">
        <v>7318</v>
      </c>
    </row>
    <row r="452" spans="1:1" x14ac:dyDescent="0.4">
      <c r="A452" t="s">
        <v>239</v>
      </c>
    </row>
    <row r="453" spans="1:1" x14ac:dyDescent="0.4">
      <c r="A453" t="s">
        <v>239</v>
      </c>
    </row>
    <row r="454" spans="1:1" x14ac:dyDescent="0.4">
      <c r="A454" t="s">
        <v>526</v>
      </c>
    </row>
    <row r="455" spans="1:1" x14ac:dyDescent="0.4">
      <c r="A455" t="s">
        <v>526</v>
      </c>
    </row>
    <row r="456" spans="1:1" x14ac:dyDescent="0.4">
      <c r="A456" t="s">
        <v>1680</v>
      </c>
    </row>
    <row r="457" spans="1:1" x14ac:dyDescent="0.4">
      <c r="A457" t="s">
        <v>1031</v>
      </c>
    </row>
    <row r="458" spans="1:1" x14ac:dyDescent="0.4">
      <c r="A458" t="s">
        <v>5859</v>
      </c>
    </row>
    <row r="459" spans="1:1" x14ac:dyDescent="0.4">
      <c r="A459" t="s">
        <v>5859</v>
      </c>
    </row>
    <row r="460" spans="1:1" x14ac:dyDescent="0.4">
      <c r="A460" t="s">
        <v>1395</v>
      </c>
    </row>
    <row r="461" spans="1:1" x14ac:dyDescent="0.4">
      <c r="A461" t="s">
        <v>1395</v>
      </c>
    </row>
    <row r="462" spans="1:1" x14ac:dyDescent="0.4">
      <c r="A462" t="s">
        <v>1395</v>
      </c>
    </row>
    <row r="463" spans="1:1" x14ac:dyDescent="0.4">
      <c r="A463" t="s">
        <v>3724</v>
      </c>
    </row>
    <row r="464" spans="1:1" x14ac:dyDescent="0.4">
      <c r="A464" t="s">
        <v>3724</v>
      </c>
    </row>
    <row r="465" spans="1:1" x14ac:dyDescent="0.4">
      <c r="A465" t="s">
        <v>3724</v>
      </c>
    </row>
    <row r="466" spans="1:1" x14ac:dyDescent="0.4">
      <c r="A466" t="s">
        <v>2710</v>
      </c>
    </row>
    <row r="467" spans="1:1" x14ac:dyDescent="0.4">
      <c r="A467" t="s">
        <v>347</v>
      </c>
    </row>
    <row r="468" spans="1:1" x14ac:dyDescent="0.4">
      <c r="A468" t="s">
        <v>7421</v>
      </c>
    </row>
    <row r="469" spans="1:1" x14ac:dyDescent="0.4">
      <c r="A469" t="s">
        <v>7326</v>
      </c>
    </row>
    <row r="470" spans="1:1" x14ac:dyDescent="0.4">
      <c r="A470" t="s">
        <v>6114</v>
      </c>
    </row>
    <row r="471" spans="1:1" x14ac:dyDescent="0.4">
      <c r="A471" t="s">
        <v>3925</v>
      </c>
    </row>
    <row r="472" spans="1:1" x14ac:dyDescent="0.4">
      <c r="A472" t="s">
        <v>3804</v>
      </c>
    </row>
    <row r="473" spans="1:1" x14ac:dyDescent="0.4">
      <c r="A473" t="s">
        <v>5038</v>
      </c>
    </row>
    <row r="474" spans="1:1" x14ac:dyDescent="0.4">
      <c r="A474" t="s">
        <v>5038</v>
      </c>
    </row>
    <row r="475" spans="1:1" x14ac:dyDescent="0.4">
      <c r="A475" t="s">
        <v>5175</v>
      </c>
    </row>
    <row r="476" spans="1:1" x14ac:dyDescent="0.4">
      <c r="A476" t="s">
        <v>2370</v>
      </c>
    </row>
    <row r="477" spans="1:1" x14ac:dyDescent="0.4">
      <c r="A477" t="s">
        <v>2370</v>
      </c>
    </row>
    <row r="478" spans="1:1" x14ac:dyDescent="0.4">
      <c r="A478" t="s">
        <v>5717</v>
      </c>
    </row>
    <row r="479" spans="1:1" x14ac:dyDescent="0.4">
      <c r="A479" t="s">
        <v>5043</v>
      </c>
    </row>
    <row r="480" spans="1:1" x14ac:dyDescent="0.4">
      <c r="A480" t="s">
        <v>5043</v>
      </c>
    </row>
    <row r="481" spans="1:1" x14ac:dyDescent="0.4">
      <c r="A481" t="s">
        <v>4489</v>
      </c>
    </row>
    <row r="482" spans="1:1" x14ac:dyDescent="0.4">
      <c r="A482" t="s">
        <v>6219</v>
      </c>
    </row>
    <row r="483" spans="1:1" x14ac:dyDescent="0.4">
      <c r="A483" t="s">
        <v>1808</v>
      </c>
    </row>
    <row r="484" spans="1:1" x14ac:dyDescent="0.4">
      <c r="A484" t="s">
        <v>1808</v>
      </c>
    </row>
    <row r="485" spans="1:1" x14ac:dyDescent="0.4">
      <c r="A485" t="s">
        <v>1808</v>
      </c>
    </row>
    <row r="486" spans="1:1" x14ac:dyDescent="0.4">
      <c r="A486" t="s">
        <v>1808</v>
      </c>
    </row>
    <row r="487" spans="1:1" x14ac:dyDescent="0.4">
      <c r="A487" t="s">
        <v>1808</v>
      </c>
    </row>
    <row r="488" spans="1:1" x14ac:dyDescent="0.4">
      <c r="A488" t="s">
        <v>1808</v>
      </c>
    </row>
    <row r="489" spans="1:1" x14ac:dyDescent="0.4">
      <c r="A489" t="s">
        <v>6914</v>
      </c>
    </row>
    <row r="490" spans="1:1" x14ac:dyDescent="0.4">
      <c r="A490" t="s">
        <v>7002</v>
      </c>
    </row>
    <row r="491" spans="1:1" x14ac:dyDescent="0.4">
      <c r="A491" t="s">
        <v>5701</v>
      </c>
    </row>
    <row r="492" spans="1:1" x14ac:dyDescent="0.4">
      <c r="A492" t="s">
        <v>6326</v>
      </c>
    </row>
    <row r="493" spans="1:1" x14ac:dyDescent="0.4">
      <c r="A493" t="s">
        <v>306</v>
      </c>
    </row>
    <row r="494" spans="1:1" x14ac:dyDescent="0.4">
      <c r="A494" t="s">
        <v>306</v>
      </c>
    </row>
    <row r="495" spans="1:1" x14ac:dyDescent="0.4">
      <c r="A495" t="s">
        <v>306</v>
      </c>
    </row>
    <row r="496" spans="1:1" x14ac:dyDescent="0.4">
      <c r="A496" t="s">
        <v>4116</v>
      </c>
    </row>
    <row r="497" spans="1:1" x14ac:dyDescent="0.4">
      <c r="A497" t="s">
        <v>5029</v>
      </c>
    </row>
    <row r="498" spans="1:1" x14ac:dyDescent="0.4">
      <c r="A498" t="s">
        <v>1164</v>
      </c>
    </row>
    <row r="499" spans="1:1" x14ac:dyDescent="0.4">
      <c r="A499" t="s">
        <v>1164</v>
      </c>
    </row>
    <row r="500" spans="1:1" x14ac:dyDescent="0.4">
      <c r="A500" t="s">
        <v>1164</v>
      </c>
    </row>
    <row r="501" spans="1:1" x14ac:dyDescent="0.4">
      <c r="A501" t="s">
        <v>1164</v>
      </c>
    </row>
    <row r="502" spans="1:1" x14ac:dyDescent="0.4">
      <c r="A502" t="s">
        <v>1164</v>
      </c>
    </row>
    <row r="503" spans="1:1" x14ac:dyDescent="0.4">
      <c r="A503" t="s">
        <v>1164</v>
      </c>
    </row>
    <row r="504" spans="1:1" x14ac:dyDescent="0.4">
      <c r="A504" t="s">
        <v>1164</v>
      </c>
    </row>
    <row r="505" spans="1:1" x14ac:dyDescent="0.4">
      <c r="A505" t="s">
        <v>1164</v>
      </c>
    </row>
    <row r="506" spans="1:1" x14ac:dyDescent="0.4">
      <c r="A506" t="s">
        <v>1164</v>
      </c>
    </row>
    <row r="507" spans="1:1" x14ac:dyDescent="0.4">
      <c r="A507" t="s">
        <v>1164</v>
      </c>
    </row>
    <row r="508" spans="1:1" x14ac:dyDescent="0.4">
      <c r="A508" t="s">
        <v>5845</v>
      </c>
    </row>
    <row r="509" spans="1:1" x14ac:dyDescent="0.4">
      <c r="A509" t="s">
        <v>467</v>
      </c>
    </row>
    <row r="510" spans="1:1" x14ac:dyDescent="0.4">
      <c r="A510" t="s">
        <v>467</v>
      </c>
    </row>
    <row r="511" spans="1:1" x14ac:dyDescent="0.4">
      <c r="A511" t="s">
        <v>467</v>
      </c>
    </row>
    <row r="512" spans="1:1" x14ac:dyDescent="0.4">
      <c r="A512" t="s">
        <v>467</v>
      </c>
    </row>
    <row r="513" spans="1:1" x14ac:dyDescent="0.4">
      <c r="A513" t="s">
        <v>6795</v>
      </c>
    </row>
    <row r="514" spans="1:1" x14ac:dyDescent="0.4">
      <c r="A514" t="s">
        <v>4890</v>
      </c>
    </row>
    <row r="515" spans="1:1" x14ac:dyDescent="0.4">
      <c r="A515" t="s">
        <v>4890</v>
      </c>
    </row>
    <row r="516" spans="1:1" x14ac:dyDescent="0.4">
      <c r="A516" t="s">
        <v>3353</v>
      </c>
    </row>
    <row r="517" spans="1:1" x14ac:dyDescent="0.4">
      <c r="A517" t="s">
        <v>6747</v>
      </c>
    </row>
    <row r="518" spans="1:1" x14ac:dyDescent="0.4">
      <c r="A518" t="s">
        <v>4894</v>
      </c>
    </row>
    <row r="519" spans="1:1" x14ac:dyDescent="0.4">
      <c r="A519" t="s">
        <v>370</v>
      </c>
    </row>
    <row r="520" spans="1:1" x14ac:dyDescent="0.4">
      <c r="A520" t="s">
        <v>3121</v>
      </c>
    </row>
    <row r="521" spans="1:1" x14ac:dyDescent="0.4">
      <c r="A521" t="s">
        <v>5577</v>
      </c>
    </row>
    <row r="522" spans="1:1" x14ac:dyDescent="0.4">
      <c r="A522" t="s">
        <v>7275</v>
      </c>
    </row>
    <row r="523" spans="1:1" x14ac:dyDescent="0.4">
      <c r="A523" t="s">
        <v>5132</v>
      </c>
    </row>
    <row r="524" spans="1:1" x14ac:dyDescent="0.4">
      <c r="A524" t="s">
        <v>2435</v>
      </c>
    </row>
    <row r="525" spans="1:1" x14ac:dyDescent="0.4">
      <c r="A525" t="s">
        <v>3836</v>
      </c>
    </row>
    <row r="526" spans="1:1" x14ac:dyDescent="0.4">
      <c r="A526" t="s">
        <v>1171</v>
      </c>
    </row>
    <row r="527" spans="1:1" x14ac:dyDescent="0.4">
      <c r="A527" t="s">
        <v>1171</v>
      </c>
    </row>
    <row r="528" spans="1:1" x14ac:dyDescent="0.4">
      <c r="A528" t="s">
        <v>1171</v>
      </c>
    </row>
    <row r="529" spans="1:1" x14ac:dyDescent="0.4">
      <c r="A529" t="s">
        <v>1171</v>
      </c>
    </row>
    <row r="530" spans="1:1" x14ac:dyDescent="0.4">
      <c r="A530" t="s">
        <v>1171</v>
      </c>
    </row>
    <row r="531" spans="1:1" x14ac:dyDescent="0.4">
      <c r="A531" t="s">
        <v>1171</v>
      </c>
    </row>
    <row r="532" spans="1:1" x14ac:dyDescent="0.4">
      <c r="A532" t="s">
        <v>1171</v>
      </c>
    </row>
    <row r="533" spans="1:1" x14ac:dyDescent="0.4">
      <c r="A533" t="s">
        <v>1171</v>
      </c>
    </row>
    <row r="534" spans="1:1" x14ac:dyDescent="0.4">
      <c r="A534" t="s">
        <v>1171</v>
      </c>
    </row>
    <row r="535" spans="1:1" x14ac:dyDescent="0.4">
      <c r="A535" t="s">
        <v>1171</v>
      </c>
    </row>
    <row r="536" spans="1:1" x14ac:dyDescent="0.4">
      <c r="A536" t="s">
        <v>1171</v>
      </c>
    </row>
    <row r="537" spans="1:1" x14ac:dyDescent="0.4">
      <c r="A537" t="s">
        <v>4431</v>
      </c>
    </row>
    <row r="538" spans="1:1" x14ac:dyDescent="0.4">
      <c r="A538" t="s">
        <v>6088</v>
      </c>
    </row>
    <row r="539" spans="1:1" x14ac:dyDescent="0.4">
      <c r="A539" t="s">
        <v>4047</v>
      </c>
    </row>
    <row r="540" spans="1:1" x14ac:dyDescent="0.4">
      <c r="A540" t="s">
        <v>2620</v>
      </c>
    </row>
    <row r="541" spans="1:1" x14ac:dyDescent="0.4">
      <c r="A541" t="s">
        <v>2620</v>
      </c>
    </row>
    <row r="542" spans="1:1" x14ac:dyDescent="0.4">
      <c r="A542" t="s">
        <v>2620</v>
      </c>
    </row>
    <row r="543" spans="1:1" x14ac:dyDescent="0.4">
      <c r="A543" t="s">
        <v>2620</v>
      </c>
    </row>
    <row r="544" spans="1:1" x14ac:dyDescent="0.4">
      <c r="A544" t="s">
        <v>2620</v>
      </c>
    </row>
    <row r="545" spans="1:1" x14ac:dyDescent="0.4">
      <c r="A545" t="s">
        <v>2620</v>
      </c>
    </row>
    <row r="546" spans="1:1" x14ac:dyDescent="0.4">
      <c r="A546" t="s">
        <v>2620</v>
      </c>
    </row>
    <row r="547" spans="1:1" x14ac:dyDescent="0.4">
      <c r="A547" t="s">
        <v>2620</v>
      </c>
    </row>
    <row r="548" spans="1:1" x14ac:dyDescent="0.4">
      <c r="A548" t="s">
        <v>2620</v>
      </c>
    </row>
    <row r="549" spans="1:1" x14ac:dyDescent="0.4">
      <c r="A549" t="s">
        <v>2620</v>
      </c>
    </row>
    <row r="550" spans="1:1" x14ac:dyDescent="0.4">
      <c r="A550" t="s">
        <v>977</v>
      </c>
    </row>
    <row r="551" spans="1:1" x14ac:dyDescent="0.4">
      <c r="A551" t="s">
        <v>977</v>
      </c>
    </row>
    <row r="552" spans="1:1" x14ac:dyDescent="0.4">
      <c r="A552" t="s">
        <v>977</v>
      </c>
    </row>
    <row r="553" spans="1:1" x14ac:dyDescent="0.4">
      <c r="A553" t="s">
        <v>977</v>
      </c>
    </row>
    <row r="554" spans="1:1" x14ac:dyDescent="0.4">
      <c r="A554" t="s">
        <v>977</v>
      </c>
    </row>
    <row r="555" spans="1:1" x14ac:dyDescent="0.4">
      <c r="A555" t="s">
        <v>977</v>
      </c>
    </row>
    <row r="556" spans="1:1" x14ac:dyDescent="0.4">
      <c r="A556" t="s">
        <v>977</v>
      </c>
    </row>
    <row r="557" spans="1:1" x14ac:dyDescent="0.4">
      <c r="A557" t="s">
        <v>977</v>
      </c>
    </row>
    <row r="558" spans="1:1" x14ac:dyDescent="0.4">
      <c r="A558" t="s">
        <v>977</v>
      </c>
    </row>
    <row r="559" spans="1:1" x14ac:dyDescent="0.4">
      <c r="A559" t="s">
        <v>977</v>
      </c>
    </row>
    <row r="560" spans="1:1" x14ac:dyDescent="0.4">
      <c r="A560" t="s">
        <v>977</v>
      </c>
    </row>
    <row r="561" spans="1:1" x14ac:dyDescent="0.4">
      <c r="A561" t="s">
        <v>977</v>
      </c>
    </row>
    <row r="562" spans="1:1" x14ac:dyDescent="0.4">
      <c r="A562" t="s">
        <v>977</v>
      </c>
    </row>
    <row r="563" spans="1:1" x14ac:dyDescent="0.4">
      <c r="A563" t="s">
        <v>977</v>
      </c>
    </row>
    <row r="564" spans="1:1" x14ac:dyDescent="0.4">
      <c r="A564" t="s">
        <v>977</v>
      </c>
    </row>
    <row r="565" spans="1:1" x14ac:dyDescent="0.4">
      <c r="A565" t="s">
        <v>977</v>
      </c>
    </row>
    <row r="566" spans="1:1" x14ac:dyDescent="0.4">
      <c r="A566" t="s">
        <v>977</v>
      </c>
    </row>
    <row r="567" spans="1:1" x14ac:dyDescent="0.4">
      <c r="A567" t="s">
        <v>977</v>
      </c>
    </row>
    <row r="568" spans="1:1" x14ac:dyDescent="0.4">
      <c r="A568" t="s">
        <v>977</v>
      </c>
    </row>
    <row r="569" spans="1:1" x14ac:dyDescent="0.4">
      <c r="A569" t="s">
        <v>977</v>
      </c>
    </row>
    <row r="570" spans="1:1" x14ac:dyDescent="0.4">
      <c r="A570" t="s">
        <v>977</v>
      </c>
    </row>
    <row r="571" spans="1:1" x14ac:dyDescent="0.4">
      <c r="A571" t="s">
        <v>977</v>
      </c>
    </row>
    <row r="572" spans="1:1" x14ac:dyDescent="0.4">
      <c r="A572" t="s">
        <v>977</v>
      </c>
    </row>
    <row r="573" spans="1:1" x14ac:dyDescent="0.4">
      <c r="A573" t="s">
        <v>977</v>
      </c>
    </row>
    <row r="574" spans="1:1" x14ac:dyDescent="0.4">
      <c r="A574" t="s">
        <v>977</v>
      </c>
    </row>
    <row r="575" spans="1:1" x14ac:dyDescent="0.4">
      <c r="A575" t="s">
        <v>977</v>
      </c>
    </row>
    <row r="576" spans="1:1" x14ac:dyDescent="0.4">
      <c r="A576" t="s">
        <v>977</v>
      </c>
    </row>
    <row r="577" spans="1:1" x14ac:dyDescent="0.4">
      <c r="A577" t="s">
        <v>977</v>
      </c>
    </row>
    <row r="578" spans="1:1" x14ac:dyDescent="0.4">
      <c r="A578" t="s">
        <v>977</v>
      </c>
    </row>
    <row r="579" spans="1:1" x14ac:dyDescent="0.4">
      <c r="A579" t="s">
        <v>977</v>
      </c>
    </row>
    <row r="580" spans="1:1" x14ac:dyDescent="0.4">
      <c r="A580" t="s">
        <v>977</v>
      </c>
    </row>
    <row r="581" spans="1:1" x14ac:dyDescent="0.4">
      <c r="A581" t="s">
        <v>977</v>
      </c>
    </row>
    <row r="582" spans="1:1" x14ac:dyDescent="0.4">
      <c r="A582" t="s">
        <v>977</v>
      </c>
    </row>
    <row r="583" spans="1:1" x14ac:dyDescent="0.4">
      <c r="A583" t="s">
        <v>977</v>
      </c>
    </row>
    <row r="584" spans="1:1" x14ac:dyDescent="0.4">
      <c r="A584" t="s">
        <v>977</v>
      </c>
    </row>
    <row r="585" spans="1:1" x14ac:dyDescent="0.4">
      <c r="A585" t="s">
        <v>977</v>
      </c>
    </row>
    <row r="586" spans="1:1" x14ac:dyDescent="0.4">
      <c r="A586" t="s">
        <v>977</v>
      </c>
    </row>
    <row r="587" spans="1:1" x14ac:dyDescent="0.4">
      <c r="A587" t="s">
        <v>977</v>
      </c>
    </row>
    <row r="588" spans="1:1" x14ac:dyDescent="0.4">
      <c r="A588" t="s">
        <v>977</v>
      </c>
    </row>
    <row r="589" spans="1:1" x14ac:dyDescent="0.4">
      <c r="A589" t="s">
        <v>977</v>
      </c>
    </row>
    <row r="590" spans="1:1" x14ac:dyDescent="0.4">
      <c r="A590" t="s">
        <v>977</v>
      </c>
    </row>
    <row r="591" spans="1:1" x14ac:dyDescent="0.4">
      <c r="A591" t="s">
        <v>977</v>
      </c>
    </row>
    <row r="592" spans="1:1" x14ac:dyDescent="0.4">
      <c r="A592" t="s">
        <v>977</v>
      </c>
    </row>
    <row r="593" spans="1:1" x14ac:dyDescent="0.4">
      <c r="A593" t="s">
        <v>977</v>
      </c>
    </row>
    <row r="594" spans="1:1" x14ac:dyDescent="0.4">
      <c r="A594" t="s">
        <v>977</v>
      </c>
    </row>
    <row r="595" spans="1:1" x14ac:dyDescent="0.4">
      <c r="A595" t="s">
        <v>977</v>
      </c>
    </row>
    <row r="596" spans="1:1" x14ac:dyDescent="0.4">
      <c r="A596" t="s">
        <v>977</v>
      </c>
    </row>
    <row r="597" spans="1:1" x14ac:dyDescent="0.4">
      <c r="A597" t="s">
        <v>977</v>
      </c>
    </row>
    <row r="598" spans="1:1" x14ac:dyDescent="0.4">
      <c r="A598" t="s">
        <v>977</v>
      </c>
    </row>
    <row r="599" spans="1:1" x14ac:dyDescent="0.4">
      <c r="A599" t="s">
        <v>977</v>
      </c>
    </row>
    <row r="600" spans="1:1" x14ac:dyDescent="0.4">
      <c r="A600" t="s">
        <v>977</v>
      </c>
    </row>
    <row r="601" spans="1:1" x14ac:dyDescent="0.4">
      <c r="A601" t="s">
        <v>977</v>
      </c>
    </row>
    <row r="602" spans="1:1" x14ac:dyDescent="0.4">
      <c r="A602" t="s">
        <v>977</v>
      </c>
    </row>
    <row r="603" spans="1:1" x14ac:dyDescent="0.4">
      <c r="A603" t="s">
        <v>977</v>
      </c>
    </row>
    <row r="604" spans="1:1" x14ac:dyDescent="0.4">
      <c r="A604" t="s">
        <v>977</v>
      </c>
    </row>
    <row r="605" spans="1:1" x14ac:dyDescent="0.4">
      <c r="A605" t="s">
        <v>977</v>
      </c>
    </row>
    <row r="606" spans="1:1" x14ac:dyDescent="0.4">
      <c r="A606" t="s">
        <v>977</v>
      </c>
    </row>
    <row r="607" spans="1:1" x14ac:dyDescent="0.4">
      <c r="A607" t="s">
        <v>977</v>
      </c>
    </row>
    <row r="608" spans="1:1" x14ac:dyDescent="0.4">
      <c r="A608" t="s">
        <v>977</v>
      </c>
    </row>
    <row r="609" spans="1:1" x14ac:dyDescent="0.4">
      <c r="A609" t="s">
        <v>977</v>
      </c>
    </row>
    <row r="610" spans="1:1" x14ac:dyDescent="0.4">
      <c r="A610" t="s">
        <v>977</v>
      </c>
    </row>
    <row r="611" spans="1:1" x14ac:dyDescent="0.4">
      <c r="A611" t="s">
        <v>977</v>
      </c>
    </row>
    <row r="612" spans="1:1" x14ac:dyDescent="0.4">
      <c r="A612" t="s">
        <v>977</v>
      </c>
    </row>
    <row r="613" spans="1:1" x14ac:dyDescent="0.4">
      <c r="A613" t="s">
        <v>977</v>
      </c>
    </row>
    <row r="614" spans="1:1" x14ac:dyDescent="0.4">
      <c r="A614" t="s">
        <v>977</v>
      </c>
    </row>
    <row r="615" spans="1:1" x14ac:dyDescent="0.4">
      <c r="A615" t="s">
        <v>977</v>
      </c>
    </row>
    <row r="616" spans="1:1" x14ac:dyDescent="0.4">
      <c r="A616" t="s">
        <v>977</v>
      </c>
    </row>
    <row r="617" spans="1:1" x14ac:dyDescent="0.4">
      <c r="A617" t="s">
        <v>977</v>
      </c>
    </row>
    <row r="618" spans="1:1" x14ac:dyDescent="0.4">
      <c r="A618" t="s">
        <v>977</v>
      </c>
    </row>
    <row r="619" spans="1:1" x14ac:dyDescent="0.4">
      <c r="A619" t="s">
        <v>977</v>
      </c>
    </row>
    <row r="620" spans="1:1" x14ac:dyDescent="0.4">
      <c r="A620" t="s">
        <v>977</v>
      </c>
    </row>
    <row r="621" spans="1:1" x14ac:dyDescent="0.4">
      <c r="A621" t="s">
        <v>977</v>
      </c>
    </row>
    <row r="622" spans="1:1" x14ac:dyDescent="0.4">
      <c r="A622" t="s">
        <v>6023</v>
      </c>
    </row>
    <row r="623" spans="1:1" x14ac:dyDescent="0.4">
      <c r="A623" t="s">
        <v>6023</v>
      </c>
    </row>
    <row r="624" spans="1:1" x14ac:dyDescent="0.4">
      <c r="A624" t="s">
        <v>6023</v>
      </c>
    </row>
    <row r="625" spans="1:1" x14ac:dyDescent="0.4">
      <c r="A625" t="s">
        <v>3697</v>
      </c>
    </row>
    <row r="626" spans="1:1" x14ac:dyDescent="0.4">
      <c r="A626" t="s">
        <v>3697</v>
      </c>
    </row>
    <row r="627" spans="1:1" x14ac:dyDescent="0.4">
      <c r="A627" t="s">
        <v>1610</v>
      </c>
    </row>
    <row r="628" spans="1:1" x14ac:dyDescent="0.4">
      <c r="A628" t="s">
        <v>1610</v>
      </c>
    </row>
    <row r="629" spans="1:1" x14ac:dyDescent="0.4">
      <c r="A629" t="s">
        <v>2074</v>
      </c>
    </row>
    <row r="630" spans="1:1" x14ac:dyDescent="0.4">
      <c r="A630" t="s">
        <v>5226</v>
      </c>
    </row>
    <row r="631" spans="1:1" x14ac:dyDescent="0.4">
      <c r="A631" t="s">
        <v>4200</v>
      </c>
    </row>
    <row r="632" spans="1:1" x14ac:dyDescent="0.4">
      <c r="A632" t="s">
        <v>959</v>
      </c>
    </row>
    <row r="633" spans="1:1" x14ac:dyDescent="0.4">
      <c r="A633" t="s">
        <v>6803</v>
      </c>
    </row>
    <row r="634" spans="1:1" x14ac:dyDescent="0.4">
      <c r="A634" t="s">
        <v>4500</v>
      </c>
    </row>
    <row r="635" spans="1:1" x14ac:dyDescent="0.4">
      <c r="A635" t="s">
        <v>2303</v>
      </c>
    </row>
    <row r="636" spans="1:1" x14ac:dyDescent="0.4">
      <c r="A636" t="s">
        <v>2303</v>
      </c>
    </row>
    <row r="637" spans="1:1" x14ac:dyDescent="0.4">
      <c r="A637" t="s">
        <v>2303</v>
      </c>
    </row>
    <row r="638" spans="1:1" x14ac:dyDescent="0.4">
      <c r="A638" t="s">
        <v>6887</v>
      </c>
    </row>
    <row r="639" spans="1:1" x14ac:dyDescent="0.4">
      <c r="A639" t="s">
        <v>5217</v>
      </c>
    </row>
    <row r="640" spans="1:1" x14ac:dyDescent="0.4">
      <c r="A640" t="s">
        <v>7019</v>
      </c>
    </row>
    <row r="641" spans="1:1" x14ac:dyDescent="0.4">
      <c r="A641" t="s">
        <v>5592</v>
      </c>
    </row>
    <row r="642" spans="1:1" x14ac:dyDescent="0.4">
      <c r="A642" t="s">
        <v>7218</v>
      </c>
    </row>
    <row r="643" spans="1:1" x14ac:dyDescent="0.4">
      <c r="A643" t="s">
        <v>5599</v>
      </c>
    </row>
    <row r="644" spans="1:1" x14ac:dyDescent="0.4">
      <c r="A644" t="s">
        <v>3091</v>
      </c>
    </row>
    <row r="645" spans="1:1" x14ac:dyDescent="0.4">
      <c r="A645" t="s">
        <v>3091</v>
      </c>
    </row>
    <row r="646" spans="1:1" x14ac:dyDescent="0.4">
      <c r="A646" t="s">
        <v>6387</v>
      </c>
    </row>
    <row r="647" spans="1:1" x14ac:dyDescent="0.4">
      <c r="A647" t="s">
        <v>6387</v>
      </c>
    </row>
    <row r="648" spans="1:1" x14ac:dyDescent="0.4">
      <c r="A648" t="s">
        <v>7476</v>
      </c>
    </row>
    <row r="649" spans="1:1" x14ac:dyDescent="0.4">
      <c r="A649" t="s">
        <v>2094</v>
      </c>
    </row>
    <row r="650" spans="1:1" x14ac:dyDescent="0.4">
      <c r="A650" t="s">
        <v>2298</v>
      </c>
    </row>
    <row r="651" spans="1:1" x14ac:dyDescent="0.4">
      <c r="A651" t="s">
        <v>2298</v>
      </c>
    </row>
    <row r="652" spans="1:1" x14ac:dyDescent="0.4">
      <c r="A652" t="s">
        <v>2298</v>
      </c>
    </row>
    <row r="653" spans="1:1" x14ac:dyDescent="0.4">
      <c r="A653" t="s">
        <v>1077</v>
      </c>
    </row>
    <row r="654" spans="1:1" x14ac:dyDescent="0.4">
      <c r="A654" t="s">
        <v>1077</v>
      </c>
    </row>
    <row r="655" spans="1:1" x14ac:dyDescent="0.4">
      <c r="A655" t="s">
        <v>1077</v>
      </c>
    </row>
    <row r="656" spans="1:1" x14ac:dyDescent="0.4">
      <c r="A656" t="s">
        <v>1077</v>
      </c>
    </row>
    <row r="657" spans="1:1" x14ac:dyDescent="0.4">
      <c r="A657" t="s">
        <v>1077</v>
      </c>
    </row>
    <row r="658" spans="1:1" x14ac:dyDescent="0.4">
      <c r="A658" t="s">
        <v>6402</v>
      </c>
    </row>
    <row r="659" spans="1:1" x14ac:dyDescent="0.4">
      <c r="A659" t="s">
        <v>3626</v>
      </c>
    </row>
    <row r="660" spans="1:1" x14ac:dyDescent="0.4">
      <c r="A660" t="s">
        <v>5607</v>
      </c>
    </row>
    <row r="661" spans="1:1" x14ac:dyDescent="0.4">
      <c r="A661" t="s">
        <v>6868</v>
      </c>
    </row>
    <row r="662" spans="1:1" x14ac:dyDescent="0.4">
      <c r="A662" t="s">
        <v>5125</v>
      </c>
    </row>
    <row r="663" spans="1:1" x14ac:dyDescent="0.4">
      <c r="A663" t="s">
        <v>7341</v>
      </c>
    </row>
    <row r="664" spans="1:1" x14ac:dyDescent="0.4">
      <c r="A664" t="s">
        <v>5614</v>
      </c>
    </row>
    <row r="665" spans="1:1" x14ac:dyDescent="0.4">
      <c r="A665" t="s">
        <v>5583</v>
      </c>
    </row>
    <row r="666" spans="1:1" x14ac:dyDescent="0.4">
      <c r="A666" t="s">
        <v>3684</v>
      </c>
    </row>
    <row r="667" spans="1:1" x14ac:dyDescent="0.4">
      <c r="A667" t="s">
        <v>476</v>
      </c>
    </row>
    <row r="668" spans="1:1" x14ac:dyDescent="0.4">
      <c r="A668" t="s">
        <v>476</v>
      </c>
    </row>
    <row r="669" spans="1:1" x14ac:dyDescent="0.4">
      <c r="A669" t="s">
        <v>642</v>
      </c>
    </row>
    <row r="670" spans="1:1" x14ac:dyDescent="0.4">
      <c r="A670" t="s">
        <v>642</v>
      </c>
    </row>
    <row r="671" spans="1:1" x14ac:dyDescent="0.4">
      <c r="A671" t="s">
        <v>6345</v>
      </c>
    </row>
    <row r="672" spans="1:1" x14ac:dyDescent="0.4">
      <c r="A672" t="s">
        <v>5009</v>
      </c>
    </row>
    <row r="673" spans="1:1" x14ac:dyDescent="0.4">
      <c r="A673" t="s">
        <v>6231</v>
      </c>
    </row>
    <row r="674" spans="1:1" x14ac:dyDescent="0.4">
      <c r="A674" t="s">
        <v>5842</v>
      </c>
    </row>
    <row r="675" spans="1:1" x14ac:dyDescent="0.4">
      <c r="A675" t="s">
        <v>4035</v>
      </c>
    </row>
    <row r="676" spans="1:1" x14ac:dyDescent="0.4">
      <c r="A676" t="s">
        <v>999</v>
      </c>
    </row>
    <row r="677" spans="1:1" x14ac:dyDescent="0.4">
      <c r="A677" t="s">
        <v>999</v>
      </c>
    </row>
    <row r="678" spans="1:1" x14ac:dyDescent="0.4">
      <c r="A678" t="s">
        <v>999</v>
      </c>
    </row>
    <row r="679" spans="1:1" x14ac:dyDescent="0.4">
      <c r="A679" t="s">
        <v>999</v>
      </c>
    </row>
    <row r="680" spans="1:1" x14ac:dyDescent="0.4">
      <c r="A680" t="s">
        <v>999</v>
      </c>
    </row>
    <row r="681" spans="1:1" x14ac:dyDescent="0.4">
      <c r="A681" t="s">
        <v>999</v>
      </c>
    </row>
    <row r="682" spans="1:1" x14ac:dyDescent="0.4">
      <c r="A682" t="s">
        <v>999</v>
      </c>
    </row>
    <row r="683" spans="1:1" x14ac:dyDescent="0.4">
      <c r="A683" t="s">
        <v>999</v>
      </c>
    </row>
    <row r="684" spans="1:1" x14ac:dyDescent="0.4">
      <c r="A684" t="s">
        <v>1484</v>
      </c>
    </row>
    <row r="685" spans="1:1" x14ac:dyDescent="0.4">
      <c r="A685" t="s">
        <v>6438</v>
      </c>
    </row>
    <row r="686" spans="1:1" x14ac:dyDescent="0.4">
      <c r="A686" t="s">
        <v>7345</v>
      </c>
    </row>
    <row r="687" spans="1:1" x14ac:dyDescent="0.4">
      <c r="A687" t="s">
        <v>5141</v>
      </c>
    </row>
    <row r="688" spans="1:1" x14ac:dyDescent="0.4">
      <c r="A688" t="s">
        <v>670</v>
      </c>
    </row>
    <row r="689" spans="1:1" x14ac:dyDescent="0.4">
      <c r="A689" t="s">
        <v>670</v>
      </c>
    </row>
    <row r="690" spans="1:1" x14ac:dyDescent="0.4">
      <c r="A690" t="s">
        <v>670</v>
      </c>
    </row>
    <row r="691" spans="1:1" x14ac:dyDescent="0.4">
      <c r="A691" t="s">
        <v>670</v>
      </c>
    </row>
    <row r="692" spans="1:1" x14ac:dyDescent="0.4">
      <c r="A692" t="s">
        <v>5900</v>
      </c>
    </row>
    <row r="693" spans="1:1" x14ac:dyDescent="0.4">
      <c r="A693" t="s">
        <v>5900</v>
      </c>
    </row>
    <row r="694" spans="1:1" x14ac:dyDescent="0.4">
      <c r="A694" t="s">
        <v>5900</v>
      </c>
    </row>
    <row r="695" spans="1:1" x14ac:dyDescent="0.4">
      <c r="A695" t="s">
        <v>4182</v>
      </c>
    </row>
    <row r="696" spans="1:1" x14ac:dyDescent="0.4">
      <c r="A696" t="s">
        <v>4788</v>
      </c>
    </row>
    <row r="697" spans="1:1" x14ac:dyDescent="0.4">
      <c r="A697" t="s">
        <v>834</v>
      </c>
    </row>
    <row r="698" spans="1:1" x14ac:dyDescent="0.4">
      <c r="A698" t="s">
        <v>834</v>
      </c>
    </row>
    <row r="699" spans="1:1" x14ac:dyDescent="0.4">
      <c r="A699" t="s">
        <v>834</v>
      </c>
    </row>
    <row r="700" spans="1:1" x14ac:dyDescent="0.4">
      <c r="A700" t="s">
        <v>834</v>
      </c>
    </row>
    <row r="701" spans="1:1" x14ac:dyDescent="0.4">
      <c r="A701" t="s">
        <v>834</v>
      </c>
    </row>
    <row r="702" spans="1:1" x14ac:dyDescent="0.4">
      <c r="A702" t="s">
        <v>834</v>
      </c>
    </row>
    <row r="703" spans="1:1" x14ac:dyDescent="0.4">
      <c r="A703" t="s">
        <v>1526</v>
      </c>
    </row>
    <row r="704" spans="1:1" x14ac:dyDescent="0.4">
      <c r="A704" t="s">
        <v>5150</v>
      </c>
    </row>
    <row r="705" spans="1:1" x14ac:dyDescent="0.4">
      <c r="A705" t="s">
        <v>1020</v>
      </c>
    </row>
    <row r="706" spans="1:1" x14ac:dyDescent="0.4">
      <c r="A706" t="s">
        <v>1020</v>
      </c>
    </row>
    <row r="707" spans="1:1" x14ac:dyDescent="0.4">
      <c r="A707" t="s">
        <v>1020</v>
      </c>
    </row>
    <row r="708" spans="1:1" x14ac:dyDescent="0.4">
      <c r="A708" t="s">
        <v>1020</v>
      </c>
    </row>
    <row r="709" spans="1:1" x14ac:dyDescent="0.4">
      <c r="A709" t="s">
        <v>610</v>
      </c>
    </row>
    <row r="710" spans="1:1" x14ac:dyDescent="0.4">
      <c r="A710" t="s">
        <v>3999</v>
      </c>
    </row>
    <row r="711" spans="1:1" x14ac:dyDescent="0.4">
      <c r="A711" t="s">
        <v>7044</v>
      </c>
    </row>
    <row r="712" spans="1:1" x14ac:dyDescent="0.4">
      <c r="A712" t="s">
        <v>7044</v>
      </c>
    </row>
    <row r="713" spans="1:1" x14ac:dyDescent="0.4">
      <c r="A713" t="s">
        <v>6926</v>
      </c>
    </row>
    <row r="714" spans="1:1" x14ac:dyDescent="0.4">
      <c r="A714" t="s">
        <v>6421</v>
      </c>
    </row>
    <row r="715" spans="1:1" x14ac:dyDescent="0.4">
      <c r="A715" t="s">
        <v>7402</v>
      </c>
    </row>
    <row r="716" spans="1:1" x14ac:dyDescent="0.4">
      <c r="A716" t="s">
        <v>5744</v>
      </c>
    </row>
    <row r="717" spans="1:1" x14ac:dyDescent="0.4">
      <c r="A717" t="s">
        <v>6029</v>
      </c>
    </row>
    <row r="718" spans="1:1" x14ac:dyDescent="0.4">
      <c r="A718" t="s">
        <v>6029</v>
      </c>
    </row>
    <row r="719" spans="1:1" x14ac:dyDescent="0.4">
      <c r="A719" t="s">
        <v>3143</v>
      </c>
    </row>
    <row r="720" spans="1:1" x14ac:dyDescent="0.4">
      <c r="A720" t="s">
        <v>6814</v>
      </c>
    </row>
    <row r="721" spans="1:1" x14ac:dyDescent="0.4">
      <c r="A721" t="s">
        <v>7190</v>
      </c>
    </row>
    <row r="722" spans="1:1" x14ac:dyDescent="0.4">
      <c r="A722" t="s">
        <v>2612</v>
      </c>
    </row>
    <row r="723" spans="1:1" x14ac:dyDescent="0.4">
      <c r="A723" t="s">
        <v>1913</v>
      </c>
    </row>
    <row r="724" spans="1:1" x14ac:dyDescent="0.4">
      <c r="A724" t="s">
        <v>5779</v>
      </c>
    </row>
    <row r="725" spans="1:1" x14ac:dyDescent="0.4">
      <c r="A725" t="s">
        <v>2126</v>
      </c>
    </row>
    <row r="726" spans="1:1" x14ac:dyDescent="0.4">
      <c r="A726" t="s">
        <v>3079</v>
      </c>
    </row>
    <row r="727" spans="1:1" x14ac:dyDescent="0.4">
      <c r="A727" t="s">
        <v>3079</v>
      </c>
    </row>
    <row r="728" spans="1:1" x14ac:dyDescent="0.4">
      <c r="A728" t="s">
        <v>5705</v>
      </c>
    </row>
    <row r="729" spans="1:1" x14ac:dyDescent="0.4">
      <c r="A729" t="s">
        <v>7509</v>
      </c>
    </row>
    <row r="730" spans="1:1" x14ac:dyDescent="0.4">
      <c r="A730" t="s">
        <v>7352</v>
      </c>
    </row>
    <row r="731" spans="1:1" x14ac:dyDescent="0.4">
      <c r="A731" t="s">
        <v>5870</v>
      </c>
    </row>
    <row r="732" spans="1:1" x14ac:dyDescent="0.4">
      <c r="A732" t="s">
        <v>5870</v>
      </c>
    </row>
    <row r="733" spans="1:1" x14ac:dyDescent="0.4">
      <c r="A733" t="s">
        <v>5870</v>
      </c>
    </row>
    <row r="734" spans="1:1" x14ac:dyDescent="0.4">
      <c r="A734" t="s">
        <v>4159</v>
      </c>
    </row>
    <row r="735" spans="1:1" x14ac:dyDescent="0.4">
      <c r="A735" t="s">
        <v>4159</v>
      </c>
    </row>
    <row r="736" spans="1:1" x14ac:dyDescent="0.4">
      <c r="A736" t="s">
        <v>2542</v>
      </c>
    </row>
    <row r="737" spans="1:1" x14ac:dyDescent="0.4">
      <c r="A737" t="s">
        <v>3438</v>
      </c>
    </row>
    <row r="738" spans="1:1" x14ac:dyDescent="0.4">
      <c r="A738" t="s">
        <v>2403</v>
      </c>
    </row>
    <row r="739" spans="1:1" x14ac:dyDescent="0.4">
      <c r="A739" t="s">
        <v>1537</v>
      </c>
    </row>
    <row r="740" spans="1:1" x14ac:dyDescent="0.4">
      <c r="A740" t="s">
        <v>442</v>
      </c>
    </row>
    <row r="741" spans="1:1" x14ac:dyDescent="0.4">
      <c r="A741" t="s">
        <v>442</v>
      </c>
    </row>
    <row r="742" spans="1:1" x14ac:dyDescent="0.4">
      <c r="A742" t="s">
        <v>442</v>
      </c>
    </row>
    <row r="743" spans="1:1" x14ac:dyDescent="0.4">
      <c r="A743" t="s">
        <v>4799</v>
      </c>
    </row>
    <row r="744" spans="1:1" x14ac:dyDescent="0.4">
      <c r="A744" t="s">
        <v>6823</v>
      </c>
    </row>
    <row r="745" spans="1:1" x14ac:dyDescent="0.4">
      <c r="A745" t="s">
        <v>4909</v>
      </c>
    </row>
    <row r="746" spans="1:1" x14ac:dyDescent="0.4">
      <c r="A746" t="s">
        <v>696</v>
      </c>
    </row>
    <row r="747" spans="1:1" x14ac:dyDescent="0.4">
      <c r="A747" t="s">
        <v>7365</v>
      </c>
    </row>
    <row r="748" spans="1:1" x14ac:dyDescent="0.4">
      <c r="A748" t="s">
        <v>6928</v>
      </c>
    </row>
    <row r="749" spans="1:1" x14ac:dyDescent="0.4">
      <c r="A749" t="s">
        <v>6952</v>
      </c>
    </row>
    <row r="750" spans="1:1" x14ac:dyDescent="0.4">
      <c r="A750" t="s">
        <v>7374</v>
      </c>
    </row>
    <row r="751" spans="1:1" x14ac:dyDescent="0.4">
      <c r="A751" t="s">
        <v>417</v>
      </c>
    </row>
    <row r="752" spans="1:1" x14ac:dyDescent="0.4">
      <c r="A752" t="s">
        <v>417</v>
      </c>
    </row>
    <row r="753" spans="1:1" x14ac:dyDescent="0.4">
      <c r="A753" t="s">
        <v>3034</v>
      </c>
    </row>
    <row r="754" spans="1:1" x14ac:dyDescent="0.4">
      <c r="A754" t="s">
        <v>7537</v>
      </c>
    </row>
    <row r="755" spans="1:1" x14ac:dyDescent="0.4">
      <c r="A755" t="s">
        <v>5734</v>
      </c>
    </row>
    <row r="756" spans="1:1" x14ac:dyDescent="0.4">
      <c r="A756" t="s">
        <v>6240</v>
      </c>
    </row>
    <row r="757" spans="1:1" x14ac:dyDescent="0.4">
      <c r="A757" t="s">
        <v>601</v>
      </c>
    </row>
    <row r="758" spans="1:1" x14ac:dyDescent="0.4">
      <c r="A758" t="s">
        <v>601</v>
      </c>
    </row>
    <row r="759" spans="1:1" x14ac:dyDescent="0.4">
      <c r="A759" t="s">
        <v>601</v>
      </c>
    </row>
    <row r="760" spans="1:1" x14ac:dyDescent="0.4">
      <c r="A760" t="s">
        <v>4447</v>
      </c>
    </row>
    <row r="761" spans="1:1" x14ac:dyDescent="0.4">
      <c r="A761" t="s">
        <v>4754</v>
      </c>
    </row>
    <row r="762" spans="1:1" x14ac:dyDescent="0.4">
      <c r="A762" t="s">
        <v>5166</v>
      </c>
    </row>
    <row r="763" spans="1:1" x14ac:dyDescent="0.4">
      <c r="A763" t="s">
        <v>2582</v>
      </c>
    </row>
    <row r="764" spans="1:1" x14ac:dyDescent="0.4">
      <c r="A764" t="s">
        <v>4290</v>
      </c>
    </row>
    <row r="765" spans="1:1" x14ac:dyDescent="0.4">
      <c r="A765" t="s">
        <v>2168</v>
      </c>
    </row>
    <row r="766" spans="1:1" x14ac:dyDescent="0.4">
      <c r="A766" t="s">
        <v>6339</v>
      </c>
    </row>
    <row r="767" spans="1:1" x14ac:dyDescent="0.4">
      <c r="A767" t="s">
        <v>5755</v>
      </c>
    </row>
    <row r="768" spans="1:1" x14ac:dyDescent="0.4">
      <c r="A768" t="s">
        <v>6392</v>
      </c>
    </row>
    <row r="769" spans="1:1" x14ac:dyDescent="0.4">
      <c r="A769" t="s">
        <v>7461</v>
      </c>
    </row>
    <row r="770" spans="1:1" x14ac:dyDescent="0.4">
      <c r="A770" t="s">
        <v>321</v>
      </c>
    </row>
    <row r="771" spans="1:1" x14ac:dyDescent="0.4">
      <c r="A771" t="s">
        <v>321</v>
      </c>
    </row>
    <row r="772" spans="1:1" x14ac:dyDescent="0.4">
      <c r="A772" t="s">
        <v>321</v>
      </c>
    </row>
    <row r="773" spans="1:1" x14ac:dyDescent="0.4">
      <c r="A773" t="s">
        <v>321</v>
      </c>
    </row>
    <row r="774" spans="1:1" x14ac:dyDescent="0.4">
      <c r="A774" t="s">
        <v>321</v>
      </c>
    </row>
    <row r="775" spans="1:1" x14ac:dyDescent="0.4">
      <c r="A775" t="s">
        <v>321</v>
      </c>
    </row>
    <row r="776" spans="1:1" x14ac:dyDescent="0.4">
      <c r="A776" t="s">
        <v>321</v>
      </c>
    </row>
    <row r="777" spans="1:1" x14ac:dyDescent="0.4">
      <c r="A777" t="s">
        <v>321</v>
      </c>
    </row>
    <row r="778" spans="1:1" x14ac:dyDescent="0.4">
      <c r="A778" t="s">
        <v>321</v>
      </c>
    </row>
    <row r="779" spans="1:1" x14ac:dyDescent="0.4">
      <c r="A779" t="s">
        <v>321</v>
      </c>
    </row>
    <row r="780" spans="1:1" x14ac:dyDescent="0.4">
      <c r="A780" t="s">
        <v>321</v>
      </c>
    </row>
    <row r="781" spans="1:1" x14ac:dyDescent="0.4">
      <c r="A781" t="s">
        <v>629</v>
      </c>
    </row>
    <row r="782" spans="1:1" x14ac:dyDescent="0.4">
      <c r="A782" t="s">
        <v>629</v>
      </c>
    </row>
    <row r="783" spans="1:1" x14ac:dyDescent="0.4">
      <c r="A783" t="s">
        <v>629</v>
      </c>
    </row>
    <row r="784" spans="1:1" x14ac:dyDescent="0.4">
      <c r="A784" t="s">
        <v>629</v>
      </c>
    </row>
    <row r="785" spans="1:1" x14ac:dyDescent="0.4">
      <c r="A785" t="s">
        <v>629</v>
      </c>
    </row>
    <row r="786" spans="1:1" x14ac:dyDescent="0.4">
      <c r="A786" t="s">
        <v>969</v>
      </c>
    </row>
    <row r="787" spans="1:1" x14ac:dyDescent="0.4">
      <c r="A787" t="s">
        <v>969</v>
      </c>
    </row>
    <row r="788" spans="1:1" x14ac:dyDescent="0.4">
      <c r="A788" t="s">
        <v>5240</v>
      </c>
    </row>
    <row r="789" spans="1:1" x14ac:dyDescent="0.4">
      <c r="A789" t="s">
        <v>5240</v>
      </c>
    </row>
    <row r="790" spans="1:1" x14ac:dyDescent="0.4">
      <c r="A790" t="s">
        <v>5240</v>
      </c>
    </row>
    <row r="791" spans="1:1" x14ac:dyDescent="0.4">
      <c r="A791" t="s">
        <v>5240</v>
      </c>
    </row>
    <row r="792" spans="1:1" x14ac:dyDescent="0.4">
      <c r="A792" t="s">
        <v>5240</v>
      </c>
    </row>
    <row r="793" spans="1:1" x14ac:dyDescent="0.4">
      <c r="A793" t="s">
        <v>5240</v>
      </c>
    </row>
    <row r="794" spans="1:1" x14ac:dyDescent="0.4">
      <c r="A794" t="s">
        <v>5240</v>
      </c>
    </row>
    <row r="795" spans="1:1" x14ac:dyDescent="0.4">
      <c r="A795" t="s">
        <v>6721</v>
      </c>
    </row>
    <row r="796" spans="1:1" x14ac:dyDescent="0.4">
      <c r="A796" t="s">
        <v>5768</v>
      </c>
    </row>
    <row r="797" spans="1:1" x14ac:dyDescent="0.4">
      <c r="A797" t="s">
        <v>3704</v>
      </c>
    </row>
    <row r="798" spans="1:1" x14ac:dyDescent="0.4">
      <c r="A798" t="s">
        <v>2631</v>
      </c>
    </row>
    <row r="799" spans="1:1" x14ac:dyDescent="0.4">
      <c r="A799" t="s">
        <v>2631</v>
      </c>
    </row>
    <row r="800" spans="1:1" x14ac:dyDescent="0.4">
      <c r="A800" t="s">
        <v>1835</v>
      </c>
    </row>
    <row r="801" spans="1:1" x14ac:dyDescent="0.4">
      <c r="A801" t="s">
        <v>7194</v>
      </c>
    </row>
    <row r="802" spans="1:1" x14ac:dyDescent="0.4">
      <c r="A802" t="s">
        <v>4325</v>
      </c>
    </row>
    <row r="803" spans="1:1" x14ac:dyDescent="0.4">
      <c r="A803" t="s">
        <v>1691</v>
      </c>
    </row>
    <row r="804" spans="1:1" x14ac:dyDescent="0.4">
      <c r="A804" t="s">
        <v>989</v>
      </c>
    </row>
    <row r="805" spans="1:1" x14ac:dyDescent="0.4">
      <c r="A805" t="s">
        <v>6362</v>
      </c>
    </row>
    <row r="806" spans="1:1" x14ac:dyDescent="0.4">
      <c r="A806" t="s">
        <v>5191</v>
      </c>
    </row>
    <row r="807" spans="1:1" x14ac:dyDescent="0.4">
      <c r="A807" t="s">
        <v>7495</v>
      </c>
    </row>
    <row r="808" spans="1:1" x14ac:dyDescent="0.4">
      <c r="A808" t="s">
        <v>3274</v>
      </c>
    </row>
    <row r="809" spans="1:1" x14ac:dyDescent="0.4">
      <c r="A809" t="s">
        <v>6300</v>
      </c>
    </row>
    <row r="810" spans="1:1" x14ac:dyDescent="0.4">
      <c r="A810" t="s">
        <v>3173</v>
      </c>
    </row>
    <row r="811" spans="1:1" x14ac:dyDescent="0.4">
      <c r="A811" t="s">
        <v>6379</v>
      </c>
    </row>
    <row r="812" spans="1:1" x14ac:dyDescent="0.4">
      <c r="A812" t="s">
        <v>5509</v>
      </c>
    </row>
    <row r="813" spans="1:1" x14ac:dyDescent="0.4">
      <c r="A813" t="s">
        <v>6874</v>
      </c>
    </row>
    <row r="814" spans="1:1" x14ac:dyDescent="0.4">
      <c r="A814" t="s">
        <v>6903</v>
      </c>
    </row>
    <row r="815" spans="1:1" x14ac:dyDescent="0.4">
      <c r="A815" t="s">
        <v>4768</v>
      </c>
    </row>
    <row r="816" spans="1:1" x14ac:dyDescent="0.4">
      <c r="A816" t="s">
        <v>4768</v>
      </c>
    </row>
    <row r="817" spans="1:1" x14ac:dyDescent="0.4">
      <c r="A817" t="s">
        <v>4768</v>
      </c>
    </row>
    <row r="818" spans="1:1" x14ac:dyDescent="0.4">
      <c r="A818" t="s">
        <v>5479</v>
      </c>
    </row>
    <row r="819" spans="1:1" x14ac:dyDescent="0.4">
      <c r="A819" t="s">
        <v>7015</v>
      </c>
    </row>
    <row r="820" spans="1:1" x14ac:dyDescent="0.4">
      <c r="A820" t="s">
        <v>5629</v>
      </c>
    </row>
    <row r="821" spans="1:1" x14ac:dyDescent="0.4">
      <c r="A821" t="s">
        <v>5629</v>
      </c>
    </row>
    <row r="822" spans="1:1" x14ac:dyDescent="0.4">
      <c r="A822" t="s">
        <v>4438</v>
      </c>
    </row>
    <row r="823" spans="1:1" x14ac:dyDescent="0.4">
      <c r="A823" t="s">
        <v>3222</v>
      </c>
    </row>
    <row r="824" spans="1:1" x14ac:dyDescent="0.4">
      <c r="A824" t="s">
        <v>3222</v>
      </c>
    </row>
    <row r="825" spans="1:1" x14ac:dyDescent="0.4">
      <c r="A825" t="s">
        <v>6252</v>
      </c>
    </row>
    <row r="826" spans="1:1" x14ac:dyDescent="0.4">
      <c r="A826" t="s">
        <v>2498</v>
      </c>
    </row>
    <row r="827" spans="1:1" x14ac:dyDescent="0.4">
      <c r="A827" t="s">
        <v>2498</v>
      </c>
    </row>
    <row r="828" spans="1:1" x14ac:dyDescent="0.4">
      <c r="A828" t="s">
        <v>920</v>
      </c>
    </row>
    <row r="829" spans="1:1" x14ac:dyDescent="0.4">
      <c r="A829" t="s">
        <v>920</v>
      </c>
    </row>
    <row r="830" spans="1:1" x14ac:dyDescent="0.4">
      <c r="A830" t="s">
        <v>920</v>
      </c>
    </row>
    <row r="831" spans="1:1" x14ac:dyDescent="0.4">
      <c r="A831" t="s">
        <v>920</v>
      </c>
    </row>
    <row r="832" spans="1:1" x14ac:dyDescent="0.4">
      <c r="A832" t="s">
        <v>920</v>
      </c>
    </row>
    <row r="833" spans="1:1" x14ac:dyDescent="0.4">
      <c r="A833" t="s">
        <v>920</v>
      </c>
    </row>
    <row r="834" spans="1:1" x14ac:dyDescent="0.4">
      <c r="A834" t="s">
        <v>920</v>
      </c>
    </row>
    <row r="835" spans="1:1" x14ac:dyDescent="0.4">
      <c r="A835" t="s">
        <v>920</v>
      </c>
    </row>
    <row r="836" spans="1:1" x14ac:dyDescent="0.4">
      <c r="A836" t="s">
        <v>920</v>
      </c>
    </row>
    <row r="837" spans="1:1" x14ac:dyDescent="0.4">
      <c r="A837" t="s">
        <v>920</v>
      </c>
    </row>
    <row r="838" spans="1:1" x14ac:dyDescent="0.4">
      <c r="A838" t="s">
        <v>920</v>
      </c>
    </row>
    <row r="839" spans="1:1" x14ac:dyDescent="0.4">
      <c r="A839" t="s">
        <v>920</v>
      </c>
    </row>
    <row r="840" spans="1:1" x14ac:dyDescent="0.4">
      <c r="A840" t="s">
        <v>5003</v>
      </c>
    </row>
    <row r="841" spans="1:1" x14ac:dyDescent="0.4">
      <c r="A841" t="s">
        <v>5003</v>
      </c>
    </row>
    <row r="842" spans="1:1" x14ac:dyDescent="0.4">
      <c r="A842" t="s">
        <v>5003</v>
      </c>
    </row>
    <row r="843" spans="1:1" x14ac:dyDescent="0.4">
      <c r="A843" t="s">
        <v>776</v>
      </c>
    </row>
    <row r="844" spans="1:1" x14ac:dyDescent="0.4">
      <c r="A844" t="s">
        <v>6470</v>
      </c>
    </row>
    <row r="845" spans="1:1" x14ac:dyDescent="0.4">
      <c r="A845" t="s">
        <v>5637</v>
      </c>
    </row>
    <row r="846" spans="1:1" x14ac:dyDescent="0.4">
      <c r="A846" t="s">
        <v>6352</v>
      </c>
    </row>
    <row r="847" spans="1:1" x14ac:dyDescent="0.4">
      <c r="A847" t="s">
        <v>7305</v>
      </c>
    </row>
    <row r="848" spans="1:1" x14ac:dyDescent="0.4">
      <c r="A848" t="s">
        <v>7550</v>
      </c>
    </row>
    <row r="849" spans="1:1" x14ac:dyDescent="0.4">
      <c r="A849" t="s">
        <v>2391</v>
      </c>
    </row>
    <row r="850" spans="1:1" x14ac:dyDescent="0.4">
      <c r="A850" t="s">
        <v>2391</v>
      </c>
    </row>
    <row r="851" spans="1:1" x14ac:dyDescent="0.4">
      <c r="A851" t="s">
        <v>2987</v>
      </c>
    </row>
    <row r="852" spans="1:1" x14ac:dyDescent="0.4">
      <c r="A852" t="s">
        <v>6358</v>
      </c>
    </row>
    <row r="853" spans="1:1" x14ac:dyDescent="0.4">
      <c r="A853" t="s">
        <v>6406</v>
      </c>
    </row>
    <row r="854" spans="1:1" x14ac:dyDescent="0.4">
      <c r="A854" t="s">
        <v>7023</v>
      </c>
    </row>
    <row r="855" spans="1:1" x14ac:dyDescent="0.4">
      <c r="A855" t="s">
        <v>7499</v>
      </c>
    </row>
    <row r="856" spans="1:1" x14ac:dyDescent="0.4">
      <c r="A856" t="s">
        <v>5646</v>
      </c>
    </row>
    <row r="857" spans="1:1" x14ac:dyDescent="0.4">
      <c r="A857" t="s">
        <v>4848</v>
      </c>
    </row>
    <row r="858" spans="1:1" x14ac:dyDescent="0.4">
      <c r="A858" t="s">
        <v>6184</v>
      </c>
    </row>
    <row r="859" spans="1:1" x14ac:dyDescent="0.4">
      <c r="A859" t="s">
        <v>3814</v>
      </c>
    </row>
    <row r="860" spans="1:1" x14ac:dyDescent="0.4">
      <c r="A860" t="s">
        <v>3065</v>
      </c>
    </row>
    <row r="861" spans="1:1" x14ac:dyDescent="0.4">
      <c r="A861" t="s">
        <v>4982</v>
      </c>
    </row>
    <row r="862" spans="1:1" x14ac:dyDescent="0.4">
      <c r="A862" t="s">
        <v>690</v>
      </c>
    </row>
    <row r="863" spans="1:1" x14ac:dyDescent="0.4">
      <c r="A863" t="s">
        <v>690</v>
      </c>
    </row>
    <row r="864" spans="1:1" x14ac:dyDescent="0.4">
      <c r="A864" t="s">
        <v>690</v>
      </c>
    </row>
    <row r="865" spans="1:1" x14ac:dyDescent="0.4">
      <c r="A865" t="s">
        <v>690</v>
      </c>
    </row>
    <row r="866" spans="1:1" x14ac:dyDescent="0.4">
      <c r="A866" t="s">
        <v>690</v>
      </c>
    </row>
    <row r="867" spans="1:1" x14ac:dyDescent="0.4">
      <c r="A867" t="s">
        <v>690</v>
      </c>
    </row>
    <row r="868" spans="1:1" x14ac:dyDescent="0.4">
      <c r="A868" t="s">
        <v>690</v>
      </c>
    </row>
    <row r="869" spans="1:1" x14ac:dyDescent="0.4">
      <c r="A869" t="s">
        <v>690</v>
      </c>
    </row>
    <row r="870" spans="1:1" x14ac:dyDescent="0.4">
      <c r="A870" t="s">
        <v>6783</v>
      </c>
    </row>
    <row r="871" spans="1:1" x14ac:dyDescent="0.4">
      <c r="A871" t="s">
        <v>4901</v>
      </c>
    </row>
    <row r="872" spans="1:1" x14ac:dyDescent="0.4">
      <c r="A872" t="s">
        <v>1555</v>
      </c>
    </row>
    <row r="873" spans="1:1" x14ac:dyDescent="0.4">
      <c r="A873" t="s">
        <v>7525</v>
      </c>
    </row>
    <row r="874" spans="1:1" x14ac:dyDescent="0.4">
      <c r="A874" t="s">
        <v>6942</v>
      </c>
    </row>
    <row r="875" spans="1:1" x14ac:dyDescent="0.4">
      <c r="A875" t="s">
        <v>658</v>
      </c>
    </row>
    <row r="876" spans="1:1" x14ac:dyDescent="0.4">
      <c r="A876" t="s">
        <v>5110</v>
      </c>
    </row>
    <row r="877" spans="1:1" x14ac:dyDescent="0.4">
      <c r="A877" t="s">
        <v>5657</v>
      </c>
    </row>
    <row r="878" spans="1:1" x14ac:dyDescent="0.4">
      <c r="A878" t="s">
        <v>2731</v>
      </c>
    </row>
    <row r="879" spans="1:1" x14ac:dyDescent="0.4">
      <c r="A879" t="s">
        <v>2731</v>
      </c>
    </row>
    <row r="880" spans="1:1" x14ac:dyDescent="0.4">
      <c r="A880" t="s">
        <v>6989</v>
      </c>
    </row>
    <row r="881" spans="1:1" x14ac:dyDescent="0.4">
      <c r="A881" t="s">
        <v>6259</v>
      </c>
    </row>
    <row r="882" spans="1:1" x14ac:dyDescent="0.4">
      <c r="A882" t="s">
        <v>6259</v>
      </c>
    </row>
    <row r="883" spans="1:1" x14ac:dyDescent="0.4">
      <c r="A883" t="s">
        <v>5188</v>
      </c>
    </row>
    <row r="884" spans="1:1" x14ac:dyDescent="0.4">
      <c r="A884" t="s">
        <v>5667</v>
      </c>
    </row>
    <row r="885" spans="1:1" x14ac:dyDescent="0.4">
      <c r="A885" t="s">
        <v>3152</v>
      </c>
    </row>
    <row r="886" spans="1:1" x14ac:dyDescent="0.4">
      <c r="A886" t="s">
        <v>3152</v>
      </c>
    </row>
    <row r="887" spans="1:1" x14ac:dyDescent="0.4">
      <c r="A887" t="s">
        <v>6478</v>
      </c>
    </row>
    <row r="888" spans="1:1" x14ac:dyDescent="0.4">
      <c r="A888" t="s">
        <v>6478</v>
      </c>
    </row>
    <row r="889" spans="1:1" x14ac:dyDescent="0.4">
      <c r="A889" t="s">
        <v>1985</v>
      </c>
    </row>
    <row r="890" spans="1:1" x14ac:dyDescent="0.4">
      <c r="A890" t="s">
        <v>1985</v>
      </c>
    </row>
    <row r="891" spans="1:1" x14ac:dyDescent="0.4">
      <c r="A891" t="s">
        <v>1985</v>
      </c>
    </row>
    <row r="892" spans="1:1" x14ac:dyDescent="0.4">
      <c r="A892" t="s">
        <v>1985</v>
      </c>
    </row>
    <row r="893" spans="1:1" x14ac:dyDescent="0.4">
      <c r="A893" t="s">
        <v>1985</v>
      </c>
    </row>
    <row r="894" spans="1:1" x14ac:dyDescent="0.4">
      <c r="A894" t="s">
        <v>7168</v>
      </c>
    </row>
    <row r="895" spans="1:1" x14ac:dyDescent="0.4">
      <c r="A895" t="s">
        <v>6967</v>
      </c>
    </row>
    <row r="896" spans="1:1" x14ac:dyDescent="0.4">
      <c r="A896" t="s">
        <v>4925</v>
      </c>
    </row>
    <row r="897" spans="1:1" x14ac:dyDescent="0.4">
      <c r="A897" t="s">
        <v>129</v>
      </c>
    </row>
    <row r="898" spans="1:1" x14ac:dyDescent="0.4">
      <c r="A898" t="s">
        <v>129</v>
      </c>
    </row>
    <row r="899" spans="1:1" x14ac:dyDescent="0.4">
      <c r="A899" t="s">
        <v>129</v>
      </c>
    </row>
    <row r="900" spans="1:1" x14ac:dyDescent="0.4">
      <c r="A900" t="s">
        <v>129</v>
      </c>
    </row>
    <row r="901" spans="1:1" x14ac:dyDescent="0.4">
      <c r="A901" t="s">
        <v>129</v>
      </c>
    </row>
    <row r="902" spans="1:1" x14ac:dyDescent="0.4">
      <c r="A902" t="s">
        <v>129</v>
      </c>
    </row>
    <row r="903" spans="1:1" x14ac:dyDescent="0.4">
      <c r="A903" t="s">
        <v>129</v>
      </c>
    </row>
    <row r="904" spans="1:1" x14ac:dyDescent="0.4">
      <c r="A904" t="s">
        <v>129</v>
      </c>
    </row>
    <row r="905" spans="1:1" x14ac:dyDescent="0.4">
      <c r="A905" t="s">
        <v>129</v>
      </c>
    </row>
    <row r="906" spans="1:1" x14ac:dyDescent="0.4">
      <c r="A906" t="s">
        <v>129</v>
      </c>
    </row>
    <row r="907" spans="1:1" x14ac:dyDescent="0.4">
      <c r="A907" t="s">
        <v>129</v>
      </c>
    </row>
    <row r="908" spans="1:1" x14ac:dyDescent="0.4">
      <c r="A908" t="s">
        <v>129</v>
      </c>
    </row>
    <row r="909" spans="1:1" x14ac:dyDescent="0.4">
      <c r="A909" t="s">
        <v>129</v>
      </c>
    </row>
    <row r="910" spans="1:1" x14ac:dyDescent="0.4">
      <c r="A910" t="s">
        <v>129</v>
      </c>
    </row>
    <row r="911" spans="1:1" x14ac:dyDescent="0.4">
      <c r="A911" t="s">
        <v>129</v>
      </c>
    </row>
    <row r="912" spans="1:1" x14ac:dyDescent="0.4">
      <c r="A912" t="s">
        <v>129</v>
      </c>
    </row>
    <row r="913" spans="1:1" x14ac:dyDescent="0.4">
      <c r="A913" t="s">
        <v>129</v>
      </c>
    </row>
    <row r="914" spans="1:1" x14ac:dyDescent="0.4">
      <c r="A914" t="s">
        <v>129</v>
      </c>
    </row>
    <row r="915" spans="1:1" x14ac:dyDescent="0.4">
      <c r="A915" t="s">
        <v>129</v>
      </c>
    </row>
    <row r="916" spans="1:1" x14ac:dyDescent="0.4">
      <c r="A916" t="s">
        <v>129</v>
      </c>
    </row>
    <row r="917" spans="1:1" x14ac:dyDescent="0.4">
      <c r="A917" t="s">
        <v>129</v>
      </c>
    </row>
    <row r="918" spans="1:1" x14ac:dyDescent="0.4">
      <c r="A918" t="s">
        <v>129</v>
      </c>
    </row>
    <row r="919" spans="1:1" x14ac:dyDescent="0.4">
      <c r="A919" t="s">
        <v>129</v>
      </c>
    </row>
    <row r="920" spans="1:1" x14ac:dyDescent="0.4">
      <c r="A920" t="s">
        <v>129</v>
      </c>
    </row>
    <row r="921" spans="1:1" x14ac:dyDescent="0.4">
      <c r="A921" t="s">
        <v>129</v>
      </c>
    </row>
    <row r="922" spans="1:1" x14ac:dyDescent="0.4">
      <c r="A922" t="s">
        <v>129</v>
      </c>
    </row>
    <row r="923" spans="1:1" x14ac:dyDescent="0.4">
      <c r="A923" t="s">
        <v>129</v>
      </c>
    </row>
    <row r="924" spans="1:1" x14ac:dyDescent="0.4">
      <c r="A924" t="s">
        <v>129</v>
      </c>
    </row>
    <row r="925" spans="1:1" x14ac:dyDescent="0.4">
      <c r="A925" t="s">
        <v>129</v>
      </c>
    </row>
    <row r="926" spans="1:1" x14ac:dyDescent="0.4">
      <c r="A926" t="s">
        <v>129</v>
      </c>
    </row>
    <row r="927" spans="1:1" x14ac:dyDescent="0.4">
      <c r="A927" t="s">
        <v>129</v>
      </c>
    </row>
    <row r="928" spans="1:1" x14ac:dyDescent="0.4">
      <c r="A928" t="s">
        <v>129</v>
      </c>
    </row>
    <row r="929" spans="1:1" x14ac:dyDescent="0.4">
      <c r="A929" t="s">
        <v>129</v>
      </c>
    </row>
    <row r="930" spans="1:1" x14ac:dyDescent="0.4">
      <c r="A930" t="s">
        <v>129</v>
      </c>
    </row>
    <row r="931" spans="1:1" x14ac:dyDescent="0.4">
      <c r="A931" t="s">
        <v>129</v>
      </c>
    </row>
    <row r="932" spans="1:1" x14ac:dyDescent="0.4">
      <c r="A932" t="s">
        <v>129</v>
      </c>
    </row>
    <row r="933" spans="1:1" x14ac:dyDescent="0.4">
      <c r="A933" t="s">
        <v>129</v>
      </c>
    </row>
    <row r="934" spans="1:1" x14ac:dyDescent="0.4">
      <c r="A934" t="s">
        <v>129</v>
      </c>
    </row>
    <row r="935" spans="1:1" x14ac:dyDescent="0.4">
      <c r="A935" t="s">
        <v>129</v>
      </c>
    </row>
    <row r="936" spans="1:1" x14ac:dyDescent="0.4">
      <c r="A936" t="s">
        <v>129</v>
      </c>
    </row>
    <row r="937" spans="1:1" x14ac:dyDescent="0.4">
      <c r="A937" t="s">
        <v>129</v>
      </c>
    </row>
    <row r="938" spans="1:1" x14ac:dyDescent="0.4">
      <c r="A938" t="s">
        <v>129</v>
      </c>
    </row>
    <row r="939" spans="1:1" x14ac:dyDescent="0.4">
      <c r="A939" t="s">
        <v>129</v>
      </c>
    </row>
    <row r="940" spans="1:1" x14ac:dyDescent="0.4">
      <c r="A940" t="s">
        <v>129</v>
      </c>
    </row>
    <row r="941" spans="1:1" x14ac:dyDescent="0.4">
      <c r="A941" t="s">
        <v>129</v>
      </c>
    </row>
    <row r="942" spans="1:1" x14ac:dyDescent="0.4">
      <c r="A942" t="s">
        <v>129</v>
      </c>
    </row>
    <row r="943" spans="1:1" x14ac:dyDescent="0.4">
      <c r="A943" t="s">
        <v>129</v>
      </c>
    </row>
    <row r="944" spans="1:1" x14ac:dyDescent="0.4">
      <c r="A944" t="s">
        <v>129</v>
      </c>
    </row>
    <row r="945" spans="1:1" x14ac:dyDescent="0.4">
      <c r="A945" t="s">
        <v>129</v>
      </c>
    </row>
    <row r="946" spans="1:1" x14ac:dyDescent="0.4">
      <c r="A946" t="s">
        <v>129</v>
      </c>
    </row>
    <row r="947" spans="1:1" x14ac:dyDescent="0.4">
      <c r="A947" t="s">
        <v>129</v>
      </c>
    </row>
    <row r="948" spans="1:1" x14ac:dyDescent="0.4">
      <c r="A948" t="s">
        <v>129</v>
      </c>
    </row>
    <row r="949" spans="1:1" x14ac:dyDescent="0.4">
      <c r="A949" t="s">
        <v>129</v>
      </c>
    </row>
    <row r="950" spans="1:1" x14ac:dyDescent="0.4">
      <c r="A950" t="s">
        <v>6277</v>
      </c>
    </row>
    <row r="951" spans="1:1" x14ac:dyDescent="0.4">
      <c r="A951" t="s">
        <v>5623</v>
      </c>
    </row>
    <row r="952" spans="1:1" x14ac:dyDescent="0.4">
      <c r="A952" t="s">
        <v>7395</v>
      </c>
    </row>
    <row r="953" spans="1:1" x14ac:dyDescent="0.4">
      <c r="A953" t="s">
        <v>1314</v>
      </c>
    </row>
    <row r="954" spans="1:1" x14ac:dyDescent="0.4">
      <c r="A954" t="s">
        <v>4334</v>
      </c>
    </row>
    <row r="955" spans="1:1" x14ac:dyDescent="0.4">
      <c r="A955" t="s">
        <v>5677</v>
      </c>
    </row>
    <row r="956" spans="1:1" x14ac:dyDescent="0.4">
      <c r="A956" t="s">
        <v>5691</v>
      </c>
    </row>
    <row r="957" spans="1:1" x14ac:dyDescent="0.4">
      <c r="A957" t="s">
        <v>5199</v>
      </c>
    </row>
    <row r="958" spans="1:1" x14ac:dyDescent="0.4">
      <c r="A958" t="s">
        <v>5464</v>
      </c>
    </row>
    <row r="959" spans="1:1" x14ac:dyDescent="0.4">
      <c r="A959" t="s">
        <v>5464</v>
      </c>
    </row>
    <row r="960" spans="1:1" x14ac:dyDescent="0.4">
      <c r="A960" t="s">
        <v>4949</v>
      </c>
    </row>
    <row r="961" spans="1:1" x14ac:dyDescent="0.4">
      <c r="A961" t="s">
        <v>4975</v>
      </c>
    </row>
    <row r="962" spans="1:1" x14ac:dyDescent="0.4">
      <c r="A962" t="s">
        <v>585</v>
      </c>
    </row>
    <row r="963" spans="1:1" x14ac:dyDescent="0.4">
      <c r="A963" t="s">
        <v>4237</v>
      </c>
    </row>
    <row r="964" spans="1:1" x14ac:dyDescent="0.4">
      <c r="A964" t="s">
        <v>900</v>
      </c>
    </row>
    <row r="965" spans="1:1" x14ac:dyDescent="0.4">
      <c r="A965" t="s">
        <v>900</v>
      </c>
    </row>
    <row r="966" spans="1:1" x14ac:dyDescent="0.4">
      <c r="A966" t="s">
        <v>900</v>
      </c>
    </row>
    <row r="967" spans="1:1" x14ac:dyDescent="0.4">
      <c r="A967" t="s">
        <v>900</v>
      </c>
    </row>
    <row r="968" spans="1:1" x14ac:dyDescent="0.4">
      <c r="A968" t="s">
        <v>1961</v>
      </c>
    </row>
    <row r="969" spans="1:1" x14ac:dyDescent="0.4">
      <c r="A969" t="s">
        <v>1961</v>
      </c>
    </row>
    <row r="970" spans="1:1" x14ac:dyDescent="0.4">
      <c r="A970" t="s">
        <v>356</v>
      </c>
    </row>
    <row r="971" spans="1:1" x14ac:dyDescent="0.4">
      <c r="A971" t="s">
        <v>356</v>
      </c>
    </row>
    <row r="972" spans="1:1" x14ac:dyDescent="0.4">
      <c r="A972" t="s">
        <v>356</v>
      </c>
    </row>
    <row r="973" spans="1:1" x14ac:dyDescent="0.4">
      <c r="A973" t="s">
        <v>356</v>
      </c>
    </row>
    <row r="974" spans="1:1" x14ac:dyDescent="0.4">
      <c r="A974" t="s">
        <v>356</v>
      </c>
    </row>
    <row r="975" spans="1:1" x14ac:dyDescent="0.4">
      <c r="A975" t="s">
        <v>356</v>
      </c>
    </row>
    <row r="976" spans="1:1" x14ac:dyDescent="0.4">
      <c r="A976" t="s">
        <v>356</v>
      </c>
    </row>
    <row r="977" spans="1:1" x14ac:dyDescent="0.4">
      <c r="A977" t="s">
        <v>356</v>
      </c>
    </row>
    <row r="978" spans="1:1" x14ac:dyDescent="0.4">
      <c r="A978" t="s">
        <v>7544</v>
      </c>
    </row>
    <row r="979" spans="1:1" x14ac:dyDescent="0.4">
      <c r="A979" t="s">
        <v>5260</v>
      </c>
    </row>
    <row r="980" spans="1:1" x14ac:dyDescent="0.4">
      <c r="A980" t="s">
        <v>3489</v>
      </c>
    </row>
    <row r="981" spans="1:1" x14ac:dyDescent="0.4">
      <c r="A981" t="s">
        <v>6225</v>
      </c>
    </row>
    <row r="982" spans="1:1" x14ac:dyDescent="0.4">
      <c r="A982" t="s">
        <v>6829</v>
      </c>
    </row>
    <row r="983" spans="1:1" x14ac:dyDescent="0.4">
      <c r="A983" t="s">
        <v>6282</v>
      </c>
    </row>
    <row r="984" spans="1:1" x14ac:dyDescent="0.4">
      <c r="A984" t="s">
        <v>801</v>
      </c>
    </row>
    <row r="985" spans="1:1" x14ac:dyDescent="0.4">
      <c r="A985" t="s">
        <v>801</v>
      </c>
    </row>
    <row r="986" spans="1:1" x14ac:dyDescent="0.4">
      <c r="A986" t="s">
        <v>801</v>
      </c>
    </row>
    <row r="987" spans="1:1" x14ac:dyDescent="0.4">
      <c r="A987" t="s">
        <v>801</v>
      </c>
    </row>
    <row r="988" spans="1:1" x14ac:dyDescent="0.4">
      <c r="A988" t="s">
        <v>801</v>
      </c>
    </row>
    <row r="989" spans="1:1" x14ac:dyDescent="0.4">
      <c r="A989" t="s">
        <v>6538</v>
      </c>
    </row>
    <row r="990" spans="1:1" x14ac:dyDescent="0.4">
      <c r="A990" t="s">
        <v>6846</v>
      </c>
    </row>
    <row r="991" spans="1:1" x14ac:dyDescent="0.4">
      <c r="A991" t="s">
        <v>6850</v>
      </c>
    </row>
    <row r="992" spans="1:1" x14ac:dyDescent="0.4">
      <c r="A992" t="s">
        <v>6855</v>
      </c>
    </row>
    <row r="993" spans="1:1" x14ac:dyDescent="0.4">
      <c r="A993" t="s">
        <v>3386</v>
      </c>
    </row>
    <row r="994" spans="1:1" x14ac:dyDescent="0.4">
      <c r="A994" t="s">
        <v>5154</v>
      </c>
    </row>
    <row r="995" spans="1:1" x14ac:dyDescent="0.4">
      <c r="A995" t="s">
        <v>5234</v>
      </c>
    </row>
    <row r="996" spans="1:1" x14ac:dyDescent="0.4">
      <c r="A996" t="s">
        <v>6443</v>
      </c>
    </row>
    <row r="997" spans="1:1" x14ac:dyDescent="0.4">
      <c r="A997" t="s">
        <v>6443</v>
      </c>
    </row>
    <row r="998" spans="1:1" x14ac:dyDescent="0.4">
      <c r="A998" t="s">
        <v>3308</v>
      </c>
    </row>
    <row r="999" spans="1:1" x14ac:dyDescent="0.4">
      <c r="A999" t="s">
        <v>3456</v>
      </c>
    </row>
    <row r="1000" spans="1:1" x14ac:dyDescent="0.4">
      <c r="A1000" t="s">
        <v>5093</v>
      </c>
    </row>
    <row r="1001" spans="1:1" x14ac:dyDescent="0.4">
      <c r="A1001" t="s">
        <v>791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Emitters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Köhler</dc:creator>
  <cp:lastModifiedBy>Alexander Köhler</cp:lastModifiedBy>
  <dcterms:created xsi:type="dcterms:W3CDTF">2025-01-26T20:33:51Z</dcterms:created>
  <dcterms:modified xsi:type="dcterms:W3CDTF">2025-01-26T20:33:51Z</dcterms:modified>
</cp:coreProperties>
</file>