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Pichau\Documents\PowerBI\Fabrica Gelo\"/>
    </mc:Choice>
  </mc:AlternateContent>
  <xr:revisionPtr revIDLastSave="0" documentId="13_ncr:1_{6A725E1F-B1DA-4729-A621-D6D277454694}" xr6:coauthVersionLast="47" xr6:coauthVersionMax="47" xr10:uidLastSave="{00000000-0000-0000-0000-000000000000}"/>
  <bookViews>
    <workbookView xWindow="-120" yWindow="-120" windowWidth="24240" windowHeight="13740" activeTab="6" xr2:uid="{C2E114F1-953B-4F7B-A392-C07B646B363A}"/>
  </bookViews>
  <sheets>
    <sheet name="Produto e Custo de Produção" sheetId="2" r:id="rId1"/>
    <sheet name="Clientes" sheetId="3" r:id="rId2"/>
    <sheet name="Gastos Fixos" sheetId="5" r:id="rId3"/>
    <sheet name="Vendas" sheetId="1" r:id="rId4"/>
    <sheet name="Produção" sheetId="7" r:id="rId5"/>
    <sheet name="Estoque" sheetId="8" r:id="rId6"/>
    <sheet name="Manutenção" sheetId="6" r:id="rId7"/>
    <sheet name="Info" sheetId="4" r:id="rId8"/>
  </sheets>
  <definedNames>
    <definedName name="_xlnm._FilterDatabase" localSheetId="1" hidden="1">Clientes!$B$1:$I$1</definedName>
    <definedName name="_xlnm._FilterDatabase" localSheetId="3" hidden="1">Vendas!$B$1:$I$205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2" l="1"/>
  <c r="H2" i="1"/>
  <c r="K2" i="1" s="1"/>
  <c r="I3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" i="1"/>
  <c r="I2" i="2"/>
  <c r="G2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E3" i="2"/>
  <c r="E2" i="2"/>
  <c r="H54" i="1"/>
  <c r="I54" i="1" s="1"/>
  <c r="M54" i="1" s="1"/>
  <c r="H55" i="1"/>
  <c r="K55" i="1" s="1"/>
  <c r="H56" i="1"/>
  <c r="I56" i="1" s="1"/>
  <c r="M56" i="1" s="1"/>
  <c r="H57" i="1"/>
  <c r="I57" i="1" s="1"/>
  <c r="H58" i="1"/>
  <c r="I58" i="1" s="1"/>
  <c r="H59" i="1"/>
  <c r="I59" i="1" s="1"/>
  <c r="M59" i="1" s="1"/>
  <c r="H60" i="1"/>
  <c r="K60" i="1" s="1"/>
  <c r="H61" i="1"/>
  <c r="K61" i="1" s="1"/>
  <c r="H62" i="1"/>
  <c r="K62" i="1" s="1"/>
  <c r="H63" i="1"/>
  <c r="I63" i="1" s="1"/>
  <c r="H64" i="1"/>
  <c r="I64" i="1" s="1"/>
  <c r="H65" i="1"/>
  <c r="I65" i="1" s="1"/>
  <c r="M65" i="1" s="1"/>
  <c r="H66" i="1"/>
  <c r="J66" i="1" s="1"/>
  <c r="H67" i="1"/>
  <c r="J67" i="1" s="1"/>
  <c r="H68" i="1"/>
  <c r="J68" i="1" s="1"/>
  <c r="H69" i="1"/>
  <c r="J69" i="1" s="1"/>
  <c r="H70" i="1"/>
  <c r="J70" i="1" s="1"/>
  <c r="H71" i="1"/>
  <c r="J71" i="1" s="1"/>
  <c r="H72" i="1"/>
  <c r="J72" i="1" s="1"/>
  <c r="H73" i="1"/>
  <c r="J73" i="1" s="1"/>
  <c r="H74" i="1"/>
  <c r="J74" i="1" s="1"/>
  <c r="H75" i="1"/>
  <c r="J75" i="1" s="1"/>
  <c r="H76" i="1"/>
  <c r="J76" i="1" s="1"/>
  <c r="H77" i="1"/>
  <c r="J77" i="1" s="1"/>
  <c r="H78" i="1"/>
  <c r="J78" i="1" s="1"/>
  <c r="H79" i="1"/>
  <c r="J79" i="1" s="1"/>
  <c r="H80" i="1"/>
  <c r="J80" i="1" s="1"/>
  <c r="H81" i="1"/>
  <c r="J81" i="1" s="1"/>
  <c r="H82" i="1"/>
  <c r="J82" i="1" s="1"/>
  <c r="H83" i="1"/>
  <c r="J83" i="1" s="1"/>
  <c r="H84" i="1"/>
  <c r="J84" i="1" s="1"/>
  <c r="H85" i="1"/>
  <c r="J85" i="1" s="1"/>
  <c r="H86" i="1"/>
  <c r="J86" i="1" s="1"/>
  <c r="H87" i="1"/>
  <c r="J87" i="1" s="1"/>
  <c r="H88" i="1"/>
  <c r="J88" i="1" s="1"/>
  <c r="H89" i="1"/>
  <c r="J89" i="1" s="1"/>
  <c r="H90" i="1"/>
  <c r="J90" i="1" s="1"/>
  <c r="H91" i="1"/>
  <c r="J91" i="1" s="1"/>
  <c r="H92" i="1"/>
  <c r="J92" i="1" s="1"/>
  <c r="H93" i="1"/>
  <c r="J93" i="1" s="1"/>
  <c r="H94" i="1"/>
  <c r="J94" i="1" s="1"/>
  <c r="H95" i="1"/>
  <c r="J95" i="1" s="1"/>
  <c r="H96" i="1"/>
  <c r="J96" i="1" s="1"/>
  <c r="H97" i="1"/>
  <c r="J97" i="1" s="1"/>
  <c r="H98" i="1"/>
  <c r="J98" i="1" s="1"/>
  <c r="H99" i="1"/>
  <c r="J99" i="1" s="1"/>
  <c r="H100" i="1"/>
  <c r="J100" i="1" s="1"/>
  <c r="H101" i="1"/>
  <c r="J101" i="1" s="1"/>
  <c r="H102" i="1"/>
  <c r="J102" i="1" s="1"/>
  <c r="H103" i="1"/>
  <c r="J103" i="1" s="1"/>
  <c r="H104" i="1"/>
  <c r="J104" i="1" s="1"/>
  <c r="H105" i="1"/>
  <c r="J105" i="1" s="1"/>
  <c r="H106" i="1"/>
  <c r="J106" i="1" s="1"/>
  <c r="H107" i="1"/>
  <c r="J107" i="1" s="1"/>
  <c r="H108" i="1"/>
  <c r="J108" i="1" s="1"/>
  <c r="H109" i="1"/>
  <c r="J109" i="1" s="1"/>
  <c r="H110" i="1"/>
  <c r="J110" i="1" s="1"/>
  <c r="H111" i="1"/>
  <c r="J111" i="1" s="1"/>
  <c r="H112" i="1"/>
  <c r="J112" i="1" s="1"/>
  <c r="H113" i="1"/>
  <c r="J113" i="1" s="1"/>
  <c r="H114" i="1"/>
  <c r="J114" i="1" s="1"/>
  <c r="H115" i="1"/>
  <c r="J115" i="1" s="1"/>
  <c r="H116" i="1"/>
  <c r="J116" i="1" s="1"/>
  <c r="H117" i="1"/>
  <c r="J117" i="1" s="1"/>
  <c r="H118" i="1"/>
  <c r="J118" i="1" s="1"/>
  <c r="H119" i="1"/>
  <c r="J119" i="1" s="1"/>
  <c r="H120" i="1"/>
  <c r="J120" i="1" s="1"/>
  <c r="H121" i="1"/>
  <c r="J121" i="1" s="1"/>
  <c r="H122" i="1"/>
  <c r="J122" i="1" s="1"/>
  <c r="H123" i="1"/>
  <c r="J123" i="1" s="1"/>
  <c r="H124" i="1"/>
  <c r="J124" i="1" s="1"/>
  <c r="H125" i="1"/>
  <c r="J125" i="1" s="1"/>
  <c r="H126" i="1"/>
  <c r="J126" i="1" s="1"/>
  <c r="H127" i="1"/>
  <c r="J127" i="1" s="1"/>
  <c r="H128" i="1"/>
  <c r="J128" i="1" s="1"/>
  <c r="H129" i="1"/>
  <c r="J129" i="1" s="1"/>
  <c r="H130" i="1"/>
  <c r="J130" i="1" s="1"/>
  <c r="H131" i="1"/>
  <c r="J131" i="1" s="1"/>
  <c r="H132" i="1"/>
  <c r="J132" i="1" s="1"/>
  <c r="H133" i="1"/>
  <c r="J133" i="1" s="1"/>
  <c r="H134" i="1"/>
  <c r="J134" i="1" s="1"/>
  <c r="H135" i="1"/>
  <c r="J135" i="1" s="1"/>
  <c r="H136" i="1"/>
  <c r="J136" i="1" s="1"/>
  <c r="H137" i="1"/>
  <c r="J137" i="1" s="1"/>
  <c r="H138" i="1"/>
  <c r="J138" i="1" s="1"/>
  <c r="H139" i="1"/>
  <c r="J139" i="1" s="1"/>
  <c r="H140" i="1"/>
  <c r="J140" i="1" s="1"/>
  <c r="H141" i="1"/>
  <c r="J141" i="1" s="1"/>
  <c r="H142" i="1"/>
  <c r="J142" i="1" s="1"/>
  <c r="H143" i="1"/>
  <c r="J143" i="1" s="1"/>
  <c r="H144" i="1"/>
  <c r="J144" i="1" s="1"/>
  <c r="H145" i="1"/>
  <c r="J145" i="1" s="1"/>
  <c r="H146" i="1"/>
  <c r="J146" i="1" s="1"/>
  <c r="H147" i="1"/>
  <c r="J147" i="1" s="1"/>
  <c r="H148" i="1"/>
  <c r="J148" i="1" s="1"/>
  <c r="H149" i="1"/>
  <c r="J149" i="1" s="1"/>
  <c r="H150" i="1"/>
  <c r="J150" i="1" s="1"/>
  <c r="H151" i="1"/>
  <c r="J151" i="1" s="1"/>
  <c r="H152" i="1"/>
  <c r="J152" i="1" s="1"/>
  <c r="H153" i="1"/>
  <c r="J153" i="1" s="1"/>
  <c r="H154" i="1"/>
  <c r="J154" i="1" s="1"/>
  <c r="H155" i="1"/>
  <c r="J155" i="1" s="1"/>
  <c r="H156" i="1"/>
  <c r="J156" i="1" s="1"/>
  <c r="H157" i="1"/>
  <c r="J157" i="1" s="1"/>
  <c r="H158" i="1"/>
  <c r="J158" i="1" s="1"/>
  <c r="H159" i="1"/>
  <c r="J159" i="1" s="1"/>
  <c r="H160" i="1"/>
  <c r="J160" i="1" s="1"/>
  <c r="H161" i="1"/>
  <c r="J161" i="1" s="1"/>
  <c r="H162" i="1"/>
  <c r="J162" i="1" s="1"/>
  <c r="H163" i="1"/>
  <c r="J163" i="1" s="1"/>
  <c r="H164" i="1"/>
  <c r="J164" i="1" s="1"/>
  <c r="H165" i="1"/>
  <c r="J165" i="1" s="1"/>
  <c r="H166" i="1"/>
  <c r="J166" i="1" s="1"/>
  <c r="H167" i="1"/>
  <c r="J167" i="1" s="1"/>
  <c r="H168" i="1"/>
  <c r="J168" i="1" s="1"/>
  <c r="H169" i="1"/>
  <c r="J169" i="1" s="1"/>
  <c r="H170" i="1"/>
  <c r="J170" i="1" s="1"/>
  <c r="H171" i="1"/>
  <c r="J171" i="1" s="1"/>
  <c r="H172" i="1"/>
  <c r="J172" i="1" s="1"/>
  <c r="H173" i="1"/>
  <c r="J173" i="1" s="1"/>
  <c r="H174" i="1"/>
  <c r="J174" i="1" s="1"/>
  <c r="H175" i="1"/>
  <c r="J175" i="1" s="1"/>
  <c r="H176" i="1"/>
  <c r="J176" i="1" s="1"/>
  <c r="H177" i="1"/>
  <c r="J177" i="1" s="1"/>
  <c r="H178" i="1"/>
  <c r="J178" i="1" s="1"/>
  <c r="H179" i="1"/>
  <c r="J179" i="1" s="1"/>
  <c r="H180" i="1"/>
  <c r="J180" i="1" s="1"/>
  <c r="H181" i="1"/>
  <c r="J181" i="1" s="1"/>
  <c r="H182" i="1"/>
  <c r="J182" i="1" s="1"/>
  <c r="H183" i="1"/>
  <c r="J183" i="1" s="1"/>
  <c r="H184" i="1"/>
  <c r="J184" i="1" s="1"/>
  <c r="H185" i="1"/>
  <c r="J185" i="1" s="1"/>
  <c r="H186" i="1"/>
  <c r="J186" i="1" s="1"/>
  <c r="H187" i="1"/>
  <c r="J187" i="1" s="1"/>
  <c r="H188" i="1"/>
  <c r="J188" i="1" s="1"/>
  <c r="H189" i="1"/>
  <c r="J189" i="1" s="1"/>
  <c r="H190" i="1"/>
  <c r="J190" i="1" s="1"/>
  <c r="H191" i="1"/>
  <c r="J191" i="1" s="1"/>
  <c r="H192" i="1"/>
  <c r="J192" i="1" s="1"/>
  <c r="H193" i="1"/>
  <c r="J193" i="1" s="1"/>
  <c r="H194" i="1"/>
  <c r="J194" i="1" s="1"/>
  <c r="H195" i="1"/>
  <c r="J195" i="1" s="1"/>
  <c r="H196" i="1"/>
  <c r="J196" i="1" s="1"/>
  <c r="H197" i="1"/>
  <c r="J197" i="1" s="1"/>
  <c r="H198" i="1"/>
  <c r="J198" i="1" s="1"/>
  <c r="H199" i="1"/>
  <c r="J199" i="1" s="1"/>
  <c r="H200" i="1"/>
  <c r="J200" i="1" s="1"/>
  <c r="H201" i="1"/>
  <c r="J201" i="1" s="1"/>
  <c r="H202" i="1"/>
  <c r="J202" i="1" s="1"/>
  <c r="H203" i="1"/>
  <c r="J203" i="1" s="1"/>
  <c r="H204" i="1"/>
  <c r="J204" i="1" s="1"/>
  <c r="H205" i="1"/>
  <c r="J205" i="1" s="1"/>
  <c r="I66" i="1"/>
  <c r="M66" i="1" s="1"/>
  <c r="I67" i="1"/>
  <c r="M67" i="1" s="1"/>
  <c r="I68" i="1"/>
  <c r="M68" i="1" s="1"/>
  <c r="I69" i="1"/>
  <c r="M69" i="1" s="1"/>
  <c r="I70" i="1"/>
  <c r="M70" i="1" s="1"/>
  <c r="I71" i="1"/>
  <c r="M71" i="1" s="1"/>
  <c r="I72" i="1"/>
  <c r="M72" i="1" s="1"/>
  <c r="I73" i="1"/>
  <c r="M73" i="1" s="1"/>
  <c r="I74" i="1"/>
  <c r="M74" i="1" s="1"/>
  <c r="I75" i="1"/>
  <c r="M75" i="1" s="1"/>
  <c r="I76" i="1"/>
  <c r="M76" i="1" s="1"/>
  <c r="I77" i="1"/>
  <c r="M77" i="1" s="1"/>
  <c r="I78" i="1"/>
  <c r="M78" i="1" s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D3" i="2"/>
  <c r="D2" i="2"/>
  <c r="F2" i="2"/>
  <c r="G2" i="2" s="1"/>
  <c r="F3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H16" i="1"/>
  <c r="I16" i="1" s="1"/>
  <c r="M16" i="1" s="1"/>
  <c r="H17" i="1"/>
  <c r="I17" i="1" s="1"/>
  <c r="M17" i="1" s="1"/>
  <c r="H13" i="1"/>
  <c r="I13" i="1" s="1"/>
  <c r="M13" i="1" s="1"/>
  <c r="H14" i="1"/>
  <c r="I14" i="1" s="1"/>
  <c r="M14" i="1" s="1"/>
  <c r="H15" i="1"/>
  <c r="I15" i="1" s="1"/>
  <c r="M15" i="1" s="1"/>
  <c r="H8" i="1"/>
  <c r="I8" i="1" s="1"/>
  <c r="M8" i="1" s="1"/>
  <c r="H9" i="1"/>
  <c r="I9" i="1" s="1"/>
  <c r="M9" i="1" s="1"/>
  <c r="H10" i="1"/>
  <c r="I10" i="1" s="1"/>
  <c r="M10" i="1" s="1"/>
  <c r="H11" i="1"/>
  <c r="I11" i="1" s="1"/>
  <c r="M11" i="1" s="1"/>
  <c r="H12" i="1"/>
  <c r="I12" i="1" s="1"/>
  <c r="M12" i="1" s="1"/>
  <c r="H3" i="1"/>
  <c r="I3" i="1" s="1"/>
  <c r="M3" i="1" s="1"/>
  <c r="H4" i="1"/>
  <c r="I4" i="1" s="1"/>
  <c r="M4" i="1" s="1"/>
  <c r="H5" i="1"/>
  <c r="I5" i="1" s="1"/>
  <c r="H6" i="1"/>
  <c r="I6" i="1" s="1"/>
  <c r="M6" i="1" s="1"/>
  <c r="H7" i="1"/>
  <c r="I7" i="1" s="1"/>
  <c r="M7" i="1" s="1"/>
  <c r="H18" i="1"/>
  <c r="I18" i="1" s="1"/>
  <c r="M18" i="1" s="1"/>
  <c r="H19" i="1"/>
  <c r="I19" i="1" s="1"/>
  <c r="M19" i="1" s="1"/>
  <c r="H20" i="1"/>
  <c r="I20" i="1" s="1"/>
  <c r="M20" i="1" s="1"/>
  <c r="H21" i="1"/>
  <c r="I21" i="1" s="1"/>
  <c r="M21" i="1" s="1"/>
  <c r="H22" i="1"/>
  <c r="I22" i="1" s="1"/>
  <c r="M22" i="1" s="1"/>
  <c r="H23" i="1"/>
  <c r="I23" i="1" s="1"/>
  <c r="M23" i="1" s="1"/>
  <c r="H24" i="1"/>
  <c r="I24" i="1" s="1"/>
  <c r="H25" i="1"/>
  <c r="I25" i="1" s="1"/>
  <c r="M25" i="1" s="1"/>
  <c r="H26" i="1"/>
  <c r="I26" i="1" s="1"/>
  <c r="M26" i="1" s="1"/>
  <c r="H27" i="1"/>
  <c r="I27" i="1" s="1"/>
  <c r="M27" i="1" s="1"/>
  <c r="H28" i="1"/>
  <c r="I28" i="1" s="1"/>
  <c r="M28" i="1" s="1"/>
  <c r="H29" i="1"/>
  <c r="I29" i="1" s="1"/>
  <c r="M29" i="1" s="1"/>
  <c r="H30" i="1"/>
  <c r="I30" i="1" s="1"/>
  <c r="M30" i="1" s="1"/>
  <c r="H31" i="1"/>
  <c r="I31" i="1" s="1"/>
  <c r="M31" i="1" s="1"/>
  <c r="H32" i="1"/>
  <c r="I32" i="1" s="1"/>
  <c r="M32" i="1" s="1"/>
  <c r="H33" i="1"/>
  <c r="I33" i="1" s="1"/>
  <c r="M33" i="1" s="1"/>
  <c r="H34" i="1"/>
  <c r="I34" i="1" s="1"/>
  <c r="H35" i="1"/>
  <c r="I35" i="1" s="1"/>
  <c r="H36" i="1"/>
  <c r="I36" i="1" s="1"/>
  <c r="M36" i="1" s="1"/>
  <c r="H37" i="1"/>
  <c r="I37" i="1" s="1"/>
  <c r="M37" i="1" s="1"/>
  <c r="H38" i="1"/>
  <c r="I38" i="1" s="1"/>
  <c r="M38" i="1" s="1"/>
  <c r="H39" i="1"/>
  <c r="I39" i="1" s="1"/>
  <c r="M39" i="1" s="1"/>
  <c r="H40" i="1"/>
  <c r="I40" i="1" s="1"/>
  <c r="M40" i="1" s="1"/>
  <c r="H41" i="1"/>
  <c r="I41" i="1" s="1"/>
  <c r="M41" i="1" s="1"/>
  <c r="H42" i="1"/>
  <c r="I42" i="1" s="1"/>
  <c r="M42" i="1" s="1"/>
  <c r="H43" i="1"/>
  <c r="I43" i="1" s="1"/>
  <c r="M43" i="1" s="1"/>
  <c r="H44" i="1"/>
  <c r="I44" i="1" s="1"/>
  <c r="M44" i="1" s="1"/>
  <c r="H45" i="1"/>
  <c r="I45" i="1" s="1"/>
  <c r="M45" i="1" s="1"/>
  <c r="H46" i="1"/>
  <c r="I46" i="1" s="1"/>
  <c r="M46" i="1" s="1"/>
  <c r="H47" i="1"/>
  <c r="I47" i="1" s="1"/>
  <c r="M47" i="1" s="1"/>
  <c r="H48" i="1"/>
  <c r="I48" i="1" s="1"/>
  <c r="M48" i="1" s="1"/>
  <c r="H49" i="1"/>
  <c r="I49" i="1" s="1"/>
  <c r="M49" i="1" s="1"/>
  <c r="H50" i="1"/>
  <c r="I50" i="1" s="1"/>
  <c r="M50" i="1" s="1"/>
  <c r="H51" i="1"/>
  <c r="I51" i="1" s="1"/>
  <c r="M51" i="1" s="1"/>
  <c r="H52" i="1"/>
  <c r="I52" i="1" s="1"/>
  <c r="M52" i="1" s="1"/>
  <c r="H53" i="1"/>
  <c r="I53" i="1" s="1"/>
  <c r="M53" i="1" s="1"/>
  <c r="N76" i="1" l="1"/>
  <c r="O78" i="1"/>
  <c r="O75" i="1"/>
  <c r="O72" i="1"/>
  <c r="O70" i="1"/>
  <c r="O67" i="1"/>
  <c r="O77" i="1"/>
  <c r="O69" i="1"/>
  <c r="P76" i="1"/>
  <c r="O73" i="1"/>
  <c r="O76" i="1"/>
  <c r="O74" i="1"/>
  <c r="O71" i="1"/>
  <c r="O68" i="1"/>
  <c r="O66" i="1"/>
  <c r="D2" i="8"/>
  <c r="E2" i="8" s="1"/>
  <c r="K3" i="1"/>
  <c r="J2" i="1"/>
  <c r="I2" i="1"/>
  <c r="D3" i="8"/>
  <c r="E3" i="8" s="1"/>
  <c r="K68" i="1"/>
  <c r="N68" i="1" s="1"/>
  <c r="P68" i="1" s="1"/>
  <c r="K104" i="1"/>
  <c r="K140" i="1"/>
  <c r="K176" i="1"/>
  <c r="K74" i="1"/>
  <c r="N74" i="1" s="1"/>
  <c r="P74" i="1" s="1"/>
  <c r="K110" i="1"/>
  <c r="K146" i="1"/>
  <c r="K182" i="1"/>
  <c r="K11" i="1"/>
  <c r="K80" i="1"/>
  <c r="K116" i="1"/>
  <c r="K152" i="1"/>
  <c r="K188" i="1"/>
  <c r="K33" i="1"/>
  <c r="K86" i="1"/>
  <c r="K122" i="1"/>
  <c r="K158" i="1"/>
  <c r="K194" i="1"/>
  <c r="K45" i="1"/>
  <c r="K92" i="1"/>
  <c r="K128" i="1"/>
  <c r="K164" i="1"/>
  <c r="K200" i="1"/>
  <c r="K57" i="1"/>
  <c r="K98" i="1"/>
  <c r="K134" i="1"/>
  <c r="K170" i="1"/>
  <c r="K15" i="1"/>
  <c r="K28" i="1"/>
  <c r="K34" i="1"/>
  <c r="K49" i="1"/>
  <c r="K69" i="1"/>
  <c r="N69" i="1" s="1"/>
  <c r="P69" i="1" s="1"/>
  <c r="K75" i="1"/>
  <c r="N75" i="1" s="1"/>
  <c r="P75" i="1" s="1"/>
  <c r="K81" i="1"/>
  <c r="K87" i="1"/>
  <c r="K93" i="1"/>
  <c r="K99" i="1"/>
  <c r="K105" i="1"/>
  <c r="K111" i="1"/>
  <c r="K117" i="1"/>
  <c r="K123" i="1"/>
  <c r="K129" i="1"/>
  <c r="K135" i="1"/>
  <c r="K141" i="1"/>
  <c r="K147" i="1"/>
  <c r="K153" i="1"/>
  <c r="K159" i="1"/>
  <c r="K165" i="1"/>
  <c r="K171" i="1"/>
  <c r="K177" i="1"/>
  <c r="K183" i="1"/>
  <c r="K189" i="1"/>
  <c r="K195" i="1"/>
  <c r="K201" i="1"/>
  <c r="K4" i="1"/>
  <c r="K16" i="1"/>
  <c r="K29" i="1"/>
  <c r="K36" i="1"/>
  <c r="K50" i="1"/>
  <c r="K70" i="1"/>
  <c r="N70" i="1" s="1"/>
  <c r="P70" i="1" s="1"/>
  <c r="K76" i="1"/>
  <c r="K82" i="1"/>
  <c r="K88" i="1"/>
  <c r="K94" i="1"/>
  <c r="K100" i="1"/>
  <c r="K106" i="1"/>
  <c r="K112" i="1"/>
  <c r="K118" i="1"/>
  <c r="K124" i="1"/>
  <c r="K130" i="1"/>
  <c r="K136" i="1"/>
  <c r="K142" i="1"/>
  <c r="K148" i="1"/>
  <c r="K154" i="1"/>
  <c r="K160" i="1"/>
  <c r="K166" i="1"/>
  <c r="K172" i="1"/>
  <c r="K178" i="1"/>
  <c r="K184" i="1"/>
  <c r="K190" i="1"/>
  <c r="K196" i="1"/>
  <c r="K202" i="1"/>
  <c r="K24" i="1"/>
  <c r="K5" i="1"/>
  <c r="K18" i="1"/>
  <c r="K30" i="1"/>
  <c r="K38" i="1"/>
  <c r="K52" i="1"/>
  <c r="K65" i="1"/>
  <c r="K71" i="1"/>
  <c r="N71" i="1" s="1"/>
  <c r="P71" i="1" s="1"/>
  <c r="K77" i="1"/>
  <c r="N77" i="1" s="1"/>
  <c r="P77" i="1" s="1"/>
  <c r="K83" i="1"/>
  <c r="K89" i="1"/>
  <c r="K95" i="1"/>
  <c r="K101" i="1"/>
  <c r="K107" i="1"/>
  <c r="K113" i="1"/>
  <c r="K119" i="1"/>
  <c r="K125" i="1"/>
  <c r="K131" i="1"/>
  <c r="K137" i="1"/>
  <c r="K143" i="1"/>
  <c r="K149" i="1"/>
  <c r="K155" i="1"/>
  <c r="K161" i="1"/>
  <c r="K167" i="1"/>
  <c r="K173" i="1"/>
  <c r="K179" i="1"/>
  <c r="K185" i="1"/>
  <c r="K191" i="1"/>
  <c r="K197" i="1"/>
  <c r="K203" i="1"/>
  <c r="K6" i="1"/>
  <c r="K20" i="1"/>
  <c r="K31" i="1"/>
  <c r="K40" i="1"/>
  <c r="K54" i="1"/>
  <c r="K66" i="1"/>
  <c r="N66" i="1" s="1"/>
  <c r="P66" i="1" s="1"/>
  <c r="K72" i="1"/>
  <c r="N72" i="1" s="1"/>
  <c r="P72" i="1" s="1"/>
  <c r="K78" i="1"/>
  <c r="N78" i="1" s="1"/>
  <c r="P78" i="1" s="1"/>
  <c r="K84" i="1"/>
  <c r="K90" i="1"/>
  <c r="K96" i="1"/>
  <c r="K102" i="1"/>
  <c r="K108" i="1"/>
  <c r="K114" i="1"/>
  <c r="K120" i="1"/>
  <c r="K126" i="1"/>
  <c r="K132" i="1"/>
  <c r="K138" i="1"/>
  <c r="K144" i="1"/>
  <c r="K150" i="1"/>
  <c r="K156" i="1"/>
  <c r="K162" i="1"/>
  <c r="K168" i="1"/>
  <c r="K174" i="1"/>
  <c r="K180" i="1"/>
  <c r="K186" i="1"/>
  <c r="K192" i="1"/>
  <c r="K198" i="1"/>
  <c r="K204" i="1"/>
  <c r="K10" i="1"/>
  <c r="K22" i="1"/>
  <c r="K32" i="1"/>
  <c r="K44" i="1"/>
  <c r="K56" i="1"/>
  <c r="K67" i="1"/>
  <c r="N67" i="1" s="1"/>
  <c r="P67" i="1" s="1"/>
  <c r="K73" i="1"/>
  <c r="N73" i="1" s="1"/>
  <c r="P73" i="1" s="1"/>
  <c r="K79" i="1"/>
  <c r="K85" i="1"/>
  <c r="K91" i="1"/>
  <c r="K97" i="1"/>
  <c r="K103" i="1"/>
  <c r="K109" i="1"/>
  <c r="K115" i="1"/>
  <c r="K121" i="1"/>
  <c r="K127" i="1"/>
  <c r="K133" i="1"/>
  <c r="K139" i="1"/>
  <c r="K145" i="1"/>
  <c r="K151" i="1"/>
  <c r="K157" i="1"/>
  <c r="K163" i="1"/>
  <c r="K169" i="1"/>
  <c r="K175" i="1"/>
  <c r="K181" i="1"/>
  <c r="K187" i="1"/>
  <c r="K193" i="1"/>
  <c r="K199" i="1"/>
  <c r="K205" i="1"/>
  <c r="J65" i="1"/>
  <c r="O65" i="1" s="1"/>
  <c r="J59" i="1"/>
  <c r="O59" i="1" s="1"/>
  <c r="J53" i="1"/>
  <c r="O53" i="1" s="1"/>
  <c r="J47" i="1"/>
  <c r="J41" i="1"/>
  <c r="O41" i="1" s="1"/>
  <c r="J35" i="1"/>
  <c r="O35" i="1" s="1"/>
  <c r="J29" i="1"/>
  <c r="O29" i="1" s="1"/>
  <c r="J11" i="1"/>
  <c r="J5" i="1"/>
  <c r="O5" i="1" s="1"/>
  <c r="J64" i="1"/>
  <c r="J58" i="1"/>
  <c r="O58" i="1" s="1"/>
  <c r="J52" i="1"/>
  <c r="O52" i="1" s="1"/>
  <c r="J46" i="1"/>
  <c r="O46" i="1" s="1"/>
  <c r="J40" i="1"/>
  <c r="O40" i="1" s="1"/>
  <c r="J34" i="1"/>
  <c r="O34" i="1" s="1"/>
  <c r="J28" i="1"/>
  <c r="J22" i="1"/>
  <c r="O22" i="1" s="1"/>
  <c r="J16" i="1"/>
  <c r="J10" i="1"/>
  <c r="O10" i="1" s="1"/>
  <c r="J4" i="1"/>
  <c r="J63" i="1"/>
  <c r="O63" i="1" s="1"/>
  <c r="J57" i="1"/>
  <c r="O57" i="1" s="1"/>
  <c r="J51" i="1"/>
  <c r="J45" i="1"/>
  <c r="J39" i="1"/>
  <c r="O39" i="1" s="1"/>
  <c r="J33" i="1"/>
  <c r="J27" i="1"/>
  <c r="O27" i="1" s="1"/>
  <c r="J21" i="1"/>
  <c r="O21" i="1" s="1"/>
  <c r="J15" i="1"/>
  <c r="J62" i="1"/>
  <c r="J56" i="1"/>
  <c r="J50" i="1"/>
  <c r="J44" i="1"/>
  <c r="J38" i="1"/>
  <c r="J32" i="1"/>
  <c r="J26" i="1"/>
  <c r="J20" i="1"/>
  <c r="J14" i="1"/>
  <c r="J8" i="1"/>
  <c r="J61" i="1"/>
  <c r="J49" i="1"/>
  <c r="J43" i="1"/>
  <c r="J37" i="1"/>
  <c r="J31" i="1"/>
  <c r="J25" i="1"/>
  <c r="J19" i="1"/>
  <c r="J13" i="1"/>
  <c r="J7" i="1"/>
  <c r="J60" i="1"/>
  <c r="J54" i="1"/>
  <c r="J36" i="1"/>
  <c r="O36" i="1" s="1"/>
  <c r="J30" i="1"/>
  <c r="O30" i="1" s="1"/>
  <c r="J24" i="1"/>
  <c r="O24" i="1" s="1"/>
  <c r="J18" i="1"/>
  <c r="J12" i="1"/>
  <c r="J6" i="1"/>
  <c r="O6" i="1" s="1"/>
  <c r="K63" i="1"/>
  <c r="K27" i="1"/>
  <c r="K21" i="1"/>
  <c r="K51" i="1"/>
  <c r="K9" i="1"/>
  <c r="K39" i="1"/>
  <c r="K26" i="1"/>
  <c r="K14" i="1"/>
  <c r="K8" i="1"/>
  <c r="K43" i="1"/>
  <c r="K37" i="1"/>
  <c r="K25" i="1"/>
  <c r="K19" i="1"/>
  <c r="K13" i="1"/>
  <c r="K7" i="1"/>
  <c r="K48" i="1"/>
  <c r="K42" i="1"/>
  <c r="K12" i="1"/>
  <c r="K59" i="1"/>
  <c r="K53" i="1"/>
  <c r="K47" i="1"/>
  <c r="K41" i="1"/>
  <c r="K35" i="1"/>
  <c r="K23" i="1"/>
  <c r="K17" i="1"/>
  <c r="K64" i="1"/>
  <c r="K58" i="1"/>
  <c r="K46" i="1"/>
  <c r="I61" i="1"/>
  <c r="I55" i="1"/>
  <c r="I62" i="1"/>
  <c r="M64" i="1"/>
  <c r="M58" i="1"/>
  <c r="M63" i="1"/>
  <c r="M57" i="1"/>
  <c r="M24" i="1"/>
  <c r="M35" i="1"/>
  <c r="M5" i="1"/>
  <c r="I60" i="1"/>
  <c r="M34" i="1"/>
  <c r="G3" i="2"/>
  <c r="H3" i="2" s="1"/>
  <c r="J23" i="1" s="1"/>
  <c r="O23" i="1" s="1"/>
  <c r="M2" i="1" l="1"/>
  <c r="N2" i="1" s="1"/>
  <c r="P2" i="1" s="1"/>
  <c r="O2" i="1"/>
  <c r="J42" i="1"/>
  <c r="O42" i="1" s="1"/>
  <c r="J55" i="1"/>
  <c r="J3" i="1"/>
  <c r="J17" i="1"/>
  <c r="N17" i="1" s="1"/>
  <c r="P17" i="1" s="1"/>
  <c r="N45" i="1"/>
  <c r="P45" i="1" s="1"/>
  <c r="J48" i="1"/>
  <c r="N48" i="1" s="1"/>
  <c r="P48" i="1" s="1"/>
  <c r="J9" i="1"/>
  <c r="N9" i="1" s="1"/>
  <c r="P9" i="1" s="1"/>
  <c r="O45" i="1"/>
  <c r="N28" i="1"/>
  <c r="P28" i="1" s="1"/>
  <c r="N12" i="1"/>
  <c r="P12" i="1" s="1"/>
  <c r="N15" i="1"/>
  <c r="P15" i="1" s="1"/>
  <c r="N51" i="1"/>
  <c r="P51" i="1" s="1"/>
  <c r="N54" i="1"/>
  <c r="P54" i="1" s="1"/>
  <c r="N11" i="1"/>
  <c r="P11" i="1" s="1"/>
  <c r="N47" i="1"/>
  <c r="P47" i="1" s="1"/>
  <c r="O51" i="1"/>
  <c r="N18" i="1"/>
  <c r="P18" i="1" s="1"/>
  <c r="N64" i="1"/>
  <c r="P64" i="1" s="1"/>
  <c r="O11" i="1"/>
  <c r="N24" i="1"/>
  <c r="P24" i="1" s="1"/>
  <c r="O25" i="1"/>
  <c r="N25" i="1"/>
  <c r="P25" i="1" s="1"/>
  <c r="O61" i="1"/>
  <c r="O54" i="1"/>
  <c r="O8" i="1"/>
  <c r="N8" i="1"/>
  <c r="P8" i="1" s="1"/>
  <c r="O44" i="1"/>
  <c r="N44" i="1"/>
  <c r="P44" i="1" s="1"/>
  <c r="N21" i="1"/>
  <c r="P21" i="1" s="1"/>
  <c r="N57" i="1"/>
  <c r="P57" i="1" s="1"/>
  <c r="N4" i="1"/>
  <c r="P4" i="1" s="1"/>
  <c r="N40" i="1"/>
  <c r="P40" i="1" s="1"/>
  <c r="O15" i="1"/>
  <c r="N23" i="1"/>
  <c r="P23" i="1" s="1"/>
  <c r="N59" i="1"/>
  <c r="P59" i="1" s="1"/>
  <c r="O13" i="1"/>
  <c r="N13" i="1"/>
  <c r="P13" i="1" s="1"/>
  <c r="O60" i="1"/>
  <c r="O55" i="1"/>
  <c r="N30" i="1"/>
  <c r="P30" i="1" s="1"/>
  <c r="O31" i="1"/>
  <c r="N31" i="1"/>
  <c r="P31" i="1" s="1"/>
  <c r="O64" i="1"/>
  <c r="O14" i="1"/>
  <c r="N14" i="1"/>
  <c r="P14" i="1" s="1"/>
  <c r="O50" i="1"/>
  <c r="N50" i="1"/>
  <c r="P50" i="1" s="1"/>
  <c r="N27" i="1"/>
  <c r="P27" i="1" s="1"/>
  <c r="N63" i="1"/>
  <c r="P63" i="1" s="1"/>
  <c r="N10" i="1"/>
  <c r="P10" i="1" s="1"/>
  <c r="N46" i="1"/>
  <c r="P46" i="1" s="1"/>
  <c r="N29" i="1"/>
  <c r="P29" i="1" s="1"/>
  <c r="N65" i="1"/>
  <c r="P65" i="1" s="1"/>
  <c r="O49" i="1"/>
  <c r="N49" i="1"/>
  <c r="P49" i="1" s="1"/>
  <c r="O32" i="1"/>
  <c r="N32" i="1"/>
  <c r="P32" i="1" s="1"/>
  <c r="O19" i="1"/>
  <c r="N19" i="1"/>
  <c r="P19" i="1" s="1"/>
  <c r="N36" i="1"/>
  <c r="P36" i="1" s="1"/>
  <c r="O37" i="1"/>
  <c r="N37" i="1"/>
  <c r="P37" i="1" s="1"/>
  <c r="O18" i="1"/>
  <c r="O20" i="1"/>
  <c r="N20" i="1"/>
  <c r="P20" i="1" s="1"/>
  <c r="O56" i="1"/>
  <c r="N56" i="1"/>
  <c r="P56" i="1" s="1"/>
  <c r="N33" i="1"/>
  <c r="P33" i="1" s="1"/>
  <c r="O4" i="1"/>
  <c r="N16" i="1"/>
  <c r="P16" i="1" s="1"/>
  <c r="N52" i="1"/>
  <c r="P52" i="1" s="1"/>
  <c r="O33" i="1"/>
  <c r="N35" i="1"/>
  <c r="P35" i="1" s="1"/>
  <c r="O38" i="1"/>
  <c r="N38" i="1"/>
  <c r="P38" i="1" s="1"/>
  <c r="N34" i="1"/>
  <c r="P34" i="1" s="1"/>
  <c r="N53" i="1"/>
  <c r="P53" i="1" s="1"/>
  <c r="N6" i="1"/>
  <c r="P6" i="1" s="1"/>
  <c r="N42" i="1"/>
  <c r="P42" i="1" s="1"/>
  <c r="O7" i="1"/>
  <c r="N7" i="1"/>
  <c r="P7" i="1" s="1"/>
  <c r="O43" i="1"/>
  <c r="N43" i="1"/>
  <c r="P43" i="1" s="1"/>
  <c r="O28" i="1"/>
  <c r="O26" i="1"/>
  <c r="N26" i="1"/>
  <c r="P26" i="1" s="1"/>
  <c r="O62" i="1"/>
  <c r="O47" i="1"/>
  <c r="N39" i="1"/>
  <c r="P39" i="1" s="1"/>
  <c r="O12" i="1"/>
  <c r="N22" i="1"/>
  <c r="P22" i="1" s="1"/>
  <c r="N58" i="1"/>
  <c r="P58" i="1" s="1"/>
  <c r="N5" i="1"/>
  <c r="P5" i="1" s="1"/>
  <c r="N41" i="1"/>
  <c r="P41" i="1" s="1"/>
  <c r="O16" i="1"/>
  <c r="M61" i="1"/>
  <c r="N61" i="1" s="1"/>
  <c r="P61" i="1" s="1"/>
  <c r="M62" i="1"/>
  <c r="N62" i="1" s="1"/>
  <c r="P62" i="1" s="1"/>
  <c r="M55" i="1"/>
  <c r="N55" i="1" s="1"/>
  <c r="P55" i="1" s="1"/>
  <c r="M60" i="1"/>
  <c r="N60" i="1" s="1"/>
  <c r="P60" i="1" s="1"/>
  <c r="O17" i="1" l="1"/>
  <c r="O48" i="1"/>
  <c r="O9" i="1"/>
  <c r="O3" i="1"/>
  <c r="N3" i="1"/>
  <c r="P3" i="1" s="1"/>
</calcChain>
</file>

<file path=xl/sharedStrings.xml><?xml version="1.0" encoding="utf-8"?>
<sst xmlns="http://schemas.openxmlformats.org/spreadsheetml/2006/main" count="345" uniqueCount="96">
  <si>
    <t>Código</t>
  </si>
  <si>
    <t>Descrição</t>
  </si>
  <si>
    <t>Cliente</t>
  </si>
  <si>
    <t>Quantidade</t>
  </si>
  <si>
    <t>SK01</t>
  </si>
  <si>
    <t>SK02</t>
  </si>
  <si>
    <t>Val</t>
  </si>
  <si>
    <t>Gelo Fonseca 5 kg</t>
  </si>
  <si>
    <t>Gelo Fonseca 3 kg</t>
  </si>
  <si>
    <t>Bairro</t>
  </si>
  <si>
    <t>Cidade</t>
  </si>
  <si>
    <t>Telefone</t>
  </si>
  <si>
    <t>Whatsapp</t>
  </si>
  <si>
    <t>Nome Fantasia</t>
  </si>
  <si>
    <t xml:space="preserve">Supermercado Souza </t>
  </si>
  <si>
    <t>Supermercado Pellegrini</t>
  </si>
  <si>
    <t>Val Supermercado</t>
  </si>
  <si>
    <t>Carlos</t>
  </si>
  <si>
    <t>Luiz</t>
  </si>
  <si>
    <t>Centro</t>
  </si>
  <si>
    <t>Jardim Santa Lúcia</t>
  </si>
  <si>
    <t>Jardim Redentor</t>
  </si>
  <si>
    <t>Caconde</t>
  </si>
  <si>
    <t>19-36621997</t>
  </si>
  <si>
    <t>19-36621303</t>
  </si>
  <si>
    <t>19-36621770</t>
  </si>
  <si>
    <t>Valor de Repasse SK01</t>
  </si>
  <si>
    <t>Valor de Repasse SK02</t>
  </si>
  <si>
    <t>Local</t>
  </si>
  <si>
    <t>Preço gelo 5kg</t>
  </si>
  <si>
    <t>Preço gelo 3kg</t>
  </si>
  <si>
    <t>Depósito Saída</t>
  </si>
  <si>
    <t>Tipo de Venda</t>
  </si>
  <si>
    <t>Atacado</t>
  </si>
  <si>
    <t>Valor Unitário</t>
  </si>
  <si>
    <t>Análise de Negócio</t>
  </si>
  <si>
    <t>Validação de Dados</t>
  </si>
  <si>
    <t>Varejo</t>
  </si>
  <si>
    <t>Data</t>
  </si>
  <si>
    <t>Valor</t>
  </si>
  <si>
    <t>Aluguel</t>
  </si>
  <si>
    <t>Funcionário</t>
  </si>
  <si>
    <t>Total em Kg</t>
  </si>
  <si>
    <t>Balcão</t>
  </si>
  <si>
    <t>Venda Balcão</t>
  </si>
  <si>
    <t>Lavagem Caixa</t>
  </si>
  <si>
    <t>Lavagem Freezer</t>
  </si>
  <si>
    <t>Desc</t>
  </si>
  <si>
    <t xml:space="preserve">Repetir em </t>
  </si>
  <si>
    <t>Obs</t>
  </si>
  <si>
    <t>N/A</t>
  </si>
  <si>
    <t>Troca Filtro Máquina</t>
  </si>
  <si>
    <t>Tipo de Serviço</t>
  </si>
  <si>
    <t>Custo</t>
  </si>
  <si>
    <t>Vender só saco de 3kg no início?</t>
  </si>
  <si>
    <t>Key Points</t>
  </si>
  <si>
    <t xml:space="preserve">Média de gasto de 1,5 reais por kilo na produção </t>
  </si>
  <si>
    <t>capacidade de 25 sacos de 5 kg em frizer</t>
  </si>
  <si>
    <t>Preço de venda de 7 reais (5kg) para o atacado</t>
  </si>
  <si>
    <t>Links</t>
  </si>
  <si>
    <t>https://www.youtube.com/watch?v=VDeQrMwt0d0</t>
  </si>
  <si>
    <t>Coluna1</t>
  </si>
  <si>
    <t xml:space="preserve">Combustivel </t>
  </si>
  <si>
    <t>Embalagem</t>
  </si>
  <si>
    <t>Custo Agua</t>
  </si>
  <si>
    <t>Imposto Sobre Engargos</t>
  </si>
  <si>
    <t>Tapiratibense</t>
  </si>
  <si>
    <t>Muzi</t>
  </si>
  <si>
    <t>Tapiratiba</t>
  </si>
  <si>
    <t>Mercados Variados</t>
  </si>
  <si>
    <t>19-9981814455</t>
  </si>
  <si>
    <t>19-36622663</t>
  </si>
  <si>
    <t>Cod. Cliente</t>
  </si>
  <si>
    <t>Tapiratiba Mercado Ltda.</t>
  </si>
  <si>
    <t>Desc.</t>
  </si>
  <si>
    <t>Custo de Produção</t>
  </si>
  <si>
    <t>Custo de Produção Vol.</t>
  </si>
  <si>
    <t>Custo Luz Produção</t>
  </si>
  <si>
    <t>Custo de Luz Armazenamento</t>
  </si>
  <si>
    <t>ID. Venda</t>
  </si>
  <si>
    <t>Total da Venda</t>
  </si>
  <si>
    <t>Imposto Sobre a Venda</t>
  </si>
  <si>
    <t>Margem</t>
  </si>
  <si>
    <t xml:space="preserve">Margem (EsperadoxCusto de Produção) </t>
  </si>
  <si>
    <t>Custo de produção</t>
  </si>
  <si>
    <t>Proporção esperada (proporcional a massa)</t>
  </si>
  <si>
    <t>Lucro Liquido</t>
  </si>
  <si>
    <t>Custo de Produção Fixo</t>
  </si>
  <si>
    <t>Custo Fixo</t>
  </si>
  <si>
    <t>Custo Total</t>
  </si>
  <si>
    <t>Lucro Bruto</t>
  </si>
  <si>
    <t>Produzido</t>
  </si>
  <si>
    <t>Produção em Kg</t>
  </si>
  <si>
    <t>Estocar</t>
  </si>
  <si>
    <t>Vendido</t>
  </si>
  <si>
    <t>Gasto de Estocagem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</si>
</sst>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_-[$R$-416]\ * #,##0.00_-;\-[$R$-416]\ * #,##0.00_-;_-[$R$-416]\ * &quot;-&quot;??_-;_-@_-"/>
    <numFmt numFmtId="166" formatCode="_-[$R$-416]\ * #,##0.000_-;\-[$R$-416]\ * #,##0.000_-;_-[$R$-416]\ * &quot;-&quot;??_-;_-@_-"/>
    <numFmt numFmtId="167" formatCode="_-[$R$-416]\ * #,##0.0000_-;\-[$R$-416]\ * #,##0.0000_-;_-[$R$-416]\ * &quot;-&quot;??_-;_-@_-"/>
    <numFmt numFmtId="168" formatCode="_-[$R$-416]\ * #,##0.00000_-;\-[$R$-416]\ * #,##0.00000_-;_-[$R$-416]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1" xfId="0" applyBorder="1"/>
    <xf numFmtId="14" fontId="0" fillId="0" borderId="1" xfId="0" applyNumberFormat="1" applyBorder="1"/>
    <xf numFmtId="165" fontId="0" fillId="0" borderId="0" xfId="1" applyNumberFormat="1" applyFont="1"/>
    <xf numFmtId="0" fontId="0" fillId="0" borderId="2" xfId="0" applyBorder="1"/>
    <xf numFmtId="14" fontId="0" fillId="0" borderId="3" xfId="0" applyNumberFormat="1" applyBorder="1"/>
    <xf numFmtId="0" fontId="3" fillId="2" borderId="4" xfId="0" applyFont="1" applyFill="1" applyBorder="1"/>
    <xf numFmtId="0" fontId="3" fillId="2" borderId="5" xfId="0" applyFont="1" applyFill="1" applyBorder="1"/>
    <xf numFmtId="0" fontId="0" fillId="0" borderId="7" xfId="0" applyBorder="1"/>
    <xf numFmtId="0" fontId="0" fillId="0" borderId="9" xfId="0" applyBorder="1"/>
    <xf numFmtId="0" fontId="0" fillId="2" borderId="5" xfId="0" applyFill="1" applyBorder="1"/>
    <xf numFmtId="0" fontId="0" fillId="0" borderId="3" xfId="0" applyBorder="1"/>
    <xf numFmtId="0" fontId="0" fillId="2" borderId="4" xfId="0" applyFill="1" applyBorder="1"/>
    <xf numFmtId="0" fontId="0" fillId="2" borderId="6" xfId="0" applyFill="1" applyBorder="1"/>
    <xf numFmtId="0" fontId="0" fillId="0" borderId="0" xfId="0" applyAlignment="1">
      <alignment horizontal="center"/>
    </xf>
    <xf numFmtId="0" fontId="3" fillId="4" borderId="5" xfId="0" applyFont="1" applyFill="1" applyBorder="1"/>
    <xf numFmtId="0" fontId="3" fillId="4" borderId="6" xfId="0" applyFont="1" applyFill="1" applyBorder="1"/>
    <xf numFmtId="165" fontId="0" fillId="0" borderId="1" xfId="0" applyNumberFormat="1" applyBorder="1"/>
    <xf numFmtId="165" fontId="0" fillId="0" borderId="3" xfId="0" applyNumberFormat="1" applyBorder="1"/>
    <xf numFmtId="14" fontId="0" fillId="0" borderId="0" xfId="0" applyNumberFormat="1"/>
    <xf numFmtId="2" fontId="3" fillId="4" borderId="5" xfId="0" applyNumberFormat="1" applyFont="1" applyFill="1" applyBorder="1"/>
    <xf numFmtId="2" fontId="0" fillId="0" borderId="3" xfId="0" applyNumberFormat="1" applyBorder="1"/>
    <xf numFmtId="165" fontId="0" fillId="0" borderId="0" xfId="0" applyNumberFormat="1"/>
    <xf numFmtId="0" fontId="0" fillId="5" borderId="10" xfId="0" applyFont="1" applyFill="1" applyBorder="1"/>
    <xf numFmtId="0" fontId="2" fillId="2" borderId="1" xfId="0" applyFont="1" applyFill="1" applyBorder="1"/>
    <xf numFmtId="165" fontId="0" fillId="0" borderId="6" xfId="0" applyNumberFormat="1" applyBorder="1"/>
    <xf numFmtId="12" fontId="0" fillId="0" borderId="6" xfId="0" applyNumberFormat="1" applyBorder="1" applyAlignment="1">
      <alignment horizontal="center" vertical="top"/>
    </xf>
    <xf numFmtId="12" fontId="0" fillId="0" borderId="3" xfId="0" applyNumberFormat="1" applyBorder="1" applyAlignment="1">
      <alignment horizontal="center" vertical="top"/>
    </xf>
    <xf numFmtId="165" fontId="0" fillId="0" borderId="3" xfId="0" applyNumberFormat="1" applyBorder="1" applyAlignment="1">
      <alignment horizontal="center" vertical="top"/>
    </xf>
    <xf numFmtId="165" fontId="0" fillId="0" borderId="9" xfId="0" applyNumberFormat="1" applyBorder="1" applyAlignment="1">
      <alignment horizontal="center" vertical="top"/>
    </xf>
    <xf numFmtId="164" fontId="0" fillId="0" borderId="0" xfId="1" applyFont="1"/>
    <xf numFmtId="166" fontId="0" fillId="0" borderId="0" xfId="1" applyNumberFormat="1" applyFont="1"/>
    <xf numFmtId="167" fontId="0" fillId="0" borderId="0" xfId="1" applyNumberFormat="1" applyFont="1"/>
    <xf numFmtId="168" fontId="0" fillId="0" borderId="0" xfId="1" applyNumberFormat="1" applyFont="1"/>
    <xf numFmtId="0" fontId="0" fillId="0" borderId="0" xfId="0" applyAlignment="1">
      <alignment horizontal="center" wrapText="1"/>
    </xf>
    <xf numFmtId="0" fontId="0" fillId="5" borderId="1" xfId="0" applyFont="1" applyFill="1" applyBorder="1"/>
    <xf numFmtId="0" fontId="0" fillId="5" borderId="3" xfId="0" applyFont="1" applyFill="1" applyBorder="1"/>
    <xf numFmtId="0" fontId="2" fillId="2" borderId="5" xfId="0" applyFont="1" applyFill="1" applyBorder="1"/>
    <xf numFmtId="0" fontId="3" fillId="2" borderId="5" xfId="0" applyNumberFormat="1" applyFon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0" fontId="2" fillId="2" borderId="11" xfId="0" applyFont="1" applyFill="1" applyBorder="1"/>
    <xf numFmtId="0" fontId="2" fillId="2" borderId="2" xfId="0" applyFont="1" applyFill="1" applyBorder="1"/>
    <xf numFmtId="0" fontId="0" fillId="5" borderId="2" xfId="0" applyFont="1" applyFill="1" applyBorder="1"/>
    <xf numFmtId="0" fontId="0" fillId="5" borderId="7" xfId="0" applyFont="1" applyFill="1" applyBorder="1"/>
    <xf numFmtId="0" fontId="0" fillId="5" borderId="9" xfId="0" applyFont="1" applyFill="1" applyBorder="1"/>
    <xf numFmtId="0" fontId="0" fillId="5" borderId="8" xfId="0" applyFont="1" applyFill="1" applyBorder="1"/>
    <xf numFmtId="14" fontId="3" fillId="2" borderId="5" xfId="0" applyNumberFormat="1" applyFont="1" applyFill="1" applyBorder="1"/>
    <xf numFmtId="14" fontId="2" fillId="2" borderId="5" xfId="0" applyNumberFormat="1" applyFont="1" applyFill="1" applyBorder="1"/>
    <xf numFmtId="0" fontId="2" fillId="3" borderId="0" xfId="0" applyFont="1" applyFill="1" applyAlignment="1">
      <alignment horizontal="center"/>
    </xf>
  </cellXfs>
  <cellStyles count="2">
    <cellStyle name="Currency" xfId="1" builtinId="4"/>
    <cellStyle name="Normal" xfId="0" builtinId="0"/>
  </cellStyles>
  <dxfs count="54">
    <dxf>
      <numFmt numFmtId="169" formatCode="m/d/yyyy"/>
    </dxf>
    <dxf>
      <numFmt numFmtId="16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70C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numFmt numFmtId="169" formatCode="m/d/yyyy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70C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5" formatCode="_-[$R$-416]\ * #,##0.00_-;\-[$R$-416]\ * #,##0.00_-;_-[$R$-416]\ * &quot;-&quot;??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5" formatCode="_-[$R$-416]\ * #,##0.00_-;\-[$R$-416]\ * #,##0.00_-;_-[$R$-416]\ * &quot;-&quot;??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5" formatCode="_-[$R$-416]\ * #,##0.00_-;\-[$R$-416]\ * #,##0.00_-;_-[$R$-416]\ * &quot;-&quot;??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5" formatCode="_-[$R$-416]\ * #,##0.00_-;\-[$R$-416]\ * #,##0.00_-;_-[$R$-416]\ * &quot;-&quot;??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5" formatCode="_-[$R$-416]\ * #,##0.00_-;\-[$R$-416]\ * #,##0.00_-;_-[$R$-416]\ * &quot;-&quot;??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5" formatCode="_-[$R$-416]\ * #,##0.00_-;\-[$R$-416]\ * #,##0.00_-;_-[$R$-416]\ * &quot;-&quot;??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5" formatCode="_-[$R$-416]\ * #,##0.00_-;\-[$R$-416]\ * #,##0.00_-;_-[$R$-416]\ * &quot;-&quot;??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_-[$R$-416]\ * #,##0.00_-;\-[$R$-416]\ * #,##0.00_-;_-[$R$-41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9" formatCode="m/d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_-[$R$-416]\ * #,##0.00_-;\-[$R$-416]\ * #,##0.00_-;_-[$R$-416]\ * &quot;-&quot;??_-;_-@_-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0070C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R$-416]\ * #,##0.00_-;\-[$R$-416]\ * #,##0.00_-;_-[$R$-416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R$-416]\ * #,##0.00_-;\-[$R$-416]\ * #,##0.00_-;_-[$R$-416]\ * &quot;-&quot;??_-;_-@_-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0070C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0070C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234950</xdr:colOff>
      <xdr:row>1</xdr:row>
      <xdr:rowOff>19050</xdr:rowOff>
    </xdr:from>
    <xdr:to>
      <xdr:col>3</xdr:col>
      <xdr:colOff>32518</xdr:colOff>
      <xdr:row>4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63F8C8-F385-4221-AA39-312DA6E909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4950" y="209550"/>
          <a:ext cx="2626493" cy="6096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4F54083-27D2-46A4-96DA-4D23FB5A81F0}" name="Table3" displayName="Table3" ref="A1:I3" totalsRowShown="0" headerRowDxfId="53" headerRowBorderDxfId="52" tableBorderDxfId="51" totalsRowBorderDxfId="50">
  <tableColumns count="9">
    <tableColumn id="1" xr3:uid="{DFABF6CB-8080-484A-812D-AD984C4F3FBF}" name="Código" dataDxfId="49"/>
    <tableColumn id="2" xr3:uid="{DC1A1EB9-5DBD-48C0-B5BC-1C7B27F144F3}" name="Descrição" dataDxfId="48"/>
    <tableColumn id="3" xr3:uid="{9BBCC409-5B05-49A3-85E0-7B9660F4AB86}" name="Embalagem" dataDxfId="47">
      <calculatedColumnFormula>IF(A2="SK01",D2*0.86,D2*0.74)</calculatedColumnFormula>
    </tableColumn>
    <tableColumn id="4" xr3:uid="{694B4B20-94E1-44F6-9797-9159B70DEDCD}" name="Custo Luz Produção" dataDxfId="46">
      <calculatedColumnFormula>(0.17*1.5)*3</calculatedColumnFormula>
    </tableColumn>
    <tableColumn id="9" xr3:uid="{748047AC-7A72-4DBF-9874-4D3A3CD6C164}" name="Custo de Luz Armazenamento" dataDxfId="45">
      <calculatedColumnFormula>(0.102)*5</calculatedColumnFormula>
    </tableColumn>
    <tableColumn id="5" xr3:uid="{3A265EB6-3C74-428A-BC8F-7E5AE6B33B85}" name="Custo Agua" dataDxfId="44">
      <calculatedColumnFormula>0.003*3</calculatedColumnFormula>
    </tableColumn>
    <tableColumn id="6" xr3:uid="{982CC919-D1EB-4A54-B9C3-95BCE989C59B}" name="Imposto Sobre Engargos" dataDxfId="43">
      <calculatedColumnFormula>(Table3[[#This Row],[Embalagem]]+Table3[[#This Row],[Custo Luz Produção]]+Table3[[#This Row],[Custo Agua]])*0.06</calculatedColumnFormula>
    </tableColumn>
    <tableColumn id="7" xr3:uid="{27DC82D6-F188-4954-AE3B-37284A728434}" name="Custo de Produção Vol." dataDxfId="42">
      <calculatedColumnFormula>Table3[[#This Row],[Embalagem]]+Table3[[#This Row],[Custo Luz Produção]]+Table3[[#This Row],[Custo Agua]]+Table3[[#This Row],[Imposto Sobre Engargos]]</calculatedColumnFormula>
    </tableColumn>
    <tableColumn id="10" xr3:uid="{5FA210A1-FF57-448A-B04E-40048D6AA620}" name="Custo de Produção Fixo" dataDxfId="41">
      <calculatedColumnFormula>(1500/2600)*5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59D138-C0D6-45C9-A46C-CCC2A334EB95}" name="Table2" displayName="Table2" ref="B1:I7" totalsRowShown="0" headerRowDxfId="40" headerRowBorderDxfId="39" tableBorderDxfId="38">
  <autoFilter ref="B1:I7" xr:uid="{355E228D-9324-4215-A6B5-82FF991E31CE}"/>
  <tableColumns count="8">
    <tableColumn id="1" xr3:uid="{40FB27FB-8131-427B-8147-C6ACDF24DCC9}" name="Cliente"/>
    <tableColumn id="2" xr3:uid="{167636EC-EF22-4940-8C00-56DA0CC20A9C}" name="Nome Fantasia"/>
    <tableColumn id="3" xr3:uid="{69F1D2A1-CFC4-4331-919D-716C848AC7FE}" name="Bairro"/>
    <tableColumn id="4" xr3:uid="{2689041E-B7A4-4F0F-99E3-6F7321158E19}" name="Cidade"/>
    <tableColumn id="5" xr3:uid="{CE9BB86B-B205-498F-B6C9-C26A945E3902}" name="Telefone"/>
    <tableColumn id="6" xr3:uid="{BF528C48-F0AF-4879-A788-13820EDD6925}" name="Whatsapp"/>
    <tableColumn id="7" xr3:uid="{2BDDCF5A-1E19-4E94-9AA6-1D802A0C4A03}" name="Valor de Repasse SK01" dataDxfId="37"/>
    <tableColumn id="8" xr3:uid="{710BEC6A-86AD-4B84-83E9-C6DD210E743F}" name="Valor de Repasse SK02" dataDxfId="3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6A4EDB8-3519-4B1E-A95F-CBA220A57F69}" name="Table8" displayName="Table8" ref="A1:E5" totalsRowShown="0">
  <autoFilter ref="A1:E5" xr:uid="{40983D75-3723-4F49-8142-D0A468EDDF24}"/>
  <tableColumns count="5">
    <tableColumn id="1" xr3:uid="{942B57EA-428C-4515-B650-CEAC34F0A9CF}" name="Data" dataDxfId="35"/>
    <tableColumn id="2" xr3:uid="{C6FC0D7E-8D2A-4061-97CB-731E23243B17}" name="Desc."/>
    <tableColumn id="3" xr3:uid="{5CE3586D-0333-4897-AD9A-6BB7FD5E6628}" name="Valor"/>
    <tableColumn id="4" xr3:uid="{C887CA80-FDA1-4660-BDE5-D729B04EEABB}" name="Obs"/>
    <tableColumn id="5" xr3:uid="{49B004E8-F2D9-4B27-9F54-0F4A6441EBFD}" name="Coluna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C9C6A9-20A7-4DE6-9771-931AA7D14102}" name="Table1" displayName="Table1" ref="A1:P205" totalsRowShown="0" headerRowDxfId="34" headerRowBorderDxfId="33" tableBorderDxfId="32" totalsRowBorderDxfId="31">
  <autoFilter ref="A1:P205" xr:uid="{82C9C6A9-20A7-4DE6-9771-931AA7D14102}"/>
  <tableColumns count="16">
    <tableColumn id="29" xr3:uid="{7C061CFF-E1D8-4DE0-9B80-28031B80BCA9}" name="ID. Venda" dataDxfId="30"/>
    <tableColumn id="1" xr3:uid="{1900BFEC-8022-4080-9AF1-60004D5CBA1F}" name="Código" dataDxfId="29"/>
    <tableColumn id="2" xr3:uid="{9EBD48F9-51EC-4B85-A70C-B94925781372}" name="Tipo de Venda" dataDxfId="28"/>
    <tableColumn id="3" xr3:uid="{4D2D1585-77D4-4997-88ED-7FC679BE246A}" name="Cliente" dataDxfId="27"/>
    <tableColumn id="4" xr3:uid="{BEECFD2F-9BB4-446C-BFCF-A9530A11A9E3}" name="Quantidade" dataDxfId="26"/>
    <tableColumn id="13" xr3:uid="{CB4B7AAD-CE4A-41FA-AA30-9B7A933D4947}" name="Data" dataDxfId="25"/>
    <tableColumn id="14" xr3:uid="{8848B1B5-35AC-4389-822A-9FDE28C9AC6F}" name="Total em Kg" dataDxfId="24">
      <calculatedColumnFormula>IF(B2="","",IF(B2="SK01",E2*5,E2*3))</calculatedColumnFormula>
    </tableColumn>
    <tableColumn id="7" xr3:uid="{B5F4780F-837B-4FF4-BCE2-E57085D523C3}" name="Valor Unitário" dataDxfId="23">
      <calculatedColumnFormula>IF(B2="","",IF(B2="SK01",VLOOKUP(D2,Clientes!C:I,6,0),VLOOKUP(D2,Clientes!C:I,7,0)))</calculatedColumnFormula>
    </tableColumn>
    <tableColumn id="5" xr3:uid="{FB7B5B0D-4A9F-4834-BD87-9A1A775BF333}" name="Total da Venda" dataDxfId="22">
      <calculatedColumnFormula>IF(Table1[[#This Row],[Quantidade]]="","",Table1[[#This Row],[Quantidade]]*Table1[[#This Row],[Valor Unitário]])</calculatedColumnFormula>
    </tableColumn>
    <tableColumn id="30" xr3:uid="{5F7AB61C-BD94-4446-920D-734ED23B26FB}" name="Custo de Produção" dataDxfId="21">
      <calculatedColumnFormula>IF(H2="","",IF(B2="SK01",'Produto e Custo de Produção'!$H$2*Table1[[#This Row],[Quantidade]],'Produto e Custo de Produção'!$H$3*Table1[[#This Row],[Quantidade]]))</calculatedColumnFormula>
    </tableColumn>
    <tableColumn id="35" xr3:uid="{CE4E1154-7CBD-413C-B136-8BCEBE5D1EFA}" name="Custo Fixo" dataDxfId="20">
      <calculatedColumnFormula>IF(H2="","",IF(B2="SK01",'Produto e Custo de Produção'!$I$2*Table1[[#This Row],[Quantidade]],'Produto e Custo de Produção'!$I$3*Table1[[#This Row],[Quantidade]]))</calculatedColumnFormula>
    </tableColumn>
    <tableColumn id="6" xr3:uid="{86CC4FE5-20C6-4C15-9E43-F7E2863EBF9A}" name="Combustivel " dataDxfId="19">
      <calculatedColumnFormula>IF(B2="","",IF(E2&lt;=2,0,IF(E2&lt;=30,10,IF(E2&lt;=40,15,20))))</calculatedColumnFormula>
    </tableColumn>
    <tableColumn id="31" xr3:uid="{EEA97E04-C4B1-46A8-BE21-8C73FCBC1A65}" name="Imposto Sobre a Venda" dataDxfId="18">
      <calculatedColumnFormula>IF(B2="","",Table1[[#This Row],[Total da Venda]]*0.06)</calculatedColumnFormula>
    </tableColumn>
    <tableColumn id="10" xr3:uid="{1C5F46C8-39E5-4FB2-A930-733A85A52F51}" name="Custo Total" dataDxfId="17">
      <calculatedColumnFormula>IF(Table1[[#This Row],[Total da Venda]]="","",Table1[[#This Row],[Total da Venda]]-#REF!)</calculatedColumnFormula>
    </tableColumn>
    <tableColumn id="32" xr3:uid="{2B8A1979-5184-41D1-ACC1-4DC732C63F71}" name="Lucro Bruto" dataDxfId="16">
      <calculatedColumnFormula>Table1[[#This Row],[Custo Total]]*Table1[[#This Row],[Quantidade]]*Table1[[#This Row],[Valor Unitário]]/1500</calculatedColumnFormula>
    </tableColumn>
    <tableColumn id="36" xr3:uid="{985ABE10-6888-49D8-A4D1-F86C2EEA5D3A}" name="Lucro Liquido" dataDxfId="15">
      <calculatedColumnFormula>Table1[[#This Row],[Total da Venda]]-Table1[[#This Row],[Custo de Produção]]-Table1[[#This Row],[Custo Fixo]]-Table1[[#This Row],[Combustivel ]]-Table1[[#This Row],[Imposto Sobre a Venda]]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D83FC2B-0ED7-4A5E-9529-43597D613FD8}" name="Tabela4" displayName="Tabela4" ref="A1:D77" totalsRowShown="0" headerRowDxfId="14" headerRowBorderDxfId="13" tableBorderDxfId="12">
  <autoFilter ref="A1:D77" xr:uid="{CD83FC2B-0ED7-4A5E-9529-43597D613FD8}"/>
  <tableColumns count="4">
    <tableColumn id="1" xr3:uid="{77CBE7D4-2352-440F-819D-70D79C067D4C}" name="Data" dataDxfId="11"/>
    <tableColumn id="2" xr3:uid="{53557316-20CC-43D8-90FD-1E05D6F581D4}" name="Produção em Kg" dataDxfId="10"/>
    <tableColumn id="3" xr3:uid="{3B7A851E-2427-40C9-AA4D-CD95F664712B}" name="SK01"/>
    <tableColumn id="4" xr3:uid="{CEDB4D7D-FD77-4D9F-AE8C-3A8D3B6772BA}" name="SK0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1A2DE36-1DCB-4E96-9D09-69FBA2F31394}" name="Table6" displayName="Table6" ref="A1:E3" totalsRowShown="0" headerRowDxfId="9" dataDxfId="8" tableBorderDxfId="7">
  <autoFilter ref="A1:E3" xr:uid="{13A05D58-6596-4650-95DD-3E431F87B040}"/>
  <tableColumns count="5">
    <tableColumn id="1" xr3:uid="{E67A39ED-8908-48B5-87CA-141A998A2803}" name="Código" dataDxfId="6"/>
    <tableColumn id="2" xr3:uid="{1569498D-E921-418E-8E12-0196CE9144C1}" name="Produzido" dataDxfId="5">
      <calculatedColumnFormula>SUM(Tabela4[SK02])</calculatedColumnFormula>
    </tableColumn>
    <tableColumn id="3" xr3:uid="{A4E31FF0-22E0-42E5-829A-DE8C877468BD}" name="Vendido" dataDxfId="4">
      <calculatedColumnFormula>SUMIF(Table1[Código],"SK02",Table1[Quantidade])</calculatedColumnFormula>
    </tableColumn>
    <tableColumn id="4" xr3:uid="{6264AADC-EC1B-4292-A42D-B9AB5D5BFDC3}" name="Estocar" dataDxfId="3">
      <calculatedColumnFormula>B2-C2</calculatedColumnFormula>
    </tableColumn>
    <tableColumn id="5" xr3:uid="{71834237-28FE-4E7A-97EE-A5DC0D23539B}" name="Gasto de Estocagem" dataDxfId="2">
      <calculatedColumnFormula>D2*'Produto e Custo de Produção'!E2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9BE29DF-E8F8-493B-853B-34CFE189F6A9}" name="Table9" displayName="Table9" ref="A1:E4" totalsRowShown="0">
  <autoFilter ref="A1:E4" xr:uid="{3205FA11-DFA7-49A3-9234-9D762F7B5997}"/>
  <tableColumns count="5">
    <tableColumn id="1" xr3:uid="{8239DA69-1B8D-4022-A65C-FF159C07208B}" name="Desc"/>
    <tableColumn id="4" xr3:uid="{2E0266A3-1748-4589-AF2F-F0B2DDA89749}" name="Tipo de Serviço"/>
    <tableColumn id="5" xr3:uid="{127F386B-5AF3-4492-8F4D-288013980AE1}" name="Custo"/>
    <tableColumn id="2" xr3:uid="{71EE49C5-08EE-4A0F-8FE7-EBAE2CBF7F84}" name="Data" dataDxfId="1"/>
    <tableColumn id="3" xr3:uid="{466D9EAA-F770-43D6-93BD-8A42A0B36EC5}" name="Repetir em " dataDxfId="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CB22DE7-6D1B-4C00-A80C-EE9619C13C74}" name="Table5" displayName="Table5" ref="E2:G3" totalsRowShown="0">
  <autoFilter ref="E2:G3" xr:uid="{29D554B6-17EB-46DA-AC2F-B923B14F3256}"/>
  <tableColumns count="3">
    <tableColumn id="1" xr3:uid="{A7C3ECDE-308C-4367-AC15-227D7B613D3E}" name="Local"/>
    <tableColumn id="2" xr3:uid="{D92AF27C-236F-4393-80FD-A571114BC21D}" name="Preço gelo 3kg"/>
    <tableColumn id="3" xr3:uid="{9A30CA4B-E2DA-49BF-9770-E0EF5ACE6B87}" name="Preço gelo 5kg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63C9C22-1935-4281-9708-34307231E70E}" name="Table10" displayName="Table10" ref="I1:I5" totalsRowShown="0">
  <autoFilter ref="I1:I5" xr:uid="{D942F40B-F6C3-4784-AEAE-B255F416C72E}"/>
  <tableColumns count="1">
    <tableColumn id="1" xr3:uid="{C56AF405-9915-4D1D-81B9-36FAEA489A1D}" name="Key Poin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49408-14DB-40CB-82E6-BD56D9B774B5}">
  <sheetPr codeName="Planilha1"/>
  <dimension ref="A1:I4"/>
  <sheetViews>
    <sheetView workbookViewId="0">
      <selection activeCell="D17" sqref="D17"/>
    </sheetView>
  </sheetViews>
  <sheetFormatPr defaultRowHeight="15" x14ac:dyDescent="0.25"/>
  <cols>
    <col min="2" max="2" width="11.7109375" customWidth="1"/>
    <col min="3" max="3" width="14" customWidth="1"/>
    <col min="4" max="4" width="21.140625" customWidth="1"/>
    <col min="5" max="5" width="22.28515625" customWidth="1"/>
    <col min="6" max="6" width="15.28515625" customWidth="1"/>
    <col min="7" max="7" width="21.28515625" customWidth="1"/>
    <col min="8" max="9" width="20.5703125" bestFit="1" customWidth="1"/>
  </cols>
  <sheetData>
    <row r="1" spans="1:9" x14ac:dyDescent="0.25">
      <c r="A1" s="12" t="s">
        <v>0</v>
      </c>
      <c r="B1" s="13" t="s">
        <v>1</v>
      </c>
      <c r="C1" s="10" t="s">
        <v>63</v>
      </c>
      <c r="D1" s="10" t="s">
        <v>77</v>
      </c>
      <c r="E1" s="10" t="s">
        <v>78</v>
      </c>
      <c r="F1" s="10" t="s">
        <v>64</v>
      </c>
      <c r="G1" s="10" t="s">
        <v>65</v>
      </c>
      <c r="H1" s="10" t="s">
        <v>76</v>
      </c>
      <c r="I1" s="10" t="s">
        <v>87</v>
      </c>
    </row>
    <row r="2" spans="1:9" x14ac:dyDescent="0.25">
      <c r="A2" s="4" t="s">
        <v>4</v>
      </c>
      <c r="B2" s="11" t="s">
        <v>7</v>
      </c>
      <c r="C2" s="3">
        <v>0.86</v>
      </c>
      <c r="D2" s="3">
        <f>(0.17)*5</f>
        <v>0.85000000000000009</v>
      </c>
      <c r="E2" s="3">
        <f>(0.102)*5</f>
        <v>0.51</v>
      </c>
      <c r="F2" s="31">
        <f>0.003*5</f>
        <v>1.4999999999999999E-2</v>
      </c>
      <c r="G2" s="32">
        <f>(Table3[[#This Row],[Embalagem]]+Table3[[#This Row],[Custo Luz Produção]]+Table3[[#This Row],[Custo Agua]])*0.06</f>
        <v>0.10349999999999999</v>
      </c>
      <c r="H2" s="3">
        <f>Table3[[#This Row],[Embalagem]]+Table3[[#This Row],[Custo Luz Produção]]+Table3[[#This Row],[Custo Agua]]+Table3[[#This Row],[Imposto Sobre Engargos]]</f>
        <v>1.8284999999999998</v>
      </c>
      <c r="I2" s="3">
        <f>(1500/2600)*5</f>
        <v>2.8846153846153841</v>
      </c>
    </row>
    <row r="3" spans="1:9" x14ac:dyDescent="0.25">
      <c r="A3" s="8" t="s">
        <v>5</v>
      </c>
      <c r="B3" s="9" t="s">
        <v>8</v>
      </c>
      <c r="C3" s="3">
        <v>0.74</v>
      </c>
      <c r="D3" s="3">
        <f>(0.17)*3</f>
        <v>0.51</v>
      </c>
      <c r="E3" s="3">
        <f>(0.102)*3</f>
        <v>0.30599999999999999</v>
      </c>
      <c r="F3" s="31">
        <f t="shared" ref="F3" si="0">0.003*3</f>
        <v>9.0000000000000011E-3</v>
      </c>
      <c r="G3" s="33">
        <f>(Table3[[#This Row],[Embalagem]]+Table3[[#This Row],[Custo Luz Produção]]+Table3[[#This Row],[Custo Agua]])*0.06</f>
        <v>7.5539999999999996E-2</v>
      </c>
      <c r="H3" s="3">
        <f>Table3[[#This Row],[Embalagem]]+Table3[[#This Row],[Custo Luz Produção]]+Table3[[#This Row],[Custo Agua]]+Table3[[#This Row],[Imposto Sobre Engargos]]</f>
        <v>1.3345399999999998</v>
      </c>
      <c r="I3" s="3">
        <f>(1500/2600)*3</f>
        <v>1.7307692307692306</v>
      </c>
    </row>
    <row r="4" spans="1:9" x14ac:dyDescent="0.25">
      <c r="C4" s="30"/>
      <c r="D4" s="30"/>
      <c r="E4" s="30"/>
      <c r="F4" s="30"/>
      <c r="G4" s="30"/>
      <c r="H4" s="30"/>
    </row>
  </sheetData>
  <phoneticPr fontId="4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C6DF-FF23-494C-A27B-4394B83E681A}">
  <sheetPr codeName="Planilha2"/>
  <dimension ref="A1:I7"/>
  <sheetViews>
    <sheetView workbookViewId="0">
      <selection activeCell="E18" sqref="E18"/>
    </sheetView>
  </sheetViews>
  <sheetFormatPr defaultRowHeight="15" x14ac:dyDescent="0.25"/>
  <cols>
    <col min="1" max="1" width="4.7109375" customWidth="1"/>
    <col min="2" max="2" width="11" bestFit="1" customWidth="1"/>
    <col min="3" max="3" width="21.28515625" bestFit="1" customWidth="1"/>
    <col min="4" max="4" width="18.140625" customWidth="1"/>
    <col min="6" max="6" width="11.42578125" bestFit="1" customWidth="1"/>
    <col min="7" max="7" width="11.5703125" bestFit="1" customWidth="1"/>
    <col min="8" max="9" width="23.28515625" bestFit="1" customWidth="1"/>
  </cols>
  <sheetData>
    <row r="1" spans="1:9" x14ac:dyDescent="0.25">
      <c r="A1" s="24" t="s">
        <v>72</v>
      </c>
      <c r="B1" s="10" t="s">
        <v>2</v>
      </c>
      <c r="C1" s="10" t="s">
        <v>13</v>
      </c>
      <c r="D1" s="10" t="s">
        <v>9</v>
      </c>
      <c r="E1" s="10" t="s">
        <v>10</v>
      </c>
      <c r="F1" s="10" t="s">
        <v>11</v>
      </c>
      <c r="G1" s="10" t="s">
        <v>12</v>
      </c>
      <c r="H1" s="10" t="s">
        <v>26</v>
      </c>
      <c r="I1" s="10" t="s">
        <v>27</v>
      </c>
    </row>
    <row r="2" spans="1:9" x14ac:dyDescent="0.25">
      <c r="A2" s="23">
        <v>1</v>
      </c>
      <c r="B2" t="s">
        <v>18</v>
      </c>
      <c r="C2" t="s">
        <v>14</v>
      </c>
      <c r="D2" t="s">
        <v>20</v>
      </c>
      <c r="E2" t="s">
        <v>22</v>
      </c>
      <c r="F2" t="s">
        <v>23</v>
      </c>
      <c r="H2" s="3">
        <v>7</v>
      </c>
      <c r="I2" s="3">
        <v>5</v>
      </c>
    </row>
    <row r="3" spans="1:9" x14ac:dyDescent="0.25">
      <c r="A3" s="23">
        <v>2</v>
      </c>
      <c r="B3" t="s">
        <v>17</v>
      </c>
      <c r="C3" t="s">
        <v>15</v>
      </c>
      <c r="D3" t="s">
        <v>19</v>
      </c>
      <c r="E3" t="s">
        <v>22</v>
      </c>
      <c r="F3" t="s">
        <v>24</v>
      </c>
      <c r="H3" s="3">
        <v>7</v>
      </c>
      <c r="I3" s="3">
        <v>5</v>
      </c>
    </row>
    <row r="4" spans="1:9" x14ac:dyDescent="0.25">
      <c r="A4" s="23">
        <v>3</v>
      </c>
      <c r="B4" t="s">
        <v>6</v>
      </c>
      <c r="C4" t="s">
        <v>16</v>
      </c>
      <c r="D4" t="s">
        <v>21</v>
      </c>
      <c r="E4" t="s">
        <v>22</v>
      </c>
      <c r="F4" t="s">
        <v>25</v>
      </c>
      <c r="H4" s="3">
        <v>7</v>
      </c>
      <c r="I4" s="3">
        <v>5</v>
      </c>
    </row>
    <row r="5" spans="1:9" x14ac:dyDescent="0.25">
      <c r="A5" s="23">
        <v>4</v>
      </c>
      <c r="B5" t="s">
        <v>43</v>
      </c>
      <c r="C5" t="s">
        <v>44</v>
      </c>
      <c r="D5" s="14" t="s">
        <v>50</v>
      </c>
      <c r="E5" s="14" t="s">
        <v>50</v>
      </c>
      <c r="F5" s="14" t="s">
        <v>50</v>
      </c>
      <c r="G5" s="14" t="s">
        <v>50</v>
      </c>
      <c r="H5" s="3">
        <v>9</v>
      </c>
      <c r="I5" s="3">
        <v>7</v>
      </c>
    </row>
    <row r="6" spans="1:9" x14ac:dyDescent="0.25">
      <c r="A6" s="23">
        <v>5</v>
      </c>
      <c r="B6" t="s">
        <v>66</v>
      </c>
      <c r="C6" t="s">
        <v>73</v>
      </c>
      <c r="D6" t="s">
        <v>19</v>
      </c>
      <c r="E6" t="s">
        <v>68</v>
      </c>
      <c r="G6" t="s">
        <v>70</v>
      </c>
      <c r="H6" s="3">
        <v>7</v>
      </c>
      <c r="I6" s="3">
        <v>6.5</v>
      </c>
    </row>
    <row r="7" spans="1:9" x14ac:dyDescent="0.25">
      <c r="A7" s="23">
        <v>6</v>
      </c>
      <c r="B7" t="s">
        <v>67</v>
      </c>
      <c r="C7" t="s">
        <v>69</v>
      </c>
      <c r="D7" t="s">
        <v>19</v>
      </c>
      <c r="E7" t="s">
        <v>22</v>
      </c>
      <c r="F7" t="s">
        <v>71</v>
      </c>
      <c r="H7" s="3">
        <v>7</v>
      </c>
      <c r="I7" s="3">
        <v>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50AF-A72B-4C76-AE3E-5DFA4A7BCA99}">
  <sheetPr codeName="Planilha3"/>
  <dimension ref="A1:E11"/>
  <sheetViews>
    <sheetView workbookViewId="0">
      <selection activeCell="B8" sqref="B8"/>
    </sheetView>
  </sheetViews>
  <sheetFormatPr defaultRowHeight="15" x14ac:dyDescent="0.25"/>
  <cols>
    <col min="1" max="1" width="11.42578125" style="19" bestFit="1" customWidth="1"/>
    <col min="2" max="2" width="17.5703125" customWidth="1"/>
    <col min="3" max="3" width="16.85546875" customWidth="1"/>
    <col min="4" max="4" width="12.42578125" customWidth="1"/>
  </cols>
  <sheetData>
    <row r="1" spans="1:5" x14ac:dyDescent="0.25">
      <c r="A1" s="19" t="s">
        <v>38</v>
      </c>
      <c r="B1" t="s">
        <v>74</v>
      </c>
      <c r="C1" t="s">
        <v>39</v>
      </c>
      <c r="D1" t="s">
        <v>49</v>
      </c>
      <c r="E1" t="s">
        <v>61</v>
      </c>
    </row>
    <row r="2" spans="1:5" x14ac:dyDescent="0.25">
      <c r="A2" s="19">
        <v>44571</v>
      </c>
      <c r="B2" t="s">
        <v>40</v>
      </c>
      <c r="C2" s="22">
        <v>400</v>
      </c>
    </row>
    <row r="3" spans="1:5" x14ac:dyDescent="0.25">
      <c r="A3" s="19">
        <v>44571</v>
      </c>
      <c r="B3" t="s">
        <v>41</v>
      </c>
      <c r="C3" s="22">
        <v>1100</v>
      </c>
    </row>
    <row r="4" spans="1:5" x14ac:dyDescent="0.25">
      <c r="A4" s="19">
        <v>44602</v>
      </c>
      <c r="B4" t="s">
        <v>40</v>
      </c>
      <c r="C4" s="22">
        <v>400</v>
      </c>
    </row>
    <row r="5" spans="1:5" x14ac:dyDescent="0.25">
      <c r="A5" s="19">
        <v>44602</v>
      </c>
      <c r="B5" t="s">
        <v>41</v>
      </c>
      <c r="C5" s="22">
        <v>1100</v>
      </c>
    </row>
    <row r="6" spans="1:5" x14ac:dyDescent="0.25">
      <c r="C6" s="22"/>
    </row>
    <row r="7" spans="1:5" x14ac:dyDescent="0.25">
      <c r="C7" s="22"/>
    </row>
    <row r="8" spans="1:5" x14ac:dyDescent="0.25">
      <c r="C8" s="22"/>
    </row>
    <row r="9" spans="1:5" x14ac:dyDescent="0.25">
      <c r="C9" s="22"/>
    </row>
    <row r="10" spans="1:5" x14ac:dyDescent="0.25">
      <c r="C10" s="22"/>
    </row>
    <row r="11" spans="1:5" x14ac:dyDescent="0.25">
      <c r="B11" s="19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8D722-93C1-41C5-9C69-85341633B4B4}">
  <sheetPr codeName="Planilha4"/>
  <dimension ref="A1:P205"/>
  <sheetViews>
    <sheetView showGridLines="0" topLeftCell="A49" zoomScale="70" zoomScaleNormal="70" workbookViewId="0">
      <selection activeCell="J85" sqref="J85"/>
    </sheetView>
  </sheetViews>
  <sheetFormatPr defaultRowHeight="15" x14ac:dyDescent="0.25"/>
  <cols>
    <col min="1" max="1" width="12.5703125" customWidth="1"/>
    <col min="2" max="2" width="15" bestFit="1" customWidth="1"/>
    <col min="3" max="3" width="21.28515625" bestFit="1" customWidth="1"/>
    <col min="4" max="4" width="23.5703125" bestFit="1" customWidth="1"/>
    <col min="5" max="5" width="17" style="41" customWidth="1"/>
    <col min="6" max="6" width="20.85546875" style="19" customWidth="1"/>
    <col min="7" max="7" width="20.7109375" customWidth="1"/>
    <col min="8" max="8" width="20.140625" customWidth="1"/>
    <col min="9" max="9" width="17.85546875" customWidth="1"/>
    <col min="10" max="10" width="19.140625" customWidth="1"/>
    <col min="11" max="11" width="19.5703125" customWidth="1"/>
    <col min="12" max="12" width="15.7109375" customWidth="1"/>
    <col min="13" max="13" width="21.7109375" customWidth="1"/>
    <col min="14" max="14" width="17.7109375" customWidth="1"/>
    <col min="15" max="16" width="17.42578125" customWidth="1"/>
    <col min="17" max="17" width="13.42578125" customWidth="1"/>
  </cols>
  <sheetData>
    <row r="1" spans="1:16" x14ac:dyDescent="0.25">
      <c r="A1" s="7" t="s">
        <v>79</v>
      </c>
      <c r="B1" s="6" t="s">
        <v>0</v>
      </c>
      <c r="C1" s="7" t="s">
        <v>32</v>
      </c>
      <c r="D1" s="7" t="s">
        <v>2</v>
      </c>
      <c r="E1" s="38" t="s">
        <v>3</v>
      </c>
      <c r="F1" s="48" t="s">
        <v>38</v>
      </c>
      <c r="G1" s="20" t="s">
        <v>42</v>
      </c>
      <c r="H1" s="15" t="s">
        <v>34</v>
      </c>
      <c r="I1" s="15" t="s">
        <v>80</v>
      </c>
      <c r="J1" s="16" t="s">
        <v>75</v>
      </c>
      <c r="K1" s="16" t="s">
        <v>88</v>
      </c>
      <c r="L1" s="16" t="s">
        <v>62</v>
      </c>
      <c r="M1" s="16" t="s">
        <v>81</v>
      </c>
      <c r="N1" s="16" t="s">
        <v>89</v>
      </c>
      <c r="O1" s="16" t="s">
        <v>90</v>
      </c>
      <c r="P1" s="16" t="s">
        <v>86</v>
      </c>
    </row>
    <row r="2" spans="1:16" x14ac:dyDescent="0.25">
      <c r="A2" s="26">
        <v>1</v>
      </c>
      <c r="B2" s="4" t="s">
        <v>4</v>
      </c>
      <c r="C2" s="1" t="s">
        <v>33</v>
      </c>
      <c r="D2" s="1" t="s">
        <v>14</v>
      </c>
      <c r="E2" s="39">
        <v>20</v>
      </c>
      <c r="F2" s="5">
        <v>44566</v>
      </c>
      <c r="G2" s="21">
        <f>IF(B2="","",IF(B2="SK01",E2*5,E2*3))</f>
        <v>100</v>
      </c>
      <c r="H2" s="17">
        <f>IF(B2="","",IF(B2="SK01",VLOOKUP(D2,Clientes!C:I,6,0),VLOOKUP(D2,Clientes!C:I,7,0)))</f>
        <v>7</v>
      </c>
      <c r="I2" s="17">
        <f>IF(Table1[[#This Row],[Quantidade]]="","",Table1[[#This Row],[Quantidade]]*Table1[[#This Row],[Valor Unitário]])</f>
        <v>140</v>
      </c>
      <c r="J2" s="18">
        <f>IF(H2="","",IF(B2="SK01",'Produto e Custo de Produção'!$H$2*Table1[[#This Row],[Quantidade]],'Produto e Custo de Produção'!$H$3*Table1[[#This Row],[Quantidade]]))</f>
        <v>36.569999999999993</v>
      </c>
      <c r="K2" s="18">
        <f>IF(H2="","",IF(B2="SK01",'Produto e Custo de Produção'!$I$2*Table1[[#This Row],[Quantidade]],'Produto e Custo de Produção'!$I$2*Table1[[#This Row],[Quantidade]]))</f>
        <v>57.692307692307679</v>
      </c>
      <c r="L2" s="18">
        <f>IF(B2="","",IF(E2&lt;=2,0,IF(E2&lt;=30,10,IF(E2&lt;=40,15,20))))</f>
        <v>10</v>
      </c>
      <c r="M2" s="18">
        <f>IF(B2="","",Table1[[#This Row],[Total da Venda]]*0.06)</f>
        <v>8.4</v>
      </c>
      <c r="N2" s="18">
        <f>Table1[[#This Row],[Custo de Produção]]+Table1[[#This Row],[Custo Fixo]]+Table1[[#This Row],[Combustivel ]]+Table1[[#This Row],[Imposto Sobre a Venda]]</f>
        <v>112.66230769230768</v>
      </c>
      <c r="O2" s="25">
        <f>Table1[[#This Row],[Total da Venda]]-Table1[[#This Row],[Custo de Produção]]</f>
        <v>103.43</v>
      </c>
      <c r="P2" s="25">
        <f>Table1[[#This Row],[Total da Venda]]-Table1[[#This Row],[Custo Total]]</f>
        <v>27.337692307692322</v>
      </c>
    </row>
    <row r="3" spans="1:16" x14ac:dyDescent="0.25">
      <c r="A3" s="27">
        <v>1</v>
      </c>
      <c r="B3" s="4" t="s">
        <v>5</v>
      </c>
      <c r="C3" s="1" t="s">
        <v>33</v>
      </c>
      <c r="D3" s="1" t="s">
        <v>14</v>
      </c>
      <c r="E3" s="39">
        <v>20</v>
      </c>
      <c r="F3" s="5">
        <v>44566</v>
      </c>
      <c r="G3" s="21">
        <f t="shared" ref="G3:G56" si="0">IF(B3="","",IF(B3="SK01",E3*5,E3*3))</f>
        <v>60</v>
      </c>
      <c r="H3" s="17">
        <f>IF(B3="","",IF(B3="SK01",VLOOKUP(D3,Clientes!C:I,6,0),VLOOKUP(D3,Clientes!C:I,7,0)))</f>
        <v>5</v>
      </c>
      <c r="I3" s="17">
        <f>IF(Table1[[#This Row],[Quantidade]]="","",Table1[[#This Row],[Quantidade]]*Table1[[#This Row],[Valor Unitário]])</f>
        <v>100</v>
      </c>
      <c r="J3" s="18">
        <f>IF(H3="","",IF(B3="SK01",'Produto e Custo de Produção'!$H$2*Table1[[#This Row],[Quantidade]],'Produto e Custo de Produção'!$H$3*Table1[[#This Row],[Quantidade]]))</f>
        <v>26.690799999999996</v>
      </c>
      <c r="K3" s="18">
        <f>IF(H3="","",IF(B3="SK01",'Produto e Custo de Produção'!$I$2*Table1[[#This Row],[Quantidade]],'Produto e Custo de Produção'!$I$3*Table1[[#This Row],[Quantidade]]))</f>
        <v>34.615384615384613</v>
      </c>
      <c r="L3" s="18">
        <f t="shared" ref="L3:L66" si="1">IF(B3="","",IF(E3&lt;=2,0,IF(E3&lt;=30,10,IF(E3&lt;=40,15,20))))</f>
        <v>10</v>
      </c>
      <c r="M3" s="18">
        <f>IF(B3="","",Table1[[#This Row],[Total da Venda]]*0.06)</f>
        <v>6</v>
      </c>
      <c r="N3" s="18">
        <f>Table1[[#This Row],[Custo de Produção]]+Table1[[#This Row],[Custo Fixo]]+Table1[[#This Row],[Combustivel ]]+Table1[[#This Row],[Imposto Sobre a Venda]]</f>
        <v>77.306184615384609</v>
      </c>
      <c r="O3" s="25">
        <f>Table1[[#This Row],[Total da Venda]]-Table1[[#This Row],[Custo de Produção]]</f>
        <v>73.309200000000004</v>
      </c>
      <c r="P3" s="25">
        <f>Table1[[#This Row],[Total da Venda]]-Table1[[#This Row],[Custo Total]]</f>
        <v>22.693815384615391</v>
      </c>
    </row>
    <row r="4" spans="1:16" x14ac:dyDescent="0.25">
      <c r="A4" s="27">
        <v>2</v>
      </c>
      <c r="B4" s="4" t="s">
        <v>4</v>
      </c>
      <c r="C4" s="1" t="s">
        <v>33</v>
      </c>
      <c r="D4" s="1" t="s">
        <v>15</v>
      </c>
      <c r="E4" s="39">
        <v>20</v>
      </c>
      <c r="F4" s="5">
        <v>44566</v>
      </c>
      <c r="G4" s="21">
        <f t="shared" si="0"/>
        <v>100</v>
      </c>
      <c r="H4" s="17">
        <f>IF(B4="","",IF(B4="SK01",VLOOKUP(D4,Clientes!C:I,6,0),VLOOKUP(D4,Clientes!C:I,7,0)))</f>
        <v>7</v>
      </c>
      <c r="I4" s="17">
        <f>IF(Table1[[#This Row],[Quantidade]]="","",Table1[[#This Row],[Quantidade]]*Table1[[#This Row],[Valor Unitário]])</f>
        <v>140</v>
      </c>
      <c r="J4" s="18">
        <f>IF(H4="","",IF(B4="SK01",'Produto e Custo de Produção'!$H$2*Table1[[#This Row],[Quantidade]],'Produto e Custo de Produção'!$H$3*Table1[[#This Row],[Quantidade]]))</f>
        <v>36.569999999999993</v>
      </c>
      <c r="K4" s="18">
        <f>IF(H4="","",IF(B4="SK01",'Produto e Custo de Produção'!$I$2*Table1[[#This Row],[Quantidade]],'Produto e Custo de Produção'!$I$2*Table1[[#This Row],[Quantidade]]))</f>
        <v>57.692307692307679</v>
      </c>
      <c r="L4" s="18">
        <f t="shared" si="1"/>
        <v>10</v>
      </c>
      <c r="M4" s="18">
        <f>IF(B4="","",Table1[[#This Row],[Total da Venda]]*0.06)</f>
        <v>8.4</v>
      </c>
      <c r="N4" s="18">
        <f>Table1[[#This Row],[Custo de Produção]]+Table1[[#This Row],[Custo Fixo]]+Table1[[#This Row],[Combustivel ]]+Table1[[#This Row],[Imposto Sobre a Venda]]</f>
        <v>112.66230769230768</v>
      </c>
      <c r="O4" s="25">
        <f>Table1[[#This Row],[Total da Venda]]-Table1[[#This Row],[Custo de Produção]]</f>
        <v>103.43</v>
      </c>
      <c r="P4" s="25">
        <f>Table1[[#This Row],[Total da Venda]]-Table1[[#This Row],[Custo Total]]</f>
        <v>27.337692307692322</v>
      </c>
    </row>
    <row r="5" spans="1:16" x14ac:dyDescent="0.25">
      <c r="A5" s="26">
        <v>1</v>
      </c>
      <c r="B5" s="4" t="s">
        <v>4</v>
      </c>
      <c r="C5" s="1" t="s">
        <v>33</v>
      </c>
      <c r="D5" s="1" t="s">
        <v>15</v>
      </c>
      <c r="E5" s="39">
        <v>20</v>
      </c>
      <c r="F5" s="5">
        <v>44566</v>
      </c>
      <c r="G5" s="21">
        <f t="shared" si="0"/>
        <v>100</v>
      </c>
      <c r="H5" s="17">
        <f>IF(B5="","",IF(B5="SK01",VLOOKUP(D5,Clientes!C:I,6,0),VLOOKUP(D5,Clientes!C:I,7,0)))</f>
        <v>7</v>
      </c>
      <c r="I5" s="17">
        <f>IF(Table1[[#This Row],[Quantidade]]="","",Table1[[#This Row],[Quantidade]]*Table1[[#This Row],[Valor Unitário]])</f>
        <v>140</v>
      </c>
      <c r="J5" s="18">
        <f>IF(H5="","",IF(B5="SK01",'Produto e Custo de Produção'!$H$2*Table1[[#This Row],[Quantidade]],'Produto e Custo de Produção'!$H$3*Table1[[#This Row],[Quantidade]]))</f>
        <v>36.569999999999993</v>
      </c>
      <c r="K5" s="18">
        <f>IF(H5="","",IF(B5="SK01",'Produto e Custo de Produção'!$I$2*Table1[[#This Row],[Quantidade]],'Produto e Custo de Produção'!$I$2*Table1[[#This Row],[Quantidade]]))</f>
        <v>57.692307692307679</v>
      </c>
      <c r="L5" s="18">
        <f t="shared" si="1"/>
        <v>10</v>
      </c>
      <c r="M5" s="18">
        <f>IF(B5="","",Table1[[#This Row],[Total da Venda]]*0.06)</f>
        <v>8.4</v>
      </c>
      <c r="N5" s="18">
        <f>Table1[[#This Row],[Custo de Produção]]+Table1[[#This Row],[Custo Fixo]]+Table1[[#This Row],[Combustivel ]]+Table1[[#This Row],[Imposto Sobre a Venda]]</f>
        <v>112.66230769230768</v>
      </c>
      <c r="O5" s="25">
        <f>Table1[[#This Row],[Total da Venda]]-Table1[[#This Row],[Custo de Produção]]</f>
        <v>103.43</v>
      </c>
      <c r="P5" s="25">
        <f>Table1[[#This Row],[Total da Venda]]-Table1[[#This Row],[Custo Total]]</f>
        <v>27.337692307692322</v>
      </c>
    </row>
    <row r="6" spans="1:16" x14ac:dyDescent="0.25">
      <c r="A6" s="27">
        <v>3</v>
      </c>
      <c r="B6" s="4" t="s">
        <v>4</v>
      </c>
      <c r="C6" s="1" t="s">
        <v>33</v>
      </c>
      <c r="D6" s="1" t="s">
        <v>16</v>
      </c>
      <c r="E6" s="39">
        <v>20</v>
      </c>
      <c r="F6" s="5">
        <v>44566</v>
      </c>
      <c r="G6" s="21">
        <f t="shared" si="0"/>
        <v>100</v>
      </c>
      <c r="H6" s="17">
        <f>IF(B6="","",IF(B6="SK01",VLOOKUP(D6,Clientes!C:I,6,0),VLOOKUP(D6,Clientes!C:I,7,0)))</f>
        <v>7</v>
      </c>
      <c r="I6" s="17">
        <f>IF(Table1[[#This Row],[Quantidade]]="","",Table1[[#This Row],[Quantidade]]*Table1[[#This Row],[Valor Unitário]])</f>
        <v>140</v>
      </c>
      <c r="J6" s="18">
        <f>IF(H6="","",IF(B6="SK01",'Produto e Custo de Produção'!$H$2*Table1[[#This Row],[Quantidade]],'Produto e Custo de Produção'!$H$3*Table1[[#This Row],[Quantidade]]))</f>
        <v>36.569999999999993</v>
      </c>
      <c r="K6" s="18">
        <f>IF(H6="","",IF(B6="SK01",'Produto e Custo de Produção'!$I$2*Table1[[#This Row],[Quantidade]],'Produto e Custo de Produção'!$I$2*Table1[[#This Row],[Quantidade]]))</f>
        <v>57.692307692307679</v>
      </c>
      <c r="L6" s="18">
        <f t="shared" si="1"/>
        <v>10</v>
      </c>
      <c r="M6" s="18">
        <f>IF(B6="","",Table1[[#This Row],[Total da Venda]]*0.06)</f>
        <v>8.4</v>
      </c>
      <c r="N6" s="18">
        <f>Table1[[#This Row],[Custo de Produção]]+Table1[[#This Row],[Custo Fixo]]+Table1[[#This Row],[Combustivel ]]+Table1[[#This Row],[Imposto Sobre a Venda]]</f>
        <v>112.66230769230768</v>
      </c>
      <c r="O6" s="25">
        <f>Table1[[#This Row],[Total da Venda]]-Table1[[#This Row],[Custo de Produção]]</f>
        <v>103.43</v>
      </c>
      <c r="P6" s="25">
        <f>Table1[[#This Row],[Total da Venda]]-Table1[[#This Row],[Custo Total]]</f>
        <v>27.337692307692322</v>
      </c>
    </row>
    <row r="7" spans="1:16" x14ac:dyDescent="0.25">
      <c r="A7" s="27">
        <v>3</v>
      </c>
      <c r="B7" s="4" t="s">
        <v>5</v>
      </c>
      <c r="C7" s="1" t="s">
        <v>33</v>
      </c>
      <c r="D7" s="1" t="s">
        <v>16</v>
      </c>
      <c r="E7" s="39">
        <v>20</v>
      </c>
      <c r="F7" s="5">
        <v>44566</v>
      </c>
      <c r="G7" s="21">
        <f t="shared" si="0"/>
        <v>60</v>
      </c>
      <c r="H7" s="17">
        <f>IF(B7="","",IF(B7="SK01",VLOOKUP(D7,Clientes!C:I,6,0),VLOOKUP(D7,Clientes!C:I,7,0)))</f>
        <v>5</v>
      </c>
      <c r="I7" s="17">
        <f>IF(Table1[[#This Row],[Quantidade]]="","",Table1[[#This Row],[Quantidade]]*Table1[[#This Row],[Valor Unitário]])</f>
        <v>100</v>
      </c>
      <c r="J7" s="18">
        <f>IF(H7="","",IF(B7="SK01",'Produto e Custo de Produção'!$H$2*Table1[[#This Row],[Quantidade]],'Produto e Custo de Produção'!$H$3*Table1[[#This Row],[Quantidade]]))</f>
        <v>26.690799999999996</v>
      </c>
      <c r="K7" s="18">
        <f>IF(H7="","",IF(B7="SK01",'Produto e Custo de Produção'!$I$2*Table1[[#This Row],[Quantidade]],'Produto e Custo de Produção'!$I$3*Table1[[#This Row],[Quantidade]]))</f>
        <v>34.615384615384613</v>
      </c>
      <c r="L7" s="18">
        <f t="shared" si="1"/>
        <v>10</v>
      </c>
      <c r="M7" s="18">
        <f>IF(B7="","",Table1[[#This Row],[Total da Venda]]*0.06)</f>
        <v>6</v>
      </c>
      <c r="N7" s="18">
        <f>Table1[[#This Row],[Custo de Produção]]+Table1[[#This Row],[Custo Fixo]]+Table1[[#This Row],[Combustivel ]]+Table1[[#This Row],[Imposto Sobre a Venda]]</f>
        <v>77.306184615384609</v>
      </c>
      <c r="O7" s="25">
        <f>Table1[[#This Row],[Total da Venda]]-Table1[[#This Row],[Custo de Produção]]</f>
        <v>73.309200000000004</v>
      </c>
      <c r="P7" s="25">
        <f>Table1[[#This Row],[Total da Venda]]-Table1[[#This Row],[Custo Total]]</f>
        <v>22.693815384615391</v>
      </c>
    </row>
    <row r="8" spans="1:16" x14ac:dyDescent="0.25">
      <c r="A8" s="26">
        <v>4</v>
      </c>
      <c r="B8" s="4" t="s">
        <v>5</v>
      </c>
      <c r="C8" s="1" t="s">
        <v>37</v>
      </c>
      <c r="D8" s="1" t="s">
        <v>44</v>
      </c>
      <c r="E8" s="39">
        <v>1</v>
      </c>
      <c r="F8" s="5">
        <v>44567</v>
      </c>
      <c r="G8" s="21">
        <f t="shared" si="0"/>
        <v>3</v>
      </c>
      <c r="H8" s="17">
        <f>IF(B8="","",IF(B8="SK01",VLOOKUP(D8,Clientes!C:I,6,0),VLOOKUP(D8,Clientes!C:I,7,0)))</f>
        <v>7</v>
      </c>
      <c r="I8" s="17">
        <f>IF(Table1[[#This Row],[Quantidade]]="","",Table1[[#This Row],[Quantidade]]*Table1[[#This Row],[Valor Unitário]])</f>
        <v>7</v>
      </c>
      <c r="J8" s="18">
        <f>IF(H8="","",IF(B8="SK01",'Produto e Custo de Produção'!$H$2*Table1[[#This Row],[Quantidade]],'Produto e Custo de Produção'!$H$3*Table1[[#This Row],[Quantidade]]))</f>
        <v>1.3345399999999998</v>
      </c>
      <c r="K8" s="18">
        <f>IF(H8="","",IF(B8="SK01",'Produto e Custo de Produção'!$I$2*Table1[[#This Row],[Quantidade]],'Produto e Custo de Produção'!$I$3*Table1[[#This Row],[Quantidade]]))</f>
        <v>1.7307692307692306</v>
      </c>
      <c r="L8" s="18">
        <f t="shared" si="1"/>
        <v>0</v>
      </c>
      <c r="M8" s="18">
        <f>IF(B8="","",Table1[[#This Row],[Total da Venda]]*0.06)</f>
        <v>0.42</v>
      </c>
      <c r="N8" s="18">
        <f>Table1[[#This Row],[Custo de Produção]]+Table1[[#This Row],[Custo Fixo]]+Table1[[#This Row],[Combustivel ]]+Table1[[#This Row],[Imposto Sobre a Venda]]</f>
        <v>3.4853092307692304</v>
      </c>
      <c r="O8" s="25">
        <f>Table1[[#This Row],[Total da Venda]]-Table1[[#This Row],[Custo de Produção]]</f>
        <v>5.6654600000000004</v>
      </c>
      <c r="P8" s="25">
        <f>Table1[[#This Row],[Total da Venda]]-Table1[[#This Row],[Custo Total]]</f>
        <v>3.5146907692307696</v>
      </c>
    </row>
    <row r="9" spans="1:16" x14ac:dyDescent="0.25">
      <c r="A9" s="27">
        <v>4</v>
      </c>
      <c r="B9" s="4" t="s">
        <v>5</v>
      </c>
      <c r="C9" s="1" t="s">
        <v>37</v>
      </c>
      <c r="D9" s="1" t="s">
        <v>44</v>
      </c>
      <c r="E9" s="39">
        <v>2</v>
      </c>
      <c r="F9" s="5">
        <v>44567</v>
      </c>
      <c r="G9" s="21">
        <f t="shared" si="0"/>
        <v>6</v>
      </c>
      <c r="H9" s="17">
        <f>IF(B9="","",IF(B9="SK01",VLOOKUP(D9,Clientes!C:I,6,0),VLOOKUP(D9,Clientes!C:I,7,0)))</f>
        <v>7</v>
      </c>
      <c r="I9" s="17">
        <f>IF(Table1[[#This Row],[Quantidade]]="","",Table1[[#This Row],[Quantidade]]*Table1[[#This Row],[Valor Unitário]])</f>
        <v>14</v>
      </c>
      <c r="J9" s="18">
        <f>IF(H9="","",IF(B9="SK01",'Produto e Custo de Produção'!$H$2*Table1[[#This Row],[Quantidade]],'Produto e Custo de Produção'!$H$3*Table1[[#This Row],[Quantidade]]))</f>
        <v>2.6690799999999997</v>
      </c>
      <c r="K9" s="18">
        <f>IF(H9="","",IF(B9="SK01",'Produto e Custo de Produção'!$I$2*Table1[[#This Row],[Quantidade]],'Produto e Custo de Produção'!$I$3*Table1[[#This Row],[Quantidade]]))</f>
        <v>3.4615384615384612</v>
      </c>
      <c r="L9" s="18">
        <f t="shared" si="1"/>
        <v>0</v>
      </c>
      <c r="M9" s="18">
        <f>IF(B9="","",Table1[[#This Row],[Total da Venda]]*0.06)</f>
        <v>0.84</v>
      </c>
      <c r="N9" s="18">
        <f>Table1[[#This Row],[Custo de Produção]]+Table1[[#This Row],[Custo Fixo]]+Table1[[#This Row],[Combustivel ]]+Table1[[#This Row],[Imposto Sobre a Venda]]</f>
        <v>6.9706184615384608</v>
      </c>
      <c r="O9" s="25">
        <f>Table1[[#This Row],[Total da Venda]]-Table1[[#This Row],[Custo de Produção]]</f>
        <v>11.330920000000001</v>
      </c>
      <c r="P9" s="25">
        <f>Table1[[#This Row],[Total da Venda]]-Table1[[#This Row],[Custo Total]]</f>
        <v>7.0293815384615392</v>
      </c>
    </row>
    <row r="10" spans="1:16" x14ac:dyDescent="0.25">
      <c r="A10" s="27">
        <v>5</v>
      </c>
      <c r="B10" s="4" t="s">
        <v>4</v>
      </c>
      <c r="C10" s="1" t="s">
        <v>37</v>
      </c>
      <c r="D10" s="1" t="s">
        <v>44</v>
      </c>
      <c r="E10" s="39">
        <v>1</v>
      </c>
      <c r="F10" s="5">
        <v>44568</v>
      </c>
      <c r="G10" s="21">
        <f t="shared" si="0"/>
        <v>5</v>
      </c>
      <c r="H10" s="17">
        <f>IF(B10="","",IF(B10="SK01",VLOOKUP(D10,Clientes!C:I,6,0),VLOOKUP(D10,Clientes!C:I,7,0)))</f>
        <v>9</v>
      </c>
      <c r="I10" s="17">
        <f>IF(Table1[[#This Row],[Quantidade]]="","",Table1[[#This Row],[Quantidade]]*Table1[[#This Row],[Valor Unitário]])</f>
        <v>9</v>
      </c>
      <c r="J10" s="18">
        <f>IF(H10="","",IF(B10="SK01",'Produto e Custo de Produção'!$H$2*Table1[[#This Row],[Quantidade]],'Produto e Custo de Produção'!$H$3*Table1[[#This Row],[Quantidade]]))</f>
        <v>1.8284999999999998</v>
      </c>
      <c r="K10" s="18">
        <f>IF(H10="","",IF(B10="SK01",'Produto e Custo de Produção'!$I$2*Table1[[#This Row],[Quantidade]],'Produto e Custo de Produção'!$I$2*Table1[[#This Row],[Quantidade]]))</f>
        <v>2.8846153846153841</v>
      </c>
      <c r="L10" s="18">
        <f t="shared" si="1"/>
        <v>0</v>
      </c>
      <c r="M10" s="18">
        <f>IF(B10="","",Table1[[#This Row],[Total da Venda]]*0.06)</f>
        <v>0.54</v>
      </c>
      <c r="N10" s="18">
        <f>Table1[[#This Row],[Custo de Produção]]+Table1[[#This Row],[Custo Fixo]]+Table1[[#This Row],[Combustivel ]]+Table1[[#This Row],[Imposto Sobre a Venda]]</f>
        <v>5.2531153846153842</v>
      </c>
      <c r="O10" s="25">
        <f>Table1[[#This Row],[Total da Venda]]-Table1[[#This Row],[Custo de Produção]]</f>
        <v>7.1715</v>
      </c>
      <c r="P10" s="25">
        <f>Table1[[#This Row],[Total da Venda]]-Table1[[#This Row],[Custo Total]]</f>
        <v>3.7468846153846158</v>
      </c>
    </row>
    <row r="11" spans="1:16" x14ac:dyDescent="0.25">
      <c r="A11" s="26">
        <v>6</v>
      </c>
      <c r="B11" s="4" t="s">
        <v>4</v>
      </c>
      <c r="C11" s="1" t="s">
        <v>37</v>
      </c>
      <c r="D11" s="1" t="s">
        <v>44</v>
      </c>
      <c r="E11" s="39">
        <v>1</v>
      </c>
      <c r="F11" s="5">
        <v>44568</v>
      </c>
      <c r="G11" s="21">
        <f t="shared" si="0"/>
        <v>5</v>
      </c>
      <c r="H11" s="17">
        <f>IF(B11="","",IF(B11="SK01",VLOOKUP(D11,Clientes!C:I,6,0),VLOOKUP(D11,Clientes!C:I,7,0)))</f>
        <v>9</v>
      </c>
      <c r="I11" s="17">
        <f>IF(Table1[[#This Row],[Quantidade]]="","",Table1[[#This Row],[Quantidade]]*Table1[[#This Row],[Valor Unitário]])</f>
        <v>9</v>
      </c>
      <c r="J11" s="18">
        <f>IF(H11="","",IF(B11="SK01",'Produto e Custo de Produção'!$H$2*Table1[[#This Row],[Quantidade]],'Produto e Custo de Produção'!$H$3*Table1[[#This Row],[Quantidade]]))</f>
        <v>1.8284999999999998</v>
      </c>
      <c r="K11" s="18">
        <f>IF(H11="","",IF(B11="SK01",'Produto e Custo de Produção'!$I$2*Table1[[#This Row],[Quantidade]],'Produto e Custo de Produção'!$I$2*Table1[[#This Row],[Quantidade]]))</f>
        <v>2.8846153846153841</v>
      </c>
      <c r="L11" s="18">
        <f t="shared" si="1"/>
        <v>0</v>
      </c>
      <c r="M11" s="18">
        <f>IF(B11="","",Table1[[#This Row],[Total da Venda]]*0.06)</f>
        <v>0.54</v>
      </c>
      <c r="N11" s="18">
        <f>Table1[[#This Row],[Custo de Produção]]+Table1[[#This Row],[Custo Fixo]]+Table1[[#This Row],[Combustivel ]]+Table1[[#This Row],[Imposto Sobre a Venda]]</f>
        <v>5.2531153846153842</v>
      </c>
      <c r="O11" s="25">
        <f>Table1[[#This Row],[Total da Venda]]-Table1[[#This Row],[Custo de Produção]]</f>
        <v>7.1715</v>
      </c>
      <c r="P11" s="25">
        <f>Table1[[#This Row],[Total da Venda]]-Table1[[#This Row],[Custo Total]]</f>
        <v>3.7468846153846158</v>
      </c>
    </row>
    <row r="12" spans="1:16" x14ac:dyDescent="0.25">
      <c r="A12" s="27">
        <v>7</v>
      </c>
      <c r="B12" s="4" t="s">
        <v>5</v>
      </c>
      <c r="C12" s="1" t="s">
        <v>37</v>
      </c>
      <c r="D12" s="1" t="s">
        <v>44</v>
      </c>
      <c r="E12" s="39">
        <v>1</v>
      </c>
      <c r="F12" s="5">
        <v>44569</v>
      </c>
      <c r="G12" s="21">
        <f t="shared" si="0"/>
        <v>3</v>
      </c>
      <c r="H12" s="17">
        <f>IF(B12="","",IF(B12="SK01",VLOOKUP(D12,Clientes!C:I,6,0),VLOOKUP(D12,Clientes!C:I,7,0)))</f>
        <v>7</v>
      </c>
      <c r="I12" s="17">
        <f>IF(Table1[[#This Row],[Quantidade]]="","",Table1[[#This Row],[Quantidade]]*Table1[[#This Row],[Valor Unitário]])</f>
        <v>7</v>
      </c>
      <c r="J12" s="18">
        <f>IF(H12="","",IF(B12="SK01",'Produto e Custo de Produção'!$H$2*Table1[[#This Row],[Quantidade]],'Produto e Custo de Produção'!$H$3*Table1[[#This Row],[Quantidade]]))</f>
        <v>1.3345399999999998</v>
      </c>
      <c r="K12" s="18">
        <f>IF(H12="","",IF(B12="SK01",'Produto e Custo de Produção'!$I$2*Table1[[#This Row],[Quantidade]],'Produto e Custo de Produção'!$I$3*Table1[[#This Row],[Quantidade]]))</f>
        <v>1.7307692307692306</v>
      </c>
      <c r="L12" s="18">
        <f t="shared" si="1"/>
        <v>0</v>
      </c>
      <c r="M12" s="18">
        <f>IF(B12="","",Table1[[#This Row],[Total da Venda]]*0.06)</f>
        <v>0.42</v>
      </c>
      <c r="N12" s="18">
        <f>Table1[[#This Row],[Custo de Produção]]+Table1[[#This Row],[Custo Fixo]]+Table1[[#This Row],[Combustivel ]]+Table1[[#This Row],[Imposto Sobre a Venda]]</f>
        <v>3.4853092307692304</v>
      </c>
      <c r="O12" s="25">
        <f>Table1[[#This Row],[Total da Venda]]-Table1[[#This Row],[Custo de Produção]]</f>
        <v>5.6654600000000004</v>
      </c>
      <c r="P12" s="25">
        <f>Table1[[#This Row],[Total da Venda]]-Table1[[#This Row],[Custo Total]]</f>
        <v>3.5146907692307696</v>
      </c>
    </row>
    <row r="13" spans="1:16" x14ac:dyDescent="0.25">
      <c r="A13" s="27">
        <v>8</v>
      </c>
      <c r="B13" s="4" t="s">
        <v>5</v>
      </c>
      <c r="C13" s="1" t="s">
        <v>37</v>
      </c>
      <c r="D13" s="1" t="s">
        <v>44</v>
      </c>
      <c r="E13" s="39">
        <v>1</v>
      </c>
      <c r="F13" s="5">
        <v>44569</v>
      </c>
      <c r="G13" s="21">
        <f t="shared" si="0"/>
        <v>3</v>
      </c>
      <c r="H13" s="17">
        <f>IF(B13="","",IF(B13="SK01",VLOOKUP(D13,Clientes!C:I,6,0),VLOOKUP(D13,Clientes!C:I,7,0)))</f>
        <v>7</v>
      </c>
      <c r="I13" s="17">
        <f>IF(Table1[[#This Row],[Quantidade]]="","",Table1[[#This Row],[Quantidade]]*Table1[[#This Row],[Valor Unitário]])</f>
        <v>7</v>
      </c>
      <c r="J13" s="18">
        <f>IF(H13="","",IF(B13="SK01",'Produto e Custo de Produção'!$H$2*Table1[[#This Row],[Quantidade]],'Produto e Custo de Produção'!$H$3*Table1[[#This Row],[Quantidade]]))</f>
        <v>1.3345399999999998</v>
      </c>
      <c r="K13" s="18">
        <f>IF(H13="","",IF(B13="SK01",'Produto e Custo de Produção'!$I$2*Table1[[#This Row],[Quantidade]],'Produto e Custo de Produção'!$I$3*Table1[[#This Row],[Quantidade]]))</f>
        <v>1.7307692307692306</v>
      </c>
      <c r="L13" s="18">
        <f t="shared" si="1"/>
        <v>0</v>
      </c>
      <c r="M13" s="18">
        <f>IF(B13="","",Table1[[#This Row],[Total da Venda]]*0.06)</f>
        <v>0.42</v>
      </c>
      <c r="N13" s="18">
        <f>Table1[[#This Row],[Custo de Produção]]+Table1[[#This Row],[Custo Fixo]]+Table1[[#This Row],[Combustivel ]]+Table1[[#This Row],[Imposto Sobre a Venda]]</f>
        <v>3.4853092307692304</v>
      </c>
      <c r="O13" s="25">
        <f>Table1[[#This Row],[Total da Venda]]-Table1[[#This Row],[Custo de Produção]]</f>
        <v>5.6654600000000004</v>
      </c>
      <c r="P13" s="25">
        <f>Table1[[#This Row],[Total da Venda]]-Table1[[#This Row],[Custo Total]]</f>
        <v>3.5146907692307696</v>
      </c>
    </row>
    <row r="14" spans="1:16" x14ac:dyDescent="0.25">
      <c r="A14" s="26">
        <v>9</v>
      </c>
      <c r="B14" s="4" t="s">
        <v>5</v>
      </c>
      <c r="C14" s="1" t="s">
        <v>37</v>
      </c>
      <c r="D14" s="1" t="s">
        <v>44</v>
      </c>
      <c r="E14" s="39">
        <v>1</v>
      </c>
      <c r="F14" s="5">
        <v>44569</v>
      </c>
      <c r="G14" s="21">
        <f t="shared" si="0"/>
        <v>3</v>
      </c>
      <c r="H14" s="17">
        <f>IF(B14="","",IF(B14="SK01",VLOOKUP(D14,Clientes!C:I,6,0),VLOOKUP(D14,Clientes!C:I,7,0)))</f>
        <v>7</v>
      </c>
      <c r="I14" s="17">
        <f>IF(Table1[[#This Row],[Quantidade]]="","",Table1[[#This Row],[Quantidade]]*Table1[[#This Row],[Valor Unitário]])</f>
        <v>7</v>
      </c>
      <c r="J14" s="18">
        <f>IF(H14="","",IF(B14="SK01",'Produto e Custo de Produção'!$H$2*Table1[[#This Row],[Quantidade]],'Produto e Custo de Produção'!$H$3*Table1[[#This Row],[Quantidade]]))</f>
        <v>1.3345399999999998</v>
      </c>
      <c r="K14" s="18">
        <f>IF(H14="","",IF(B14="SK01",'Produto e Custo de Produção'!$I$2*Table1[[#This Row],[Quantidade]],'Produto e Custo de Produção'!$I$3*Table1[[#This Row],[Quantidade]]))</f>
        <v>1.7307692307692306</v>
      </c>
      <c r="L14" s="18">
        <f t="shared" si="1"/>
        <v>0</v>
      </c>
      <c r="M14" s="18">
        <f>IF(B14="","",Table1[[#This Row],[Total da Venda]]*0.06)</f>
        <v>0.42</v>
      </c>
      <c r="N14" s="18">
        <f>Table1[[#This Row],[Custo de Produção]]+Table1[[#This Row],[Custo Fixo]]+Table1[[#This Row],[Combustivel ]]+Table1[[#This Row],[Imposto Sobre a Venda]]</f>
        <v>3.4853092307692304</v>
      </c>
      <c r="O14" s="25">
        <f>Table1[[#This Row],[Total da Venda]]-Table1[[#This Row],[Custo de Produção]]</f>
        <v>5.6654600000000004</v>
      </c>
      <c r="P14" s="25">
        <f>Table1[[#This Row],[Total da Venda]]-Table1[[#This Row],[Custo Total]]</f>
        <v>3.5146907692307696</v>
      </c>
    </row>
    <row r="15" spans="1:16" x14ac:dyDescent="0.25">
      <c r="A15" s="27">
        <v>10</v>
      </c>
      <c r="B15" s="4" t="s">
        <v>4</v>
      </c>
      <c r="C15" s="1" t="s">
        <v>37</v>
      </c>
      <c r="D15" s="1" t="s">
        <v>44</v>
      </c>
      <c r="E15" s="39">
        <v>1</v>
      </c>
      <c r="F15" s="5">
        <v>44569</v>
      </c>
      <c r="G15" s="21">
        <f t="shared" si="0"/>
        <v>5</v>
      </c>
      <c r="H15" s="17">
        <f>IF(B15="","",IF(B15="SK01",VLOOKUP(D15,Clientes!C:I,6,0),VLOOKUP(D15,Clientes!C:I,7,0)))</f>
        <v>9</v>
      </c>
      <c r="I15" s="17">
        <f>IF(Table1[[#This Row],[Quantidade]]="","",Table1[[#This Row],[Quantidade]]*Table1[[#This Row],[Valor Unitário]])</f>
        <v>9</v>
      </c>
      <c r="J15" s="18">
        <f>IF(H15="","",IF(B15="SK01",'Produto e Custo de Produção'!$H$2*Table1[[#This Row],[Quantidade]],'Produto e Custo de Produção'!$H$3*Table1[[#This Row],[Quantidade]]))</f>
        <v>1.8284999999999998</v>
      </c>
      <c r="K15" s="18">
        <f>IF(H15="","",IF(B15="SK01",'Produto e Custo de Produção'!$I$2*Table1[[#This Row],[Quantidade]],'Produto e Custo de Produção'!$I$2*Table1[[#This Row],[Quantidade]]))</f>
        <v>2.8846153846153841</v>
      </c>
      <c r="L15" s="18">
        <f t="shared" si="1"/>
        <v>0</v>
      </c>
      <c r="M15" s="18">
        <f>IF(B15="","",Table1[[#This Row],[Total da Venda]]*0.06)</f>
        <v>0.54</v>
      </c>
      <c r="N15" s="18">
        <f>Table1[[#This Row],[Custo de Produção]]+Table1[[#This Row],[Custo Fixo]]+Table1[[#This Row],[Combustivel ]]+Table1[[#This Row],[Imposto Sobre a Venda]]</f>
        <v>5.2531153846153842</v>
      </c>
      <c r="O15" s="25">
        <f>Table1[[#This Row],[Total da Venda]]-Table1[[#This Row],[Custo de Produção]]</f>
        <v>7.1715</v>
      </c>
      <c r="P15" s="25">
        <f>Table1[[#This Row],[Total da Venda]]-Table1[[#This Row],[Custo Total]]</f>
        <v>3.7468846153846158</v>
      </c>
    </row>
    <row r="16" spans="1:16" x14ac:dyDescent="0.25">
      <c r="A16" s="27">
        <v>11</v>
      </c>
      <c r="B16" s="4" t="s">
        <v>4</v>
      </c>
      <c r="C16" s="1" t="s">
        <v>37</v>
      </c>
      <c r="D16" s="1" t="s">
        <v>44</v>
      </c>
      <c r="E16" s="39">
        <v>1</v>
      </c>
      <c r="F16" s="5">
        <v>44570</v>
      </c>
      <c r="G16" s="21">
        <f t="shared" si="0"/>
        <v>5</v>
      </c>
      <c r="H16" s="17">
        <f>IF(B16="","",IF(B16="SK01",VLOOKUP(D16,Clientes!C:I,6,0),VLOOKUP(D16,Clientes!C:I,7,0)))</f>
        <v>9</v>
      </c>
      <c r="I16" s="17">
        <f>IF(Table1[[#This Row],[Quantidade]]="","",Table1[[#This Row],[Quantidade]]*Table1[[#This Row],[Valor Unitário]])</f>
        <v>9</v>
      </c>
      <c r="J16" s="18">
        <f>IF(H16="","",IF(B16="SK01",'Produto e Custo de Produção'!$H$2*Table1[[#This Row],[Quantidade]],'Produto e Custo de Produção'!$H$3*Table1[[#This Row],[Quantidade]]))</f>
        <v>1.8284999999999998</v>
      </c>
      <c r="K16" s="18">
        <f>IF(H16="","",IF(B16="SK01",'Produto e Custo de Produção'!$I$2*Table1[[#This Row],[Quantidade]],'Produto e Custo de Produção'!$I$2*Table1[[#This Row],[Quantidade]]))</f>
        <v>2.8846153846153841</v>
      </c>
      <c r="L16" s="18">
        <f t="shared" si="1"/>
        <v>0</v>
      </c>
      <c r="M16" s="18">
        <f>IF(B16="","",Table1[[#This Row],[Total da Venda]]*0.06)</f>
        <v>0.54</v>
      </c>
      <c r="N16" s="18">
        <f>Table1[[#This Row],[Custo de Produção]]+Table1[[#This Row],[Custo Fixo]]+Table1[[#This Row],[Combustivel ]]+Table1[[#This Row],[Imposto Sobre a Venda]]</f>
        <v>5.2531153846153842</v>
      </c>
      <c r="O16" s="25">
        <f>Table1[[#This Row],[Total da Venda]]-Table1[[#This Row],[Custo de Produção]]</f>
        <v>7.1715</v>
      </c>
      <c r="P16" s="25">
        <f>Table1[[#This Row],[Total da Venda]]-Table1[[#This Row],[Custo Total]]</f>
        <v>3.7468846153846158</v>
      </c>
    </row>
    <row r="17" spans="1:16" x14ac:dyDescent="0.25">
      <c r="A17" s="26">
        <v>12</v>
      </c>
      <c r="B17" s="4" t="s">
        <v>5</v>
      </c>
      <c r="C17" s="1" t="s">
        <v>37</v>
      </c>
      <c r="D17" s="1" t="s">
        <v>44</v>
      </c>
      <c r="E17" s="39">
        <v>1</v>
      </c>
      <c r="F17" s="5">
        <v>44570</v>
      </c>
      <c r="G17" s="21">
        <f t="shared" si="0"/>
        <v>3</v>
      </c>
      <c r="H17" s="17">
        <f>IF(B17="","",IF(B17="SK01",VLOOKUP(D17,Clientes!C:I,6,0),VLOOKUP(D17,Clientes!C:I,7,0)))</f>
        <v>7</v>
      </c>
      <c r="I17" s="17">
        <f>IF(Table1[[#This Row],[Quantidade]]="","",Table1[[#This Row],[Quantidade]]*Table1[[#This Row],[Valor Unitário]])</f>
        <v>7</v>
      </c>
      <c r="J17" s="18">
        <f>IF(H17="","",IF(B17="SK01",'Produto e Custo de Produção'!$H$2*Table1[[#This Row],[Quantidade]],'Produto e Custo de Produção'!$H$3*Table1[[#This Row],[Quantidade]]))</f>
        <v>1.3345399999999998</v>
      </c>
      <c r="K17" s="18">
        <f>IF(H17="","",IF(B17="SK01",'Produto e Custo de Produção'!$I$2*Table1[[#This Row],[Quantidade]],'Produto e Custo de Produção'!$I$3*Table1[[#This Row],[Quantidade]]))</f>
        <v>1.7307692307692306</v>
      </c>
      <c r="L17" s="18">
        <f t="shared" si="1"/>
        <v>0</v>
      </c>
      <c r="M17" s="18">
        <f>IF(B17="","",Table1[[#This Row],[Total da Venda]]*0.06)</f>
        <v>0.42</v>
      </c>
      <c r="N17" s="18">
        <f>Table1[[#This Row],[Custo de Produção]]+Table1[[#This Row],[Custo Fixo]]+Table1[[#This Row],[Combustivel ]]+Table1[[#This Row],[Imposto Sobre a Venda]]</f>
        <v>3.4853092307692304</v>
      </c>
      <c r="O17" s="25">
        <f>Table1[[#This Row],[Total da Venda]]-Table1[[#This Row],[Custo de Produção]]</f>
        <v>5.6654600000000004</v>
      </c>
      <c r="P17" s="25">
        <f>Table1[[#This Row],[Total da Venda]]-Table1[[#This Row],[Custo Total]]</f>
        <v>3.5146907692307696</v>
      </c>
    </row>
    <row r="18" spans="1:16" x14ac:dyDescent="0.25">
      <c r="A18" s="27">
        <v>13</v>
      </c>
      <c r="B18" s="4" t="s">
        <v>4</v>
      </c>
      <c r="C18" s="1" t="s">
        <v>33</v>
      </c>
      <c r="D18" s="1" t="s">
        <v>14</v>
      </c>
      <c r="E18" s="39">
        <v>20</v>
      </c>
      <c r="F18" s="5">
        <v>44571</v>
      </c>
      <c r="G18" s="21">
        <f t="shared" si="0"/>
        <v>100</v>
      </c>
      <c r="H18" s="17">
        <f>IF(B18="","",IF(B18="SK01",VLOOKUP(D18,Clientes!C:I,6,0),VLOOKUP(D18,Clientes!C:I,7,0)))</f>
        <v>7</v>
      </c>
      <c r="I18" s="17">
        <f>IF(Table1[[#This Row],[Quantidade]]="","",Table1[[#This Row],[Quantidade]]*Table1[[#This Row],[Valor Unitário]])</f>
        <v>140</v>
      </c>
      <c r="J18" s="18">
        <f>IF(H18="","",IF(B18="SK01",'Produto e Custo de Produção'!$H$2*Table1[[#This Row],[Quantidade]],'Produto e Custo de Produção'!$H$3*Table1[[#This Row],[Quantidade]]))</f>
        <v>36.569999999999993</v>
      </c>
      <c r="K18" s="18">
        <f>IF(H18="","",IF(B18="SK01",'Produto e Custo de Produção'!$I$2*Table1[[#This Row],[Quantidade]],'Produto e Custo de Produção'!$I$2*Table1[[#This Row],[Quantidade]]))</f>
        <v>57.692307692307679</v>
      </c>
      <c r="L18" s="18">
        <f t="shared" si="1"/>
        <v>10</v>
      </c>
      <c r="M18" s="18">
        <f>IF(B18="","",Table1[[#This Row],[Total da Venda]]*0.06)</f>
        <v>8.4</v>
      </c>
      <c r="N18" s="18">
        <f>Table1[[#This Row],[Custo de Produção]]+Table1[[#This Row],[Custo Fixo]]+Table1[[#This Row],[Combustivel ]]+Table1[[#This Row],[Imposto Sobre a Venda]]</f>
        <v>112.66230769230768</v>
      </c>
      <c r="O18" s="25">
        <f>Table1[[#This Row],[Total da Venda]]-Table1[[#This Row],[Custo de Produção]]</f>
        <v>103.43</v>
      </c>
      <c r="P18" s="25">
        <f>Table1[[#This Row],[Total da Venda]]-Table1[[#This Row],[Custo Total]]</f>
        <v>27.337692307692322</v>
      </c>
    </row>
    <row r="19" spans="1:16" x14ac:dyDescent="0.25">
      <c r="A19" s="27">
        <v>13</v>
      </c>
      <c r="B19" s="4" t="s">
        <v>5</v>
      </c>
      <c r="C19" s="1" t="s">
        <v>33</v>
      </c>
      <c r="D19" s="1" t="s">
        <v>14</v>
      </c>
      <c r="E19" s="39">
        <v>20</v>
      </c>
      <c r="F19" s="5">
        <v>44571</v>
      </c>
      <c r="G19" s="21">
        <f t="shared" si="0"/>
        <v>60</v>
      </c>
      <c r="H19" s="17">
        <f>IF(B19="","",IF(B19="SK01",VLOOKUP(D19,Clientes!C:I,6,0),VLOOKUP(D19,Clientes!C:I,7,0)))</f>
        <v>5</v>
      </c>
      <c r="I19" s="17">
        <f>IF(Table1[[#This Row],[Quantidade]]="","",Table1[[#This Row],[Quantidade]]*Table1[[#This Row],[Valor Unitário]])</f>
        <v>100</v>
      </c>
      <c r="J19" s="18">
        <f>IF(H19="","",IF(B19="SK01",'Produto e Custo de Produção'!$H$2*Table1[[#This Row],[Quantidade]],'Produto e Custo de Produção'!$H$3*Table1[[#This Row],[Quantidade]]))</f>
        <v>26.690799999999996</v>
      </c>
      <c r="K19" s="18">
        <f>IF(H19="","",IF(B19="SK01",'Produto e Custo de Produção'!$I$2*Table1[[#This Row],[Quantidade]],'Produto e Custo de Produção'!$I$3*Table1[[#This Row],[Quantidade]]))</f>
        <v>34.615384615384613</v>
      </c>
      <c r="L19" s="18">
        <f t="shared" si="1"/>
        <v>10</v>
      </c>
      <c r="M19" s="18">
        <f>IF(B19="","",Table1[[#This Row],[Total da Venda]]*0.06)</f>
        <v>6</v>
      </c>
      <c r="N19" s="18">
        <f>Table1[[#This Row],[Custo de Produção]]+Table1[[#This Row],[Custo Fixo]]+Table1[[#This Row],[Combustivel ]]+Table1[[#This Row],[Imposto Sobre a Venda]]</f>
        <v>77.306184615384609</v>
      </c>
      <c r="O19" s="25">
        <f>Table1[[#This Row],[Total da Venda]]-Table1[[#This Row],[Custo de Produção]]</f>
        <v>73.309200000000004</v>
      </c>
      <c r="P19" s="25">
        <f>Table1[[#This Row],[Total da Venda]]-Table1[[#This Row],[Custo Total]]</f>
        <v>22.693815384615391</v>
      </c>
    </row>
    <row r="20" spans="1:16" x14ac:dyDescent="0.25">
      <c r="A20" s="26">
        <v>14</v>
      </c>
      <c r="B20" s="4" t="s">
        <v>4</v>
      </c>
      <c r="C20" s="1" t="s">
        <v>33</v>
      </c>
      <c r="D20" s="1" t="s">
        <v>15</v>
      </c>
      <c r="E20" s="39">
        <v>20</v>
      </c>
      <c r="F20" s="5">
        <v>44571</v>
      </c>
      <c r="G20" s="21">
        <f t="shared" si="0"/>
        <v>100</v>
      </c>
      <c r="H20" s="17">
        <f>IF(B20="","",IF(B20="SK01",VLOOKUP(D20,Clientes!C:I,6,0),VLOOKUP(D20,Clientes!C:I,7,0)))</f>
        <v>7</v>
      </c>
      <c r="I20" s="17">
        <f>IF(Table1[[#This Row],[Quantidade]]="","",Table1[[#This Row],[Quantidade]]*Table1[[#This Row],[Valor Unitário]])</f>
        <v>140</v>
      </c>
      <c r="J20" s="18">
        <f>IF(H20="","",IF(B20="SK01",'Produto e Custo de Produção'!$H$2*Table1[[#This Row],[Quantidade]],'Produto e Custo de Produção'!$H$3*Table1[[#This Row],[Quantidade]]))</f>
        <v>36.569999999999993</v>
      </c>
      <c r="K20" s="18">
        <f>IF(H20="","",IF(B20="SK01",'Produto e Custo de Produção'!$I$2*Table1[[#This Row],[Quantidade]],'Produto e Custo de Produção'!$I$2*Table1[[#This Row],[Quantidade]]))</f>
        <v>57.692307692307679</v>
      </c>
      <c r="L20" s="18">
        <f t="shared" si="1"/>
        <v>10</v>
      </c>
      <c r="M20" s="18">
        <f>IF(B20="","",Table1[[#This Row],[Total da Venda]]*0.06)</f>
        <v>8.4</v>
      </c>
      <c r="N20" s="18">
        <f>Table1[[#This Row],[Custo de Produção]]+Table1[[#This Row],[Custo Fixo]]+Table1[[#This Row],[Combustivel ]]+Table1[[#This Row],[Imposto Sobre a Venda]]</f>
        <v>112.66230769230768</v>
      </c>
      <c r="O20" s="25">
        <f>Table1[[#This Row],[Total da Venda]]-Table1[[#This Row],[Custo de Produção]]</f>
        <v>103.43</v>
      </c>
      <c r="P20" s="25">
        <f>Table1[[#This Row],[Total da Venda]]-Table1[[#This Row],[Custo Total]]</f>
        <v>27.337692307692322</v>
      </c>
    </row>
    <row r="21" spans="1:16" x14ac:dyDescent="0.25">
      <c r="A21" s="27">
        <v>14</v>
      </c>
      <c r="B21" s="4" t="s">
        <v>5</v>
      </c>
      <c r="C21" s="1" t="s">
        <v>33</v>
      </c>
      <c r="D21" s="1" t="s">
        <v>15</v>
      </c>
      <c r="E21" s="39">
        <v>20</v>
      </c>
      <c r="F21" s="5">
        <v>44571</v>
      </c>
      <c r="G21" s="21">
        <f t="shared" si="0"/>
        <v>60</v>
      </c>
      <c r="H21" s="17">
        <f>IF(B21="","",IF(B21="SK01",VLOOKUP(D21,Clientes!C:I,6,0),VLOOKUP(D21,Clientes!C:I,7,0)))</f>
        <v>5</v>
      </c>
      <c r="I21" s="17">
        <f>IF(Table1[[#This Row],[Quantidade]]="","",Table1[[#This Row],[Quantidade]]*Table1[[#This Row],[Valor Unitário]])</f>
        <v>100</v>
      </c>
      <c r="J21" s="18">
        <f>IF(H21="","",IF(B21="SK01",'Produto e Custo de Produção'!$H$2*Table1[[#This Row],[Quantidade]],'Produto e Custo de Produção'!$H$3*Table1[[#This Row],[Quantidade]]))</f>
        <v>26.690799999999996</v>
      </c>
      <c r="K21" s="18">
        <f>IF(H21="","",IF(B21="SK01",'Produto e Custo de Produção'!$I$2*Table1[[#This Row],[Quantidade]],'Produto e Custo de Produção'!$I$3*Table1[[#This Row],[Quantidade]]))</f>
        <v>34.615384615384613</v>
      </c>
      <c r="L21" s="18">
        <f t="shared" si="1"/>
        <v>10</v>
      </c>
      <c r="M21" s="18">
        <f>IF(B21="","",Table1[[#This Row],[Total da Venda]]*0.06)</f>
        <v>6</v>
      </c>
      <c r="N21" s="18">
        <f>Table1[[#This Row],[Custo de Produção]]+Table1[[#This Row],[Custo Fixo]]+Table1[[#This Row],[Combustivel ]]+Table1[[#This Row],[Imposto Sobre a Venda]]</f>
        <v>77.306184615384609</v>
      </c>
      <c r="O21" s="25">
        <f>Table1[[#This Row],[Total da Venda]]-Table1[[#This Row],[Custo de Produção]]</f>
        <v>73.309200000000004</v>
      </c>
      <c r="P21" s="25">
        <f>Table1[[#This Row],[Total da Venda]]-Table1[[#This Row],[Custo Total]]</f>
        <v>22.693815384615391</v>
      </c>
    </row>
    <row r="22" spans="1:16" x14ac:dyDescent="0.25">
      <c r="A22" s="27">
        <v>15</v>
      </c>
      <c r="B22" s="4" t="s">
        <v>4</v>
      </c>
      <c r="C22" s="1" t="s">
        <v>33</v>
      </c>
      <c r="D22" s="1" t="s">
        <v>16</v>
      </c>
      <c r="E22" s="39">
        <v>20</v>
      </c>
      <c r="F22" s="5">
        <v>44571</v>
      </c>
      <c r="G22" s="21">
        <f t="shared" si="0"/>
        <v>100</v>
      </c>
      <c r="H22" s="17">
        <f>IF(B22="","",IF(B22="SK01",VLOOKUP(D22,Clientes!C:I,6,0),VLOOKUP(D22,Clientes!C:I,7,0)))</f>
        <v>7</v>
      </c>
      <c r="I22" s="17">
        <f>IF(Table1[[#This Row],[Quantidade]]="","",Table1[[#This Row],[Quantidade]]*Table1[[#This Row],[Valor Unitário]])</f>
        <v>140</v>
      </c>
      <c r="J22" s="18">
        <f>IF(H22="","",IF(B22="SK01",'Produto e Custo de Produção'!$H$2*Table1[[#This Row],[Quantidade]],'Produto e Custo de Produção'!$H$3*Table1[[#This Row],[Quantidade]]))</f>
        <v>36.569999999999993</v>
      </c>
      <c r="K22" s="18">
        <f>IF(H22="","",IF(B22="SK01",'Produto e Custo de Produção'!$I$2*Table1[[#This Row],[Quantidade]],'Produto e Custo de Produção'!$I$2*Table1[[#This Row],[Quantidade]]))</f>
        <v>57.692307692307679</v>
      </c>
      <c r="L22" s="18">
        <f t="shared" si="1"/>
        <v>10</v>
      </c>
      <c r="M22" s="18">
        <f>IF(B22="","",Table1[[#This Row],[Total da Venda]]*0.06)</f>
        <v>8.4</v>
      </c>
      <c r="N22" s="18">
        <f>Table1[[#This Row],[Custo de Produção]]+Table1[[#This Row],[Custo Fixo]]+Table1[[#This Row],[Combustivel ]]+Table1[[#This Row],[Imposto Sobre a Venda]]</f>
        <v>112.66230769230768</v>
      </c>
      <c r="O22" s="25">
        <f>Table1[[#This Row],[Total da Venda]]-Table1[[#This Row],[Custo de Produção]]</f>
        <v>103.43</v>
      </c>
      <c r="P22" s="25">
        <f>Table1[[#This Row],[Total da Venda]]-Table1[[#This Row],[Custo Total]]</f>
        <v>27.337692307692322</v>
      </c>
    </row>
    <row r="23" spans="1:16" x14ac:dyDescent="0.25">
      <c r="A23" s="26">
        <v>15</v>
      </c>
      <c r="B23" s="4" t="s">
        <v>5</v>
      </c>
      <c r="C23" s="1" t="s">
        <v>33</v>
      </c>
      <c r="D23" s="1" t="s">
        <v>16</v>
      </c>
      <c r="E23" s="39">
        <v>20</v>
      </c>
      <c r="F23" s="5">
        <v>44571</v>
      </c>
      <c r="G23" s="21">
        <f t="shared" si="0"/>
        <v>60</v>
      </c>
      <c r="H23" s="17">
        <f>IF(B23="","",IF(B23="SK01",VLOOKUP(D23,Clientes!C:I,6,0),VLOOKUP(D23,Clientes!C:I,7,0)))</f>
        <v>5</v>
      </c>
      <c r="I23" s="17">
        <f>IF(Table1[[#This Row],[Quantidade]]="","",Table1[[#This Row],[Quantidade]]*Table1[[#This Row],[Valor Unitário]])</f>
        <v>100</v>
      </c>
      <c r="J23" s="18">
        <f>IF(H23="","",IF(B23="SK01",'Produto e Custo de Produção'!$H$2*Table1[[#This Row],[Quantidade]],'Produto e Custo de Produção'!$H$3*Table1[[#This Row],[Quantidade]]))</f>
        <v>26.690799999999996</v>
      </c>
      <c r="K23" s="18">
        <f>IF(H23="","",IF(B23="SK01",'Produto e Custo de Produção'!$I$2*Table1[[#This Row],[Quantidade]],'Produto e Custo de Produção'!$I$3*Table1[[#This Row],[Quantidade]]))</f>
        <v>34.615384615384613</v>
      </c>
      <c r="L23" s="18">
        <f t="shared" si="1"/>
        <v>10</v>
      </c>
      <c r="M23" s="18">
        <f>IF(B23="","",Table1[[#This Row],[Total da Venda]]*0.06)</f>
        <v>6</v>
      </c>
      <c r="N23" s="18">
        <f>Table1[[#This Row],[Custo de Produção]]+Table1[[#This Row],[Custo Fixo]]+Table1[[#This Row],[Combustivel ]]+Table1[[#This Row],[Imposto Sobre a Venda]]</f>
        <v>77.306184615384609</v>
      </c>
      <c r="O23" s="25">
        <f>Table1[[#This Row],[Total da Venda]]-Table1[[#This Row],[Custo de Produção]]</f>
        <v>73.309200000000004</v>
      </c>
      <c r="P23" s="25">
        <f>Table1[[#This Row],[Total da Venda]]-Table1[[#This Row],[Custo Total]]</f>
        <v>22.693815384615391</v>
      </c>
    </row>
    <row r="24" spans="1:16" x14ac:dyDescent="0.25">
      <c r="A24" s="27">
        <v>16</v>
      </c>
      <c r="B24" s="4" t="s">
        <v>4</v>
      </c>
      <c r="C24" s="1" t="s">
        <v>37</v>
      </c>
      <c r="D24" s="1" t="s">
        <v>44</v>
      </c>
      <c r="E24" s="39">
        <v>1</v>
      </c>
      <c r="F24" s="5">
        <v>44573</v>
      </c>
      <c r="G24" s="21">
        <f t="shared" si="0"/>
        <v>5</v>
      </c>
      <c r="H24" s="17">
        <f>IF(B24="","",IF(B24="SK01",VLOOKUP(D24,Clientes!C:I,6,0),VLOOKUP(D24,Clientes!C:I,7,0)))</f>
        <v>9</v>
      </c>
      <c r="I24" s="17">
        <f>IF(Table1[[#This Row],[Quantidade]]="","",Table1[[#This Row],[Quantidade]]*Table1[[#This Row],[Valor Unitário]])</f>
        <v>9</v>
      </c>
      <c r="J24" s="18">
        <f>IF(H24="","",IF(B24="SK01",'Produto e Custo de Produção'!$H$2*Table1[[#This Row],[Quantidade]],'Produto e Custo de Produção'!$H$3*Table1[[#This Row],[Quantidade]]))</f>
        <v>1.8284999999999998</v>
      </c>
      <c r="K24" s="18">
        <f>IF(H24="","",IF(B24="SK01",'Produto e Custo de Produção'!$I$2*Table1[[#This Row],[Quantidade]],'Produto e Custo de Produção'!$I$2*Table1[[#This Row],[Quantidade]]))</f>
        <v>2.8846153846153841</v>
      </c>
      <c r="L24" s="18">
        <f t="shared" si="1"/>
        <v>0</v>
      </c>
      <c r="M24" s="18">
        <f>IF(B24="","",Table1[[#This Row],[Total da Venda]]*0.06)</f>
        <v>0.54</v>
      </c>
      <c r="N24" s="18">
        <f>Table1[[#This Row],[Custo de Produção]]+Table1[[#This Row],[Custo Fixo]]+Table1[[#This Row],[Combustivel ]]+Table1[[#This Row],[Imposto Sobre a Venda]]</f>
        <v>5.2531153846153842</v>
      </c>
      <c r="O24" s="25">
        <f>Table1[[#This Row],[Total da Venda]]-Table1[[#This Row],[Custo de Produção]]</f>
        <v>7.1715</v>
      </c>
      <c r="P24" s="25">
        <f>Table1[[#This Row],[Total da Venda]]-Table1[[#This Row],[Custo Total]]</f>
        <v>3.7468846153846158</v>
      </c>
    </row>
    <row r="25" spans="1:16" x14ac:dyDescent="0.25">
      <c r="A25" s="27">
        <v>17</v>
      </c>
      <c r="B25" s="4" t="s">
        <v>5</v>
      </c>
      <c r="C25" s="1" t="s">
        <v>37</v>
      </c>
      <c r="D25" s="1" t="s">
        <v>44</v>
      </c>
      <c r="E25" s="39">
        <v>1</v>
      </c>
      <c r="F25" s="5">
        <v>44574</v>
      </c>
      <c r="G25" s="21">
        <f t="shared" si="0"/>
        <v>3</v>
      </c>
      <c r="H25" s="17">
        <f>IF(B25="","",IF(B25="SK01",VLOOKUP(D25,Clientes!C:I,6,0),VLOOKUP(D25,Clientes!C:I,7,0)))</f>
        <v>7</v>
      </c>
      <c r="I25" s="17">
        <f>IF(Table1[[#This Row],[Quantidade]]="","",Table1[[#This Row],[Quantidade]]*Table1[[#This Row],[Valor Unitário]])</f>
        <v>7</v>
      </c>
      <c r="J25" s="18">
        <f>IF(H25="","",IF(B25="SK01",'Produto e Custo de Produção'!$H$2*Table1[[#This Row],[Quantidade]],'Produto e Custo de Produção'!$H$3*Table1[[#This Row],[Quantidade]]))</f>
        <v>1.3345399999999998</v>
      </c>
      <c r="K25" s="18">
        <f>IF(H25="","",IF(B25="SK01",'Produto e Custo de Produção'!$I$2*Table1[[#This Row],[Quantidade]],'Produto e Custo de Produção'!$I$3*Table1[[#This Row],[Quantidade]]))</f>
        <v>1.7307692307692306</v>
      </c>
      <c r="L25" s="18">
        <f t="shared" si="1"/>
        <v>0</v>
      </c>
      <c r="M25" s="18">
        <f>IF(B25="","",Table1[[#This Row],[Total da Venda]]*0.06)</f>
        <v>0.42</v>
      </c>
      <c r="N25" s="18">
        <f>Table1[[#This Row],[Custo de Produção]]+Table1[[#This Row],[Custo Fixo]]+Table1[[#This Row],[Combustivel ]]+Table1[[#This Row],[Imposto Sobre a Venda]]</f>
        <v>3.4853092307692304</v>
      </c>
      <c r="O25" s="25">
        <f>Table1[[#This Row],[Total da Venda]]-Table1[[#This Row],[Custo de Produção]]</f>
        <v>5.6654600000000004</v>
      </c>
      <c r="P25" s="25">
        <f>Table1[[#This Row],[Total da Venda]]-Table1[[#This Row],[Custo Total]]</f>
        <v>3.5146907692307696</v>
      </c>
    </row>
    <row r="26" spans="1:16" x14ac:dyDescent="0.25">
      <c r="A26" s="26">
        <v>18</v>
      </c>
      <c r="B26" s="4" t="s">
        <v>5</v>
      </c>
      <c r="C26" s="1" t="s">
        <v>37</v>
      </c>
      <c r="D26" s="1" t="s">
        <v>44</v>
      </c>
      <c r="E26" s="39">
        <v>1</v>
      </c>
      <c r="F26" s="5">
        <v>44574</v>
      </c>
      <c r="G26" s="21">
        <f t="shared" si="0"/>
        <v>3</v>
      </c>
      <c r="H26" s="17">
        <f>IF(B26="","",IF(B26="SK01",VLOOKUP(D26,Clientes!C:I,6,0),VLOOKUP(D26,Clientes!C:I,7,0)))</f>
        <v>7</v>
      </c>
      <c r="I26" s="17">
        <f>IF(Table1[[#This Row],[Quantidade]]="","",Table1[[#This Row],[Quantidade]]*Table1[[#This Row],[Valor Unitário]])</f>
        <v>7</v>
      </c>
      <c r="J26" s="18">
        <f>IF(H26="","",IF(B26="SK01",'Produto e Custo de Produção'!$H$2*Table1[[#This Row],[Quantidade]],'Produto e Custo de Produção'!$H$3*Table1[[#This Row],[Quantidade]]))</f>
        <v>1.3345399999999998</v>
      </c>
      <c r="K26" s="18">
        <f>IF(H26="","",IF(B26="SK01",'Produto e Custo de Produção'!$I$2*Table1[[#This Row],[Quantidade]],'Produto e Custo de Produção'!$I$3*Table1[[#This Row],[Quantidade]]))</f>
        <v>1.7307692307692306</v>
      </c>
      <c r="L26" s="18">
        <f t="shared" si="1"/>
        <v>0</v>
      </c>
      <c r="M26" s="18">
        <f>IF(B26="","",Table1[[#This Row],[Total da Venda]]*0.06)</f>
        <v>0.42</v>
      </c>
      <c r="N26" s="18">
        <f>Table1[[#This Row],[Custo de Produção]]+Table1[[#This Row],[Custo Fixo]]+Table1[[#This Row],[Combustivel ]]+Table1[[#This Row],[Imposto Sobre a Venda]]</f>
        <v>3.4853092307692304</v>
      </c>
      <c r="O26" s="25">
        <f>Table1[[#This Row],[Total da Venda]]-Table1[[#This Row],[Custo de Produção]]</f>
        <v>5.6654600000000004</v>
      </c>
      <c r="P26" s="25">
        <f>Table1[[#This Row],[Total da Venda]]-Table1[[#This Row],[Custo Total]]</f>
        <v>3.5146907692307696</v>
      </c>
    </row>
    <row r="27" spans="1:16" x14ac:dyDescent="0.25">
      <c r="A27" s="27">
        <v>19</v>
      </c>
      <c r="B27" s="4" t="s">
        <v>5</v>
      </c>
      <c r="C27" s="1" t="s">
        <v>37</v>
      </c>
      <c r="D27" s="1" t="s">
        <v>44</v>
      </c>
      <c r="E27" s="39">
        <v>1</v>
      </c>
      <c r="F27" s="5">
        <v>44575</v>
      </c>
      <c r="G27" s="21">
        <f t="shared" si="0"/>
        <v>3</v>
      </c>
      <c r="H27" s="17">
        <f>IF(B27="","",IF(B27="SK01",VLOOKUP(D27,Clientes!C:I,6,0),VLOOKUP(D27,Clientes!C:I,7,0)))</f>
        <v>7</v>
      </c>
      <c r="I27" s="17">
        <f>IF(Table1[[#This Row],[Quantidade]]="","",Table1[[#This Row],[Quantidade]]*Table1[[#This Row],[Valor Unitário]])</f>
        <v>7</v>
      </c>
      <c r="J27" s="18">
        <f>IF(H27="","",IF(B27="SK01",'Produto e Custo de Produção'!$H$2*Table1[[#This Row],[Quantidade]],'Produto e Custo de Produção'!$H$3*Table1[[#This Row],[Quantidade]]))</f>
        <v>1.3345399999999998</v>
      </c>
      <c r="K27" s="18">
        <f>IF(H27="","",IF(B27="SK01",'Produto e Custo de Produção'!$I$2*Table1[[#This Row],[Quantidade]],'Produto e Custo de Produção'!$I$3*Table1[[#This Row],[Quantidade]]))</f>
        <v>1.7307692307692306</v>
      </c>
      <c r="L27" s="18">
        <f t="shared" si="1"/>
        <v>0</v>
      </c>
      <c r="M27" s="18">
        <f>IF(B27="","",Table1[[#This Row],[Total da Venda]]*0.06)</f>
        <v>0.42</v>
      </c>
      <c r="N27" s="18">
        <f>Table1[[#This Row],[Custo de Produção]]+Table1[[#This Row],[Custo Fixo]]+Table1[[#This Row],[Combustivel ]]+Table1[[#This Row],[Imposto Sobre a Venda]]</f>
        <v>3.4853092307692304</v>
      </c>
      <c r="O27" s="25">
        <f>Table1[[#This Row],[Total da Venda]]-Table1[[#This Row],[Custo de Produção]]</f>
        <v>5.6654600000000004</v>
      </c>
      <c r="P27" s="25">
        <f>Table1[[#This Row],[Total da Venda]]-Table1[[#This Row],[Custo Total]]</f>
        <v>3.5146907692307696</v>
      </c>
    </row>
    <row r="28" spans="1:16" x14ac:dyDescent="0.25">
      <c r="A28" s="27">
        <v>20</v>
      </c>
      <c r="B28" s="4" t="s">
        <v>4</v>
      </c>
      <c r="C28" s="1" t="s">
        <v>37</v>
      </c>
      <c r="D28" s="1" t="s">
        <v>44</v>
      </c>
      <c r="E28" s="39">
        <v>1</v>
      </c>
      <c r="F28" s="5">
        <v>44576</v>
      </c>
      <c r="G28" s="21">
        <f t="shared" si="0"/>
        <v>5</v>
      </c>
      <c r="H28" s="17">
        <f>IF(B28="","",IF(B28="SK01",VLOOKUP(D28,Clientes!C:I,6,0),VLOOKUP(D28,Clientes!C:I,7,0)))</f>
        <v>9</v>
      </c>
      <c r="I28" s="17">
        <f>IF(Table1[[#This Row],[Quantidade]]="","",Table1[[#This Row],[Quantidade]]*Table1[[#This Row],[Valor Unitário]])</f>
        <v>9</v>
      </c>
      <c r="J28" s="18">
        <f>IF(H28="","",IF(B28="SK01",'Produto e Custo de Produção'!$H$2*Table1[[#This Row],[Quantidade]],'Produto e Custo de Produção'!$H$3*Table1[[#This Row],[Quantidade]]))</f>
        <v>1.8284999999999998</v>
      </c>
      <c r="K28" s="18">
        <f>IF(H28="","",IF(B28="SK01",'Produto e Custo de Produção'!$I$2*Table1[[#This Row],[Quantidade]],'Produto e Custo de Produção'!$I$2*Table1[[#This Row],[Quantidade]]))</f>
        <v>2.8846153846153841</v>
      </c>
      <c r="L28" s="18">
        <f t="shared" si="1"/>
        <v>0</v>
      </c>
      <c r="M28" s="18">
        <f>IF(B28="","",Table1[[#This Row],[Total da Venda]]*0.06)</f>
        <v>0.54</v>
      </c>
      <c r="N28" s="18">
        <f>Table1[[#This Row],[Custo de Produção]]+Table1[[#This Row],[Custo Fixo]]+Table1[[#This Row],[Combustivel ]]+Table1[[#This Row],[Imposto Sobre a Venda]]</f>
        <v>5.2531153846153842</v>
      </c>
      <c r="O28" s="25">
        <f>Table1[[#This Row],[Total da Venda]]-Table1[[#This Row],[Custo de Produção]]</f>
        <v>7.1715</v>
      </c>
      <c r="P28" s="25">
        <f>Table1[[#This Row],[Total da Venda]]-Table1[[#This Row],[Custo Total]]</f>
        <v>3.7468846153846158</v>
      </c>
    </row>
    <row r="29" spans="1:16" x14ac:dyDescent="0.25">
      <c r="A29" s="26">
        <v>21</v>
      </c>
      <c r="B29" s="4" t="s">
        <v>4</v>
      </c>
      <c r="C29" s="1" t="s">
        <v>37</v>
      </c>
      <c r="D29" s="1" t="s">
        <v>44</v>
      </c>
      <c r="E29" s="39">
        <v>1</v>
      </c>
      <c r="F29" s="5">
        <v>44576</v>
      </c>
      <c r="G29" s="21">
        <f t="shared" si="0"/>
        <v>5</v>
      </c>
      <c r="H29" s="17">
        <f>IF(B29="","",IF(B29="SK01",VLOOKUP(D29,Clientes!C:I,6,0),VLOOKUP(D29,Clientes!C:I,7,0)))</f>
        <v>9</v>
      </c>
      <c r="I29" s="17">
        <f>IF(Table1[[#This Row],[Quantidade]]="","",Table1[[#This Row],[Quantidade]]*Table1[[#This Row],[Valor Unitário]])</f>
        <v>9</v>
      </c>
      <c r="J29" s="18">
        <f>IF(H29="","",IF(B29="SK01",'Produto e Custo de Produção'!$H$2*Table1[[#This Row],[Quantidade]],'Produto e Custo de Produção'!$H$3*Table1[[#This Row],[Quantidade]]))</f>
        <v>1.8284999999999998</v>
      </c>
      <c r="K29" s="18">
        <f>IF(H29="","",IF(B29="SK01",'Produto e Custo de Produção'!$I$2*Table1[[#This Row],[Quantidade]],'Produto e Custo de Produção'!$I$2*Table1[[#This Row],[Quantidade]]))</f>
        <v>2.8846153846153841</v>
      </c>
      <c r="L29" s="18">
        <f t="shared" si="1"/>
        <v>0</v>
      </c>
      <c r="M29" s="18">
        <f>IF(B29="","",Table1[[#This Row],[Total da Venda]]*0.06)</f>
        <v>0.54</v>
      </c>
      <c r="N29" s="18">
        <f>Table1[[#This Row],[Custo de Produção]]+Table1[[#This Row],[Custo Fixo]]+Table1[[#This Row],[Combustivel ]]+Table1[[#This Row],[Imposto Sobre a Venda]]</f>
        <v>5.2531153846153842</v>
      </c>
      <c r="O29" s="25">
        <f>Table1[[#This Row],[Total da Venda]]-Table1[[#This Row],[Custo de Produção]]</f>
        <v>7.1715</v>
      </c>
      <c r="P29" s="25">
        <f>Table1[[#This Row],[Total da Venda]]-Table1[[#This Row],[Custo Total]]</f>
        <v>3.7468846153846158</v>
      </c>
    </row>
    <row r="30" spans="1:16" x14ac:dyDescent="0.25">
      <c r="A30" s="27">
        <v>22</v>
      </c>
      <c r="B30" s="4" t="s">
        <v>4</v>
      </c>
      <c r="C30" s="1" t="s">
        <v>37</v>
      </c>
      <c r="D30" s="1" t="s">
        <v>44</v>
      </c>
      <c r="E30" s="39">
        <v>1</v>
      </c>
      <c r="F30" s="5">
        <v>44576</v>
      </c>
      <c r="G30" s="21">
        <f t="shared" si="0"/>
        <v>5</v>
      </c>
      <c r="H30" s="17">
        <f>IF(B30="","",IF(B30="SK01",VLOOKUP(D30,Clientes!C:I,6,0),VLOOKUP(D30,Clientes!C:I,7,0)))</f>
        <v>9</v>
      </c>
      <c r="I30" s="17">
        <f>IF(Table1[[#This Row],[Quantidade]]="","",Table1[[#This Row],[Quantidade]]*Table1[[#This Row],[Valor Unitário]])</f>
        <v>9</v>
      </c>
      <c r="J30" s="18">
        <f>IF(H30="","",IF(B30="SK01",'Produto e Custo de Produção'!$H$2*Table1[[#This Row],[Quantidade]],'Produto e Custo de Produção'!$H$3*Table1[[#This Row],[Quantidade]]))</f>
        <v>1.8284999999999998</v>
      </c>
      <c r="K30" s="18">
        <f>IF(H30="","",IF(B30="SK01",'Produto e Custo de Produção'!$I$2*Table1[[#This Row],[Quantidade]],'Produto e Custo de Produção'!$I$2*Table1[[#This Row],[Quantidade]]))</f>
        <v>2.8846153846153841</v>
      </c>
      <c r="L30" s="18">
        <f t="shared" si="1"/>
        <v>0</v>
      </c>
      <c r="M30" s="18">
        <f>IF(B30="","",Table1[[#This Row],[Total da Venda]]*0.06)</f>
        <v>0.54</v>
      </c>
      <c r="N30" s="18">
        <f>Table1[[#This Row],[Custo de Produção]]+Table1[[#This Row],[Custo Fixo]]+Table1[[#This Row],[Combustivel ]]+Table1[[#This Row],[Imposto Sobre a Venda]]</f>
        <v>5.2531153846153842</v>
      </c>
      <c r="O30" s="25">
        <f>Table1[[#This Row],[Total da Venda]]-Table1[[#This Row],[Custo de Produção]]</f>
        <v>7.1715</v>
      </c>
      <c r="P30" s="25">
        <f>Table1[[#This Row],[Total da Venda]]-Table1[[#This Row],[Custo Total]]</f>
        <v>3.7468846153846158</v>
      </c>
    </row>
    <row r="31" spans="1:16" x14ac:dyDescent="0.25">
      <c r="A31" s="26">
        <v>23</v>
      </c>
      <c r="B31" s="4" t="s">
        <v>4</v>
      </c>
      <c r="C31" s="1" t="s">
        <v>37</v>
      </c>
      <c r="D31" s="1" t="s">
        <v>44</v>
      </c>
      <c r="E31" s="39">
        <v>1</v>
      </c>
      <c r="F31" s="5">
        <v>44577</v>
      </c>
      <c r="G31" s="21">
        <f t="shared" si="0"/>
        <v>5</v>
      </c>
      <c r="H31" s="17">
        <f>IF(B31="","",IF(B31="SK01",VLOOKUP(D31,Clientes!C:I,6,0),VLOOKUP(D31,Clientes!C:I,7,0)))</f>
        <v>9</v>
      </c>
      <c r="I31" s="17">
        <f>IF(Table1[[#This Row],[Quantidade]]="","",Table1[[#This Row],[Quantidade]]*Table1[[#This Row],[Valor Unitário]])</f>
        <v>9</v>
      </c>
      <c r="J31" s="18">
        <f>IF(H31="","",IF(B31="SK01",'Produto e Custo de Produção'!$H$2*Table1[[#This Row],[Quantidade]],'Produto e Custo de Produção'!$H$3*Table1[[#This Row],[Quantidade]]))</f>
        <v>1.8284999999999998</v>
      </c>
      <c r="K31" s="18">
        <f>IF(H31="","",IF(B31="SK01",'Produto e Custo de Produção'!$I$2*Table1[[#This Row],[Quantidade]],'Produto e Custo de Produção'!$I$2*Table1[[#This Row],[Quantidade]]))</f>
        <v>2.8846153846153841</v>
      </c>
      <c r="L31" s="18">
        <f t="shared" si="1"/>
        <v>0</v>
      </c>
      <c r="M31" s="18">
        <f>IF(B31="","",Table1[[#This Row],[Total da Venda]]*0.06)</f>
        <v>0.54</v>
      </c>
      <c r="N31" s="18">
        <f>Table1[[#This Row],[Custo de Produção]]+Table1[[#This Row],[Custo Fixo]]+Table1[[#This Row],[Combustivel ]]+Table1[[#This Row],[Imposto Sobre a Venda]]</f>
        <v>5.2531153846153842</v>
      </c>
      <c r="O31" s="25">
        <f>Table1[[#This Row],[Total da Venda]]-Table1[[#This Row],[Custo de Produção]]</f>
        <v>7.1715</v>
      </c>
      <c r="P31" s="25">
        <f>Table1[[#This Row],[Total da Venda]]-Table1[[#This Row],[Custo Total]]</f>
        <v>3.7468846153846158</v>
      </c>
    </row>
    <row r="32" spans="1:16" x14ac:dyDescent="0.25">
      <c r="A32" s="27">
        <v>24</v>
      </c>
      <c r="B32" s="4" t="s">
        <v>4</v>
      </c>
      <c r="C32" s="1" t="s">
        <v>37</v>
      </c>
      <c r="D32" s="1" t="s">
        <v>44</v>
      </c>
      <c r="E32" s="40">
        <v>1</v>
      </c>
      <c r="F32" s="5">
        <v>44577</v>
      </c>
      <c r="G32" s="21">
        <f t="shared" si="0"/>
        <v>5</v>
      </c>
      <c r="H32" s="17">
        <f>IF(B32="","",IF(B32="SK01",VLOOKUP(D32,Clientes!C:I,6,0),VLOOKUP(D32,Clientes!C:I,7,0)))</f>
        <v>9</v>
      </c>
      <c r="I32" s="17">
        <f>IF(Table1[[#This Row],[Quantidade]]="","",Table1[[#This Row],[Quantidade]]*Table1[[#This Row],[Valor Unitário]])</f>
        <v>9</v>
      </c>
      <c r="J32" s="18">
        <f>IF(H32="","",IF(B32="SK01",'Produto e Custo de Produção'!$H$2*Table1[[#This Row],[Quantidade]],'Produto e Custo de Produção'!$H$3*Table1[[#This Row],[Quantidade]]))</f>
        <v>1.8284999999999998</v>
      </c>
      <c r="K32" s="18">
        <f>IF(H32="","",IF(B32="SK01",'Produto e Custo de Produção'!$I$2*Table1[[#This Row],[Quantidade]],'Produto e Custo de Produção'!$I$2*Table1[[#This Row],[Quantidade]]))</f>
        <v>2.8846153846153841</v>
      </c>
      <c r="L32" s="18">
        <f t="shared" si="1"/>
        <v>0</v>
      </c>
      <c r="M32" s="18">
        <f>IF(B32="","",Table1[[#This Row],[Total da Venda]]*0.06)</f>
        <v>0.54</v>
      </c>
      <c r="N32" s="18">
        <f>Table1[[#This Row],[Custo de Produção]]+Table1[[#This Row],[Custo Fixo]]+Table1[[#This Row],[Combustivel ]]+Table1[[#This Row],[Imposto Sobre a Venda]]</f>
        <v>5.2531153846153842</v>
      </c>
      <c r="O32" s="25">
        <f>Table1[[#This Row],[Total da Venda]]-Table1[[#This Row],[Custo de Produção]]</f>
        <v>7.1715</v>
      </c>
      <c r="P32" s="25">
        <f>Table1[[#This Row],[Total da Venda]]-Table1[[#This Row],[Custo Total]]</f>
        <v>3.7468846153846158</v>
      </c>
    </row>
    <row r="33" spans="1:16" x14ac:dyDescent="0.25">
      <c r="A33" s="27">
        <v>25</v>
      </c>
      <c r="B33" s="4" t="s">
        <v>4</v>
      </c>
      <c r="C33" s="1" t="s">
        <v>37</v>
      </c>
      <c r="D33" s="1" t="s">
        <v>44</v>
      </c>
      <c r="E33" s="39">
        <v>1</v>
      </c>
      <c r="F33" s="5">
        <v>44577</v>
      </c>
      <c r="G33" s="21">
        <f t="shared" si="0"/>
        <v>5</v>
      </c>
      <c r="H33" s="17">
        <f>IF(B33="","",IF(B33="SK01",VLOOKUP(D33,Clientes!C:I,6,0),VLOOKUP(D33,Clientes!C:I,7,0)))</f>
        <v>9</v>
      </c>
      <c r="I33" s="17">
        <f>IF(Table1[[#This Row],[Quantidade]]="","",Table1[[#This Row],[Quantidade]]*Table1[[#This Row],[Valor Unitário]])</f>
        <v>9</v>
      </c>
      <c r="J33" s="18">
        <f>IF(H33="","",IF(B33="SK01",'Produto e Custo de Produção'!$H$2*Table1[[#This Row],[Quantidade]],'Produto e Custo de Produção'!$H$3*Table1[[#This Row],[Quantidade]]))</f>
        <v>1.8284999999999998</v>
      </c>
      <c r="K33" s="18">
        <f>IF(H33="","",IF(B33="SK01",'Produto e Custo de Produção'!$I$2*Table1[[#This Row],[Quantidade]],'Produto e Custo de Produção'!$I$2*Table1[[#This Row],[Quantidade]]))</f>
        <v>2.8846153846153841</v>
      </c>
      <c r="L33" s="18">
        <f t="shared" si="1"/>
        <v>0</v>
      </c>
      <c r="M33" s="18">
        <f>IF(B33="","",Table1[[#This Row],[Total da Venda]]*0.06)</f>
        <v>0.54</v>
      </c>
      <c r="N33" s="18">
        <f>Table1[[#This Row],[Custo de Produção]]+Table1[[#This Row],[Custo Fixo]]+Table1[[#This Row],[Combustivel ]]+Table1[[#This Row],[Imposto Sobre a Venda]]</f>
        <v>5.2531153846153842</v>
      </c>
      <c r="O33" s="25">
        <f>Table1[[#This Row],[Total da Venda]]-Table1[[#This Row],[Custo de Produção]]</f>
        <v>7.1715</v>
      </c>
      <c r="P33" s="25">
        <f>Table1[[#This Row],[Total da Venda]]-Table1[[#This Row],[Custo Total]]</f>
        <v>3.7468846153846158</v>
      </c>
    </row>
    <row r="34" spans="1:16" x14ac:dyDescent="0.25">
      <c r="A34" s="26">
        <v>26</v>
      </c>
      <c r="B34" s="4" t="s">
        <v>4</v>
      </c>
      <c r="C34" s="1" t="s">
        <v>33</v>
      </c>
      <c r="D34" s="1" t="s">
        <v>14</v>
      </c>
      <c r="E34" s="39">
        <v>20</v>
      </c>
      <c r="F34" s="5">
        <v>44578</v>
      </c>
      <c r="G34" s="21">
        <f t="shared" si="0"/>
        <v>100</v>
      </c>
      <c r="H34" s="17">
        <f>IF(B34="","",IF(B34="SK01",VLOOKUP(D34,Clientes!C:I,6,0),VLOOKUP(D34,Clientes!C:I,7,0)))</f>
        <v>7</v>
      </c>
      <c r="I34" s="17">
        <f>IF(Table1[[#This Row],[Quantidade]]="","",Table1[[#This Row],[Quantidade]]*Table1[[#This Row],[Valor Unitário]])</f>
        <v>140</v>
      </c>
      <c r="J34" s="18">
        <f>IF(H34="","",IF(B34="SK01",'Produto e Custo de Produção'!$H$2*Table1[[#This Row],[Quantidade]],'Produto e Custo de Produção'!$H$3*Table1[[#This Row],[Quantidade]]))</f>
        <v>36.569999999999993</v>
      </c>
      <c r="K34" s="18">
        <f>IF(H34="","",IF(B34="SK01",'Produto e Custo de Produção'!$I$2*Table1[[#This Row],[Quantidade]],'Produto e Custo de Produção'!$I$2*Table1[[#This Row],[Quantidade]]))</f>
        <v>57.692307692307679</v>
      </c>
      <c r="L34" s="18">
        <f t="shared" si="1"/>
        <v>10</v>
      </c>
      <c r="M34" s="18">
        <f>IF(B34="","",Table1[[#This Row],[Total da Venda]]*0.06)</f>
        <v>8.4</v>
      </c>
      <c r="N34" s="18">
        <f>Table1[[#This Row],[Custo de Produção]]+Table1[[#This Row],[Custo Fixo]]+Table1[[#This Row],[Combustivel ]]+Table1[[#This Row],[Imposto Sobre a Venda]]</f>
        <v>112.66230769230768</v>
      </c>
      <c r="O34" s="25">
        <f>Table1[[#This Row],[Total da Venda]]-Table1[[#This Row],[Custo de Produção]]</f>
        <v>103.43</v>
      </c>
      <c r="P34" s="25">
        <f>Table1[[#This Row],[Total da Venda]]-Table1[[#This Row],[Custo Total]]</f>
        <v>27.337692307692322</v>
      </c>
    </row>
    <row r="35" spans="1:16" x14ac:dyDescent="0.25">
      <c r="A35" s="27">
        <v>26</v>
      </c>
      <c r="B35" s="4" t="s">
        <v>5</v>
      </c>
      <c r="C35" s="1" t="s">
        <v>33</v>
      </c>
      <c r="D35" s="1" t="s">
        <v>14</v>
      </c>
      <c r="E35" s="39">
        <v>20</v>
      </c>
      <c r="F35" s="5">
        <v>44578</v>
      </c>
      <c r="G35" s="21">
        <f t="shared" si="0"/>
        <v>60</v>
      </c>
      <c r="H35" s="17">
        <f>IF(B35="","",IF(B35="SK01",VLOOKUP(D35,Clientes!C:I,6,0),VLOOKUP(D35,Clientes!C:I,7,0)))</f>
        <v>5</v>
      </c>
      <c r="I35" s="17">
        <f>IF(Table1[[#This Row],[Quantidade]]="","",Table1[[#This Row],[Quantidade]]*Table1[[#This Row],[Valor Unitário]])</f>
        <v>100</v>
      </c>
      <c r="J35" s="18">
        <f>IF(H35="","",IF(B35="SK01",'Produto e Custo de Produção'!$H$2*Table1[[#This Row],[Quantidade]],'Produto e Custo de Produção'!$H$3*Table1[[#This Row],[Quantidade]]))</f>
        <v>26.690799999999996</v>
      </c>
      <c r="K35" s="18">
        <f>IF(H35="","",IF(B35="SK01",'Produto e Custo de Produção'!$I$2*Table1[[#This Row],[Quantidade]],'Produto e Custo de Produção'!$I$3*Table1[[#This Row],[Quantidade]]))</f>
        <v>34.615384615384613</v>
      </c>
      <c r="L35" s="18">
        <f t="shared" si="1"/>
        <v>10</v>
      </c>
      <c r="M35" s="18">
        <f>IF(B35="","",Table1[[#This Row],[Total da Venda]]*0.06)</f>
        <v>6</v>
      </c>
      <c r="N35" s="18">
        <f>Table1[[#This Row],[Custo de Produção]]+Table1[[#This Row],[Custo Fixo]]+Table1[[#This Row],[Combustivel ]]+Table1[[#This Row],[Imposto Sobre a Venda]]</f>
        <v>77.306184615384609</v>
      </c>
      <c r="O35" s="25">
        <f>Table1[[#This Row],[Total da Venda]]-Table1[[#This Row],[Custo de Produção]]</f>
        <v>73.309200000000004</v>
      </c>
      <c r="P35" s="25">
        <f>Table1[[#This Row],[Total da Venda]]-Table1[[#This Row],[Custo Total]]</f>
        <v>22.693815384615391</v>
      </c>
    </row>
    <row r="36" spans="1:16" x14ac:dyDescent="0.25">
      <c r="A36" s="27">
        <v>27</v>
      </c>
      <c r="B36" s="4" t="s">
        <v>4</v>
      </c>
      <c r="C36" s="1" t="s">
        <v>33</v>
      </c>
      <c r="D36" s="1" t="s">
        <v>15</v>
      </c>
      <c r="E36" s="39">
        <v>20</v>
      </c>
      <c r="F36" s="5">
        <v>44578</v>
      </c>
      <c r="G36" s="21">
        <f t="shared" si="0"/>
        <v>100</v>
      </c>
      <c r="H36" s="17">
        <f>IF(B36="","",IF(B36="SK01",VLOOKUP(D36,Clientes!C:I,6,0),VLOOKUP(D36,Clientes!C:I,7,0)))</f>
        <v>7</v>
      </c>
      <c r="I36" s="17">
        <f>IF(Table1[[#This Row],[Quantidade]]="","",Table1[[#This Row],[Quantidade]]*Table1[[#This Row],[Valor Unitário]])</f>
        <v>140</v>
      </c>
      <c r="J36" s="18">
        <f>IF(H36="","",IF(B36="SK01",'Produto e Custo de Produção'!$H$2*Table1[[#This Row],[Quantidade]],'Produto e Custo de Produção'!$H$3*Table1[[#This Row],[Quantidade]]))</f>
        <v>36.569999999999993</v>
      </c>
      <c r="K36" s="18">
        <f>IF(H36="","",IF(B36="SK01",'Produto e Custo de Produção'!$I$2*Table1[[#This Row],[Quantidade]],'Produto e Custo de Produção'!$I$2*Table1[[#This Row],[Quantidade]]))</f>
        <v>57.692307692307679</v>
      </c>
      <c r="L36" s="18">
        <f t="shared" si="1"/>
        <v>10</v>
      </c>
      <c r="M36" s="18">
        <f>IF(B36="","",Table1[[#This Row],[Total da Venda]]*0.06)</f>
        <v>8.4</v>
      </c>
      <c r="N36" s="18">
        <f>Table1[[#This Row],[Custo de Produção]]+Table1[[#This Row],[Custo Fixo]]+Table1[[#This Row],[Combustivel ]]+Table1[[#This Row],[Imposto Sobre a Venda]]</f>
        <v>112.66230769230768</v>
      </c>
      <c r="O36" s="25">
        <f>Table1[[#This Row],[Total da Venda]]-Table1[[#This Row],[Custo de Produção]]</f>
        <v>103.43</v>
      </c>
      <c r="P36" s="25">
        <f>Table1[[#This Row],[Total da Venda]]-Table1[[#This Row],[Custo Total]]</f>
        <v>27.337692307692322</v>
      </c>
    </row>
    <row r="37" spans="1:16" x14ac:dyDescent="0.25">
      <c r="A37" s="26">
        <v>27</v>
      </c>
      <c r="B37" s="4" t="s">
        <v>5</v>
      </c>
      <c r="C37" s="1" t="s">
        <v>33</v>
      </c>
      <c r="D37" s="1" t="s">
        <v>15</v>
      </c>
      <c r="E37" s="39">
        <v>20</v>
      </c>
      <c r="F37" s="5">
        <v>44578</v>
      </c>
      <c r="G37" s="21">
        <f t="shared" si="0"/>
        <v>60</v>
      </c>
      <c r="H37" s="17">
        <f>IF(B37="","",IF(B37="SK01",VLOOKUP(D37,Clientes!C:I,6,0),VLOOKUP(D37,Clientes!C:I,7,0)))</f>
        <v>5</v>
      </c>
      <c r="I37" s="17">
        <f>IF(Table1[[#This Row],[Quantidade]]="","",Table1[[#This Row],[Quantidade]]*Table1[[#This Row],[Valor Unitário]])</f>
        <v>100</v>
      </c>
      <c r="J37" s="18">
        <f>IF(H37="","",IF(B37="SK01",'Produto e Custo de Produção'!$H$2*Table1[[#This Row],[Quantidade]],'Produto e Custo de Produção'!$H$3*Table1[[#This Row],[Quantidade]]))</f>
        <v>26.690799999999996</v>
      </c>
      <c r="K37" s="18">
        <f>IF(H37="","",IF(B37="SK01",'Produto e Custo de Produção'!$I$2*Table1[[#This Row],[Quantidade]],'Produto e Custo de Produção'!$I$3*Table1[[#This Row],[Quantidade]]))</f>
        <v>34.615384615384613</v>
      </c>
      <c r="L37" s="18">
        <f t="shared" si="1"/>
        <v>10</v>
      </c>
      <c r="M37" s="18">
        <f>IF(B37="","",Table1[[#This Row],[Total da Venda]]*0.06)</f>
        <v>6</v>
      </c>
      <c r="N37" s="18">
        <f>Table1[[#This Row],[Custo de Produção]]+Table1[[#This Row],[Custo Fixo]]+Table1[[#This Row],[Combustivel ]]+Table1[[#This Row],[Imposto Sobre a Venda]]</f>
        <v>77.306184615384609</v>
      </c>
      <c r="O37" s="25">
        <f>Table1[[#This Row],[Total da Venda]]-Table1[[#This Row],[Custo de Produção]]</f>
        <v>73.309200000000004</v>
      </c>
      <c r="P37" s="25">
        <f>Table1[[#This Row],[Total da Venda]]-Table1[[#This Row],[Custo Total]]</f>
        <v>22.693815384615391</v>
      </c>
    </row>
    <row r="38" spans="1:16" x14ac:dyDescent="0.25">
      <c r="A38" s="27">
        <v>28</v>
      </c>
      <c r="B38" s="4" t="s">
        <v>4</v>
      </c>
      <c r="C38" s="1" t="s">
        <v>33</v>
      </c>
      <c r="D38" s="1" t="s">
        <v>16</v>
      </c>
      <c r="E38" s="39">
        <v>20</v>
      </c>
      <c r="F38" s="5">
        <v>44578</v>
      </c>
      <c r="G38" s="21">
        <f t="shared" si="0"/>
        <v>100</v>
      </c>
      <c r="H38" s="17">
        <f>IF(B38="","",IF(B38="SK01",VLOOKUP(D38,Clientes!C:I,6,0),VLOOKUP(D38,Clientes!C:I,7,0)))</f>
        <v>7</v>
      </c>
      <c r="I38" s="17">
        <f>IF(Table1[[#This Row],[Quantidade]]="","",Table1[[#This Row],[Quantidade]]*Table1[[#This Row],[Valor Unitário]])</f>
        <v>140</v>
      </c>
      <c r="J38" s="18">
        <f>IF(H38="","",IF(B38="SK01",'Produto e Custo de Produção'!$H$2*Table1[[#This Row],[Quantidade]],'Produto e Custo de Produção'!$H$3*Table1[[#This Row],[Quantidade]]))</f>
        <v>36.569999999999993</v>
      </c>
      <c r="K38" s="18">
        <f>IF(H38="","",IF(B38="SK01",'Produto e Custo de Produção'!$I$2*Table1[[#This Row],[Quantidade]],'Produto e Custo de Produção'!$I$2*Table1[[#This Row],[Quantidade]]))</f>
        <v>57.692307692307679</v>
      </c>
      <c r="L38" s="18">
        <f t="shared" si="1"/>
        <v>10</v>
      </c>
      <c r="M38" s="18">
        <f>IF(B38="","",Table1[[#This Row],[Total da Venda]]*0.06)</f>
        <v>8.4</v>
      </c>
      <c r="N38" s="18">
        <f>Table1[[#This Row],[Custo de Produção]]+Table1[[#This Row],[Custo Fixo]]+Table1[[#This Row],[Combustivel ]]+Table1[[#This Row],[Imposto Sobre a Venda]]</f>
        <v>112.66230769230768</v>
      </c>
      <c r="O38" s="25">
        <f>Table1[[#This Row],[Total da Venda]]-Table1[[#This Row],[Custo de Produção]]</f>
        <v>103.43</v>
      </c>
      <c r="P38" s="25">
        <f>Table1[[#This Row],[Total da Venda]]-Table1[[#This Row],[Custo Total]]</f>
        <v>27.337692307692322</v>
      </c>
    </row>
    <row r="39" spans="1:16" x14ac:dyDescent="0.25">
      <c r="A39" s="27">
        <v>28</v>
      </c>
      <c r="B39" s="4" t="s">
        <v>5</v>
      </c>
      <c r="C39" s="1" t="s">
        <v>33</v>
      </c>
      <c r="D39" s="1" t="s">
        <v>16</v>
      </c>
      <c r="E39" s="39">
        <v>20</v>
      </c>
      <c r="F39" s="5">
        <v>44578</v>
      </c>
      <c r="G39" s="21">
        <f t="shared" si="0"/>
        <v>60</v>
      </c>
      <c r="H39" s="17">
        <f>IF(B39="","",IF(B39="SK01",VLOOKUP(D39,Clientes!C:I,6,0),VLOOKUP(D39,Clientes!C:I,7,0)))</f>
        <v>5</v>
      </c>
      <c r="I39" s="17">
        <f>IF(Table1[[#This Row],[Quantidade]]="","",Table1[[#This Row],[Quantidade]]*Table1[[#This Row],[Valor Unitário]])</f>
        <v>100</v>
      </c>
      <c r="J39" s="18">
        <f>IF(H39="","",IF(B39="SK01",'Produto e Custo de Produção'!$H$2*Table1[[#This Row],[Quantidade]],'Produto e Custo de Produção'!$H$3*Table1[[#This Row],[Quantidade]]))</f>
        <v>26.690799999999996</v>
      </c>
      <c r="K39" s="18">
        <f>IF(H39="","",IF(B39="SK01",'Produto e Custo de Produção'!$I$2*Table1[[#This Row],[Quantidade]],'Produto e Custo de Produção'!$I$3*Table1[[#This Row],[Quantidade]]))</f>
        <v>34.615384615384613</v>
      </c>
      <c r="L39" s="18">
        <f t="shared" si="1"/>
        <v>10</v>
      </c>
      <c r="M39" s="18">
        <f>IF(B39="","",Table1[[#This Row],[Total da Venda]]*0.06)</f>
        <v>6</v>
      </c>
      <c r="N39" s="18">
        <f>Table1[[#This Row],[Custo de Produção]]+Table1[[#This Row],[Custo Fixo]]+Table1[[#This Row],[Combustivel ]]+Table1[[#This Row],[Imposto Sobre a Venda]]</f>
        <v>77.306184615384609</v>
      </c>
      <c r="O39" s="25">
        <f>Table1[[#This Row],[Total da Venda]]-Table1[[#This Row],[Custo de Produção]]</f>
        <v>73.309200000000004</v>
      </c>
      <c r="P39" s="25">
        <f>Table1[[#This Row],[Total da Venda]]-Table1[[#This Row],[Custo Total]]</f>
        <v>22.693815384615391</v>
      </c>
    </row>
    <row r="40" spans="1:16" x14ac:dyDescent="0.25">
      <c r="A40" s="26">
        <v>29</v>
      </c>
      <c r="B40" s="4" t="s">
        <v>4</v>
      </c>
      <c r="C40" s="1" t="s">
        <v>37</v>
      </c>
      <c r="D40" s="1" t="s">
        <v>44</v>
      </c>
      <c r="E40" s="39">
        <v>1</v>
      </c>
      <c r="F40" s="5">
        <v>44579</v>
      </c>
      <c r="G40" s="21">
        <f t="shared" si="0"/>
        <v>5</v>
      </c>
      <c r="H40" s="17">
        <f>IF(B40="","",IF(B40="SK01",VLOOKUP(D40,Clientes!C:I,6,0),VLOOKUP(D40,Clientes!C:I,7,0)))</f>
        <v>9</v>
      </c>
      <c r="I40" s="17">
        <f>IF(Table1[[#This Row],[Quantidade]]="","",Table1[[#This Row],[Quantidade]]*Table1[[#This Row],[Valor Unitário]])</f>
        <v>9</v>
      </c>
      <c r="J40" s="18">
        <f>IF(H40="","",IF(B40="SK01",'Produto e Custo de Produção'!$H$2*Table1[[#This Row],[Quantidade]],'Produto e Custo de Produção'!$H$3*Table1[[#This Row],[Quantidade]]))</f>
        <v>1.8284999999999998</v>
      </c>
      <c r="K40" s="18">
        <f>IF(H40="","",IF(B40="SK01",'Produto e Custo de Produção'!$I$2*Table1[[#This Row],[Quantidade]],'Produto e Custo de Produção'!$I$2*Table1[[#This Row],[Quantidade]]))</f>
        <v>2.8846153846153841</v>
      </c>
      <c r="L40" s="18">
        <f t="shared" si="1"/>
        <v>0</v>
      </c>
      <c r="M40" s="18">
        <f>IF(B40="","",Table1[[#This Row],[Total da Venda]]*0.06)</f>
        <v>0.54</v>
      </c>
      <c r="N40" s="18">
        <f>Table1[[#This Row],[Custo de Produção]]+Table1[[#This Row],[Custo Fixo]]+Table1[[#This Row],[Combustivel ]]+Table1[[#This Row],[Imposto Sobre a Venda]]</f>
        <v>5.2531153846153842</v>
      </c>
      <c r="O40" s="25">
        <f>Table1[[#This Row],[Total da Venda]]-Table1[[#This Row],[Custo de Produção]]</f>
        <v>7.1715</v>
      </c>
      <c r="P40" s="25">
        <f>Table1[[#This Row],[Total da Venda]]-Table1[[#This Row],[Custo Total]]</f>
        <v>3.7468846153846158</v>
      </c>
    </row>
    <row r="41" spans="1:16" x14ac:dyDescent="0.25">
      <c r="A41" s="27">
        <v>30</v>
      </c>
      <c r="B41" s="4" t="s">
        <v>5</v>
      </c>
      <c r="C41" s="1" t="s">
        <v>37</v>
      </c>
      <c r="D41" s="1" t="s">
        <v>44</v>
      </c>
      <c r="E41" s="39">
        <v>1</v>
      </c>
      <c r="F41" s="2">
        <v>44580</v>
      </c>
      <c r="G41" s="21">
        <f t="shared" si="0"/>
        <v>3</v>
      </c>
      <c r="H41" s="17">
        <f>IF(B41="","",IF(B41="SK01",VLOOKUP(D41,Clientes!C:I,6,0),VLOOKUP(D41,Clientes!C:I,7,0)))</f>
        <v>7</v>
      </c>
      <c r="I41" s="17">
        <f>IF(Table1[[#This Row],[Quantidade]]="","",Table1[[#This Row],[Quantidade]]*Table1[[#This Row],[Valor Unitário]])</f>
        <v>7</v>
      </c>
      <c r="J41" s="18">
        <f>IF(H41="","",IF(B41="SK01",'Produto e Custo de Produção'!$H$2*Table1[[#This Row],[Quantidade]],'Produto e Custo de Produção'!$H$3*Table1[[#This Row],[Quantidade]]))</f>
        <v>1.3345399999999998</v>
      </c>
      <c r="K41" s="18">
        <f>IF(H41="","",IF(B41="SK01",'Produto e Custo de Produção'!$I$2*Table1[[#This Row],[Quantidade]],'Produto e Custo de Produção'!$I$3*Table1[[#This Row],[Quantidade]]))</f>
        <v>1.7307692307692306</v>
      </c>
      <c r="L41" s="18">
        <f t="shared" si="1"/>
        <v>0</v>
      </c>
      <c r="M41" s="18">
        <f>IF(B41="","",Table1[[#This Row],[Total da Venda]]*0.06)</f>
        <v>0.42</v>
      </c>
      <c r="N41" s="18">
        <f>Table1[[#This Row],[Custo de Produção]]+Table1[[#This Row],[Custo Fixo]]+Table1[[#This Row],[Combustivel ]]+Table1[[#This Row],[Imposto Sobre a Venda]]</f>
        <v>3.4853092307692304</v>
      </c>
      <c r="O41" s="25">
        <f>Table1[[#This Row],[Total da Venda]]-Table1[[#This Row],[Custo de Produção]]</f>
        <v>5.6654600000000004</v>
      </c>
      <c r="P41" s="25">
        <f>Table1[[#This Row],[Total da Venda]]-Table1[[#This Row],[Custo Total]]</f>
        <v>3.5146907692307696</v>
      </c>
    </row>
    <row r="42" spans="1:16" x14ac:dyDescent="0.25">
      <c r="A42" s="27">
        <v>31</v>
      </c>
      <c r="B42" s="4" t="s">
        <v>5</v>
      </c>
      <c r="C42" s="1" t="s">
        <v>37</v>
      </c>
      <c r="D42" s="1" t="s">
        <v>44</v>
      </c>
      <c r="E42" s="39">
        <v>1</v>
      </c>
      <c r="F42" s="2">
        <v>44581</v>
      </c>
      <c r="G42" s="21">
        <f t="shared" si="0"/>
        <v>3</v>
      </c>
      <c r="H42" s="17">
        <f>IF(B42="","",IF(B42="SK01",VLOOKUP(D42,Clientes!C:I,6,0),VLOOKUP(D42,Clientes!C:I,7,0)))</f>
        <v>7</v>
      </c>
      <c r="I42" s="17">
        <f>IF(Table1[[#This Row],[Quantidade]]="","",Table1[[#This Row],[Quantidade]]*Table1[[#This Row],[Valor Unitário]])</f>
        <v>7</v>
      </c>
      <c r="J42" s="18">
        <f>IF(H42="","",IF(B42="SK01",'Produto e Custo de Produção'!$H$2*Table1[[#This Row],[Quantidade]],'Produto e Custo de Produção'!$H$3*Table1[[#This Row],[Quantidade]]))</f>
        <v>1.3345399999999998</v>
      </c>
      <c r="K42" s="18">
        <f>IF(H42="","",IF(B42="SK01",'Produto e Custo de Produção'!$I$2*Table1[[#This Row],[Quantidade]],'Produto e Custo de Produção'!$I$3*Table1[[#This Row],[Quantidade]]))</f>
        <v>1.7307692307692306</v>
      </c>
      <c r="L42" s="18">
        <f t="shared" si="1"/>
        <v>0</v>
      </c>
      <c r="M42" s="18">
        <f>IF(B42="","",Table1[[#This Row],[Total da Venda]]*0.06)</f>
        <v>0.42</v>
      </c>
      <c r="N42" s="18">
        <f>Table1[[#This Row],[Custo de Produção]]+Table1[[#This Row],[Custo Fixo]]+Table1[[#This Row],[Combustivel ]]+Table1[[#This Row],[Imposto Sobre a Venda]]</f>
        <v>3.4853092307692304</v>
      </c>
      <c r="O42" s="25">
        <f>Table1[[#This Row],[Total da Venda]]-Table1[[#This Row],[Custo de Produção]]</f>
        <v>5.6654600000000004</v>
      </c>
      <c r="P42" s="25">
        <f>Table1[[#This Row],[Total da Venda]]-Table1[[#This Row],[Custo Total]]</f>
        <v>3.5146907692307696</v>
      </c>
    </row>
    <row r="43" spans="1:16" x14ac:dyDescent="0.25">
      <c r="A43" s="26">
        <v>32</v>
      </c>
      <c r="B43" s="4" t="s">
        <v>5</v>
      </c>
      <c r="C43" s="1" t="s">
        <v>37</v>
      </c>
      <c r="D43" s="1" t="s">
        <v>44</v>
      </c>
      <c r="E43" s="39">
        <v>1</v>
      </c>
      <c r="F43" s="2">
        <v>44581</v>
      </c>
      <c r="G43" s="21">
        <f t="shared" si="0"/>
        <v>3</v>
      </c>
      <c r="H43" s="17">
        <f>IF(B43="","",IF(B43="SK01",VLOOKUP(D43,Clientes!C:I,6,0),VLOOKUP(D43,Clientes!C:I,7,0)))</f>
        <v>7</v>
      </c>
      <c r="I43" s="17">
        <f>IF(Table1[[#This Row],[Quantidade]]="","",Table1[[#This Row],[Quantidade]]*Table1[[#This Row],[Valor Unitário]])</f>
        <v>7</v>
      </c>
      <c r="J43" s="18">
        <f>IF(H43="","",IF(B43="SK01",'Produto e Custo de Produção'!$H$2*Table1[[#This Row],[Quantidade]],'Produto e Custo de Produção'!$H$3*Table1[[#This Row],[Quantidade]]))</f>
        <v>1.3345399999999998</v>
      </c>
      <c r="K43" s="18">
        <f>IF(H43="","",IF(B43="SK01",'Produto e Custo de Produção'!$I$2*Table1[[#This Row],[Quantidade]],'Produto e Custo de Produção'!$I$3*Table1[[#This Row],[Quantidade]]))</f>
        <v>1.7307692307692306</v>
      </c>
      <c r="L43" s="18">
        <f t="shared" si="1"/>
        <v>0</v>
      </c>
      <c r="M43" s="18">
        <f>IF(B43="","",Table1[[#This Row],[Total da Venda]]*0.06)</f>
        <v>0.42</v>
      </c>
      <c r="N43" s="18">
        <f>Table1[[#This Row],[Custo de Produção]]+Table1[[#This Row],[Custo Fixo]]+Table1[[#This Row],[Combustivel ]]+Table1[[#This Row],[Imposto Sobre a Venda]]</f>
        <v>3.4853092307692304</v>
      </c>
      <c r="O43" s="25">
        <f>Table1[[#This Row],[Total da Venda]]-Table1[[#This Row],[Custo de Produção]]</f>
        <v>5.6654600000000004</v>
      </c>
      <c r="P43" s="25">
        <f>Table1[[#This Row],[Total da Venda]]-Table1[[#This Row],[Custo Total]]</f>
        <v>3.5146907692307696</v>
      </c>
    </row>
    <row r="44" spans="1:16" x14ac:dyDescent="0.25">
      <c r="A44" s="27">
        <v>33</v>
      </c>
      <c r="B44" s="4" t="s">
        <v>4</v>
      </c>
      <c r="C44" s="1" t="s">
        <v>37</v>
      </c>
      <c r="D44" s="1" t="s">
        <v>44</v>
      </c>
      <c r="E44" s="39">
        <v>1</v>
      </c>
      <c r="F44" s="2">
        <v>44582</v>
      </c>
      <c r="G44" s="21">
        <f t="shared" si="0"/>
        <v>5</v>
      </c>
      <c r="H44" s="17">
        <f>IF(B44="","",IF(B44="SK01",VLOOKUP(D44,Clientes!C:I,6,0),VLOOKUP(D44,Clientes!C:I,7,0)))</f>
        <v>9</v>
      </c>
      <c r="I44" s="17">
        <f>IF(Table1[[#This Row],[Quantidade]]="","",Table1[[#This Row],[Quantidade]]*Table1[[#This Row],[Valor Unitário]])</f>
        <v>9</v>
      </c>
      <c r="J44" s="18">
        <f>IF(H44="","",IF(B44="SK01",'Produto e Custo de Produção'!$H$2*Table1[[#This Row],[Quantidade]],'Produto e Custo de Produção'!$H$3*Table1[[#This Row],[Quantidade]]))</f>
        <v>1.8284999999999998</v>
      </c>
      <c r="K44" s="18">
        <f>IF(H44="","",IF(B44="SK01",'Produto e Custo de Produção'!$I$2*Table1[[#This Row],[Quantidade]],'Produto e Custo de Produção'!$I$2*Table1[[#This Row],[Quantidade]]))</f>
        <v>2.8846153846153841</v>
      </c>
      <c r="L44" s="18">
        <f t="shared" si="1"/>
        <v>0</v>
      </c>
      <c r="M44" s="18">
        <f>IF(B44="","",Table1[[#This Row],[Total da Venda]]*0.06)</f>
        <v>0.54</v>
      </c>
      <c r="N44" s="18">
        <f>Table1[[#This Row],[Custo de Produção]]+Table1[[#This Row],[Custo Fixo]]+Table1[[#This Row],[Combustivel ]]+Table1[[#This Row],[Imposto Sobre a Venda]]</f>
        <v>5.2531153846153842</v>
      </c>
      <c r="O44" s="25">
        <f>Table1[[#This Row],[Total da Venda]]-Table1[[#This Row],[Custo de Produção]]</f>
        <v>7.1715</v>
      </c>
      <c r="P44" s="25">
        <f>Table1[[#This Row],[Total da Venda]]-Table1[[#This Row],[Custo Total]]</f>
        <v>3.7468846153846158</v>
      </c>
    </row>
    <row r="45" spans="1:16" x14ac:dyDescent="0.25">
      <c r="A45" s="27">
        <v>34</v>
      </c>
      <c r="B45" s="4" t="s">
        <v>4</v>
      </c>
      <c r="C45" s="1" t="s">
        <v>37</v>
      </c>
      <c r="D45" s="1" t="s">
        <v>44</v>
      </c>
      <c r="E45" s="39">
        <v>1</v>
      </c>
      <c r="F45" s="2">
        <v>44582</v>
      </c>
      <c r="G45" s="21">
        <f t="shared" si="0"/>
        <v>5</v>
      </c>
      <c r="H45" s="17">
        <f>IF(B45="","",IF(B45="SK01",VLOOKUP(D45,Clientes!C:I,6,0),VLOOKUP(D45,Clientes!C:I,7,0)))</f>
        <v>9</v>
      </c>
      <c r="I45" s="17">
        <f>IF(Table1[[#This Row],[Quantidade]]="","",Table1[[#This Row],[Quantidade]]*Table1[[#This Row],[Valor Unitário]])</f>
        <v>9</v>
      </c>
      <c r="J45" s="18">
        <f>IF(H45="","",IF(B45="SK01",'Produto e Custo de Produção'!$H$2*Table1[[#This Row],[Quantidade]],'Produto e Custo de Produção'!$H$3*Table1[[#This Row],[Quantidade]]))</f>
        <v>1.8284999999999998</v>
      </c>
      <c r="K45" s="18">
        <f>IF(H45="","",IF(B45="SK01",'Produto e Custo de Produção'!$I$2*Table1[[#This Row],[Quantidade]],'Produto e Custo de Produção'!$I$2*Table1[[#This Row],[Quantidade]]))</f>
        <v>2.8846153846153841</v>
      </c>
      <c r="L45" s="18">
        <f t="shared" si="1"/>
        <v>0</v>
      </c>
      <c r="M45" s="18">
        <f>IF(B45="","",Table1[[#This Row],[Total da Venda]]*0.06)</f>
        <v>0.54</v>
      </c>
      <c r="N45" s="18">
        <f>Table1[[#This Row],[Custo de Produção]]+Table1[[#This Row],[Custo Fixo]]+Table1[[#This Row],[Combustivel ]]+Table1[[#This Row],[Imposto Sobre a Venda]]</f>
        <v>5.2531153846153842</v>
      </c>
      <c r="O45" s="25">
        <f>Table1[[#This Row],[Total da Venda]]-Table1[[#This Row],[Custo de Produção]]</f>
        <v>7.1715</v>
      </c>
      <c r="P45" s="25">
        <f>Table1[[#This Row],[Total da Venda]]-Table1[[#This Row],[Custo Total]]</f>
        <v>3.7468846153846158</v>
      </c>
    </row>
    <row r="46" spans="1:16" x14ac:dyDescent="0.25">
      <c r="A46" s="26">
        <v>35</v>
      </c>
      <c r="B46" s="4" t="s">
        <v>5</v>
      </c>
      <c r="C46" s="1" t="s">
        <v>37</v>
      </c>
      <c r="D46" s="1" t="s">
        <v>44</v>
      </c>
      <c r="E46" s="39">
        <v>1</v>
      </c>
      <c r="F46" s="2">
        <v>44583</v>
      </c>
      <c r="G46" s="21">
        <f t="shared" si="0"/>
        <v>3</v>
      </c>
      <c r="H46" s="17">
        <f>IF(B46="","",IF(B46="SK01",VLOOKUP(D46,Clientes!C:I,6,0),VLOOKUP(D46,Clientes!C:I,7,0)))</f>
        <v>7</v>
      </c>
      <c r="I46" s="17">
        <f>IF(Table1[[#This Row],[Quantidade]]="","",Table1[[#This Row],[Quantidade]]*Table1[[#This Row],[Valor Unitário]])</f>
        <v>7</v>
      </c>
      <c r="J46" s="18">
        <f>IF(H46="","",IF(B46="SK01",'Produto e Custo de Produção'!$H$2*Table1[[#This Row],[Quantidade]],'Produto e Custo de Produção'!$H$3*Table1[[#This Row],[Quantidade]]))</f>
        <v>1.3345399999999998</v>
      </c>
      <c r="K46" s="18">
        <f>IF(H46="","",IF(B46="SK01",'Produto e Custo de Produção'!$I$2*Table1[[#This Row],[Quantidade]],'Produto e Custo de Produção'!$I$3*Table1[[#This Row],[Quantidade]]))</f>
        <v>1.7307692307692306</v>
      </c>
      <c r="L46" s="18">
        <f t="shared" si="1"/>
        <v>0</v>
      </c>
      <c r="M46" s="18">
        <f>IF(B46="","",Table1[[#This Row],[Total da Venda]]*0.06)</f>
        <v>0.42</v>
      </c>
      <c r="N46" s="18">
        <f>Table1[[#This Row],[Custo de Produção]]+Table1[[#This Row],[Custo Fixo]]+Table1[[#This Row],[Combustivel ]]+Table1[[#This Row],[Imposto Sobre a Venda]]</f>
        <v>3.4853092307692304</v>
      </c>
      <c r="O46" s="25">
        <f>Table1[[#This Row],[Total da Venda]]-Table1[[#This Row],[Custo de Produção]]</f>
        <v>5.6654600000000004</v>
      </c>
      <c r="P46" s="25">
        <f>Table1[[#This Row],[Total da Venda]]-Table1[[#This Row],[Custo Total]]</f>
        <v>3.5146907692307696</v>
      </c>
    </row>
    <row r="47" spans="1:16" x14ac:dyDescent="0.25">
      <c r="A47" s="27">
        <v>36</v>
      </c>
      <c r="B47" s="4" t="s">
        <v>5</v>
      </c>
      <c r="C47" s="1" t="s">
        <v>37</v>
      </c>
      <c r="D47" s="1" t="s">
        <v>44</v>
      </c>
      <c r="E47" s="39">
        <v>1</v>
      </c>
      <c r="F47" s="2">
        <v>44583</v>
      </c>
      <c r="G47" s="21">
        <f t="shared" si="0"/>
        <v>3</v>
      </c>
      <c r="H47" s="17">
        <f>IF(B47="","",IF(B47="SK01",VLOOKUP(D47,Clientes!C:I,6,0),VLOOKUP(D47,Clientes!C:I,7,0)))</f>
        <v>7</v>
      </c>
      <c r="I47" s="17">
        <f>IF(Table1[[#This Row],[Quantidade]]="","",Table1[[#This Row],[Quantidade]]*Table1[[#This Row],[Valor Unitário]])</f>
        <v>7</v>
      </c>
      <c r="J47" s="18">
        <f>IF(H47="","",IF(B47="SK01",'Produto e Custo de Produção'!$H$2*Table1[[#This Row],[Quantidade]],'Produto e Custo de Produção'!$H$3*Table1[[#This Row],[Quantidade]]))</f>
        <v>1.3345399999999998</v>
      </c>
      <c r="K47" s="18">
        <f>IF(H47="","",IF(B47="SK01",'Produto e Custo de Produção'!$I$2*Table1[[#This Row],[Quantidade]],'Produto e Custo de Produção'!$I$3*Table1[[#This Row],[Quantidade]]))</f>
        <v>1.7307692307692306</v>
      </c>
      <c r="L47" s="18">
        <f t="shared" si="1"/>
        <v>0</v>
      </c>
      <c r="M47" s="18">
        <f>IF(B47="","",Table1[[#This Row],[Total da Venda]]*0.06)</f>
        <v>0.42</v>
      </c>
      <c r="N47" s="18">
        <f>Table1[[#This Row],[Custo de Produção]]+Table1[[#This Row],[Custo Fixo]]+Table1[[#This Row],[Combustivel ]]+Table1[[#This Row],[Imposto Sobre a Venda]]</f>
        <v>3.4853092307692304</v>
      </c>
      <c r="O47" s="25">
        <f>Table1[[#This Row],[Total da Venda]]-Table1[[#This Row],[Custo de Produção]]</f>
        <v>5.6654600000000004</v>
      </c>
      <c r="P47" s="25">
        <f>Table1[[#This Row],[Total da Venda]]-Table1[[#This Row],[Custo Total]]</f>
        <v>3.5146907692307696</v>
      </c>
    </row>
    <row r="48" spans="1:16" x14ac:dyDescent="0.25">
      <c r="A48" s="27">
        <v>37</v>
      </c>
      <c r="B48" s="4" t="s">
        <v>5</v>
      </c>
      <c r="C48" s="1" t="s">
        <v>37</v>
      </c>
      <c r="D48" s="1" t="s">
        <v>44</v>
      </c>
      <c r="E48" s="39">
        <v>1</v>
      </c>
      <c r="F48" s="2">
        <v>44584</v>
      </c>
      <c r="G48" s="21">
        <f t="shared" si="0"/>
        <v>3</v>
      </c>
      <c r="H48" s="17">
        <f>IF(B48="","",IF(B48="SK01",VLOOKUP(D48,Clientes!C:I,6,0),VLOOKUP(D48,Clientes!C:I,7,0)))</f>
        <v>7</v>
      </c>
      <c r="I48" s="17">
        <f>IF(Table1[[#This Row],[Quantidade]]="","",Table1[[#This Row],[Quantidade]]*Table1[[#This Row],[Valor Unitário]])</f>
        <v>7</v>
      </c>
      <c r="J48" s="18">
        <f>IF(H48="","",IF(B48="SK01",'Produto e Custo de Produção'!$H$2*Table1[[#This Row],[Quantidade]],'Produto e Custo de Produção'!$H$3*Table1[[#This Row],[Quantidade]]))</f>
        <v>1.3345399999999998</v>
      </c>
      <c r="K48" s="18">
        <f>IF(H48="","",IF(B48="SK01",'Produto e Custo de Produção'!$I$2*Table1[[#This Row],[Quantidade]],'Produto e Custo de Produção'!$I$3*Table1[[#This Row],[Quantidade]]))</f>
        <v>1.7307692307692306</v>
      </c>
      <c r="L48" s="18">
        <f t="shared" si="1"/>
        <v>0</v>
      </c>
      <c r="M48" s="18">
        <f>IF(B48="","",Table1[[#This Row],[Total da Venda]]*0.06)</f>
        <v>0.42</v>
      </c>
      <c r="N48" s="18">
        <f>Table1[[#This Row],[Custo de Produção]]+Table1[[#This Row],[Custo Fixo]]+Table1[[#This Row],[Combustivel ]]+Table1[[#This Row],[Imposto Sobre a Venda]]</f>
        <v>3.4853092307692304</v>
      </c>
      <c r="O48" s="25">
        <f>Table1[[#This Row],[Total da Venda]]-Table1[[#This Row],[Custo de Produção]]</f>
        <v>5.6654600000000004</v>
      </c>
      <c r="P48" s="25">
        <f>Table1[[#This Row],[Total da Venda]]-Table1[[#This Row],[Custo Total]]</f>
        <v>3.5146907692307696</v>
      </c>
    </row>
    <row r="49" spans="1:16" x14ac:dyDescent="0.25">
      <c r="A49" s="26">
        <v>38</v>
      </c>
      <c r="B49" s="4" t="s">
        <v>4</v>
      </c>
      <c r="C49" s="1" t="s">
        <v>37</v>
      </c>
      <c r="D49" s="1" t="s">
        <v>44</v>
      </c>
      <c r="E49" s="39">
        <v>20</v>
      </c>
      <c r="F49" s="2">
        <v>44584</v>
      </c>
      <c r="G49" s="21">
        <f t="shared" si="0"/>
        <v>100</v>
      </c>
      <c r="H49" s="17">
        <f>IF(B49="","",IF(B49="SK01",VLOOKUP(D49,Clientes!C:I,6,0),VLOOKUP(D49,Clientes!C:I,7,0)))</f>
        <v>9</v>
      </c>
      <c r="I49" s="17">
        <f>IF(Table1[[#This Row],[Quantidade]]="","",Table1[[#This Row],[Quantidade]]*Table1[[#This Row],[Valor Unitário]])</f>
        <v>180</v>
      </c>
      <c r="J49" s="18">
        <f>IF(H49="","",IF(B49="SK01",'Produto e Custo de Produção'!$H$2*Table1[[#This Row],[Quantidade]],'Produto e Custo de Produção'!$H$3*Table1[[#This Row],[Quantidade]]))</f>
        <v>36.569999999999993</v>
      </c>
      <c r="K49" s="18">
        <f>IF(H49="","",IF(B49="SK01",'Produto e Custo de Produção'!$I$2*Table1[[#This Row],[Quantidade]],'Produto e Custo de Produção'!$I$2*Table1[[#This Row],[Quantidade]]))</f>
        <v>57.692307692307679</v>
      </c>
      <c r="L49" s="18">
        <f t="shared" si="1"/>
        <v>10</v>
      </c>
      <c r="M49" s="18">
        <f>IF(B49="","",Table1[[#This Row],[Total da Venda]]*0.06)</f>
        <v>10.799999999999999</v>
      </c>
      <c r="N49" s="18">
        <f>Table1[[#This Row],[Custo de Produção]]+Table1[[#This Row],[Custo Fixo]]+Table1[[#This Row],[Combustivel ]]+Table1[[#This Row],[Imposto Sobre a Venda]]</f>
        <v>115.06230769230767</v>
      </c>
      <c r="O49" s="25">
        <f>Table1[[#This Row],[Total da Venda]]-Table1[[#This Row],[Custo de Produção]]</f>
        <v>143.43</v>
      </c>
      <c r="P49" s="25">
        <f>Table1[[#This Row],[Total da Venda]]-Table1[[#This Row],[Custo Total]]</f>
        <v>64.93769230769233</v>
      </c>
    </row>
    <row r="50" spans="1:16" x14ac:dyDescent="0.25">
      <c r="A50" s="26">
        <v>39</v>
      </c>
      <c r="B50" s="4" t="s">
        <v>4</v>
      </c>
      <c r="C50" s="1" t="s">
        <v>33</v>
      </c>
      <c r="D50" s="1" t="s">
        <v>14</v>
      </c>
      <c r="E50" s="39">
        <v>20</v>
      </c>
      <c r="F50" s="2">
        <v>44585</v>
      </c>
      <c r="G50" s="21">
        <f t="shared" si="0"/>
        <v>100</v>
      </c>
      <c r="H50" s="17">
        <f>IF(B50="","",IF(B50="SK01",VLOOKUP(D50,Clientes!C:I,6,0),VLOOKUP(D50,Clientes!C:I,7,0)))</f>
        <v>7</v>
      </c>
      <c r="I50" s="17">
        <f>IF(Table1[[#This Row],[Quantidade]]="","",Table1[[#This Row],[Quantidade]]*Table1[[#This Row],[Valor Unitário]])</f>
        <v>140</v>
      </c>
      <c r="J50" s="18">
        <f>IF(H50="","",IF(B50="SK01",'Produto e Custo de Produção'!$H$2*Table1[[#This Row],[Quantidade]],'Produto e Custo de Produção'!$H$3*Table1[[#This Row],[Quantidade]]))</f>
        <v>36.569999999999993</v>
      </c>
      <c r="K50" s="18">
        <f>IF(H50="","",IF(B50="SK01",'Produto e Custo de Produção'!$I$2*Table1[[#This Row],[Quantidade]],'Produto e Custo de Produção'!$I$2*Table1[[#This Row],[Quantidade]]))</f>
        <v>57.692307692307679</v>
      </c>
      <c r="L50" s="18">
        <f t="shared" si="1"/>
        <v>10</v>
      </c>
      <c r="M50" s="18">
        <f>IF(B50="","",Table1[[#This Row],[Total da Venda]]*0.06)</f>
        <v>8.4</v>
      </c>
      <c r="N50" s="18">
        <f>Table1[[#This Row],[Custo de Produção]]+Table1[[#This Row],[Custo Fixo]]+Table1[[#This Row],[Combustivel ]]+Table1[[#This Row],[Imposto Sobre a Venda]]</f>
        <v>112.66230769230768</v>
      </c>
      <c r="O50" s="25">
        <f>Table1[[#This Row],[Total da Venda]]-Table1[[#This Row],[Custo de Produção]]</f>
        <v>103.43</v>
      </c>
      <c r="P50" s="25">
        <f>Table1[[#This Row],[Total da Venda]]-Table1[[#This Row],[Custo Total]]</f>
        <v>27.337692307692322</v>
      </c>
    </row>
    <row r="51" spans="1:16" x14ac:dyDescent="0.25">
      <c r="A51" s="27">
        <v>39</v>
      </c>
      <c r="B51" s="4" t="s">
        <v>5</v>
      </c>
      <c r="C51" s="1" t="s">
        <v>33</v>
      </c>
      <c r="D51" s="1" t="s">
        <v>14</v>
      </c>
      <c r="E51" s="39">
        <v>20</v>
      </c>
      <c r="F51" s="2">
        <v>44585</v>
      </c>
      <c r="G51" s="21">
        <f t="shared" si="0"/>
        <v>60</v>
      </c>
      <c r="H51" s="17">
        <f>IF(B51="","",IF(B51="SK01",VLOOKUP(D51,Clientes!C:I,6,0),VLOOKUP(D51,Clientes!C:I,7,0)))</f>
        <v>5</v>
      </c>
      <c r="I51" s="17">
        <f>IF(Table1[[#This Row],[Quantidade]]="","",Table1[[#This Row],[Quantidade]]*Table1[[#This Row],[Valor Unitário]])</f>
        <v>100</v>
      </c>
      <c r="J51" s="18">
        <f>IF(H51="","",IF(B51="SK01",'Produto e Custo de Produção'!$H$2*Table1[[#This Row],[Quantidade]],'Produto e Custo de Produção'!$H$3*Table1[[#This Row],[Quantidade]]))</f>
        <v>26.690799999999996</v>
      </c>
      <c r="K51" s="18">
        <f>IF(H51="","",IF(B51="SK01",'Produto e Custo de Produção'!$I$2*Table1[[#This Row],[Quantidade]],'Produto e Custo de Produção'!$I$3*Table1[[#This Row],[Quantidade]]))</f>
        <v>34.615384615384613</v>
      </c>
      <c r="L51" s="18">
        <f t="shared" si="1"/>
        <v>10</v>
      </c>
      <c r="M51" s="18">
        <f>IF(B51="","",Table1[[#This Row],[Total da Venda]]*0.06)</f>
        <v>6</v>
      </c>
      <c r="N51" s="18">
        <f>Table1[[#This Row],[Custo de Produção]]+Table1[[#This Row],[Custo Fixo]]+Table1[[#This Row],[Combustivel ]]+Table1[[#This Row],[Imposto Sobre a Venda]]</f>
        <v>77.306184615384609</v>
      </c>
      <c r="O51" s="25">
        <f>Table1[[#This Row],[Total da Venda]]-Table1[[#This Row],[Custo de Produção]]</f>
        <v>73.309200000000004</v>
      </c>
      <c r="P51" s="25">
        <f>Table1[[#This Row],[Total da Venda]]-Table1[[#This Row],[Custo Total]]</f>
        <v>22.693815384615391</v>
      </c>
    </row>
    <row r="52" spans="1:16" x14ac:dyDescent="0.25">
      <c r="A52" s="27">
        <v>40</v>
      </c>
      <c r="B52" s="4" t="s">
        <v>4</v>
      </c>
      <c r="C52" s="1" t="s">
        <v>33</v>
      </c>
      <c r="D52" s="1" t="s">
        <v>15</v>
      </c>
      <c r="E52" s="39">
        <v>20</v>
      </c>
      <c r="F52" s="2">
        <v>44585</v>
      </c>
      <c r="G52" s="21">
        <f t="shared" si="0"/>
        <v>100</v>
      </c>
      <c r="H52" s="17">
        <f>IF(B52="","",IF(B52="SK01",VLOOKUP(D52,Clientes!C:I,6,0),VLOOKUP(D52,Clientes!C:I,7,0)))</f>
        <v>7</v>
      </c>
      <c r="I52" s="17">
        <f>IF(Table1[[#This Row],[Quantidade]]="","",Table1[[#This Row],[Quantidade]]*Table1[[#This Row],[Valor Unitário]])</f>
        <v>140</v>
      </c>
      <c r="J52" s="18">
        <f>IF(H52="","",IF(B52="SK01",'Produto e Custo de Produção'!$H$2*Table1[[#This Row],[Quantidade]],'Produto e Custo de Produção'!$H$3*Table1[[#This Row],[Quantidade]]))</f>
        <v>36.569999999999993</v>
      </c>
      <c r="K52" s="18">
        <f>IF(H52="","",IF(B52="SK01",'Produto e Custo de Produção'!$I$2*Table1[[#This Row],[Quantidade]],'Produto e Custo de Produção'!$I$2*Table1[[#This Row],[Quantidade]]))</f>
        <v>57.692307692307679</v>
      </c>
      <c r="L52" s="18">
        <f t="shared" si="1"/>
        <v>10</v>
      </c>
      <c r="M52" s="18">
        <f>IF(B52="","",Table1[[#This Row],[Total da Venda]]*0.06)</f>
        <v>8.4</v>
      </c>
      <c r="N52" s="18">
        <f>Table1[[#This Row],[Custo de Produção]]+Table1[[#This Row],[Custo Fixo]]+Table1[[#This Row],[Combustivel ]]+Table1[[#This Row],[Imposto Sobre a Venda]]</f>
        <v>112.66230769230768</v>
      </c>
      <c r="O52" s="25">
        <f>Table1[[#This Row],[Total da Venda]]-Table1[[#This Row],[Custo de Produção]]</f>
        <v>103.43</v>
      </c>
      <c r="P52" s="25">
        <f>Table1[[#This Row],[Total da Venda]]-Table1[[#This Row],[Custo Total]]</f>
        <v>27.337692307692322</v>
      </c>
    </row>
    <row r="53" spans="1:16" x14ac:dyDescent="0.25">
      <c r="A53" s="26">
        <v>40</v>
      </c>
      <c r="B53" s="4" t="s">
        <v>5</v>
      </c>
      <c r="C53" s="1" t="s">
        <v>33</v>
      </c>
      <c r="D53" s="1" t="s">
        <v>15</v>
      </c>
      <c r="E53" s="39">
        <v>20</v>
      </c>
      <c r="F53" s="2">
        <v>44585</v>
      </c>
      <c r="G53" s="21">
        <f t="shared" si="0"/>
        <v>60</v>
      </c>
      <c r="H53" s="17">
        <f>IF(B53="","",IF(B53="SK01",VLOOKUP(D53,Clientes!C:I,6,0),VLOOKUP(D53,Clientes!C:I,7,0)))</f>
        <v>5</v>
      </c>
      <c r="I53" s="17">
        <f>IF(Table1[[#This Row],[Quantidade]]="","",Table1[[#This Row],[Quantidade]]*Table1[[#This Row],[Valor Unitário]])</f>
        <v>100</v>
      </c>
      <c r="J53" s="18">
        <f>IF(H53="","",IF(B53="SK01",'Produto e Custo de Produção'!$H$2*Table1[[#This Row],[Quantidade]],'Produto e Custo de Produção'!$H$3*Table1[[#This Row],[Quantidade]]))</f>
        <v>26.690799999999996</v>
      </c>
      <c r="K53" s="18">
        <f>IF(H53="","",IF(B53="SK01",'Produto e Custo de Produção'!$I$2*Table1[[#This Row],[Quantidade]],'Produto e Custo de Produção'!$I$3*Table1[[#This Row],[Quantidade]]))</f>
        <v>34.615384615384613</v>
      </c>
      <c r="L53" s="18">
        <f t="shared" si="1"/>
        <v>10</v>
      </c>
      <c r="M53" s="18">
        <f>IF(B53="","",Table1[[#This Row],[Total da Venda]]*0.06)</f>
        <v>6</v>
      </c>
      <c r="N53" s="18">
        <f>Table1[[#This Row],[Custo de Produção]]+Table1[[#This Row],[Custo Fixo]]+Table1[[#This Row],[Combustivel ]]+Table1[[#This Row],[Imposto Sobre a Venda]]</f>
        <v>77.306184615384609</v>
      </c>
      <c r="O53" s="25">
        <f>Table1[[#This Row],[Total da Venda]]-Table1[[#This Row],[Custo de Produção]]</f>
        <v>73.309200000000004</v>
      </c>
      <c r="P53" s="25">
        <f>Table1[[#This Row],[Total da Venda]]-Table1[[#This Row],[Custo Total]]</f>
        <v>22.693815384615391</v>
      </c>
    </row>
    <row r="54" spans="1:16" x14ac:dyDescent="0.25">
      <c r="A54" s="27">
        <v>41</v>
      </c>
      <c r="B54" s="4" t="s">
        <v>4</v>
      </c>
      <c r="C54" s="1" t="s">
        <v>33</v>
      </c>
      <c r="D54" s="1" t="s">
        <v>73</v>
      </c>
      <c r="E54" s="39">
        <v>20</v>
      </c>
      <c r="F54" s="2">
        <v>44585</v>
      </c>
      <c r="G54" s="21">
        <f t="shared" si="0"/>
        <v>100</v>
      </c>
      <c r="H54" s="17">
        <f>IF(B54="","",IF(B54="SK01",VLOOKUP(D54,Clientes!C:I,6,0),VLOOKUP(D54,Clientes!C:I,7,0)))</f>
        <v>7</v>
      </c>
      <c r="I54" s="17">
        <f>IF(Table1[[#This Row],[Quantidade]]="","",Table1[[#This Row],[Quantidade]]*Table1[[#This Row],[Valor Unitário]])</f>
        <v>140</v>
      </c>
      <c r="J54" s="18">
        <f>IF(H54="","",IF(B54="SK01",'Produto e Custo de Produção'!$H$2*Table1[[#This Row],[Quantidade]],'Produto e Custo de Produção'!$H$3*Table1[[#This Row],[Quantidade]]))</f>
        <v>36.569999999999993</v>
      </c>
      <c r="K54" s="18">
        <f>IF(H54="","",IF(B54="SK01",'Produto e Custo de Produção'!$I$2*Table1[[#This Row],[Quantidade]],'Produto e Custo de Produção'!$I$2*Table1[[#This Row],[Quantidade]]))</f>
        <v>57.692307692307679</v>
      </c>
      <c r="L54" s="18">
        <f t="shared" si="1"/>
        <v>10</v>
      </c>
      <c r="M54" s="18">
        <f>IF(B54="","",Table1[[#This Row],[Total da Venda]]*0.06)</f>
        <v>8.4</v>
      </c>
      <c r="N54" s="18">
        <f>Table1[[#This Row],[Custo de Produção]]+Table1[[#This Row],[Custo Fixo]]+Table1[[#This Row],[Combustivel ]]+Table1[[#This Row],[Imposto Sobre a Venda]]</f>
        <v>112.66230769230768</v>
      </c>
      <c r="O54" s="25">
        <f>Table1[[#This Row],[Total da Venda]]-Table1[[#This Row],[Custo de Produção]]</f>
        <v>103.43</v>
      </c>
      <c r="P54" s="25">
        <f>Table1[[#This Row],[Total da Venda]]-Table1[[#This Row],[Custo Total]]</f>
        <v>27.337692307692322</v>
      </c>
    </row>
    <row r="55" spans="1:16" x14ac:dyDescent="0.25">
      <c r="A55" s="27">
        <v>42</v>
      </c>
      <c r="B55" s="4" t="s">
        <v>5</v>
      </c>
      <c r="C55" s="1" t="s">
        <v>33</v>
      </c>
      <c r="D55" s="1" t="s">
        <v>16</v>
      </c>
      <c r="E55" s="39">
        <v>20</v>
      </c>
      <c r="F55" s="2">
        <v>44585</v>
      </c>
      <c r="G55" s="21">
        <f t="shared" si="0"/>
        <v>60</v>
      </c>
      <c r="H55" s="17">
        <f>IF(B55="","",IF(B55="SK01",VLOOKUP(D55,Clientes!C:I,6,0),VLOOKUP(D55,Clientes!C:I,7,0)))</f>
        <v>5</v>
      </c>
      <c r="I55" s="17">
        <f>IF(Table1[[#This Row],[Quantidade]]="","",Table1[[#This Row],[Quantidade]]*Table1[[#This Row],[Valor Unitário]])</f>
        <v>100</v>
      </c>
      <c r="J55" s="18">
        <f>IF(H55="","",IF(B55="SK01",'Produto e Custo de Produção'!$H$2*Table1[[#This Row],[Quantidade]],'Produto e Custo de Produção'!$H$3*Table1[[#This Row],[Quantidade]]))</f>
        <v>26.690799999999996</v>
      </c>
      <c r="K55" s="18">
        <f>IF(H55="","",IF(B55="SK01",'Produto e Custo de Produção'!$I$2*Table1[[#This Row],[Quantidade]],'Produto e Custo de Produção'!$I$3*Table1[[#This Row],[Quantidade]]))</f>
        <v>34.615384615384613</v>
      </c>
      <c r="L55" s="18">
        <f t="shared" si="1"/>
        <v>10</v>
      </c>
      <c r="M55" s="18">
        <f>IF(B55="","",Table1[[#This Row],[Total da Venda]]*0.06)</f>
        <v>6</v>
      </c>
      <c r="N55" s="18">
        <f>Table1[[#This Row],[Custo de Produção]]+Table1[[#This Row],[Custo Fixo]]+Table1[[#This Row],[Combustivel ]]+Table1[[#This Row],[Imposto Sobre a Venda]]</f>
        <v>77.306184615384609</v>
      </c>
      <c r="O55" s="25">
        <f>Table1[[#This Row],[Total da Venda]]-Table1[[#This Row],[Custo de Produção]]</f>
        <v>73.309200000000004</v>
      </c>
      <c r="P55" s="25">
        <f>Table1[[#This Row],[Total da Venda]]-Table1[[#This Row],[Custo Total]]</f>
        <v>22.693815384615391</v>
      </c>
    </row>
    <row r="56" spans="1:16" x14ac:dyDescent="0.25">
      <c r="A56" s="26">
        <v>43</v>
      </c>
      <c r="B56" s="4" t="s">
        <v>4</v>
      </c>
      <c r="C56" s="1" t="s">
        <v>37</v>
      </c>
      <c r="D56" s="1" t="s">
        <v>44</v>
      </c>
      <c r="E56" s="39">
        <v>1</v>
      </c>
      <c r="F56" s="2">
        <v>44586</v>
      </c>
      <c r="G56" s="21">
        <f t="shared" si="0"/>
        <v>5</v>
      </c>
      <c r="H56" s="17">
        <f>IF(B56="","",IF(B56="SK01",VLOOKUP(D56,Clientes!C:I,6,0),VLOOKUP(D56,Clientes!C:I,7,0)))</f>
        <v>9</v>
      </c>
      <c r="I56" s="17">
        <f>IF(Table1[[#This Row],[Quantidade]]="","",Table1[[#This Row],[Quantidade]]*Table1[[#This Row],[Valor Unitário]])</f>
        <v>9</v>
      </c>
      <c r="J56" s="18">
        <f>IF(H56="","",IF(B56="SK01",'Produto e Custo de Produção'!$H$2*Table1[[#This Row],[Quantidade]],'Produto e Custo de Produção'!$H$3*Table1[[#This Row],[Quantidade]]))</f>
        <v>1.8284999999999998</v>
      </c>
      <c r="K56" s="18">
        <f>IF(H56="","",IF(B56="SK01",'Produto e Custo de Produção'!$I$2*Table1[[#This Row],[Quantidade]],'Produto e Custo de Produção'!$I$2*Table1[[#This Row],[Quantidade]]))</f>
        <v>2.8846153846153841</v>
      </c>
      <c r="L56" s="18">
        <f t="shared" si="1"/>
        <v>0</v>
      </c>
      <c r="M56" s="18">
        <f>IF(B56="","",Table1[[#This Row],[Total da Venda]]*0.06)</f>
        <v>0.54</v>
      </c>
      <c r="N56" s="18">
        <f>Table1[[#This Row],[Custo de Produção]]+Table1[[#This Row],[Custo Fixo]]+Table1[[#This Row],[Combustivel ]]+Table1[[#This Row],[Imposto Sobre a Venda]]</f>
        <v>5.2531153846153842</v>
      </c>
      <c r="O56" s="25">
        <f>Table1[[#This Row],[Total da Venda]]-Table1[[#This Row],[Custo de Produção]]</f>
        <v>7.1715</v>
      </c>
      <c r="P56" s="25">
        <f>Table1[[#This Row],[Total da Venda]]-Table1[[#This Row],[Custo Total]]</f>
        <v>3.7468846153846158</v>
      </c>
    </row>
    <row r="57" spans="1:16" x14ac:dyDescent="0.25">
      <c r="A57" s="27">
        <v>44</v>
      </c>
      <c r="B57" s="4" t="s">
        <v>4</v>
      </c>
      <c r="C57" s="1" t="s">
        <v>37</v>
      </c>
      <c r="D57" s="1" t="s">
        <v>44</v>
      </c>
      <c r="E57" s="39">
        <v>1</v>
      </c>
      <c r="F57" s="2">
        <v>44587</v>
      </c>
      <c r="G57" s="21">
        <f t="shared" ref="G57:G65" si="2">IF(B57="","",IF(B57="SK01",E57*5,E57*3))</f>
        <v>5</v>
      </c>
      <c r="H57" s="17">
        <f>IF(B57="","",IF(B57="SK01",VLOOKUP(D57,Clientes!C:I,6,0),VLOOKUP(D57,Clientes!C:I,7,0)))</f>
        <v>9</v>
      </c>
      <c r="I57" s="17">
        <f>IF(Table1[[#This Row],[Quantidade]]="","",Table1[[#This Row],[Quantidade]]*Table1[[#This Row],[Valor Unitário]])</f>
        <v>9</v>
      </c>
      <c r="J57" s="18">
        <f>IF(H57="","",IF(B57="SK01",'Produto e Custo de Produção'!$H$2*Table1[[#This Row],[Quantidade]],'Produto e Custo de Produção'!$H$3*Table1[[#This Row],[Quantidade]]))</f>
        <v>1.8284999999999998</v>
      </c>
      <c r="K57" s="18">
        <f>IF(H57="","",IF(B57="SK01",'Produto e Custo de Produção'!$I$2*Table1[[#This Row],[Quantidade]],'Produto e Custo de Produção'!$I$2*Table1[[#This Row],[Quantidade]]))</f>
        <v>2.8846153846153841</v>
      </c>
      <c r="L57" s="18">
        <f t="shared" si="1"/>
        <v>0</v>
      </c>
      <c r="M57" s="18">
        <f>IF(B57="","",Table1[[#This Row],[Total da Venda]]*0.06)</f>
        <v>0.54</v>
      </c>
      <c r="N57" s="18">
        <f>Table1[[#This Row],[Custo de Produção]]+Table1[[#This Row],[Custo Fixo]]+Table1[[#This Row],[Combustivel ]]+Table1[[#This Row],[Imposto Sobre a Venda]]</f>
        <v>5.2531153846153842</v>
      </c>
      <c r="O57" s="25">
        <f>Table1[[#This Row],[Total da Venda]]-Table1[[#This Row],[Custo de Produção]]</f>
        <v>7.1715</v>
      </c>
      <c r="P57" s="25">
        <f>Table1[[#This Row],[Total da Venda]]-Table1[[#This Row],[Custo Total]]</f>
        <v>3.7468846153846158</v>
      </c>
    </row>
    <row r="58" spans="1:16" x14ac:dyDescent="0.25">
      <c r="A58" s="27">
        <v>45</v>
      </c>
      <c r="B58" s="4" t="s">
        <v>5</v>
      </c>
      <c r="C58" s="1" t="s">
        <v>37</v>
      </c>
      <c r="D58" s="1" t="s">
        <v>44</v>
      </c>
      <c r="E58" s="39">
        <v>1</v>
      </c>
      <c r="F58" s="2">
        <v>44588</v>
      </c>
      <c r="G58" s="21">
        <f t="shared" si="2"/>
        <v>3</v>
      </c>
      <c r="H58" s="17">
        <f>IF(B58="","",IF(B58="SK01",VLOOKUP(D58,Clientes!C:I,6,0),VLOOKUP(D58,Clientes!C:I,7,0)))</f>
        <v>7</v>
      </c>
      <c r="I58" s="17">
        <f>IF(Table1[[#This Row],[Quantidade]]="","",Table1[[#This Row],[Quantidade]]*Table1[[#This Row],[Valor Unitário]])</f>
        <v>7</v>
      </c>
      <c r="J58" s="18">
        <f>IF(H58="","",IF(B58="SK01",'Produto e Custo de Produção'!$H$2*Table1[[#This Row],[Quantidade]],'Produto e Custo de Produção'!$H$3*Table1[[#This Row],[Quantidade]]))</f>
        <v>1.3345399999999998</v>
      </c>
      <c r="K58" s="18">
        <f>IF(H58="","",IF(B58="SK01",'Produto e Custo de Produção'!$I$2*Table1[[#This Row],[Quantidade]],'Produto e Custo de Produção'!$I$3*Table1[[#This Row],[Quantidade]]))</f>
        <v>1.7307692307692306</v>
      </c>
      <c r="L58" s="18">
        <f t="shared" si="1"/>
        <v>0</v>
      </c>
      <c r="M58" s="18">
        <f>IF(B58="","",Table1[[#This Row],[Total da Venda]]*0.06)</f>
        <v>0.42</v>
      </c>
      <c r="N58" s="18">
        <f>Table1[[#This Row],[Custo de Produção]]+Table1[[#This Row],[Custo Fixo]]+Table1[[#This Row],[Combustivel ]]+Table1[[#This Row],[Imposto Sobre a Venda]]</f>
        <v>3.4853092307692304</v>
      </c>
      <c r="O58" s="25">
        <f>Table1[[#This Row],[Total da Venda]]-Table1[[#This Row],[Custo de Produção]]</f>
        <v>5.6654600000000004</v>
      </c>
      <c r="P58" s="25">
        <f>Table1[[#This Row],[Total da Venda]]-Table1[[#This Row],[Custo Total]]</f>
        <v>3.5146907692307696</v>
      </c>
    </row>
    <row r="59" spans="1:16" x14ac:dyDescent="0.25">
      <c r="A59" s="26">
        <v>46</v>
      </c>
      <c r="B59" s="4" t="s">
        <v>5</v>
      </c>
      <c r="C59" s="1" t="s">
        <v>37</v>
      </c>
      <c r="D59" s="1" t="s">
        <v>44</v>
      </c>
      <c r="E59" s="39">
        <v>1</v>
      </c>
      <c r="F59" s="2">
        <v>44589</v>
      </c>
      <c r="G59" s="21">
        <f t="shared" si="2"/>
        <v>3</v>
      </c>
      <c r="H59" s="17">
        <f>IF(B59="","",IF(B59="SK01",VLOOKUP(D59,Clientes!C:I,6,0),VLOOKUP(D59,Clientes!C:I,7,0)))</f>
        <v>7</v>
      </c>
      <c r="I59" s="17">
        <f>IF(Table1[[#This Row],[Quantidade]]="","",Table1[[#This Row],[Quantidade]]*Table1[[#This Row],[Valor Unitário]])</f>
        <v>7</v>
      </c>
      <c r="J59" s="18">
        <f>IF(H59="","",IF(B59="SK01",'Produto e Custo de Produção'!$H$2*Table1[[#This Row],[Quantidade]],'Produto e Custo de Produção'!$H$3*Table1[[#This Row],[Quantidade]]))</f>
        <v>1.3345399999999998</v>
      </c>
      <c r="K59" s="18">
        <f>IF(H59="","",IF(B59="SK01",'Produto e Custo de Produção'!$I$2*Table1[[#This Row],[Quantidade]],'Produto e Custo de Produção'!$I$3*Table1[[#This Row],[Quantidade]]))</f>
        <v>1.7307692307692306</v>
      </c>
      <c r="L59" s="18">
        <f t="shared" si="1"/>
        <v>0</v>
      </c>
      <c r="M59" s="18">
        <f>IF(B59="","",Table1[[#This Row],[Total da Venda]]*0.06)</f>
        <v>0.42</v>
      </c>
      <c r="N59" s="18">
        <f>Table1[[#This Row],[Custo de Produção]]+Table1[[#This Row],[Custo Fixo]]+Table1[[#This Row],[Combustivel ]]+Table1[[#This Row],[Imposto Sobre a Venda]]</f>
        <v>3.4853092307692304</v>
      </c>
      <c r="O59" s="25">
        <f>Table1[[#This Row],[Total da Venda]]-Table1[[#This Row],[Custo de Produção]]</f>
        <v>5.6654600000000004</v>
      </c>
      <c r="P59" s="25">
        <f>Table1[[#This Row],[Total da Venda]]-Table1[[#This Row],[Custo Total]]</f>
        <v>3.5146907692307696</v>
      </c>
    </row>
    <row r="60" spans="1:16" x14ac:dyDescent="0.25">
      <c r="A60" s="26">
        <v>47</v>
      </c>
      <c r="B60" s="4" t="s">
        <v>5</v>
      </c>
      <c r="C60" s="1" t="s">
        <v>37</v>
      </c>
      <c r="D60" s="1" t="s">
        <v>44</v>
      </c>
      <c r="E60" s="39">
        <v>1</v>
      </c>
      <c r="F60" s="2">
        <v>44589</v>
      </c>
      <c r="G60" s="21">
        <f t="shared" si="2"/>
        <v>3</v>
      </c>
      <c r="H60" s="17">
        <f>IF(B60="","",IF(B60="SK01",VLOOKUP(D60,Clientes!C:I,6,0),VLOOKUP(D60,Clientes!C:I,7,0)))</f>
        <v>7</v>
      </c>
      <c r="I60" s="17">
        <f>IF(Table1[[#This Row],[Quantidade]]="","",Table1[[#This Row],[Quantidade]]*Table1[[#This Row],[Valor Unitário]])</f>
        <v>7</v>
      </c>
      <c r="J60" s="18">
        <f>IF(H60="","",IF(B60="SK01",'Produto e Custo de Produção'!$H$2*Table1[[#This Row],[Quantidade]],'Produto e Custo de Produção'!$H$3*Table1[[#This Row],[Quantidade]]))</f>
        <v>1.3345399999999998</v>
      </c>
      <c r="K60" s="18">
        <f>IF(H60="","",IF(B60="SK01",'Produto e Custo de Produção'!$I$2*Table1[[#This Row],[Quantidade]],'Produto e Custo de Produção'!$I$3*Table1[[#This Row],[Quantidade]]))</f>
        <v>1.7307692307692306</v>
      </c>
      <c r="L60" s="18">
        <f t="shared" si="1"/>
        <v>0</v>
      </c>
      <c r="M60" s="18">
        <f>IF(B60="","",Table1[[#This Row],[Total da Venda]]*0.06)</f>
        <v>0.42</v>
      </c>
      <c r="N60" s="18">
        <f>Table1[[#This Row],[Custo de Produção]]+Table1[[#This Row],[Custo Fixo]]+Table1[[#This Row],[Combustivel ]]+Table1[[#This Row],[Imposto Sobre a Venda]]</f>
        <v>3.4853092307692304</v>
      </c>
      <c r="O60" s="25">
        <f>Table1[[#This Row],[Total da Venda]]-Table1[[#This Row],[Custo de Produção]]</f>
        <v>5.6654600000000004</v>
      </c>
      <c r="P60" s="25">
        <f>Table1[[#This Row],[Total da Venda]]-Table1[[#This Row],[Custo Total]]</f>
        <v>3.5146907692307696</v>
      </c>
    </row>
    <row r="61" spans="1:16" x14ac:dyDescent="0.25">
      <c r="A61" s="26">
        <v>48</v>
      </c>
      <c r="B61" s="4" t="s">
        <v>5</v>
      </c>
      <c r="C61" s="1" t="s">
        <v>37</v>
      </c>
      <c r="D61" s="1" t="s">
        <v>44</v>
      </c>
      <c r="E61" s="39">
        <v>1</v>
      </c>
      <c r="F61" s="2">
        <v>44590</v>
      </c>
      <c r="G61" s="21">
        <f t="shared" si="2"/>
        <v>3</v>
      </c>
      <c r="H61" s="17">
        <f>IF(B61="","",IF(B61="SK01",VLOOKUP(D61,Clientes!C:I,6,0),VLOOKUP(D61,Clientes!C:I,7,0)))</f>
        <v>7</v>
      </c>
      <c r="I61" s="17">
        <f>IF(Table1[[#This Row],[Quantidade]]="","",Table1[[#This Row],[Quantidade]]*Table1[[#This Row],[Valor Unitário]])</f>
        <v>7</v>
      </c>
      <c r="J61" s="18">
        <f>IF(H61="","",IF(B61="SK01",'Produto e Custo de Produção'!$H$2*Table1[[#This Row],[Quantidade]],'Produto e Custo de Produção'!$H$3*Table1[[#This Row],[Quantidade]]))</f>
        <v>1.3345399999999998</v>
      </c>
      <c r="K61" s="18">
        <f>IF(H61="","",IF(B61="SK01",'Produto e Custo de Produção'!$I$2*Table1[[#This Row],[Quantidade]],'Produto e Custo de Produção'!$I$2*Table1[[#This Row],[Quantidade]]))</f>
        <v>2.8846153846153841</v>
      </c>
      <c r="L61" s="18">
        <f t="shared" si="1"/>
        <v>0</v>
      </c>
      <c r="M61" s="18">
        <f>IF(B61="","",Table1[[#This Row],[Total da Venda]]*0.06)</f>
        <v>0.42</v>
      </c>
      <c r="N61" s="18">
        <f>Table1[[#This Row],[Custo de Produção]]+Table1[[#This Row],[Custo Fixo]]+Table1[[#This Row],[Combustivel ]]+Table1[[#This Row],[Imposto Sobre a Venda]]</f>
        <v>4.6391553846153837</v>
      </c>
      <c r="O61" s="25">
        <f>Table1[[#This Row],[Total da Venda]]-Table1[[#This Row],[Custo de Produção]]</f>
        <v>5.6654600000000004</v>
      </c>
      <c r="P61" s="25">
        <f>Table1[[#This Row],[Total da Venda]]-Table1[[#This Row],[Custo Total]]</f>
        <v>2.3608446153846163</v>
      </c>
    </row>
    <row r="62" spans="1:16" x14ac:dyDescent="0.25">
      <c r="A62" s="26">
        <v>49</v>
      </c>
      <c r="B62" s="4" t="s">
        <v>5</v>
      </c>
      <c r="C62" s="1" t="s">
        <v>37</v>
      </c>
      <c r="D62" s="1" t="s">
        <v>44</v>
      </c>
      <c r="E62" s="39">
        <v>1</v>
      </c>
      <c r="F62" s="2">
        <v>44590</v>
      </c>
      <c r="G62" s="21">
        <f t="shared" si="2"/>
        <v>3</v>
      </c>
      <c r="H62" s="17">
        <f>IF(B62="","",IF(B62="SK01",VLOOKUP(D62,Clientes!C:I,6,0),VLOOKUP(D62,Clientes!C:I,7,0)))</f>
        <v>7</v>
      </c>
      <c r="I62" s="17">
        <f>IF(Table1[[#This Row],[Quantidade]]="","",Table1[[#This Row],[Quantidade]]*Table1[[#This Row],[Valor Unitário]])</f>
        <v>7</v>
      </c>
      <c r="J62" s="18">
        <f>IF(H62="","",IF(B62="SK01",'Produto e Custo de Produção'!$H$2*Table1[[#This Row],[Quantidade]],'Produto e Custo de Produção'!$H$3*Table1[[#This Row],[Quantidade]]))</f>
        <v>1.3345399999999998</v>
      </c>
      <c r="K62" s="18">
        <f>IF(H62="","",IF(B62="SK01",'Produto e Custo de Produção'!$I$2*Table1[[#This Row],[Quantidade]],'Produto e Custo de Produção'!$I$2*Table1[[#This Row],[Quantidade]]))</f>
        <v>2.8846153846153841</v>
      </c>
      <c r="L62" s="18">
        <f t="shared" si="1"/>
        <v>0</v>
      </c>
      <c r="M62" s="18">
        <f>IF(B62="","",Table1[[#This Row],[Total da Venda]]*0.06)</f>
        <v>0.42</v>
      </c>
      <c r="N62" s="18">
        <f>Table1[[#This Row],[Custo de Produção]]+Table1[[#This Row],[Custo Fixo]]+Table1[[#This Row],[Combustivel ]]+Table1[[#This Row],[Imposto Sobre a Venda]]</f>
        <v>4.6391553846153837</v>
      </c>
      <c r="O62" s="25">
        <f>Table1[[#This Row],[Total da Venda]]-Table1[[#This Row],[Custo de Produção]]</f>
        <v>5.6654600000000004</v>
      </c>
      <c r="P62" s="25">
        <f>Table1[[#This Row],[Total da Venda]]-Table1[[#This Row],[Custo Total]]</f>
        <v>2.3608446153846163</v>
      </c>
    </row>
    <row r="63" spans="1:16" x14ac:dyDescent="0.25">
      <c r="A63" s="26">
        <v>50</v>
      </c>
      <c r="B63" s="4" t="s">
        <v>5</v>
      </c>
      <c r="C63" s="1" t="s">
        <v>37</v>
      </c>
      <c r="D63" s="1" t="s">
        <v>44</v>
      </c>
      <c r="E63" s="39">
        <v>1</v>
      </c>
      <c r="F63" s="2">
        <v>44590</v>
      </c>
      <c r="G63" s="21">
        <f t="shared" si="2"/>
        <v>3</v>
      </c>
      <c r="H63" s="17">
        <f>IF(B63="","",IF(B63="SK01",VLOOKUP(D63,Clientes!C:I,6,0),VLOOKUP(D63,Clientes!C:I,7,0)))</f>
        <v>7</v>
      </c>
      <c r="I63" s="17">
        <f>IF(Table1[[#This Row],[Quantidade]]="","",Table1[[#This Row],[Quantidade]]*Table1[[#This Row],[Valor Unitário]])</f>
        <v>7</v>
      </c>
      <c r="J63" s="18">
        <f>IF(H63="","",IF(B63="SK01",'Produto e Custo de Produção'!$H$2*Table1[[#This Row],[Quantidade]],'Produto e Custo de Produção'!$H$3*Table1[[#This Row],[Quantidade]]))</f>
        <v>1.3345399999999998</v>
      </c>
      <c r="K63" s="18">
        <f>IF(H63="","",IF(B63="SK01",'Produto e Custo de Produção'!$I$2*Table1[[#This Row],[Quantidade]],'Produto e Custo de Produção'!$I$3*Table1[[#This Row],[Quantidade]]))</f>
        <v>1.7307692307692306</v>
      </c>
      <c r="L63" s="18">
        <f t="shared" si="1"/>
        <v>0</v>
      </c>
      <c r="M63" s="18">
        <f>IF(B63="","",Table1[[#This Row],[Total da Venda]]*0.06)</f>
        <v>0.42</v>
      </c>
      <c r="N63" s="18">
        <f>Table1[[#This Row],[Custo de Produção]]+Table1[[#This Row],[Custo Fixo]]+Table1[[#This Row],[Combustivel ]]+Table1[[#This Row],[Imposto Sobre a Venda]]</f>
        <v>3.4853092307692304</v>
      </c>
      <c r="O63" s="25">
        <f>Table1[[#This Row],[Total da Venda]]-Table1[[#This Row],[Custo de Produção]]</f>
        <v>5.6654600000000004</v>
      </c>
      <c r="P63" s="25">
        <f>Table1[[#This Row],[Total da Venda]]-Table1[[#This Row],[Custo Total]]</f>
        <v>3.5146907692307696</v>
      </c>
    </row>
    <row r="64" spans="1:16" x14ac:dyDescent="0.25">
      <c r="A64" s="26">
        <v>51</v>
      </c>
      <c r="B64" s="4" t="s">
        <v>5</v>
      </c>
      <c r="C64" s="1" t="s">
        <v>37</v>
      </c>
      <c r="D64" s="1" t="s">
        <v>44</v>
      </c>
      <c r="E64" s="39">
        <v>1</v>
      </c>
      <c r="F64" s="2">
        <v>44591</v>
      </c>
      <c r="G64" s="21">
        <f t="shared" si="2"/>
        <v>3</v>
      </c>
      <c r="H64" s="17">
        <f>IF(B64="","",IF(B64="SK01",VLOOKUP(D64,Clientes!C:I,6,0),VLOOKUP(D64,Clientes!C:I,7,0)))</f>
        <v>7</v>
      </c>
      <c r="I64" s="17">
        <f>IF(Table1[[#This Row],[Quantidade]]="","",Table1[[#This Row],[Quantidade]]*Table1[[#This Row],[Valor Unitário]])</f>
        <v>7</v>
      </c>
      <c r="J64" s="18">
        <f>IF(H64="","",IF(B64="SK01",'Produto e Custo de Produção'!$H$2*Table1[[#This Row],[Quantidade]],'Produto e Custo de Produção'!$H$3*Table1[[#This Row],[Quantidade]]))</f>
        <v>1.3345399999999998</v>
      </c>
      <c r="K64" s="18">
        <f>IF(H64="","",IF(B64="SK01",'Produto e Custo de Produção'!$I$2*Table1[[#This Row],[Quantidade]],'Produto e Custo de Produção'!$I$3*Table1[[#This Row],[Quantidade]]))</f>
        <v>1.7307692307692306</v>
      </c>
      <c r="L64" s="18">
        <f t="shared" si="1"/>
        <v>0</v>
      </c>
      <c r="M64" s="18">
        <f>IF(B64="","",Table1[[#This Row],[Total da Venda]]*0.06)</f>
        <v>0.42</v>
      </c>
      <c r="N64" s="18">
        <f>Table1[[#This Row],[Custo de Produção]]+Table1[[#This Row],[Custo Fixo]]+Table1[[#This Row],[Combustivel ]]+Table1[[#This Row],[Imposto Sobre a Venda]]</f>
        <v>3.4853092307692304</v>
      </c>
      <c r="O64" s="25">
        <f>Table1[[#This Row],[Total da Venda]]-Table1[[#This Row],[Custo de Produção]]</f>
        <v>5.6654600000000004</v>
      </c>
      <c r="P64" s="25">
        <f>Table1[[#This Row],[Total da Venda]]-Table1[[#This Row],[Custo Total]]</f>
        <v>3.5146907692307696</v>
      </c>
    </row>
    <row r="65" spans="1:16" x14ac:dyDescent="0.25">
      <c r="A65" s="26">
        <v>52</v>
      </c>
      <c r="B65" s="4" t="s">
        <v>5</v>
      </c>
      <c r="C65" s="1" t="s">
        <v>37</v>
      </c>
      <c r="D65" s="1" t="s">
        <v>44</v>
      </c>
      <c r="E65" s="39">
        <v>1</v>
      </c>
      <c r="F65" s="2">
        <v>44591</v>
      </c>
      <c r="G65" s="21">
        <f t="shared" si="2"/>
        <v>3</v>
      </c>
      <c r="H65" s="17">
        <f>IF(B65="","",IF(B65="SK01",VLOOKUP(D65,Clientes!C:I,6,0),VLOOKUP(D65,Clientes!C:I,7,0)))</f>
        <v>7</v>
      </c>
      <c r="I65" s="17">
        <f>IF(Table1[[#This Row],[Quantidade]]="","",Table1[[#This Row],[Quantidade]]*Table1[[#This Row],[Valor Unitário]])</f>
        <v>7</v>
      </c>
      <c r="J65" s="18">
        <f>IF(H65="","",IF(B65="SK01",'Produto e Custo de Produção'!$H$2*Table1[[#This Row],[Quantidade]],'Produto e Custo de Produção'!$H$3*Table1[[#This Row],[Quantidade]]))</f>
        <v>1.3345399999999998</v>
      </c>
      <c r="K65" s="18">
        <f>IF(H65="","",IF(B65="SK01",'Produto e Custo de Produção'!$I$2*Table1[[#This Row],[Quantidade]],'Produto e Custo de Produção'!$I$2*Table1[[#This Row],[Quantidade]]))</f>
        <v>2.8846153846153841</v>
      </c>
      <c r="L65" s="18">
        <f t="shared" si="1"/>
        <v>0</v>
      </c>
      <c r="M65" s="18">
        <f>IF(B65="","",Table1[[#This Row],[Total da Venda]]*0.06)</f>
        <v>0.42</v>
      </c>
      <c r="N65" s="18">
        <f>Table1[[#This Row],[Custo de Produção]]+Table1[[#This Row],[Custo Fixo]]+Table1[[#This Row],[Combustivel ]]+Table1[[#This Row],[Imposto Sobre a Venda]]</f>
        <v>4.6391553846153837</v>
      </c>
      <c r="O65" s="25">
        <f>Table1[[#This Row],[Total da Venda]]-Table1[[#This Row],[Custo de Produção]]</f>
        <v>5.6654600000000004</v>
      </c>
      <c r="P65" s="25">
        <f>Table1[[#This Row],[Total da Venda]]-Table1[[#This Row],[Custo Total]]</f>
        <v>2.3608446153846163</v>
      </c>
    </row>
    <row r="66" spans="1:16" x14ac:dyDescent="0.25">
      <c r="A66" s="26">
        <v>53</v>
      </c>
      <c r="B66" s="4" t="s">
        <v>5</v>
      </c>
      <c r="C66" s="1" t="s">
        <v>37</v>
      </c>
      <c r="D66" s="1" t="s">
        <v>44</v>
      </c>
      <c r="E66" s="39">
        <v>2</v>
      </c>
      <c r="F66" s="2">
        <v>44592</v>
      </c>
      <c r="G66" s="21">
        <f t="shared" ref="G66:G129" si="3">IF(B66="","",IF(B66="SK01",E66*5,E66*3))</f>
        <v>6</v>
      </c>
      <c r="H66" s="17">
        <f>IF(B66="","",IF(B66="SK01",VLOOKUP(D66,Clientes!C:I,6,0),VLOOKUP(D66,Clientes!C:I,7,0)))</f>
        <v>7</v>
      </c>
      <c r="I66" s="17">
        <f>IF(Table1[[#This Row],[Quantidade]]="","",Table1[[#This Row],[Quantidade]]*Table1[[#This Row],[Valor Unitário]])</f>
        <v>14</v>
      </c>
      <c r="J66" s="18">
        <f>IF(H66="","",IF(B66="SK01",'Produto e Custo de Produção'!$H$2*Table1[[#This Row],[Quantidade]],'Produto e Custo de Produção'!$H$3*Table1[[#This Row],[Quantidade]]))</f>
        <v>2.6690799999999997</v>
      </c>
      <c r="K66" s="18">
        <f>IF(H66="","",IF(B66="SK01",'Produto e Custo de Produção'!$I$2*Table1[[#This Row],[Quantidade]],'Produto e Custo de Produção'!$I$2*Table1[[#This Row],[Quantidade]]))</f>
        <v>5.7692307692307683</v>
      </c>
      <c r="L66" s="18">
        <f t="shared" si="1"/>
        <v>0</v>
      </c>
      <c r="M66" s="18">
        <f>IF(B66="","",Table1[[#This Row],[Total da Venda]]*0.06)</f>
        <v>0.84</v>
      </c>
      <c r="N66" s="18">
        <f>Table1[[#This Row],[Custo de Produção]]+Table1[[#This Row],[Custo Fixo]]+Table1[[#This Row],[Combustivel ]]+Table1[[#This Row],[Imposto Sobre a Venda]]</f>
        <v>9.2783107692307674</v>
      </c>
      <c r="O66" s="25">
        <f>Table1[[#This Row],[Total da Venda]]-Table1[[#This Row],[Custo de Produção]]</f>
        <v>11.330920000000001</v>
      </c>
      <c r="P66" s="25">
        <f>Table1[[#This Row],[Total da Venda]]-Table1[[#This Row],[Custo Total]]</f>
        <v>4.7216892307692326</v>
      </c>
    </row>
    <row r="67" spans="1:16" x14ac:dyDescent="0.25">
      <c r="A67" s="26">
        <v>54</v>
      </c>
      <c r="B67" s="4" t="s">
        <v>5</v>
      </c>
      <c r="C67" s="1" t="s">
        <v>37</v>
      </c>
      <c r="D67" s="1" t="s">
        <v>44</v>
      </c>
      <c r="E67" s="39">
        <v>3</v>
      </c>
      <c r="F67" s="2">
        <v>44593</v>
      </c>
      <c r="G67" s="21">
        <f t="shared" si="3"/>
        <v>9</v>
      </c>
      <c r="H67" s="17">
        <f>IF(B67="","",IF(B67="SK01",VLOOKUP(D67,Clientes!C:I,6,0),VLOOKUP(D67,Clientes!C:I,7,0)))</f>
        <v>7</v>
      </c>
      <c r="I67" s="17">
        <f>IF(Table1[[#This Row],[Quantidade]]="","",Table1[[#This Row],[Quantidade]]*Table1[[#This Row],[Valor Unitário]])</f>
        <v>21</v>
      </c>
      <c r="J67" s="18">
        <f>IF(H67="","",IF(B67="SK01",'Produto e Custo de Produção'!$H$2*Table1[[#This Row],[Quantidade]],'Produto e Custo de Produção'!$H$3*Table1[[#This Row],[Quantidade]]))</f>
        <v>4.0036199999999997</v>
      </c>
      <c r="K67" s="18">
        <f>IF(H67="","",IF(B67="SK01",'Produto e Custo de Produção'!$I$2*Table1[[#This Row],[Quantidade]],'Produto e Custo de Produção'!$I$2*Table1[[#This Row],[Quantidade]]))</f>
        <v>8.6538461538461533</v>
      </c>
      <c r="L67" s="18">
        <f t="shared" ref="L67:L130" si="4">IF(B67="","",IF(E67&lt;=2,0,IF(E67&lt;=30,10,IF(E67&lt;=40,15,20))))</f>
        <v>10</v>
      </c>
      <c r="M67" s="18">
        <f>IF(B67="","",Table1[[#This Row],[Total da Venda]]*0.06)</f>
        <v>1.26</v>
      </c>
      <c r="N67" s="18">
        <f>Table1[[#This Row],[Custo de Produção]]+Table1[[#This Row],[Custo Fixo]]+Table1[[#This Row],[Combustivel ]]+Table1[[#This Row],[Imposto Sobre a Venda]]</f>
        <v>23.917466153846153</v>
      </c>
      <c r="O67" s="25">
        <f>Table1[[#This Row],[Total da Venda]]-Table1[[#This Row],[Custo de Produção]]</f>
        <v>16.996380000000002</v>
      </c>
      <c r="P67" s="25">
        <f>Table1[[#This Row],[Total da Venda]]-Table1[[#This Row],[Custo Total]]</f>
        <v>-2.9174661538461528</v>
      </c>
    </row>
    <row r="68" spans="1:16" x14ac:dyDescent="0.25">
      <c r="A68" s="26">
        <v>55</v>
      </c>
      <c r="B68" s="4" t="s">
        <v>5</v>
      </c>
      <c r="C68" s="1" t="s">
        <v>37</v>
      </c>
      <c r="D68" s="1" t="s">
        <v>44</v>
      </c>
      <c r="E68" s="39">
        <v>8</v>
      </c>
      <c r="F68" s="2">
        <v>44594</v>
      </c>
      <c r="G68" s="21">
        <f t="shared" si="3"/>
        <v>24</v>
      </c>
      <c r="H68" s="17">
        <f>IF(B68="","",IF(B68="SK01",VLOOKUP(D68,Clientes!C:I,6,0),VLOOKUP(D68,Clientes!C:I,7,0)))</f>
        <v>7</v>
      </c>
      <c r="I68" s="17">
        <f>IF(Table1[[#This Row],[Quantidade]]="","",Table1[[#This Row],[Quantidade]]*Table1[[#This Row],[Valor Unitário]])</f>
        <v>56</v>
      </c>
      <c r="J68" s="18">
        <f>IF(H68="","",IF(B68="SK01",'Produto e Custo de Produção'!$H$2*Table1[[#This Row],[Quantidade]],'Produto e Custo de Produção'!$H$3*Table1[[#This Row],[Quantidade]]))</f>
        <v>10.676319999999999</v>
      </c>
      <c r="K68" s="18">
        <f>IF(H68="","",IF(B68="SK01",'Produto e Custo de Produção'!$I$2*Table1[[#This Row],[Quantidade]],'Produto e Custo de Produção'!$I$2*Table1[[#This Row],[Quantidade]]))</f>
        <v>23.076923076923073</v>
      </c>
      <c r="L68" s="18">
        <f t="shared" si="4"/>
        <v>10</v>
      </c>
      <c r="M68" s="18">
        <f>IF(B68="","",Table1[[#This Row],[Total da Venda]]*0.06)</f>
        <v>3.36</v>
      </c>
      <c r="N68" s="18">
        <f>Table1[[#This Row],[Custo de Produção]]+Table1[[#This Row],[Custo Fixo]]+Table1[[#This Row],[Combustivel ]]+Table1[[#This Row],[Imposto Sobre a Venda]]</f>
        <v>47.113243076923069</v>
      </c>
      <c r="O68" s="25">
        <f>Table1[[#This Row],[Total da Venda]]-Table1[[#This Row],[Custo de Produção]]</f>
        <v>45.323680000000003</v>
      </c>
      <c r="P68" s="25">
        <f>Table1[[#This Row],[Total da Venda]]-Table1[[#This Row],[Custo Total]]</f>
        <v>8.8867569230769305</v>
      </c>
    </row>
    <row r="69" spans="1:16" x14ac:dyDescent="0.25">
      <c r="A69" s="26">
        <v>56</v>
      </c>
      <c r="B69" s="4" t="s">
        <v>4</v>
      </c>
      <c r="C69" s="1" t="s">
        <v>37</v>
      </c>
      <c r="D69" s="1" t="s">
        <v>44</v>
      </c>
      <c r="E69" s="39">
        <v>5</v>
      </c>
      <c r="F69" s="2">
        <v>44595</v>
      </c>
      <c r="G69" s="21">
        <f t="shared" si="3"/>
        <v>25</v>
      </c>
      <c r="H69" s="17">
        <f>IF(B69="","",IF(B69="SK01",VLOOKUP(D69,Clientes!C:I,6,0),VLOOKUP(D69,Clientes!C:I,7,0)))</f>
        <v>9</v>
      </c>
      <c r="I69" s="17">
        <f>IF(Table1[[#This Row],[Quantidade]]="","",Table1[[#This Row],[Quantidade]]*Table1[[#This Row],[Valor Unitário]])</f>
        <v>45</v>
      </c>
      <c r="J69" s="18">
        <f>IF(H69="","",IF(B69="SK01",'Produto e Custo de Produção'!$H$2*Table1[[#This Row],[Quantidade]],'Produto e Custo de Produção'!$H$3*Table1[[#This Row],[Quantidade]]))</f>
        <v>9.1424999999999983</v>
      </c>
      <c r="K69" s="18">
        <f>IF(H69="","",IF(B69="SK01",'Produto e Custo de Produção'!$I$2*Table1[[#This Row],[Quantidade]],'Produto e Custo de Produção'!$I$2*Table1[[#This Row],[Quantidade]]))</f>
        <v>14.42307692307692</v>
      </c>
      <c r="L69" s="18">
        <f t="shared" si="4"/>
        <v>10</v>
      </c>
      <c r="M69" s="18">
        <f>IF(B69="","",Table1[[#This Row],[Total da Venda]]*0.06)</f>
        <v>2.6999999999999997</v>
      </c>
      <c r="N69" s="18">
        <f>Table1[[#This Row],[Custo de Produção]]+Table1[[#This Row],[Custo Fixo]]+Table1[[#This Row],[Combustivel ]]+Table1[[#This Row],[Imposto Sobre a Venda]]</f>
        <v>36.265576923076921</v>
      </c>
      <c r="O69" s="25">
        <f>Table1[[#This Row],[Total da Venda]]-Table1[[#This Row],[Custo de Produção]]</f>
        <v>35.857500000000002</v>
      </c>
      <c r="P69" s="25">
        <f>Table1[[#This Row],[Total da Venda]]-Table1[[#This Row],[Custo Total]]</f>
        <v>8.7344230769230791</v>
      </c>
    </row>
    <row r="70" spans="1:16" x14ac:dyDescent="0.25">
      <c r="A70" s="26">
        <v>57</v>
      </c>
      <c r="B70" s="4" t="s">
        <v>4</v>
      </c>
      <c r="C70" s="1" t="s">
        <v>37</v>
      </c>
      <c r="D70" s="1" t="s">
        <v>44</v>
      </c>
      <c r="E70" s="39">
        <v>6</v>
      </c>
      <c r="F70" s="2">
        <v>44596</v>
      </c>
      <c r="G70" s="21">
        <f t="shared" si="3"/>
        <v>30</v>
      </c>
      <c r="H70" s="17">
        <f>IF(B70="","",IF(B70="SK01",VLOOKUP(D70,Clientes!C:I,6,0),VLOOKUP(D70,Clientes!C:I,7,0)))</f>
        <v>9</v>
      </c>
      <c r="I70" s="17">
        <f>IF(Table1[[#This Row],[Quantidade]]="","",Table1[[#This Row],[Quantidade]]*Table1[[#This Row],[Valor Unitário]])</f>
        <v>54</v>
      </c>
      <c r="J70" s="18">
        <f>IF(H70="","",IF(B70="SK01",'Produto e Custo de Produção'!$H$2*Table1[[#This Row],[Quantidade]],'Produto e Custo de Produção'!$H$3*Table1[[#This Row],[Quantidade]]))</f>
        <v>10.970999999999998</v>
      </c>
      <c r="K70" s="18">
        <f>IF(H70="","",IF(B70="SK01",'Produto e Custo de Produção'!$I$2*Table1[[#This Row],[Quantidade]],'Produto e Custo de Produção'!$I$2*Table1[[#This Row],[Quantidade]]))</f>
        <v>17.307692307692307</v>
      </c>
      <c r="L70" s="18">
        <f t="shared" si="4"/>
        <v>10</v>
      </c>
      <c r="M70" s="18">
        <f>IF(B70="","",Table1[[#This Row],[Total da Venda]]*0.06)</f>
        <v>3.2399999999999998</v>
      </c>
      <c r="N70" s="18">
        <f>Table1[[#This Row],[Custo de Produção]]+Table1[[#This Row],[Custo Fixo]]+Table1[[#This Row],[Combustivel ]]+Table1[[#This Row],[Imposto Sobre a Venda]]</f>
        <v>41.518692307692305</v>
      </c>
      <c r="O70" s="25">
        <f>Table1[[#This Row],[Total da Venda]]-Table1[[#This Row],[Custo de Produção]]</f>
        <v>43.029000000000003</v>
      </c>
      <c r="P70" s="25">
        <f>Table1[[#This Row],[Total da Venda]]-Table1[[#This Row],[Custo Total]]</f>
        <v>12.481307692307695</v>
      </c>
    </row>
    <row r="71" spans="1:16" x14ac:dyDescent="0.25">
      <c r="A71" s="26">
        <v>58</v>
      </c>
      <c r="B71" s="4" t="s">
        <v>4</v>
      </c>
      <c r="C71" s="1" t="s">
        <v>37</v>
      </c>
      <c r="D71" s="1" t="s">
        <v>44</v>
      </c>
      <c r="E71" s="39">
        <v>7</v>
      </c>
      <c r="F71" s="2">
        <v>44597</v>
      </c>
      <c r="G71" s="21">
        <f t="shared" si="3"/>
        <v>35</v>
      </c>
      <c r="H71" s="17">
        <f>IF(B71="","",IF(B71="SK01",VLOOKUP(D71,Clientes!C:I,6,0),VLOOKUP(D71,Clientes!C:I,7,0)))</f>
        <v>9</v>
      </c>
      <c r="I71" s="17">
        <f>IF(Table1[[#This Row],[Quantidade]]="","",Table1[[#This Row],[Quantidade]]*Table1[[#This Row],[Valor Unitário]])</f>
        <v>63</v>
      </c>
      <c r="J71" s="18">
        <f>IF(H71="","",IF(B71="SK01",'Produto e Custo de Produção'!$H$2*Table1[[#This Row],[Quantidade]],'Produto e Custo de Produção'!$H$3*Table1[[#This Row],[Quantidade]]))</f>
        <v>12.799499999999998</v>
      </c>
      <c r="K71" s="18">
        <f>IF(H71="","",IF(B71="SK01",'Produto e Custo de Produção'!$I$2*Table1[[#This Row],[Quantidade]],'Produto e Custo de Produção'!$I$2*Table1[[#This Row],[Quantidade]]))</f>
        <v>20.19230769230769</v>
      </c>
      <c r="L71" s="18">
        <f t="shared" si="4"/>
        <v>10</v>
      </c>
      <c r="M71" s="18">
        <f>IF(B71="","",Table1[[#This Row],[Total da Venda]]*0.06)</f>
        <v>3.78</v>
      </c>
      <c r="N71" s="18">
        <f>Table1[[#This Row],[Custo de Produção]]+Table1[[#This Row],[Custo Fixo]]+Table1[[#This Row],[Combustivel ]]+Table1[[#This Row],[Imposto Sobre a Venda]]</f>
        <v>46.771807692307689</v>
      </c>
      <c r="O71" s="25">
        <f>Table1[[#This Row],[Total da Venda]]-Table1[[#This Row],[Custo de Produção]]</f>
        <v>50.200500000000005</v>
      </c>
      <c r="P71" s="25">
        <f>Table1[[#This Row],[Total da Venda]]-Table1[[#This Row],[Custo Total]]</f>
        <v>16.228192307692311</v>
      </c>
    </row>
    <row r="72" spans="1:16" x14ac:dyDescent="0.25">
      <c r="A72" s="26">
        <v>59</v>
      </c>
      <c r="B72" s="4" t="s">
        <v>4</v>
      </c>
      <c r="C72" s="1" t="s">
        <v>37</v>
      </c>
      <c r="D72" s="1" t="s">
        <v>44</v>
      </c>
      <c r="E72" s="39">
        <v>8</v>
      </c>
      <c r="F72" s="2">
        <v>44598</v>
      </c>
      <c r="G72" s="21">
        <f t="shared" si="3"/>
        <v>40</v>
      </c>
      <c r="H72" s="17">
        <f>IF(B72="","",IF(B72="SK01",VLOOKUP(D72,Clientes!C:I,6,0),VLOOKUP(D72,Clientes!C:I,7,0)))</f>
        <v>9</v>
      </c>
      <c r="I72" s="17">
        <f>IF(Table1[[#This Row],[Quantidade]]="","",Table1[[#This Row],[Quantidade]]*Table1[[#This Row],[Valor Unitário]])</f>
        <v>72</v>
      </c>
      <c r="J72" s="18">
        <f>IF(H72="","",IF(B72="SK01",'Produto e Custo de Produção'!$H$2*Table1[[#This Row],[Quantidade]],'Produto e Custo de Produção'!$H$3*Table1[[#This Row],[Quantidade]]))</f>
        <v>14.627999999999998</v>
      </c>
      <c r="K72" s="18">
        <f>IF(H72="","",IF(B72="SK01",'Produto e Custo de Produção'!$I$2*Table1[[#This Row],[Quantidade]],'Produto e Custo de Produção'!$I$2*Table1[[#This Row],[Quantidade]]))</f>
        <v>23.076923076923073</v>
      </c>
      <c r="L72" s="18">
        <f t="shared" si="4"/>
        <v>10</v>
      </c>
      <c r="M72" s="18">
        <f>IF(B72="","",Table1[[#This Row],[Total da Venda]]*0.06)</f>
        <v>4.32</v>
      </c>
      <c r="N72" s="18">
        <f>Table1[[#This Row],[Custo de Produção]]+Table1[[#This Row],[Custo Fixo]]+Table1[[#This Row],[Combustivel ]]+Table1[[#This Row],[Imposto Sobre a Venda]]</f>
        <v>52.024923076923073</v>
      </c>
      <c r="O72" s="25">
        <f>Table1[[#This Row],[Total da Venda]]-Table1[[#This Row],[Custo de Produção]]</f>
        <v>57.372</v>
      </c>
      <c r="P72" s="25">
        <f>Table1[[#This Row],[Total da Venda]]-Table1[[#This Row],[Custo Total]]</f>
        <v>19.975076923076927</v>
      </c>
    </row>
    <row r="73" spans="1:16" x14ac:dyDescent="0.25">
      <c r="A73" s="26">
        <v>60</v>
      </c>
      <c r="B73" s="4" t="s">
        <v>4</v>
      </c>
      <c r="C73" s="1" t="s">
        <v>37</v>
      </c>
      <c r="D73" s="1" t="s">
        <v>44</v>
      </c>
      <c r="E73" s="39">
        <v>1</v>
      </c>
      <c r="F73" s="2">
        <v>44599</v>
      </c>
      <c r="G73" s="21">
        <f t="shared" si="3"/>
        <v>5</v>
      </c>
      <c r="H73" s="17">
        <f>IF(B73="","",IF(B73="SK01",VLOOKUP(D73,Clientes!C:I,6,0),VLOOKUP(D73,Clientes!C:I,7,0)))</f>
        <v>9</v>
      </c>
      <c r="I73" s="17">
        <f>IF(Table1[[#This Row],[Quantidade]]="","",Table1[[#This Row],[Quantidade]]*Table1[[#This Row],[Valor Unitário]])</f>
        <v>9</v>
      </c>
      <c r="J73" s="18">
        <f>IF(H73="","",IF(B73="SK01",'Produto e Custo de Produção'!$H$2*Table1[[#This Row],[Quantidade]],'Produto e Custo de Produção'!$H$3*Table1[[#This Row],[Quantidade]]))</f>
        <v>1.8284999999999998</v>
      </c>
      <c r="K73" s="18">
        <f>IF(H73="","",IF(B73="SK01",'Produto e Custo de Produção'!$I$2*Table1[[#This Row],[Quantidade]],'Produto e Custo de Produção'!$I$2*Table1[[#This Row],[Quantidade]]))</f>
        <v>2.8846153846153841</v>
      </c>
      <c r="L73" s="18">
        <f t="shared" si="4"/>
        <v>0</v>
      </c>
      <c r="M73" s="18">
        <f>IF(B73="","",Table1[[#This Row],[Total da Venda]]*0.06)</f>
        <v>0.54</v>
      </c>
      <c r="N73" s="18">
        <f>Table1[[#This Row],[Custo de Produção]]+Table1[[#This Row],[Custo Fixo]]+Table1[[#This Row],[Combustivel ]]+Table1[[#This Row],[Imposto Sobre a Venda]]</f>
        <v>5.2531153846153842</v>
      </c>
      <c r="O73" s="25">
        <f>Table1[[#This Row],[Total da Venda]]-Table1[[#This Row],[Custo de Produção]]</f>
        <v>7.1715</v>
      </c>
      <c r="P73" s="25">
        <f>Table1[[#This Row],[Total da Venda]]-Table1[[#This Row],[Custo Total]]</f>
        <v>3.7468846153846158</v>
      </c>
    </row>
    <row r="74" spans="1:16" x14ac:dyDescent="0.25">
      <c r="A74" s="26">
        <v>61</v>
      </c>
      <c r="B74" s="4" t="s">
        <v>4</v>
      </c>
      <c r="C74" s="1" t="s">
        <v>37</v>
      </c>
      <c r="D74" s="1" t="s">
        <v>44</v>
      </c>
      <c r="E74" s="39">
        <v>10</v>
      </c>
      <c r="F74" s="2">
        <v>44600</v>
      </c>
      <c r="G74" s="21">
        <f t="shared" si="3"/>
        <v>50</v>
      </c>
      <c r="H74" s="17">
        <f>IF(B74="","",IF(B74="SK01",VLOOKUP(D74,Clientes!C:I,6,0),VLOOKUP(D74,Clientes!C:I,7,0)))</f>
        <v>9</v>
      </c>
      <c r="I74" s="17">
        <f>IF(Table1[[#This Row],[Quantidade]]="","",Table1[[#This Row],[Quantidade]]*Table1[[#This Row],[Valor Unitário]])</f>
        <v>90</v>
      </c>
      <c r="J74" s="18">
        <f>IF(H74="","",IF(B74="SK01",'Produto e Custo de Produção'!$H$2*Table1[[#This Row],[Quantidade]],'Produto e Custo de Produção'!$H$3*Table1[[#This Row],[Quantidade]]))</f>
        <v>18.284999999999997</v>
      </c>
      <c r="K74" s="18">
        <f>IF(H74="","",IF(B74="SK01",'Produto e Custo de Produção'!$I$2*Table1[[#This Row],[Quantidade]],'Produto e Custo de Produção'!$I$2*Table1[[#This Row],[Quantidade]]))</f>
        <v>28.84615384615384</v>
      </c>
      <c r="L74" s="18">
        <f t="shared" si="4"/>
        <v>10</v>
      </c>
      <c r="M74" s="18">
        <f>IF(B74="","",Table1[[#This Row],[Total da Venda]]*0.06)</f>
        <v>5.3999999999999995</v>
      </c>
      <c r="N74" s="18">
        <f>Table1[[#This Row],[Custo de Produção]]+Table1[[#This Row],[Custo Fixo]]+Table1[[#This Row],[Combustivel ]]+Table1[[#This Row],[Imposto Sobre a Venda]]</f>
        <v>62.531153846153835</v>
      </c>
      <c r="O74" s="25">
        <f>Table1[[#This Row],[Total da Venda]]-Table1[[#This Row],[Custo de Produção]]</f>
        <v>71.715000000000003</v>
      </c>
      <c r="P74" s="25">
        <f>Table1[[#This Row],[Total da Venda]]-Table1[[#This Row],[Custo Total]]</f>
        <v>27.468846153846165</v>
      </c>
    </row>
    <row r="75" spans="1:16" x14ac:dyDescent="0.25">
      <c r="A75" s="26">
        <v>62</v>
      </c>
      <c r="B75" s="4" t="s">
        <v>4</v>
      </c>
      <c r="C75" s="1" t="s">
        <v>37</v>
      </c>
      <c r="D75" s="1" t="s">
        <v>44</v>
      </c>
      <c r="E75" s="39">
        <v>11</v>
      </c>
      <c r="F75" s="2">
        <v>44601</v>
      </c>
      <c r="G75" s="21">
        <f t="shared" si="3"/>
        <v>55</v>
      </c>
      <c r="H75" s="17">
        <f>IF(B75="","",IF(B75="SK01",VLOOKUP(D75,Clientes!C:I,6,0),VLOOKUP(D75,Clientes!C:I,7,0)))</f>
        <v>9</v>
      </c>
      <c r="I75" s="17">
        <f>IF(Table1[[#This Row],[Quantidade]]="","",Table1[[#This Row],[Quantidade]]*Table1[[#This Row],[Valor Unitário]])</f>
        <v>99</v>
      </c>
      <c r="J75" s="18">
        <f>IF(H75="","",IF(B75="SK01",'Produto e Custo de Produção'!$H$2*Table1[[#This Row],[Quantidade]],'Produto e Custo de Produção'!$H$3*Table1[[#This Row],[Quantidade]]))</f>
        <v>20.113499999999998</v>
      </c>
      <c r="K75" s="18">
        <f>IF(H75="","",IF(B75="SK01",'Produto e Custo de Produção'!$I$2*Table1[[#This Row],[Quantidade]],'Produto e Custo de Produção'!$I$2*Table1[[#This Row],[Quantidade]]))</f>
        <v>31.730769230769226</v>
      </c>
      <c r="L75" s="18">
        <f t="shared" si="4"/>
        <v>10</v>
      </c>
      <c r="M75" s="18">
        <f>IF(B75="","",Table1[[#This Row],[Total da Venda]]*0.06)</f>
        <v>5.9399999999999995</v>
      </c>
      <c r="N75" s="18">
        <f>Table1[[#This Row],[Custo de Produção]]+Table1[[#This Row],[Custo Fixo]]+Table1[[#This Row],[Combustivel ]]+Table1[[#This Row],[Imposto Sobre a Venda]]</f>
        <v>67.784269230769226</v>
      </c>
      <c r="O75" s="25">
        <f>Table1[[#This Row],[Total da Venda]]-Table1[[#This Row],[Custo de Produção]]</f>
        <v>78.886499999999998</v>
      </c>
      <c r="P75" s="25">
        <f>Table1[[#This Row],[Total da Venda]]-Table1[[#This Row],[Custo Total]]</f>
        <v>31.215730769230774</v>
      </c>
    </row>
    <row r="76" spans="1:16" x14ac:dyDescent="0.25">
      <c r="A76" s="26">
        <v>63</v>
      </c>
      <c r="B76" s="4" t="s">
        <v>4</v>
      </c>
      <c r="C76" s="1" t="s">
        <v>37</v>
      </c>
      <c r="D76" s="1" t="s">
        <v>44</v>
      </c>
      <c r="E76" s="39">
        <v>5</v>
      </c>
      <c r="F76" s="2">
        <v>44602</v>
      </c>
      <c r="G76" s="21">
        <f t="shared" si="3"/>
        <v>25</v>
      </c>
      <c r="H76" s="17">
        <f>IF(B76="","",IF(B76="SK01",VLOOKUP(D76,Clientes!C:I,6,0),VLOOKUP(D76,Clientes!C:I,7,0)))</f>
        <v>9</v>
      </c>
      <c r="I76" s="17">
        <f>IF(Table1[[#This Row],[Quantidade]]="","",Table1[[#This Row],[Quantidade]]*Table1[[#This Row],[Valor Unitário]])</f>
        <v>45</v>
      </c>
      <c r="J76" s="18">
        <f>IF(H76="","",IF(B76="SK01",'Produto e Custo de Produção'!$H$2*Table1[[#This Row],[Quantidade]],'Produto e Custo de Produção'!$H$3*Table1[[#This Row],[Quantidade]]))</f>
        <v>9.1424999999999983</v>
      </c>
      <c r="K76" s="18">
        <f>IF(H76="","",IF(B76="SK01",'Produto e Custo de Produção'!$I$2*Table1[[#This Row],[Quantidade]],'Produto e Custo de Produção'!$I$2*Table1[[#This Row],[Quantidade]]))</f>
        <v>14.42307692307692</v>
      </c>
      <c r="L76" s="18">
        <f t="shared" si="4"/>
        <v>10</v>
      </c>
      <c r="M76" s="18">
        <f>IF(B76="","",Table1[[#This Row],[Total da Venda]]*0.06)</f>
        <v>2.6999999999999997</v>
      </c>
      <c r="N76" s="18">
        <f>Table1[[#This Row],[Custo de Produção]]+Table1[[#This Row],[Custo Fixo]]+Table1[[#This Row],[Combustivel ]]+Table1[[#This Row],[Imposto Sobre a Venda]]</f>
        <v>36.265576923076921</v>
      </c>
      <c r="O76" s="25">
        <f>Table1[[#This Row],[Total da Venda]]-Table1[[#This Row],[Custo de Produção]]</f>
        <v>35.857500000000002</v>
      </c>
      <c r="P76" s="25">
        <f>Table1[[#This Row],[Total da Venda]]-Table1[[#This Row],[Custo Total]]</f>
        <v>8.7344230769230791</v>
      </c>
    </row>
    <row r="77" spans="1:16" x14ac:dyDescent="0.25">
      <c r="A77" s="26">
        <v>64</v>
      </c>
      <c r="B77" s="4" t="s">
        <v>4</v>
      </c>
      <c r="C77" s="1" t="s">
        <v>37</v>
      </c>
      <c r="D77" s="1" t="s">
        <v>44</v>
      </c>
      <c r="E77" s="39">
        <v>13</v>
      </c>
      <c r="F77" s="2">
        <v>44603</v>
      </c>
      <c r="G77" s="21">
        <f t="shared" si="3"/>
        <v>65</v>
      </c>
      <c r="H77" s="17">
        <f>IF(B77="","",IF(B77="SK01",VLOOKUP(D77,Clientes!C:I,6,0),VLOOKUP(D77,Clientes!C:I,7,0)))</f>
        <v>9</v>
      </c>
      <c r="I77" s="17">
        <f>IF(Table1[[#This Row],[Quantidade]]="","",Table1[[#This Row],[Quantidade]]*Table1[[#This Row],[Valor Unitário]])</f>
        <v>117</v>
      </c>
      <c r="J77" s="18">
        <f>IF(H77="","",IF(B77="SK01",'Produto e Custo de Produção'!$H$2*Table1[[#This Row],[Quantidade]],'Produto e Custo de Produção'!$H$3*Table1[[#This Row],[Quantidade]]))</f>
        <v>23.770499999999998</v>
      </c>
      <c r="K77" s="18">
        <f>IF(H77="","",IF(B77="SK01",'Produto e Custo de Produção'!$I$2*Table1[[#This Row],[Quantidade]],'Produto e Custo de Produção'!$I$2*Table1[[#This Row],[Quantidade]]))</f>
        <v>37.499999999999993</v>
      </c>
      <c r="L77" s="18">
        <f t="shared" si="4"/>
        <v>10</v>
      </c>
      <c r="M77" s="18">
        <f>IF(B77="","",Table1[[#This Row],[Total da Venda]]*0.06)</f>
        <v>7.02</v>
      </c>
      <c r="N77" s="18">
        <f>Table1[[#This Row],[Custo de Produção]]+Table1[[#This Row],[Custo Fixo]]+Table1[[#This Row],[Combustivel ]]+Table1[[#This Row],[Imposto Sobre a Venda]]</f>
        <v>78.290499999999994</v>
      </c>
      <c r="O77" s="25">
        <f>Table1[[#This Row],[Total da Venda]]-Table1[[#This Row],[Custo de Produção]]</f>
        <v>93.229500000000002</v>
      </c>
      <c r="P77" s="25">
        <f>Table1[[#This Row],[Total da Venda]]-Table1[[#This Row],[Custo Total]]</f>
        <v>38.709500000000006</v>
      </c>
    </row>
    <row r="78" spans="1:16" x14ac:dyDescent="0.25">
      <c r="A78" s="26">
        <v>65</v>
      </c>
      <c r="B78" s="4" t="s">
        <v>4</v>
      </c>
      <c r="C78" s="1" t="s">
        <v>37</v>
      </c>
      <c r="D78" s="1" t="s">
        <v>44</v>
      </c>
      <c r="E78" s="39">
        <v>3</v>
      </c>
      <c r="F78" s="2">
        <v>44604</v>
      </c>
      <c r="G78" s="21">
        <f t="shared" si="3"/>
        <v>15</v>
      </c>
      <c r="H78" s="17">
        <f>IF(B78="","",IF(B78="SK01",VLOOKUP(D78,Clientes!C:I,6,0),VLOOKUP(D78,Clientes!C:I,7,0)))</f>
        <v>9</v>
      </c>
      <c r="I78" s="17">
        <f>IF(Table1[[#This Row],[Quantidade]]="","",Table1[[#This Row],[Quantidade]]*Table1[[#This Row],[Valor Unitário]])</f>
        <v>27</v>
      </c>
      <c r="J78" s="18">
        <f>IF(H78="","",IF(B78="SK01",'Produto e Custo de Produção'!$H$2*Table1[[#This Row],[Quantidade]],'Produto e Custo de Produção'!$H$3*Table1[[#This Row],[Quantidade]]))</f>
        <v>5.4854999999999992</v>
      </c>
      <c r="K78" s="18">
        <f>IF(H78="","",IF(B78="SK01",'Produto e Custo de Produção'!$I$2*Table1[[#This Row],[Quantidade]],'Produto e Custo de Produção'!$I$2*Table1[[#This Row],[Quantidade]]))</f>
        <v>8.6538461538461533</v>
      </c>
      <c r="L78" s="18">
        <f t="shared" si="4"/>
        <v>10</v>
      </c>
      <c r="M78" s="18">
        <f>IF(B78="","",Table1[[#This Row],[Total da Venda]]*0.06)</f>
        <v>1.6199999999999999</v>
      </c>
      <c r="N78" s="18">
        <f>Table1[[#This Row],[Custo de Produção]]+Table1[[#This Row],[Custo Fixo]]+Table1[[#This Row],[Combustivel ]]+Table1[[#This Row],[Imposto Sobre a Venda]]</f>
        <v>25.759346153846153</v>
      </c>
      <c r="O78" s="25">
        <f>Table1[[#This Row],[Total da Venda]]-Table1[[#This Row],[Custo de Produção]]</f>
        <v>21.514500000000002</v>
      </c>
      <c r="P78" s="25">
        <f>Table1[[#This Row],[Total da Venda]]-Table1[[#This Row],[Custo Total]]</f>
        <v>1.2406538461538474</v>
      </c>
    </row>
    <row r="79" spans="1:16" x14ac:dyDescent="0.25">
      <c r="A79" s="28"/>
      <c r="B79" s="4"/>
      <c r="C79" s="1"/>
      <c r="D79" s="1"/>
      <c r="E79" s="39"/>
      <c r="F79" s="2"/>
      <c r="G79" s="21" t="str">
        <f t="shared" si="3"/>
        <v/>
      </c>
      <c r="H79" s="17" t="str">
        <f>IF(B79="","",IF(B79="SK01",VLOOKUP(D79,Clientes!C:I,6,0),VLOOKUP(D79,Clientes!C:I,7,0)))</f>
        <v/>
      </c>
      <c r="I79" s="17" t="str">
        <f>IF(Table1[[#This Row],[Quantidade]]="","",Table1[[#This Row],[Quantidade]]*Table1[[#This Row],[Valor Unitário]])</f>
        <v/>
      </c>
      <c r="J79" s="18" t="str">
        <f>IF(H79="","",IF(B79="SK01",'Produto e Custo de Produção'!$H$2*Table1[[#This Row],[Quantidade]],'Produto e Custo de Produção'!$H$3*Table1[[#This Row],[Quantidade]]))</f>
        <v/>
      </c>
      <c r="K79" s="18" t="str">
        <f>IF(H79="","",IF(B79="SK01",'Produto e Custo de Produção'!$I$2*Table1[[#This Row],[Quantidade]],'Produto e Custo de Produção'!$I$2*Table1[[#This Row],[Quantidade]]))</f>
        <v/>
      </c>
      <c r="L79" s="18" t="str">
        <f t="shared" si="4"/>
        <v/>
      </c>
      <c r="M79" s="18" t="str">
        <f>IF(B79="","",Table1[[#This Row],[Total da Venda]]*0.06)</f>
        <v/>
      </c>
      <c r="N79" s="18"/>
      <c r="O79" s="25"/>
      <c r="P79" s="25"/>
    </row>
    <row r="80" spans="1:16" x14ac:dyDescent="0.25">
      <c r="A80" s="28"/>
      <c r="B80" s="4"/>
      <c r="C80" s="1"/>
      <c r="D80" s="1"/>
      <c r="E80" s="39"/>
      <c r="F80" s="2"/>
      <c r="G80" s="21" t="str">
        <f t="shared" si="3"/>
        <v/>
      </c>
      <c r="H80" s="17" t="str">
        <f>IF(B80="","",IF(B80="SK01",VLOOKUP(D80,Clientes!C:I,6,0),VLOOKUP(D80,Clientes!C:I,7,0)))</f>
        <v/>
      </c>
      <c r="I80" s="17" t="str">
        <f>IF(Table1[[#This Row],[Quantidade]]="","",Table1[[#This Row],[Quantidade]]*Table1[[#This Row],[Valor Unitário]])</f>
        <v/>
      </c>
      <c r="J80" s="18" t="str">
        <f>IF(H80="","",IF(B80="SK01",'Produto e Custo de Produção'!$H$2*Table1[[#This Row],[Quantidade]],'Produto e Custo de Produção'!$H$3*Table1[[#This Row],[Quantidade]]))</f>
        <v/>
      </c>
      <c r="K80" s="18" t="str">
        <f>IF(H80="","",IF(B80="SK01",'Produto e Custo de Produção'!$I$2*Table1[[#This Row],[Quantidade]],'Produto e Custo de Produção'!$I$2*Table1[[#This Row],[Quantidade]]))</f>
        <v/>
      </c>
      <c r="L80" s="18" t="str">
        <f t="shared" si="4"/>
        <v/>
      </c>
      <c r="M80" s="18" t="str">
        <f>IF(B80="","",Table1[[#This Row],[Total da Venda]]*0.06)</f>
        <v/>
      </c>
      <c r="N80" s="18"/>
      <c r="O80" s="25"/>
      <c r="P80" s="25"/>
    </row>
    <row r="81" spans="1:16" x14ac:dyDescent="0.25">
      <c r="A81" s="28"/>
      <c r="B81" s="4"/>
      <c r="C81" s="1"/>
      <c r="D81" s="1"/>
      <c r="E81" s="39"/>
      <c r="F81" s="2"/>
      <c r="G81" s="21" t="str">
        <f t="shared" si="3"/>
        <v/>
      </c>
      <c r="H81" s="17" t="str">
        <f>IF(B81="","",IF(B81="SK01",VLOOKUP(D81,Clientes!C:I,6,0),VLOOKUP(D81,Clientes!C:I,7,0)))</f>
        <v/>
      </c>
      <c r="I81" s="17" t="str">
        <f>IF(Table1[[#This Row],[Quantidade]]="","",Table1[[#This Row],[Quantidade]]*Table1[[#This Row],[Valor Unitário]])</f>
        <v/>
      </c>
      <c r="J81" s="18" t="str">
        <f>IF(H81="","",IF(B81="SK01",'Produto e Custo de Produção'!$H$2*Table1[[#This Row],[Quantidade]],'Produto e Custo de Produção'!$H$3*Table1[[#This Row],[Quantidade]]))</f>
        <v/>
      </c>
      <c r="K81" s="18" t="str">
        <f>IF(H81="","",IF(B81="SK01",'Produto e Custo de Produção'!$I$2*Table1[[#This Row],[Quantidade]],'Produto e Custo de Produção'!$I$2*Table1[[#This Row],[Quantidade]]))</f>
        <v/>
      </c>
      <c r="L81" s="18" t="str">
        <f t="shared" si="4"/>
        <v/>
      </c>
      <c r="M81" s="18" t="str">
        <f>IF(B81="","",Table1[[#This Row],[Total da Venda]]*0.06)</f>
        <v/>
      </c>
      <c r="N81" s="18"/>
      <c r="O81" s="25"/>
      <c r="P81" s="25"/>
    </row>
    <row r="82" spans="1:16" x14ac:dyDescent="0.25">
      <c r="A82" s="28"/>
      <c r="B82" s="4"/>
      <c r="C82" s="1"/>
      <c r="D82" s="1"/>
      <c r="E82" s="39"/>
      <c r="F82" s="2"/>
      <c r="G82" s="21" t="str">
        <f t="shared" si="3"/>
        <v/>
      </c>
      <c r="H82" s="17" t="str">
        <f>IF(B82="","",IF(B82="SK01",VLOOKUP(D82,Clientes!C:I,6,0),VLOOKUP(D82,Clientes!C:I,7,0)))</f>
        <v/>
      </c>
      <c r="I82" s="17" t="str">
        <f>IF(Table1[[#This Row],[Quantidade]]="","",Table1[[#This Row],[Quantidade]]*Table1[[#This Row],[Valor Unitário]])</f>
        <v/>
      </c>
      <c r="J82" s="18" t="str">
        <f>IF(H82="","",IF(B82="SK01",'Produto e Custo de Produção'!$H$2*Table1[[#This Row],[Quantidade]],'Produto e Custo de Produção'!$H$3*Table1[[#This Row],[Quantidade]]))</f>
        <v/>
      </c>
      <c r="K82" s="18" t="str">
        <f>IF(H82="","",IF(B82="SK01",'Produto e Custo de Produção'!$I$2*Table1[[#This Row],[Quantidade]],'Produto e Custo de Produção'!$I$2*Table1[[#This Row],[Quantidade]]))</f>
        <v/>
      </c>
      <c r="L82" s="18" t="str">
        <f t="shared" si="4"/>
        <v/>
      </c>
      <c r="M82" s="18" t="str">
        <f>IF(B82="","",Table1[[#This Row],[Total da Venda]]*0.06)</f>
        <v/>
      </c>
      <c r="N82" s="18"/>
      <c r="O82" s="25"/>
      <c r="P82" s="25"/>
    </row>
    <row r="83" spans="1:16" x14ac:dyDescent="0.25">
      <c r="A83" s="28"/>
      <c r="B83" s="4"/>
      <c r="C83" s="1"/>
      <c r="D83" s="1"/>
      <c r="E83" s="39"/>
      <c r="F83" s="2"/>
      <c r="G83" s="21" t="str">
        <f t="shared" si="3"/>
        <v/>
      </c>
      <c r="H83" s="17" t="str">
        <f>IF(B83="","",IF(B83="SK01",VLOOKUP(D83,Clientes!C:I,6,0),VLOOKUP(D83,Clientes!C:I,7,0)))</f>
        <v/>
      </c>
      <c r="I83" s="17" t="str">
        <f>IF(Table1[[#This Row],[Quantidade]]="","",Table1[[#This Row],[Quantidade]]*Table1[[#This Row],[Valor Unitário]])</f>
        <v/>
      </c>
      <c r="J83" s="18" t="str">
        <f>IF(H83="","",IF(B83="SK01",'Produto e Custo de Produção'!$H$2*Table1[[#This Row],[Quantidade]],'Produto e Custo de Produção'!$H$3*Table1[[#This Row],[Quantidade]]))</f>
        <v/>
      </c>
      <c r="K83" s="18" t="str">
        <f>IF(H83="","",IF(B83="SK01",'Produto e Custo de Produção'!$I$2*Table1[[#This Row],[Quantidade]],'Produto e Custo de Produção'!$I$2*Table1[[#This Row],[Quantidade]]))</f>
        <v/>
      </c>
      <c r="L83" s="18" t="str">
        <f t="shared" si="4"/>
        <v/>
      </c>
      <c r="M83" s="18" t="str">
        <f>IF(B83="","",Table1[[#This Row],[Total da Venda]]*0.06)</f>
        <v/>
      </c>
      <c r="N83" s="18"/>
      <c r="O83" s="25"/>
      <c r="P83" s="25"/>
    </row>
    <row r="84" spans="1:16" x14ac:dyDescent="0.25">
      <c r="A84" s="28"/>
      <c r="B84" s="4"/>
      <c r="C84" s="1"/>
      <c r="D84" s="1"/>
      <c r="E84" s="39"/>
      <c r="F84" s="2"/>
      <c r="G84" s="21" t="str">
        <f t="shared" si="3"/>
        <v/>
      </c>
      <c r="H84" s="17" t="str">
        <f>IF(B84="","",IF(B84="SK01",VLOOKUP(D84,Clientes!C:I,6,0),VLOOKUP(D84,Clientes!C:I,7,0)))</f>
        <v/>
      </c>
      <c r="I84" s="17" t="str">
        <f>IF(Table1[[#This Row],[Quantidade]]="","",Table1[[#This Row],[Quantidade]]*Table1[[#This Row],[Valor Unitário]])</f>
        <v/>
      </c>
      <c r="J84" s="18" t="str">
        <f>IF(H84="","",IF(B84="SK01",'Produto e Custo de Produção'!$H$2*Table1[[#This Row],[Quantidade]],'Produto e Custo de Produção'!$H$3*Table1[[#This Row],[Quantidade]]))</f>
        <v/>
      </c>
      <c r="K84" s="18" t="str">
        <f>IF(H84="","",IF(B84="SK01",'Produto e Custo de Produção'!$I$2*Table1[[#This Row],[Quantidade]],'Produto e Custo de Produção'!$I$2*Table1[[#This Row],[Quantidade]]))</f>
        <v/>
      </c>
      <c r="L84" s="18" t="str">
        <f t="shared" si="4"/>
        <v/>
      </c>
      <c r="M84" s="18" t="str">
        <f>IF(B84="","",Table1[[#This Row],[Total da Venda]]*0.06)</f>
        <v/>
      </c>
      <c r="N84" s="18"/>
      <c r="O84" s="25"/>
      <c r="P84" s="25"/>
    </row>
    <row r="85" spans="1:16" x14ac:dyDescent="0.25">
      <c r="A85" s="28"/>
      <c r="B85" s="4"/>
      <c r="C85" s="1"/>
      <c r="D85" s="1"/>
      <c r="E85" s="39"/>
      <c r="F85" s="2"/>
      <c r="G85" s="21" t="str">
        <f t="shared" si="3"/>
        <v/>
      </c>
      <c r="H85" s="17" t="str">
        <f>IF(B85="","",IF(B85="SK01",VLOOKUP(D85,Clientes!C:I,6,0),VLOOKUP(D85,Clientes!C:I,7,0)))</f>
        <v/>
      </c>
      <c r="I85" s="17" t="str">
        <f>IF(Table1[[#This Row],[Quantidade]]="","",Table1[[#This Row],[Quantidade]]*Table1[[#This Row],[Valor Unitário]])</f>
        <v/>
      </c>
      <c r="J85" s="18" t="str">
        <f>IF(H85="","",IF(B85="SK01",'Produto e Custo de Produção'!$H$2*Table1[[#This Row],[Quantidade]],'Produto e Custo de Produção'!$H$3*Table1[[#This Row],[Quantidade]]))</f>
        <v/>
      </c>
      <c r="K85" s="18" t="str">
        <f>IF(H85="","",IF(B85="SK01",'Produto e Custo de Produção'!$I$2*Table1[[#This Row],[Quantidade]],'Produto e Custo de Produção'!$I$2*Table1[[#This Row],[Quantidade]]))</f>
        <v/>
      </c>
      <c r="L85" s="18" t="str">
        <f t="shared" si="4"/>
        <v/>
      </c>
      <c r="M85" s="18" t="str">
        <f>IF(B85="","",Table1[[#This Row],[Total da Venda]]*0.06)</f>
        <v/>
      </c>
      <c r="N85" s="18"/>
      <c r="O85" s="25"/>
      <c r="P85" s="25"/>
    </row>
    <row r="86" spans="1:16" x14ac:dyDescent="0.25">
      <c r="A86" s="28"/>
      <c r="B86" s="4"/>
      <c r="C86" s="1"/>
      <c r="D86" s="1"/>
      <c r="E86" s="39"/>
      <c r="F86" s="2"/>
      <c r="G86" s="21" t="str">
        <f t="shared" si="3"/>
        <v/>
      </c>
      <c r="H86" s="17" t="str">
        <f>IF(B86="","",IF(B86="SK01",VLOOKUP(D86,Clientes!C:I,6,0),VLOOKUP(D86,Clientes!C:I,7,0)))</f>
        <v/>
      </c>
      <c r="I86" s="17" t="str">
        <f>IF(Table1[[#This Row],[Quantidade]]="","",Table1[[#This Row],[Quantidade]]*Table1[[#This Row],[Valor Unitário]])</f>
        <v/>
      </c>
      <c r="J86" s="18" t="str">
        <f>IF(H86="","",IF(B86="SK01",'Produto e Custo de Produção'!$H$2*Table1[[#This Row],[Quantidade]],'Produto e Custo de Produção'!$H$3*Table1[[#This Row],[Quantidade]]))</f>
        <v/>
      </c>
      <c r="K86" s="18" t="str">
        <f>IF(H86="","",IF(B86="SK01",'Produto e Custo de Produção'!$I$2*Table1[[#This Row],[Quantidade]],'Produto e Custo de Produção'!$I$2*Table1[[#This Row],[Quantidade]]))</f>
        <v/>
      </c>
      <c r="L86" s="18" t="str">
        <f t="shared" si="4"/>
        <v/>
      </c>
      <c r="M86" s="18" t="str">
        <f>IF(B86="","",Table1[[#This Row],[Total da Venda]]*0.06)</f>
        <v/>
      </c>
      <c r="N86" s="18"/>
      <c r="O86" s="25"/>
      <c r="P86" s="25"/>
    </row>
    <row r="87" spans="1:16" x14ac:dyDescent="0.25">
      <c r="A87" s="28"/>
      <c r="B87" s="4"/>
      <c r="C87" s="1"/>
      <c r="D87" s="1"/>
      <c r="E87" s="39"/>
      <c r="F87" s="2"/>
      <c r="G87" s="21" t="str">
        <f t="shared" si="3"/>
        <v/>
      </c>
      <c r="H87" s="17" t="str">
        <f>IF(B87="","",IF(B87="SK01",VLOOKUP(D87,Clientes!C:I,6,0),VLOOKUP(D87,Clientes!C:I,7,0)))</f>
        <v/>
      </c>
      <c r="I87" s="17" t="str">
        <f>IF(Table1[[#This Row],[Quantidade]]="","",Table1[[#This Row],[Quantidade]]*Table1[[#This Row],[Valor Unitário]])</f>
        <v/>
      </c>
      <c r="J87" s="18" t="str">
        <f>IF(H87="","",IF(B87="SK01",'Produto e Custo de Produção'!$H$2*Table1[[#This Row],[Quantidade]],'Produto e Custo de Produção'!$H$3*Table1[[#This Row],[Quantidade]]))</f>
        <v/>
      </c>
      <c r="K87" s="18" t="str">
        <f>IF(H87="","",IF(B87="SK01",'Produto e Custo de Produção'!$I$2*Table1[[#This Row],[Quantidade]],'Produto e Custo de Produção'!$I$2*Table1[[#This Row],[Quantidade]]))</f>
        <v/>
      </c>
      <c r="L87" s="18" t="str">
        <f t="shared" si="4"/>
        <v/>
      </c>
      <c r="M87" s="18" t="str">
        <f>IF(B87="","",Table1[[#This Row],[Total da Venda]]*0.06)</f>
        <v/>
      </c>
      <c r="N87" s="18"/>
      <c r="O87" s="25"/>
      <c r="P87" s="25"/>
    </row>
    <row r="88" spans="1:16" x14ac:dyDescent="0.25">
      <c r="A88" s="28"/>
      <c r="B88" s="4"/>
      <c r="C88" s="1"/>
      <c r="D88" s="1"/>
      <c r="E88" s="39"/>
      <c r="F88" s="2"/>
      <c r="G88" s="21" t="str">
        <f t="shared" si="3"/>
        <v/>
      </c>
      <c r="H88" s="17" t="str">
        <f>IF(B88="","",IF(B88="SK01",VLOOKUP(D88,Clientes!C:I,6,0),VLOOKUP(D88,Clientes!C:I,7,0)))</f>
        <v/>
      </c>
      <c r="I88" s="17" t="str">
        <f>IF(Table1[[#This Row],[Quantidade]]="","",Table1[[#This Row],[Quantidade]]*Table1[[#This Row],[Valor Unitário]])</f>
        <v/>
      </c>
      <c r="J88" s="18" t="str">
        <f>IF(H88="","",IF(B88="SK01",'Produto e Custo de Produção'!$H$2*Table1[[#This Row],[Quantidade]],'Produto e Custo de Produção'!$H$3*Table1[[#This Row],[Quantidade]]))</f>
        <v/>
      </c>
      <c r="K88" s="18" t="str">
        <f>IF(H88="","",IF(B88="SK01",'Produto e Custo de Produção'!$I$2*Table1[[#This Row],[Quantidade]],'Produto e Custo de Produção'!$I$2*Table1[[#This Row],[Quantidade]]))</f>
        <v/>
      </c>
      <c r="L88" s="18" t="str">
        <f t="shared" si="4"/>
        <v/>
      </c>
      <c r="M88" s="18" t="str">
        <f>IF(B88="","",Table1[[#This Row],[Total da Venda]]*0.06)</f>
        <v/>
      </c>
      <c r="N88" s="18"/>
      <c r="O88" s="25"/>
      <c r="P88" s="25"/>
    </row>
    <row r="89" spans="1:16" x14ac:dyDescent="0.25">
      <c r="A89" s="28"/>
      <c r="B89" s="4"/>
      <c r="C89" s="1"/>
      <c r="D89" s="1"/>
      <c r="E89" s="39"/>
      <c r="F89" s="2"/>
      <c r="G89" s="21" t="str">
        <f t="shared" si="3"/>
        <v/>
      </c>
      <c r="H89" s="17" t="str">
        <f>IF(B89="","",IF(B89="SK01",VLOOKUP(D89,Clientes!C:I,6,0),VLOOKUP(D89,Clientes!C:I,7,0)))</f>
        <v/>
      </c>
      <c r="I89" s="17" t="str">
        <f>IF(Table1[[#This Row],[Quantidade]]="","",Table1[[#This Row],[Quantidade]]*Table1[[#This Row],[Valor Unitário]])</f>
        <v/>
      </c>
      <c r="J89" s="18" t="str">
        <f>IF(H89="","",IF(B89="SK01",'Produto e Custo de Produção'!$H$2*Table1[[#This Row],[Quantidade]],'Produto e Custo de Produção'!$H$3*Table1[[#This Row],[Quantidade]]))</f>
        <v/>
      </c>
      <c r="K89" s="18" t="str">
        <f>IF(H89="","",IF(B89="SK01",'Produto e Custo de Produção'!$I$2*Table1[[#This Row],[Quantidade]],'Produto e Custo de Produção'!$I$2*Table1[[#This Row],[Quantidade]]))</f>
        <v/>
      </c>
      <c r="L89" s="18" t="str">
        <f t="shared" si="4"/>
        <v/>
      </c>
      <c r="M89" s="18" t="str">
        <f>IF(B89="","",Table1[[#This Row],[Total da Venda]]*0.06)</f>
        <v/>
      </c>
      <c r="N89" s="18"/>
      <c r="O89" s="25"/>
      <c r="P89" s="25"/>
    </row>
    <row r="90" spans="1:16" x14ac:dyDescent="0.25">
      <c r="A90" s="28"/>
      <c r="B90" s="4"/>
      <c r="C90" s="1"/>
      <c r="D90" s="1"/>
      <c r="E90" s="39"/>
      <c r="F90" s="2"/>
      <c r="G90" s="21" t="str">
        <f t="shared" si="3"/>
        <v/>
      </c>
      <c r="H90" s="17" t="str">
        <f>IF(B90="","",IF(B90="SK01",VLOOKUP(D90,Clientes!C:I,6,0),VLOOKUP(D90,Clientes!C:I,7,0)))</f>
        <v/>
      </c>
      <c r="I90" s="17" t="str">
        <f>IF(Table1[[#This Row],[Quantidade]]="","",Table1[[#This Row],[Quantidade]]*Table1[[#This Row],[Valor Unitário]])</f>
        <v/>
      </c>
      <c r="J90" s="18" t="str">
        <f>IF(H90="","",IF(B90="SK01",'Produto e Custo de Produção'!$H$2*Table1[[#This Row],[Quantidade]],'Produto e Custo de Produção'!$H$3*Table1[[#This Row],[Quantidade]]))</f>
        <v/>
      </c>
      <c r="K90" s="18" t="str">
        <f>IF(H90="","",IF(B90="SK01",'Produto e Custo de Produção'!$I$2*Table1[[#This Row],[Quantidade]],'Produto e Custo de Produção'!$I$2*Table1[[#This Row],[Quantidade]]))</f>
        <v/>
      </c>
      <c r="L90" s="18" t="str">
        <f t="shared" si="4"/>
        <v/>
      </c>
      <c r="M90" s="18" t="str">
        <f>IF(B90="","",Table1[[#This Row],[Total da Venda]]*0.06)</f>
        <v/>
      </c>
      <c r="N90" s="18"/>
      <c r="O90" s="25"/>
      <c r="P90" s="25"/>
    </row>
    <row r="91" spans="1:16" x14ac:dyDescent="0.25">
      <c r="A91" s="28"/>
      <c r="B91" s="4"/>
      <c r="C91" s="1"/>
      <c r="D91" s="1"/>
      <c r="E91" s="39"/>
      <c r="F91" s="2"/>
      <c r="G91" s="21" t="str">
        <f t="shared" si="3"/>
        <v/>
      </c>
      <c r="H91" s="17" t="str">
        <f>IF(B91="","",IF(B91="SK01",VLOOKUP(D91,Clientes!C:I,6,0),VLOOKUP(D91,Clientes!C:I,7,0)))</f>
        <v/>
      </c>
      <c r="I91" s="17" t="str">
        <f>IF(Table1[[#This Row],[Quantidade]]="","",Table1[[#This Row],[Quantidade]]*Table1[[#This Row],[Valor Unitário]])</f>
        <v/>
      </c>
      <c r="J91" s="18" t="str">
        <f>IF(H91="","",IF(B91="SK01",'Produto e Custo de Produção'!$H$2*Table1[[#This Row],[Quantidade]],'Produto e Custo de Produção'!$H$3*Table1[[#This Row],[Quantidade]]))</f>
        <v/>
      </c>
      <c r="K91" s="18" t="str">
        <f>IF(H91="","",IF(B91="SK01",'Produto e Custo de Produção'!$I$2*Table1[[#This Row],[Quantidade]],'Produto e Custo de Produção'!$I$2*Table1[[#This Row],[Quantidade]]))</f>
        <v/>
      </c>
      <c r="L91" s="18" t="str">
        <f t="shared" si="4"/>
        <v/>
      </c>
      <c r="M91" s="18" t="str">
        <f>IF(B91="","",Table1[[#This Row],[Total da Venda]]*0.06)</f>
        <v/>
      </c>
      <c r="N91" s="18"/>
      <c r="O91" s="25"/>
      <c r="P91" s="25"/>
    </row>
    <row r="92" spans="1:16" x14ac:dyDescent="0.25">
      <c r="A92" s="28"/>
      <c r="B92" s="4"/>
      <c r="C92" s="1"/>
      <c r="D92" s="1"/>
      <c r="E92" s="39"/>
      <c r="F92" s="2"/>
      <c r="G92" s="21" t="str">
        <f t="shared" si="3"/>
        <v/>
      </c>
      <c r="H92" s="17" t="str">
        <f>IF(B92="","",IF(B92="SK01",VLOOKUP(D92,Clientes!C:I,6,0),VLOOKUP(D92,Clientes!C:I,7,0)))</f>
        <v/>
      </c>
      <c r="I92" s="17" t="str">
        <f>IF(Table1[[#This Row],[Quantidade]]="","",Table1[[#This Row],[Quantidade]]*Table1[[#This Row],[Valor Unitário]])</f>
        <v/>
      </c>
      <c r="J92" s="18" t="str">
        <f>IF(H92="","",IF(B92="SK01",'Produto e Custo de Produção'!$H$2*Table1[[#This Row],[Quantidade]],'Produto e Custo de Produção'!$H$3*Table1[[#This Row],[Quantidade]]))</f>
        <v/>
      </c>
      <c r="K92" s="18" t="str">
        <f>IF(H92="","",IF(B92="SK01",'Produto e Custo de Produção'!$I$2*Table1[[#This Row],[Quantidade]],'Produto e Custo de Produção'!$I$2*Table1[[#This Row],[Quantidade]]))</f>
        <v/>
      </c>
      <c r="L92" s="18" t="str">
        <f t="shared" si="4"/>
        <v/>
      </c>
      <c r="M92" s="18" t="str">
        <f>IF(B92="","",Table1[[#This Row],[Total da Venda]]*0.06)</f>
        <v/>
      </c>
      <c r="N92" s="18"/>
      <c r="O92" s="25"/>
      <c r="P92" s="25"/>
    </row>
    <row r="93" spans="1:16" x14ac:dyDescent="0.25">
      <c r="A93" s="28"/>
      <c r="B93" s="4"/>
      <c r="C93" s="1"/>
      <c r="D93" s="1"/>
      <c r="E93" s="39"/>
      <c r="F93" s="2"/>
      <c r="G93" s="21" t="str">
        <f t="shared" si="3"/>
        <v/>
      </c>
      <c r="H93" s="17" t="str">
        <f>IF(B93="","",IF(B93="SK01",VLOOKUP(D93,Clientes!C:I,6,0),VLOOKUP(D93,Clientes!C:I,7,0)))</f>
        <v/>
      </c>
      <c r="I93" s="17" t="str">
        <f>IF(Table1[[#This Row],[Quantidade]]="","",Table1[[#This Row],[Quantidade]]*Table1[[#This Row],[Valor Unitário]])</f>
        <v/>
      </c>
      <c r="J93" s="18" t="str">
        <f>IF(H93="","",IF(B93="SK01",'Produto e Custo de Produção'!$H$2*Table1[[#This Row],[Quantidade]],'Produto e Custo de Produção'!$H$3*Table1[[#This Row],[Quantidade]]))</f>
        <v/>
      </c>
      <c r="K93" s="18" t="str">
        <f>IF(H93="","",IF(B93="SK01",'Produto e Custo de Produção'!$I$2*Table1[[#This Row],[Quantidade]],'Produto e Custo de Produção'!$I$2*Table1[[#This Row],[Quantidade]]))</f>
        <v/>
      </c>
      <c r="L93" s="18" t="str">
        <f t="shared" si="4"/>
        <v/>
      </c>
      <c r="M93" s="18" t="str">
        <f>IF(B93="","",Table1[[#This Row],[Total da Venda]]*0.06)</f>
        <v/>
      </c>
      <c r="N93" s="18"/>
      <c r="O93" s="25"/>
      <c r="P93" s="25"/>
    </row>
    <row r="94" spans="1:16" x14ac:dyDescent="0.25">
      <c r="A94" s="28"/>
      <c r="B94" s="4"/>
      <c r="C94" s="1"/>
      <c r="D94" s="1"/>
      <c r="E94" s="39"/>
      <c r="F94" s="2"/>
      <c r="G94" s="21" t="str">
        <f t="shared" si="3"/>
        <v/>
      </c>
      <c r="H94" s="17" t="str">
        <f>IF(B94="","",IF(B94="SK01",VLOOKUP(D94,Clientes!C:I,6,0),VLOOKUP(D94,Clientes!C:I,7,0)))</f>
        <v/>
      </c>
      <c r="I94" s="17" t="str">
        <f>IF(Table1[[#This Row],[Quantidade]]="","",Table1[[#This Row],[Quantidade]]*Table1[[#This Row],[Valor Unitário]])</f>
        <v/>
      </c>
      <c r="J94" s="18" t="str">
        <f>IF(H94="","",IF(B94="SK01",'Produto e Custo de Produção'!$H$2*Table1[[#This Row],[Quantidade]],'Produto e Custo de Produção'!$H$3*Table1[[#This Row],[Quantidade]]))</f>
        <v/>
      </c>
      <c r="K94" s="18" t="str">
        <f>IF(H94="","",IF(B94="SK01",'Produto e Custo de Produção'!$I$2*Table1[[#This Row],[Quantidade]],'Produto e Custo de Produção'!$I$2*Table1[[#This Row],[Quantidade]]))</f>
        <v/>
      </c>
      <c r="L94" s="18" t="str">
        <f t="shared" si="4"/>
        <v/>
      </c>
      <c r="M94" s="18" t="str">
        <f>IF(B94="","",Table1[[#This Row],[Total da Venda]]*0.06)</f>
        <v/>
      </c>
      <c r="N94" s="18"/>
      <c r="O94" s="25"/>
      <c r="P94" s="25"/>
    </row>
    <row r="95" spans="1:16" x14ac:dyDescent="0.25">
      <c r="A95" s="28"/>
      <c r="B95" s="4"/>
      <c r="C95" s="1"/>
      <c r="D95" s="1"/>
      <c r="E95" s="39"/>
      <c r="F95" s="2"/>
      <c r="G95" s="21" t="str">
        <f t="shared" si="3"/>
        <v/>
      </c>
      <c r="H95" s="17" t="str">
        <f>IF(B95="","",IF(B95="SK01",VLOOKUP(D95,Clientes!C:I,6,0),VLOOKUP(D95,Clientes!C:I,7,0)))</f>
        <v/>
      </c>
      <c r="I95" s="17" t="str">
        <f>IF(Table1[[#This Row],[Quantidade]]="","",Table1[[#This Row],[Quantidade]]*Table1[[#This Row],[Valor Unitário]])</f>
        <v/>
      </c>
      <c r="J95" s="18" t="str">
        <f>IF(H95="","",IF(B95="SK01",'Produto e Custo de Produção'!$H$2*Table1[[#This Row],[Quantidade]],'Produto e Custo de Produção'!$H$3*Table1[[#This Row],[Quantidade]]))</f>
        <v/>
      </c>
      <c r="K95" s="18" t="str">
        <f>IF(H95="","",IF(B95="SK01",'Produto e Custo de Produção'!$I$2*Table1[[#This Row],[Quantidade]],'Produto e Custo de Produção'!$I$2*Table1[[#This Row],[Quantidade]]))</f>
        <v/>
      </c>
      <c r="L95" s="18" t="str">
        <f t="shared" si="4"/>
        <v/>
      </c>
      <c r="M95" s="18" t="str">
        <f>IF(B95="","",Table1[[#This Row],[Total da Venda]]*0.06)</f>
        <v/>
      </c>
      <c r="N95" s="18"/>
      <c r="O95" s="25"/>
      <c r="P95" s="25"/>
    </row>
    <row r="96" spans="1:16" x14ac:dyDescent="0.25">
      <c r="A96" s="28"/>
      <c r="B96" s="4"/>
      <c r="C96" s="1"/>
      <c r="D96" s="1"/>
      <c r="E96" s="39"/>
      <c r="F96" s="2"/>
      <c r="G96" s="21" t="str">
        <f t="shared" si="3"/>
        <v/>
      </c>
      <c r="H96" s="17" t="str">
        <f>IF(B96="","",IF(B96="SK01",VLOOKUP(D96,Clientes!C:I,6,0),VLOOKUP(D96,Clientes!C:I,7,0)))</f>
        <v/>
      </c>
      <c r="I96" s="17" t="str">
        <f>IF(Table1[[#This Row],[Quantidade]]="","",Table1[[#This Row],[Quantidade]]*Table1[[#This Row],[Valor Unitário]])</f>
        <v/>
      </c>
      <c r="J96" s="18" t="str">
        <f>IF(H96="","",IF(B96="SK01",'Produto e Custo de Produção'!$H$2*Table1[[#This Row],[Quantidade]],'Produto e Custo de Produção'!$H$3*Table1[[#This Row],[Quantidade]]))</f>
        <v/>
      </c>
      <c r="K96" s="18" t="str">
        <f>IF(H96="","",IF(B96="SK01",'Produto e Custo de Produção'!$I$2*Table1[[#This Row],[Quantidade]],'Produto e Custo de Produção'!$I$2*Table1[[#This Row],[Quantidade]]))</f>
        <v/>
      </c>
      <c r="L96" s="18" t="str">
        <f t="shared" si="4"/>
        <v/>
      </c>
      <c r="M96" s="18" t="str">
        <f>IF(B96="","",Table1[[#This Row],[Total da Venda]]*0.06)</f>
        <v/>
      </c>
      <c r="N96" s="18"/>
      <c r="O96" s="25"/>
      <c r="P96" s="25"/>
    </row>
    <row r="97" spans="1:16" x14ac:dyDescent="0.25">
      <c r="A97" s="28"/>
      <c r="B97" s="4"/>
      <c r="C97" s="1"/>
      <c r="D97" s="1"/>
      <c r="E97" s="39"/>
      <c r="F97" s="2"/>
      <c r="G97" s="21" t="str">
        <f t="shared" si="3"/>
        <v/>
      </c>
      <c r="H97" s="17" t="str">
        <f>IF(B97="","",IF(B97="SK01",VLOOKUP(D97,Clientes!C:I,6,0),VLOOKUP(D97,Clientes!C:I,7,0)))</f>
        <v/>
      </c>
      <c r="I97" s="17" t="str">
        <f>IF(Table1[[#This Row],[Quantidade]]="","",Table1[[#This Row],[Quantidade]]*Table1[[#This Row],[Valor Unitário]])</f>
        <v/>
      </c>
      <c r="J97" s="18" t="str">
        <f>IF(H97="","",IF(B97="SK01",'Produto e Custo de Produção'!$H$2*Table1[[#This Row],[Quantidade]],'Produto e Custo de Produção'!$H$3*Table1[[#This Row],[Quantidade]]))</f>
        <v/>
      </c>
      <c r="K97" s="18" t="str">
        <f>IF(H97="","",IF(B97="SK01",'Produto e Custo de Produção'!$I$2*Table1[[#This Row],[Quantidade]],'Produto e Custo de Produção'!$I$2*Table1[[#This Row],[Quantidade]]))</f>
        <v/>
      </c>
      <c r="L97" s="18" t="str">
        <f t="shared" si="4"/>
        <v/>
      </c>
      <c r="M97" s="18" t="str">
        <f>IF(B97="","",Table1[[#This Row],[Total da Venda]]*0.06)</f>
        <v/>
      </c>
      <c r="N97" s="18"/>
      <c r="O97" s="25"/>
      <c r="P97" s="25"/>
    </row>
    <row r="98" spans="1:16" x14ac:dyDescent="0.25">
      <c r="A98" s="28"/>
      <c r="B98" s="4"/>
      <c r="C98" s="1"/>
      <c r="D98" s="1"/>
      <c r="E98" s="39"/>
      <c r="F98" s="2"/>
      <c r="G98" s="21" t="str">
        <f t="shared" si="3"/>
        <v/>
      </c>
      <c r="H98" s="17" t="str">
        <f>IF(B98="","",IF(B98="SK01",VLOOKUP(D98,Clientes!C:I,6,0),VLOOKUP(D98,Clientes!C:I,7,0)))</f>
        <v/>
      </c>
      <c r="I98" s="17" t="str">
        <f>IF(Table1[[#This Row],[Quantidade]]="","",Table1[[#This Row],[Quantidade]]*Table1[[#This Row],[Valor Unitário]])</f>
        <v/>
      </c>
      <c r="J98" s="18" t="str">
        <f>IF(H98="","",IF(B98="SK01",'Produto e Custo de Produção'!$H$2*Table1[[#This Row],[Quantidade]],'Produto e Custo de Produção'!$H$3*Table1[[#This Row],[Quantidade]]))</f>
        <v/>
      </c>
      <c r="K98" s="18" t="str">
        <f>IF(H98="","",IF(B98="SK01",'Produto e Custo de Produção'!$I$2*Table1[[#This Row],[Quantidade]],'Produto e Custo de Produção'!$I$2*Table1[[#This Row],[Quantidade]]))</f>
        <v/>
      </c>
      <c r="L98" s="18" t="str">
        <f t="shared" si="4"/>
        <v/>
      </c>
      <c r="M98" s="18" t="str">
        <f>IF(B98="","",Table1[[#This Row],[Total da Venda]]*0.06)</f>
        <v/>
      </c>
      <c r="N98" s="18"/>
      <c r="O98" s="25"/>
      <c r="P98" s="25"/>
    </row>
    <row r="99" spans="1:16" x14ac:dyDescent="0.25">
      <c r="A99" s="28"/>
      <c r="B99" s="4"/>
      <c r="C99" s="1"/>
      <c r="D99" s="1"/>
      <c r="E99" s="39"/>
      <c r="F99" s="2"/>
      <c r="G99" s="21" t="str">
        <f t="shared" si="3"/>
        <v/>
      </c>
      <c r="H99" s="17" t="str">
        <f>IF(B99="","",IF(B99="SK01",VLOOKUP(D99,Clientes!C:I,6,0),VLOOKUP(D99,Clientes!C:I,7,0)))</f>
        <v/>
      </c>
      <c r="I99" s="17" t="str">
        <f>IF(Table1[[#This Row],[Quantidade]]="","",Table1[[#This Row],[Quantidade]]*Table1[[#This Row],[Valor Unitário]])</f>
        <v/>
      </c>
      <c r="J99" s="18" t="str">
        <f>IF(H99="","",IF(B99="SK01",'Produto e Custo de Produção'!$H$2*Table1[[#This Row],[Quantidade]],'Produto e Custo de Produção'!$H$3*Table1[[#This Row],[Quantidade]]))</f>
        <v/>
      </c>
      <c r="K99" s="18" t="str">
        <f>IF(H99="","",IF(B99="SK01",'Produto e Custo de Produção'!$I$2*Table1[[#This Row],[Quantidade]],'Produto e Custo de Produção'!$I$2*Table1[[#This Row],[Quantidade]]))</f>
        <v/>
      </c>
      <c r="L99" s="18" t="str">
        <f t="shared" si="4"/>
        <v/>
      </c>
      <c r="M99" s="18" t="str">
        <f>IF(B99="","",Table1[[#This Row],[Total da Venda]]*0.06)</f>
        <v/>
      </c>
      <c r="N99" s="18"/>
      <c r="O99" s="25"/>
      <c r="P99" s="25"/>
    </row>
    <row r="100" spans="1:16" x14ac:dyDescent="0.25">
      <c r="A100" s="28"/>
      <c r="B100" s="4"/>
      <c r="C100" s="1"/>
      <c r="D100" s="1"/>
      <c r="E100" s="39"/>
      <c r="F100" s="2"/>
      <c r="G100" s="21" t="str">
        <f t="shared" si="3"/>
        <v/>
      </c>
      <c r="H100" s="17" t="str">
        <f>IF(B100="","",IF(B100="SK01",VLOOKUP(D100,Clientes!C:I,6,0),VLOOKUP(D100,Clientes!C:I,7,0)))</f>
        <v/>
      </c>
      <c r="I100" s="17" t="str">
        <f>IF(Table1[[#This Row],[Quantidade]]="","",Table1[[#This Row],[Quantidade]]*Table1[[#This Row],[Valor Unitário]])</f>
        <v/>
      </c>
      <c r="J100" s="18" t="str">
        <f>IF(H100="","",IF(B100="SK01",'Produto e Custo de Produção'!$H$2*Table1[[#This Row],[Quantidade]],'Produto e Custo de Produção'!$H$3*Table1[[#This Row],[Quantidade]]))</f>
        <v/>
      </c>
      <c r="K100" s="18" t="str">
        <f>IF(H100="","",IF(B100="SK01",'Produto e Custo de Produção'!$I$2*Table1[[#This Row],[Quantidade]],'Produto e Custo de Produção'!$I$2*Table1[[#This Row],[Quantidade]]))</f>
        <v/>
      </c>
      <c r="L100" s="18" t="str">
        <f t="shared" si="4"/>
        <v/>
      </c>
      <c r="M100" s="18" t="str">
        <f>IF(B100="","",Table1[[#This Row],[Total da Venda]]*0.06)</f>
        <v/>
      </c>
      <c r="N100" s="18"/>
      <c r="O100" s="25"/>
      <c r="P100" s="25"/>
    </row>
    <row r="101" spans="1:16" x14ac:dyDescent="0.25">
      <c r="A101" s="28"/>
      <c r="B101" s="4"/>
      <c r="C101" s="1"/>
      <c r="D101" s="1"/>
      <c r="E101" s="39"/>
      <c r="F101" s="2"/>
      <c r="G101" s="21" t="str">
        <f t="shared" si="3"/>
        <v/>
      </c>
      <c r="H101" s="17" t="str">
        <f>IF(B101="","",IF(B101="SK01",VLOOKUP(D101,Clientes!C:I,6,0),VLOOKUP(D101,Clientes!C:I,7,0)))</f>
        <v/>
      </c>
      <c r="I101" s="17" t="str">
        <f>IF(Table1[[#This Row],[Quantidade]]="","",Table1[[#This Row],[Quantidade]]*Table1[[#This Row],[Valor Unitário]])</f>
        <v/>
      </c>
      <c r="J101" s="18" t="str">
        <f>IF(H101="","",IF(B101="SK01",'Produto e Custo de Produção'!$H$2*Table1[[#This Row],[Quantidade]],'Produto e Custo de Produção'!$H$3*Table1[[#This Row],[Quantidade]]))</f>
        <v/>
      </c>
      <c r="K101" s="18" t="str">
        <f>IF(H101="","",IF(B101="SK01",'Produto e Custo de Produção'!$I$2*Table1[[#This Row],[Quantidade]],'Produto e Custo de Produção'!$I$2*Table1[[#This Row],[Quantidade]]))</f>
        <v/>
      </c>
      <c r="L101" s="18" t="str">
        <f t="shared" si="4"/>
        <v/>
      </c>
      <c r="M101" s="18" t="str">
        <f>IF(B101="","",Table1[[#This Row],[Total da Venda]]*0.06)</f>
        <v/>
      </c>
      <c r="N101" s="18"/>
      <c r="O101" s="25"/>
      <c r="P101" s="25"/>
    </row>
    <row r="102" spans="1:16" x14ac:dyDescent="0.25">
      <c r="A102" s="28"/>
      <c r="B102" s="4"/>
      <c r="C102" s="1"/>
      <c r="D102" s="1"/>
      <c r="E102" s="39"/>
      <c r="F102" s="2"/>
      <c r="G102" s="21" t="str">
        <f t="shared" si="3"/>
        <v/>
      </c>
      <c r="H102" s="17" t="str">
        <f>IF(B102="","",IF(B102="SK01",VLOOKUP(D102,Clientes!C:I,6,0),VLOOKUP(D102,Clientes!C:I,7,0)))</f>
        <v/>
      </c>
      <c r="I102" s="17" t="str">
        <f>IF(Table1[[#This Row],[Quantidade]]="","",Table1[[#This Row],[Quantidade]]*Table1[[#This Row],[Valor Unitário]])</f>
        <v/>
      </c>
      <c r="J102" s="18" t="str">
        <f>IF(H102="","",IF(B102="SK01",'Produto e Custo de Produção'!$H$2*Table1[[#This Row],[Quantidade]],'Produto e Custo de Produção'!$H$3*Table1[[#This Row],[Quantidade]]))</f>
        <v/>
      </c>
      <c r="K102" s="18" t="str">
        <f>IF(H102="","",IF(B102="SK01",'Produto e Custo de Produção'!$I$2*Table1[[#This Row],[Quantidade]],'Produto e Custo de Produção'!$I$2*Table1[[#This Row],[Quantidade]]))</f>
        <v/>
      </c>
      <c r="L102" s="18" t="str">
        <f t="shared" si="4"/>
        <v/>
      </c>
      <c r="M102" s="18" t="str">
        <f>IF(B102="","",Table1[[#This Row],[Total da Venda]]*0.06)</f>
        <v/>
      </c>
      <c r="N102" s="18"/>
      <c r="O102" s="25"/>
      <c r="P102" s="25"/>
    </row>
    <row r="103" spans="1:16" x14ac:dyDescent="0.25">
      <c r="A103" s="28"/>
      <c r="B103" s="4"/>
      <c r="C103" s="1"/>
      <c r="D103" s="1"/>
      <c r="E103" s="39"/>
      <c r="F103" s="2"/>
      <c r="G103" s="21" t="str">
        <f t="shared" si="3"/>
        <v/>
      </c>
      <c r="H103" s="17" t="str">
        <f>IF(B103="","",IF(B103="SK01",VLOOKUP(D103,Clientes!C:I,6,0),VLOOKUP(D103,Clientes!C:I,7,0)))</f>
        <v/>
      </c>
      <c r="I103" s="17" t="str">
        <f>IF(Table1[[#This Row],[Quantidade]]="","",Table1[[#This Row],[Quantidade]]*Table1[[#This Row],[Valor Unitário]])</f>
        <v/>
      </c>
      <c r="J103" s="18" t="str">
        <f>IF(H103="","",IF(B103="SK01",'Produto e Custo de Produção'!$H$2*Table1[[#This Row],[Quantidade]],'Produto e Custo de Produção'!$H$3*Table1[[#This Row],[Quantidade]]))</f>
        <v/>
      </c>
      <c r="K103" s="18" t="str">
        <f>IF(H103="","",IF(B103="SK01",'Produto e Custo de Produção'!$I$2*Table1[[#This Row],[Quantidade]],'Produto e Custo de Produção'!$I$2*Table1[[#This Row],[Quantidade]]))</f>
        <v/>
      </c>
      <c r="L103" s="18" t="str">
        <f t="shared" si="4"/>
        <v/>
      </c>
      <c r="M103" s="18" t="str">
        <f>IF(B103="","",Table1[[#This Row],[Total da Venda]]*0.06)</f>
        <v/>
      </c>
      <c r="N103" s="18"/>
      <c r="O103" s="25"/>
      <c r="P103" s="25"/>
    </row>
    <row r="104" spans="1:16" x14ac:dyDescent="0.25">
      <c r="A104" s="28"/>
      <c r="B104" s="4"/>
      <c r="C104" s="1"/>
      <c r="D104" s="1"/>
      <c r="E104" s="39"/>
      <c r="F104" s="2"/>
      <c r="G104" s="21" t="str">
        <f t="shared" si="3"/>
        <v/>
      </c>
      <c r="H104" s="17" t="str">
        <f>IF(B104="","",IF(B104="SK01",VLOOKUP(D104,Clientes!C:I,6,0),VLOOKUP(D104,Clientes!C:I,7,0)))</f>
        <v/>
      </c>
      <c r="I104" s="17" t="str">
        <f>IF(Table1[[#This Row],[Quantidade]]="","",Table1[[#This Row],[Quantidade]]*Table1[[#This Row],[Valor Unitário]])</f>
        <v/>
      </c>
      <c r="J104" s="18" t="str">
        <f>IF(H104="","",IF(B104="SK01",'Produto e Custo de Produção'!$H$2*Table1[[#This Row],[Quantidade]],'Produto e Custo de Produção'!$H$3*Table1[[#This Row],[Quantidade]]))</f>
        <v/>
      </c>
      <c r="K104" s="18" t="str">
        <f>IF(H104="","",IF(B104="SK01",'Produto e Custo de Produção'!$I$2*Table1[[#This Row],[Quantidade]],'Produto e Custo de Produção'!$I$2*Table1[[#This Row],[Quantidade]]))</f>
        <v/>
      </c>
      <c r="L104" s="18" t="str">
        <f t="shared" si="4"/>
        <v/>
      </c>
      <c r="M104" s="18" t="str">
        <f>IF(B104="","",Table1[[#This Row],[Total da Venda]]*0.06)</f>
        <v/>
      </c>
      <c r="N104" s="18"/>
      <c r="O104" s="25"/>
      <c r="P104" s="25"/>
    </row>
    <row r="105" spans="1:16" x14ac:dyDescent="0.25">
      <c r="A105" s="28"/>
      <c r="B105" s="4"/>
      <c r="C105" s="1"/>
      <c r="D105" s="1"/>
      <c r="E105" s="39"/>
      <c r="F105" s="2"/>
      <c r="G105" s="21" t="str">
        <f t="shared" si="3"/>
        <v/>
      </c>
      <c r="H105" s="17" t="str">
        <f>IF(B105="","",IF(B105="SK01",VLOOKUP(D105,Clientes!C:I,6,0),VLOOKUP(D105,Clientes!C:I,7,0)))</f>
        <v/>
      </c>
      <c r="I105" s="17" t="str">
        <f>IF(Table1[[#This Row],[Quantidade]]="","",Table1[[#This Row],[Quantidade]]*Table1[[#This Row],[Valor Unitário]])</f>
        <v/>
      </c>
      <c r="J105" s="18" t="str">
        <f>IF(H105="","",IF(B105="SK01",'Produto e Custo de Produção'!$H$2*Table1[[#This Row],[Quantidade]],'Produto e Custo de Produção'!$H$3*Table1[[#This Row],[Quantidade]]))</f>
        <v/>
      </c>
      <c r="K105" s="18" t="str">
        <f>IF(H105="","",IF(B105="SK01",'Produto e Custo de Produção'!$I$2*Table1[[#This Row],[Quantidade]],'Produto e Custo de Produção'!$I$2*Table1[[#This Row],[Quantidade]]))</f>
        <v/>
      </c>
      <c r="L105" s="18" t="str">
        <f t="shared" si="4"/>
        <v/>
      </c>
      <c r="M105" s="18" t="str">
        <f>IF(B105="","",Table1[[#This Row],[Total da Venda]]*0.06)</f>
        <v/>
      </c>
      <c r="N105" s="18"/>
      <c r="O105" s="25"/>
      <c r="P105" s="25"/>
    </row>
    <row r="106" spans="1:16" x14ac:dyDescent="0.25">
      <c r="A106" s="28"/>
      <c r="B106" s="4"/>
      <c r="C106" s="1"/>
      <c r="D106" s="1"/>
      <c r="E106" s="39"/>
      <c r="F106" s="2"/>
      <c r="G106" s="21" t="str">
        <f t="shared" si="3"/>
        <v/>
      </c>
      <c r="H106" s="17" t="str">
        <f>IF(B106="","",IF(B106="SK01",VLOOKUP(D106,Clientes!C:I,6,0),VLOOKUP(D106,Clientes!C:I,7,0)))</f>
        <v/>
      </c>
      <c r="I106" s="17" t="str">
        <f>IF(Table1[[#This Row],[Quantidade]]="","",Table1[[#This Row],[Quantidade]]*Table1[[#This Row],[Valor Unitário]])</f>
        <v/>
      </c>
      <c r="J106" s="18" t="str">
        <f>IF(H106="","",IF(B106="SK01",'Produto e Custo de Produção'!$H$2*Table1[[#This Row],[Quantidade]],'Produto e Custo de Produção'!$H$3*Table1[[#This Row],[Quantidade]]))</f>
        <v/>
      </c>
      <c r="K106" s="18" t="str">
        <f>IF(H106="","",IF(B106="SK01",'Produto e Custo de Produção'!$I$2*Table1[[#This Row],[Quantidade]],'Produto e Custo de Produção'!$I$2*Table1[[#This Row],[Quantidade]]))</f>
        <v/>
      </c>
      <c r="L106" s="18" t="str">
        <f t="shared" si="4"/>
        <v/>
      </c>
      <c r="M106" s="18" t="str">
        <f>IF(B106="","",Table1[[#This Row],[Total da Venda]]*0.06)</f>
        <v/>
      </c>
      <c r="N106" s="18"/>
      <c r="O106" s="25"/>
      <c r="P106" s="25"/>
    </row>
    <row r="107" spans="1:16" x14ac:dyDescent="0.25">
      <c r="A107" s="28"/>
      <c r="B107" s="4"/>
      <c r="C107" s="1"/>
      <c r="D107" s="1"/>
      <c r="E107" s="39"/>
      <c r="F107" s="2"/>
      <c r="G107" s="21" t="str">
        <f t="shared" si="3"/>
        <v/>
      </c>
      <c r="H107" s="17" t="str">
        <f>IF(B107="","",IF(B107="SK01",VLOOKUP(D107,Clientes!C:I,6,0),VLOOKUP(D107,Clientes!C:I,7,0)))</f>
        <v/>
      </c>
      <c r="I107" s="17" t="str">
        <f>IF(Table1[[#This Row],[Quantidade]]="","",Table1[[#This Row],[Quantidade]]*Table1[[#This Row],[Valor Unitário]])</f>
        <v/>
      </c>
      <c r="J107" s="18" t="str">
        <f>IF(H107="","",IF(B107="SK01",'Produto e Custo de Produção'!$H$2*Table1[[#This Row],[Quantidade]],'Produto e Custo de Produção'!$H$3*Table1[[#This Row],[Quantidade]]))</f>
        <v/>
      </c>
      <c r="K107" s="18" t="str">
        <f>IF(H107="","",IF(B107="SK01",'Produto e Custo de Produção'!$I$2*Table1[[#This Row],[Quantidade]],'Produto e Custo de Produção'!$I$2*Table1[[#This Row],[Quantidade]]))</f>
        <v/>
      </c>
      <c r="L107" s="18" t="str">
        <f t="shared" si="4"/>
        <v/>
      </c>
      <c r="M107" s="18" t="str">
        <f>IF(B107="","",Table1[[#This Row],[Total da Venda]]*0.06)</f>
        <v/>
      </c>
      <c r="N107" s="18"/>
      <c r="O107" s="25"/>
      <c r="P107" s="25"/>
    </row>
    <row r="108" spans="1:16" x14ac:dyDescent="0.25">
      <c r="A108" s="28"/>
      <c r="B108" s="4"/>
      <c r="C108" s="1"/>
      <c r="D108" s="1"/>
      <c r="E108" s="39"/>
      <c r="F108" s="2"/>
      <c r="G108" s="21" t="str">
        <f t="shared" si="3"/>
        <v/>
      </c>
      <c r="H108" s="17" t="str">
        <f>IF(B108="","",IF(B108="SK01",VLOOKUP(D108,Clientes!C:I,6,0),VLOOKUP(D108,Clientes!C:I,7,0)))</f>
        <v/>
      </c>
      <c r="I108" s="17" t="str">
        <f>IF(Table1[[#This Row],[Quantidade]]="","",Table1[[#This Row],[Quantidade]]*Table1[[#This Row],[Valor Unitário]])</f>
        <v/>
      </c>
      <c r="J108" s="18" t="str">
        <f>IF(H108="","",IF(B108="SK01",'Produto e Custo de Produção'!$H$2*Table1[[#This Row],[Quantidade]],'Produto e Custo de Produção'!$H$3*Table1[[#This Row],[Quantidade]]))</f>
        <v/>
      </c>
      <c r="K108" s="18" t="str">
        <f>IF(H108="","",IF(B108="SK01",'Produto e Custo de Produção'!$I$2*Table1[[#This Row],[Quantidade]],'Produto e Custo de Produção'!$I$2*Table1[[#This Row],[Quantidade]]))</f>
        <v/>
      </c>
      <c r="L108" s="18" t="str">
        <f t="shared" si="4"/>
        <v/>
      </c>
      <c r="M108" s="18" t="str">
        <f>IF(B108="","",Table1[[#This Row],[Total da Venda]]*0.06)</f>
        <v/>
      </c>
      <c r="N108" s="18"/>
      <c r="O108" s="25"/>
      <c r="P108" s="25"/>
    </row>
    <row r="109" spans="1:16" x14ac:dyDescent="0.25">
      <c r="A109" s="28"/>
      <c r="B109" s="4"/>
      <c r="C109" s="1"/>
      <c r="D109" s="1"/>
      <c r="E109" s="39"/>
      <c r="F109" s="2"/>
      <c r="G109" s="21" t="str">
        <f t="shared" si="3"/>
        <v/>
      </c>
      <c r="H109" s="17" t="str">
        <f>IF(B109="","",IF(B109="SK01",VLOOKUP(D109,Clientes!C:I,6,0),VLOOKUP(D109,Clientes!C:I,7,0)))</f>
        <v/>
      </c>
      <c r="I109" s="17" t="str">
        <f>IF(Table1[[#This Row],[Quantidade]]="","",Table1[[#This Row],[Quantidade]]*Table1[[#This Row],[Valor Unitário]])</f>
        <v/>
      </c>
      <c r="J109" s="18" t="str">
        <f>IF(H109="","",IF(B109="SK01",'Produto e Custo de Produção'!$H$2*Table1[[#This Row],[Quantidade]],'Produto e Custo de Produção'!$H$3*Table1[[#This Row],[Quantidade]]))</f>
        <v/>
      </c>
      <c r="K109" s="18" t="str">
        <f>IF(H109="","",IF(B109="SK01",'Produto e Custo de Produção'!$I$2*Table1[[#This Row],[Quantidade]],'Produto e Custo de Produção'!$I$2*Table1[[#This Row],[Quantidade]]))</f>
        <v/>
      </c>
      <c r="L109" s="18" t="str">
        <f t="shared" si="4"/>
        <v/>
      </c>
      <c r="M109" s="18" t="str">
        <f>IF(B109="","",Table1[[#This Row],[Total da Venda]]*0.06)</f>
        <v/>
      </c>
      <c r="N109" s="18"/>
      <c r="O109" s="25"/>
      <c r="P109" s="25"/>
    </row>
    <row r="110" spans="1:16" x14ac:dyDescent="0.25">
      <c r="A110" s="28"/>
      <c r="B110" s="4"/>
      <c r="C110" s="1"/>
      <c r="D110" s="1"/>
      <c r="E110" s="39"/>
      <c r="F110" s="2"/>
      <c r="G110" s="21" t="str">
        <f t="shared" si="3"/>
        <v/>
      </c>
      <c r="H110" s="17" t="str">
        <f>IF(B110="","",IF(B110="SK01",VLOOKUP(D110,Clientes!C:I,6,0),VLOOKUP(D110,Clientes!C:I,7,0)))</f>
        <v/>
      </c>
      <c r="I110" s="17" t="str">
        <f>IF(Table1[[#This Row],[Quantidade]]="","",Table1[[#This Row],[Quantidade]]*Table1[[#This Row],[Valor Unitário]])</f>
        <v/>
      </c>
      <c r="J110" s="18" t="str">
        <f>IF(H110="","",IF(B110="SK01",'Produto e Custo de Produção'!$H$2*Table1[[#This Row],[Quantidade]],'Produto e Custo de Produção'!$H$3*Table1[[#This Row],[Quantidade]]))</f>
        <v/>
      </c>
      <c r="K110" s="18" t="str">
        <f>IF(H110="","",IF(B110="SK01",'Produto e Custo de Produção'!$I$2*Table1[[#This Row],[Quantidade]],'Produto e Custo de Produção'!$I$2*Table1[[#This Row],[Quantidade]]))</f>
        <v/>
      </c>
      <c r="L110" s="18" t="str">
        <f t="shared" si="4"/>
        <v/>
      </c>
      <c r="M110" s="18" t="str">
        <f>IF(B110="","",Table1[[#This Row],[Total da Venda]]*0.06)</f>
        <v/>
      </c>
      <c r="N110" s="18"/>
      <c r="O110" s="25"/>
      <c r="P110" s="25"/>
    </row>
    <row r="111" spans="1:16" x14ac:dyDescent="0.25">
      <c r="A111" s="28"/>
      <c r="B111" s="4"/>
      <c r="C111" s="1"/>
      <c r="D111" s="1"/>
      <c r="E111" s="39"/>
      <c r="F111" s="2"/>
      <c r="G111" s="21" t="str">
        <f t="shared" si="3"/>
        <v/>
      </c>
      <c r="H111" s="17" t="str">
        <f>IF(B111="","",IF(B111="SK01",VLOOKUP(D111,Clientes!C:I,6,0),VLOOKUP(D111,Clientes!C:I,7,0)))</f>
        <v/>
      </c>
      <c r="I111" s="17" t="str">
        <f>IF(Table1[[#This Row],[Quantidade]]="","",Table1[[#This Row],[Quantidade]]*Table1[[#This Row],[Valor Unitário]])</f>
        <v/>
      </c>
      <c r="J111" s="18" t="str">
        <f>IF(H111="","",IF(B111="SK01",'Produto e Custo de Produção'!$H$2*Table1[[#This Row],[Quantidade]],'Produto e Custo de Produção'!$H$3*Table1[[#This Row],[Quantidade]]))</f>
        <v/>
      </c>
      <c r="K111" s="18" t="str">
        <f>IF(H111="","",IF(B111="SK01",'Produto e Custo de Produção'!$I$2*Table1[[#This Row],[Quantidade]],'Produto e Custo de Produção'!$I$2*Table1[[#This Row],[Quantidade]]))</f>
        <v/>
      </c>
      <c r="L111" s="18" t="str">
        <f t="shared" si="4"/>
        <v/>
      </c>
      <c r="M111" s="18" t="str">
        <f>IF(B111="","",Table1[[#This Row],[Total da Venda]]*0.06)</f>
        <v/>
      </c>
      <c r="N111" s="18"/>
      <c r="O111" s="25"/>
      <c r="P111" s="25"/>
    </row>
    <row r="112" spans="1:16" x14ac:dyDescent="0.25">
      <c r="A112" s="28"/>
      <c r="B112" s="4"/>
      <c r="C112" s="1"/>
      <c r="D112" s="1"/>
      <c r="E112" s="39"/>
      <c r="F112" s="2"/>
      <c r="G112" s="21" t="str">
        <f t="shared" si="3"/>
        <v/>
      </c>
      <c r="H112" s="17" t="str">
        <f>IF(B112="","",IF(B112="SK01",VLOOKUP(D112,Clientes!C:I,6,0),VLOOKUP(D112,Clientes!C:I,7,0)))</f>
        <v/>
      </c>
      <c r="I112" s="17" t="str">
        <f>IF(Table1[[#This Row],[Quantidade]]="","",Table1[[#This Row],[Quantidade]]*Table1[[#This Row],[Valor Unitário]])</f>
        <v/>
      </c>
      <c r="J112" s="18" t="str">
        <f>IF(H112="","",IF(B112="SK01",'Produto e Custo de Produção'!$H$2*Table1[[#This Row],[Quantidade]],'Produto e Custo de Produção'!$H$3*Table1[[#This Row],[Quantidade]]))</f>
        <v/>
      </c>
      <c r="K112" s="18" t="str">
        <f>IF(H112="","",IF(B112="SK01",'Produto e Custo de Produção'!$I$2*Table1[[#This Row],[Quantidade]],'Produto e Custo de Produção'!$I$2*Table1[[#This Row],[Quantidade]]))</f>
        <v/>
      </c>
      <c r="L112" s="18" t="str">
        <f t="shared" si="4"/>
        <v/>
      </c>
      <c r="M112" s="18" t="str">
        <f>IF(B112="","",Table1[[#This Row],[Total da Venda]]*0.06)</f>
        <v/>
      </c>
      <c r="N112" s="18"/>
      <c r="O112" s="25"/>
      <c r="P112" s="25"/>
    </row>
    <row r="113" spans="1:16" x14ac:dyDescent="0.25">
      <c r="A113" s="28"/>
      <c r="B113" s="4"/>
      <c r="C113" s="1"/>
      <c r="D113" s="1"/>
      <c r="E113" s="39"/>
      <c r="F113" s="2"/>
      <c r="G113" s="21" t="str">
        <f t="shared" si="3"/>
        <v/>
      </c>
      <c r="H113" s="17" t="str">
        <f>IF(B113="","",IF(B113="SK01",VLOOKUP(D113,Clientes!C:I,6,0),VLOOKUP(D113,Clientes!C:I,7,0)))</f>
        <v/>
      </c>
      <c r="I113" s="17" t="str">
        <f>IF(Table1[[#This Row],[Quantidade]]="","",Table1[[#This Row],[Quantidade]]*Table1[[#This Row],[Valor Unitário]])</f>
        <v/>
      </c>
      <c r="J113" s="18" t="str">
        <f>IF(H113="","",IF(B113="SK01",'Produto e Custo de Produção'!$H$2*Table1[[#This Row],[Quantidade]],'Produto e Custo de Produção'!$H$3*Table1[[#This Row],[Quantidade]]))</f>
        <v/>
      </c>
      <c r="K113" s="18" t="str">
        <f>IF(H113="","",IF(B113="SK01",'Produto e Custo de Produção'!$I$2*Table1[[#This Row],[Quantidade]],'Produto e Custo de Produção'!$I$2*Table1[[#This Row],[Quantidade]]))</f>
        <v/>
      </c>
      <c r="L113" s="18" t="str">
        <f t="shared" si="4"/>
        <v/>
      </c>
      <c r="M113" s="18" t="str">
        <f>IF(B113="","",Table1[[#This Row],[Total da Venda]]*0.06)</f>
        <v/>
      </c>
      <c r="N113" s="18"/>
      <c r="O113" s="25"/>
      <c r="P113" s="25"/>
    </row>
    <row r="114" spans="1:16" x14ac:dyDescent="0.25">
      <c r="A114" s="28"/>
      <c r="B114" s="4"/>
      <c r="C114" s="1"/>
      <c r="D114" s="1"/>
      <c r="E114" s="39"/>
      <c r="F114" s="2"/>
      <c r="G114" s="21" t="str">
        <f t="shared" si="3"/>
        <v/>
      </c>
      <c r="H114" s="17" t="str">
        <f>IF(B114="","",IF(B114="SK01",VLOOKUP(D114,Clientes!C:I,6,0),VLOOKUP(D114,Clientes!C:I,7,0)))</f>
        <v/>
      </c>
      <c r="I114" s="17" t="str">
        <f>IF(Table1[[#This Row],[Quantidade]]="","",Table1[[#This Row],[Quantidade]]*Table1[[#This Row],[Valor Unitário]])</f>
        <v/>
      </c>
      <c r="J114" s="18" t="str">
        <f>IF(H114="","",IF(B114="SK01",'Produto e Custo de Produção'!$H$2*Table1[[#This Row],[Quantidade]],'Produto e Custo de Produção'!$H$3*Table1[[#This Row],[Quantidade]]))</f>
        <v/>
      </c>
      <c r="K114" s="18" t="str">
        <f>IF(H114="","",IF(B114="SK01",'Produto e Custo de Produção'!$I$2*Table1[[#This Row],[Quantidade]],'Produto e Custo de Produção'!$I$2*Table1[[#This Row],[Quantidade]]))</f>
        <v/>
      </c>
      <c r="L114" s="18" t="str">
        <f t="shared" si="4"/>
        <v/>
      </c>
      <c r="M114" s="18" t="str">
        <f>IF(B114="","",Table1[[#This Row],[Total da Venda]]*0.06)</f>
        <v/>
      </c>
      <c r="N114" s="18"/>
      <c r="O114" s="25"/>
      <c r="P114" s="25"/>
    </row>
    <row r="115" spans="1:16" x14ac:dyDescent="0.25">
      <c r="A115" s="28"/>
      <c r="B115" s="4"/>
      <c r="C115" s="1"/>
      <c r="D115" s="1"/>
      <c r="E115" s="39"/>
      <c r="F115" s="2"/>
      <c r="G115" s="21" t="str">
        <f t="shared" si="3"/>
        <v/>
      </c>
      <c r="H115" s="17" t="str">
        <f>IF(B115="","",IF(B115="SK01",VLOOKUP(D115,Clientes!C:I,6,0),VLOOKUP(D115,Clientes!C:I,7,0)))</f>
        <v/>
      </c>
      <c r="I115" s="17" t="str">
        <f>IF(Table1[[#This Row],[Quantidade]]="","",Table1[[#This Row],[Quantidade]]*Table1[[#This Row],[Valor Unitário]])</f>
        <v/>
      </c>
      <c r="J115" s="18" t="str">
        <f>IF(H115="","",IF(B115="SK01",'Produto e Custo de Produção'!$H$2*Table1[[#This Row],[Quantidade]],'Produto e Custo de Produção'!$H$3*Table1[[#This Row],[Quantidade]]))</f>
        <v/>
      </c>
      <c r="K115" s="18" t="str">
        <f>IF(H115="","",IF(B115="SK01",'Produto e Custo de Produção'!$I$2*Table1[[#This Row],[Quantidade]],'Produto e Custo de Produção'!$I$2*Table1[[#This Row],[Quantidade]]))</f>
        <v/>
      </c>
      <c r="L115" s="18" t="str">
        <f t="shared" si="4"/>
        <v/>
      </c>
      <c r="M115" s="18" t="str">
        <f>IF(B115="","",Table1[[#This Row],[Total da Venda]]*0.06)</f>
        <v/>
      </c>
      <c r="N115" s="18"/>
      <c r="O115" s="25"/>
      <c r="P115" s="25"/>
    </row>
    <row r="116" spans="1:16" x14ac:dyDescent="0.25">
      <c r="A116" s="28"/>
      <c r="B116" s="4"/>
      <c r="C116" s="1"/>
      <c r="D116" s="1"/>
      <c r="E116" s="39"/>
      <c r="F116" s="2"/>
      <c r="G116" s="21" t="str">
        <f t="shared" si="3"/>
        <v/>
      </c>
      <c r="H116" s="17" t="str">
        <f>IF(B116="","",IF(B116="SK01",VLOOKUP(D116,Clientes!C:I,6,0),VLOOKUP(D116,Clientes!C:I,7,0)))</f>
        <v/>
      </c>
      <c r="I116" s="17" t="str">
        <f>IF(Table1[[#This Row],[Quantidade]]="","",Table1[[#This Row],[Quantidade]]*Table1[[#This Row],[Valor Unitário]])</f>
        <v/>
      </c>
      <c r="J116" s="18" t="str">
        <f>IF(H116="","",IF(B116="SK01",'Produto e Custo de Produção'!$H$2*Table1[[#This Row],[Quantidade]],'Produto e Custo de Produção'!$H$3*Table1[[#This Row],[Quantidade]]))</f>
        <v/>
      </c>
      <c r="K116" s="18" t="str">
        <f>IF(H116="","",IF(B116="SK01",'Produto e Custo de Produção'!$I$2*Table1[[#This Row],[Quantidade]],'Produto e Custo de Produção'!$I$2*Table1[[#This Row],[Quantidade]]))</f>
        <v/>
      </c>
      <c r="L116" s="18" t="str">
        <f t="shared" si="4"/>
        <v/>
      </c>
      <c r="M116" s="18" t="str">
        <f>IF(B116="","",Table1[[#This Row],[Total da Venda]]*0.06)</f>
        <v/>
      </c>
      <c r="N116" s="18"/>
      <c r="O116" s="25"/>
      <c r="P116" s="25"/>
    </row>
    <row r="117" spans="1:16" x14ac:dyDescent="0.25">
      <c r="A117" s="28"/>
      <c r="B117" s="4"/>
      <c r="C117" s="1"/>
      <c r="D117" s="1"/>
      <c r="E117" s="39"/>
      <c r="F117" s="2"/>
      <c r="G117" s="21" t="str">
        <f t="shared" si="3"/>
        <v/>
      </c>
      <c r="H117" s="17" t="str">
        <f>IF(B117="","",IF(B117="SK01",VLOOKUP(D117,Clientes!C:I,6,0),VLOOKUP(D117,Clientes!C:I,7,0)))</f>
        <v/>
      </c>
      <c r="I117" s="17" t="str">
        <f>IF(Table1[[#This Row],[Quantidade]]="","",Table1[[#This Row],[Quantidade]]*Table1[[#This Row],[Valor Unitário]])</f>
        <v/>
      </c>
      <c r="J117" s="18" t="str">
        <f>IF(H117="","",IF(B117="SK01",'Produto e Custo de Produção'!$H$2*Table1[[#This Row],[Quantidade]],'Produto e Custo de Produção'!$H$3*Table1[[#This Row],[Quantidade]]))</f>
        <v/>
      </c>
      <c r="K117" s="18" t="str">
        <f>IF(H117="","",IF(B117="SK01",'Produto e Custo de Produção'!$I$2*Table1[[#This Row],[Quantidade]],'Produto e Custo de Produção'!$I$2*Table1[[#This Row],[Quantidade]]))</f>
        <v/>
      </c>
      <c r="L117" s="18" t="str">
        <f t="shared" si="4"/>
        <v/>
      </c>
      <c r="M117" s="18" t="str">
        <f>IF(B117="","",Table1[[#This Row],[Total da Venda]]*0.06)</f>
        <v/>
      </c>
      <c r="N117" s="18"/>
      <c r="O117" s="25"/>
      <c r="P117" s="25"/>
    </row>
    <row r="118" spans="1:16" x14ac:dyDescent="0.25">
      <c r="A118" s="28"/>
      <c r="B118" s="4"/>
      <c r="C118" s="1"/>
      <c r="D118" s="1"/>
      <c r="E118" s="39"/>
      <c r="F118" s="2"/>
      <c r="G118" s="21" t="str">
        <f t="shared" si="3"/>
        <v/>
      </c>
      <c r="H118" s="17" t="str">
        <f>IF(B118="","",IF(B118="SK01",VLOOKUP(D118,Clientes!C:I,6,0),VLOOKUP(D118,Clientes!C:I,7,0)))</f>
        <v/>
      </c>
      <c r="I118" s="17" t="str">
        <f>IF(Table1[[#This Row],[Quantidade]]="","",Table1[[#This Row],[Quantidade]]*Table1[[#This Row],[Valor Unitário]])</f>
        <v/>
      </c>
      <c r="J118" s="18" t="str">
        <f>IF(H118="","",IF(B118="SK01",'Produto e Custo de Produção'!$H$2*Table1[[#This Row],[Quantidade]],'Produto e Custo de Produção'!$H$3*Table1[[#This Row],[Quantidade]]))</f>
        <v/>
      </c>
      <c r="K118" s="18" t="str">
        <f>IF(H118="","",IF(B118="SK01",'Produto e Custo de Produção'!$I$2*Table1[[#This Row],[Quantidade]],'Produto e Custo de Produção'!$I$2*Table1[[#This Row],[Quantidade]]))</f>
        <v/>
      </c>
      <c r="L118" s="18" t="str">
        <f t="shared" si="4"/>
        <v/>
      </c>
      <c r="M118" s="18" t="str">
        <f>IF(B118="","",Table1[[#This Row],[Total da Venda]]*0.06)</f>
        <v/>
      </c>
      <c r="N118" s="18"/>
      <c r="O118" s="25"/>
      <c r="P118" s="25"/>
    </row>
    <row r="119" spans="1:16" x14ac:dyDescent="0.25">
      <c r="A119" s="28"/>
      <c r="B119" s="4"/>
      <c r="C119" s="1"/>
      <c r="D119" s="1"/>
      <c r="E119" s="39"/>
      <c r="F119" s="2"/>
      <c r="G119" s="21" t="str">
        <f t="shared" si="3"/>
        <v/>
      </c>
      <c r="H119" s="17" t="str">
        <f>IF(B119="","",IF(B119="SK01",VLOOKUP(D119,Clientes!C:I,6,0),VLOOKUP(D119,Clientes!C:I,7,0)))</f>
        <v/>
      </c>
      <c r="I119" s="17" t="str">
        <f>IF(Table1[[#This Row],[Quantidade]]="","",Table1[[#This Row],[Quantidade]]*Table1[[#This Row],[Valor Unitário]])</f>
        <v/>
      </c>
      <c r="J119" s="18" t="str">
        <f>IF(H119="","",IF(B119="SK01",'Produto e Custo de Produção'!$H$2*Table1[[#This Row],[Quantidade]],'Produto e Custo de Produção'!$H$3*Table1[[#This Row],[Quantidade]]))</f>
        <v/>
      </c>
      <c r="K119" s="18" t="str">
        <f>IF(H119="","",IF(B119="SK01",'Produto e Custo de Produção'!$I$2*Table1[[#This Row],[Quantidade]],'Produto e Custo de Produção'!$I$2*Table1[[#This Row],[Quantidade]]))</f>
        <v/>
      </c>
      <c r="L119" s="18" t="str">
        <f t="shared" si="4"/>
        <v/>
      </c>
      <c r="M119" s="18" t="str">
        <f>IF(B119="","",Table1[[#This Row],[Total da Venda]]*0.06)</f>
        <v/>
      </c>
      <c r="N119" s="18"/>
      <c r="O119" s="25"/>
      <c r="P119" s="25"/>
    </row>
    <row r="120" spans="1:16" x14ac:dyDescent="0.25">
      <c r="A120" s="28"/>
      <c r="B120" s="4"/>
      <c r="C120" s="1"/>
      <c r="D120" s="1"/>
      <c r="E120" s="39"/>
      <c r="F120" s="2"/>
      <c r="G120" s="21" t="str">
        <f t="shared" si="3"/>
        <v/>
      </c>
      <c r="H120" s="17" t="str">
        <f>IF(B120="","",IF(B120="SK01",VLOOKUP(D120,Clientes!C:I,6,0),VLOOKUP(D120,Clientes!C:I,7,0)))</f>
        <v/>
      </c>
      <c r="I120" s="17" t="str">
        <f>IF(Table1[[#This Row],[Quantidade]]="","",Table1[[#This Row],[Quantidade]]*Table1[[#This Row],[Valor Unitário]])</f>
        <v/>
      </c>
      <c r="J120" s="18" t="str">
        <f>IF(H120="","",IF(B120="SK01",'Produto e Custo de Produção'!$H$2*Table1[[#This Row],[Quantidade]],'Produto e Custo de Produção'!$H$3*Table1[[#This Row],[Quantidade]]))</f>
        <v/>
      </c>
      <c r="K120" s="18" t="str">
        <f>IF(H120="","",IF(B120="SK01",'Produto e Custo de Produção'!$I$2*Table1[[#This Row],[Quantidade]],'Produto e Custo de Produção'!$I$2*Table1[[#This Row],[Quantidade]]))</f>
        <v/>
      </c>
      <c r="L120" s="18" t="str">
        <f t="shared" si="4"/>
        <v/>
      </c>
      <c r="M120" s="18" t="str">
        <f>IF(B120="","",Table1[[#This Row],[Total da Venda]]*0.06)</f>
        <v/>
      </c>
      <c r="N120" s="18"/>
      <c r="O120" s="25"/>
      <c r="P120" s="25"/>
    </row>
    <row r="121" spans="1:16" x14ac:dyDescent="0.25">
      <c r="A121" s="28"/>
      <c r="B121" s="4"/>
      <c r="C121" s="1"/>
      <c r="D121" s="1"/>
      <c r="E121" s="39"/>
      <c r="F121" s="2"/>
      <c r="G121" s="21" t="str">
        <f t="shared" si="3"/>
        <v/>
      </c>
      <c r="H121" s="17" t="str">
        <f>IF(B121="","",IF(B121="SK01",VLOOKUP(D121,Clientes!C:I,6,0),VLOOKUP(D121,Clientes!C:I,7,0)))</f>
        <v/>
      </c>
      <c r="I121" s="17" t="str">
        <f>IF(Table1[[#This Row],[Quantidade]]="","",Table1[[#This Row],[Quantidade]]*Table1[[#This Row],[Valor Unitário]])</f>
        <v/>
      </c>
      <c r="J121" s="18" t="str">
        <f>IF(H121="","",IF(B121="SK01",'Produto e Custo de Produção'!$H$2*Table1[[#This Row],[Quantidade]],'Produto e Custo de Produção'!$H$3*Table1[[#This Row],[Quantidade]]))</f>
        <v/>
      </c>
      <c r="K121" s="18" t="str">
        <f>IF(H121="","",IF(B121="SK01",'Produto e Custo de Produção'!$I$2*Table1[[#This Row],[Quantidade]],'Produto e Custo de Produção'!$I$2*Table1[[#This Row],[Quantidade]]))</f>
        <v/>
      </c>
      <c r="L121" s="18" t="str">
        <f t="shared" si="4"/>
        <v/>
      </c>
      <c r="M121" s="18" t="str">
        <f>IF(B121="","",Table1[[#This Row],[Total da Venda]]*0.06)</f>
        <v/>
      </c>
      <c r="N121" s="18"/>
      <c r="O121" s="25"/>
      <c r="P121" s="25"/>
    </row>
    <row r="122" spans="1:16" x14ac:dyDescent="0.25">
      <c r="A122" s="28"/>
      <c r="B122" s="4"/>
      <c r="C122" s="1"/>
      <c r="D122" s="1"/>
      <c r="E122" s="39"/>
      <c r="F122" s="2"/>
      <c r="G122" s="21" t="str">
        <f t="shared" si="3"/>
        <v/>
      </c>
      <c r="H122" s="17" t="str">
        <f>IF(B122="","",IF(B122="SK01",VLOOKUP(D122,Clientes!C:I,6,0),VLOOKUP(D122,Clientes!C:I,7,0)))</f>
        <v/>
      </c>
      <c r="I122" s="17" t="str">
        <f>IF(Table1[[#This Row],[Quantidade]]="","",Table1[[#This Row],[Quantidade]]*Table1[[#This Row],[Valor Unitário]])</f>
        <v/>
      </c>
      <c r="J122" s="18" t="str">
        <f>IF(H122="","",IF(B122="SK01",'Produto e Custo de Produção'!$H$2*Table1[[#This Row],[Quantidade]],'Produto e Custo de Produção'!$H$3*Table1[[#This Row],[Quantidade]]))</f>
        <v/>
      </c>
      <c r="K122" s="18" t="str">
        <f>IF(H122="","",IF(B122="SK01",'Produto e Custo de Produção'!$I$2*Table1[[#This Row],[Quantidade]],'Produto e Custo de Produção'!$I$2*Table1[[#This Row],[Quantidade]]))</f>
        <v/>
      </c>
      <c r="L122" s="18" t="str">
        <f t="shared" si="4"/>
        <v/>
      </c>
      <c r="M122" s="18" t="str">
        <f>IF(B122="","",Table1[[#This Row],[Total da Venda]]*0.06)</f>
        <v/>
      </c>
      <c r="N122" s="18"/>
      <c r="O122" s="25"/>
      <c r="P122" s="25"/>
    </row>
    <row r="123" spans="1:16" x14ac:dyDescent="0.25">
      <c r="A123" s="28"/>
      <c r="B123" s="4"/>
      <c r="C123" s="1"/>
      <c r="D123" s="1"/>
      <c r="E123" s="39"/>
      <c r="F123" s="2"/>
      <c r="G123" s="21" t="str">
        <f t="shared" si="3"/>
        <v/>
      </c>
      <c r="H123" s="17" t="str">
        <f>IF(B123="","",IF(B123="SK01",VLOOKUP(D123,Clientes!C:I,6,0),VLOOKUP(D123,Clientes!C:I,7,0)))</f>
        <v/>
      </c>
      <c r="I123" s="17" t="str">
        <f>IF(Table1[[#This Row],[Quantidade]]="","",Table1[[#This Row],[Quantidade]]*Table1[[#This Row],[Valor Unitário]])</f>
        <v/>
      </c>
      <c r="J123" s="18" t="str">
        <f>IF(H123="","",IF(B123="SK01",'Produto e Custo de Produção'!$H$2*Table1[[#This Row],[Quantidade]],'Produto e Custo de Produção'!$H$3*Table1[[#This Row],[Quantidade]]))</f>
        <v/>
      </c>
      <c r="K123" s="18" t="str">
        <f>IF(H123="","",IF(B123="SK01",'Produto e Custo de Produção'!$I$2*Table1[[#This Row],[Quantidade]],'Produto e Custo de Produção'!$I$2*Table1[[#This Row],[Quantidade]]))</f>
        <v/>
      </c>
      <c r="L123" s="18" t="str">
        <f t="shared" si="4"/>
        <v/>
      </c>
      <c r="M123" s="18" t="str">
        <f>IF(B123="","",Table1[[#This Row],[Total da Venda]]*0.06)</f>
        <v/>
      </c>
      <c r="N123" s="18"/>
      <c r="O123" s="25"/>
      <c r="P123" s="25"/>
    </row>
    <row r="124" spans="1:16" x14ac:dyDescent="0.25">
      <c r="A124" s="28"/>
      <c r="B124" s="4"/>
      <c r="C124" s="1"/>
      <c r="D124" s="1"/>
      <c r="E124" s="39"/>
      <c r="F124" s="2"/>
      <c r="G124" s="21" t="str">
        <f t="shared" si="3"/>
        <v/>
      </c>
      <c r="H124" s="17" t="str">
        <f>IF(B124="","",IF(B124="SK01",VLOOKUP(D124,Clientes!C:I,6,0),VLOOKUP(D124,Clientes!C:I,7,0)))</f>
        <v/>
      </c>
      <c r="I124" s="17" t="str">
        <f>IF(Table1[[#This Row],[Quantidade]]="","",Table1[[#This Row],[Quantidade]]*Table1[[#This Row],[Valor Unitário]])</f>
        <v/>
      </c>
      <c r="J124" s="18" t="str">
        <f>IF(H124="","",IF(B124="SK01",'Produto e Custo de Produção'!$H$2*Table1[[#This Row],[Quantidade]],'Produto e Custo de Produção'!$H$3*Table1[[#This Row],[Quantidade]]))</f>
        <v/>
      </c>
      <c r="K124" s="18" t="str">
        <f>IF(H124="","",IF(B124="SK01",'Produto e Custo de Produção'!$I$2*Table1[[#This Row],[Quantidade]],'Produto e Custo de Produção'!$I$2*Table1[[#This Row],[Quantidade]]))</f>
        <v/>
      </c>
      <c r="L124" s="18" t="str">
        <f t="shared" si="4"/>
        <v/>
      </c>
      <c r="M124" s="18" t="str">
        <f>IF(B124="","",Table1[[#This Row],[Total da Venda]]*0.06)</f>
        <v/>
      </c>
      <c r="N124" s="18"/>
      <c r="O124" s="25"/>
      <c r="P124" s="25"/>
    </row>
    <row r="125" spans="1:16" x14ac:dyDescent="0.25">
      <c r="A125" s="28"/>
      <c r="B125" s="4"/>
      <c r="C125" s="1"/>
      <c r="D125" s="1"/>
      <c r="E125" s="39"/>
      <c r="F125" s="2"/>
      <c r="G125" s="21" t="str">
        <f t="shared" si="3"/>
        <v/>
      </c>
      <c r="H125" s="17" t="str">
        <f>IF(B125="","",IF(B125="SK01",VLOOKUP(D125,Clientes!C:I,6,0),VLOOKUP(D125,Clientes!C:I,7,0)))</f>
        <v/>
      </c>
      <c r="I125" s="17" t="str">
        <f>IF(Table1[[#This Row],[Quantidade]]="","",Table1[[#This Row],[Quantidade]]*Table1[[#This Row],[Valor Unitário]])</f>
        <v/>
      </c>
      <c r="J125" s="18" t="str">
        <f>IF(H125="","",IF(B125="SK01",'Produto e Custo de Produção'!$H$2*Table1[[#This Row],[Quantidade]],'Produto e Custo de Produção'!$H$3*Table1[[#This Row],[Quantidade]]))</f>
        <v/>
      </c>
      <c r="K125" s="18" t="str">
        <f>IF(H125="","",IF(B125="SK01",'Produto e Custo de Produção'!$I$2*Table1[[#This Row],[Quantidade]],'Produto e Custo de Produção'!$I$2*Table1[[#This Row],[Quantidade]]))</f>
        <v/>
      </c>
      <c r="L125" s="18" t="str">
        <f t="shared" si="4"/>
        <v/>
      </c>
      <c r="M125" s="18" t="str">
        <f>IF(B125="","",Table1[[#This Row],[Total da Venda]]*0.06)</f>
        <v/>
      </c>
      <c r="N125" s="18"/>
      <c r="O125" s="25"/>
      <c r="P125" s="25"/>
    </row>
    <row r="126" spans="1:16" x14ac:dyDescent="0.25">
      <c r="A126" s="28"/>
      <c r="B126" s="4"/>
      <c r="C126" s="1"/>
      <c r="D126" s="1"/>
      <c r="E126" s="39"/>
      <c r="F126" s="2"/>
      <c r="G126" s="21" t="str">
        <f t="shared" si="3"/>
        <v/>
      </c>
      <c r="H126" s="17" t="str">
        <f>IF(B126="","",IF(B126="SK01",VLOOKUP(D126,Clientes!C:I,6,0),VLOOKUP(D126,Clientes!C:I,7,0)))</f>
        <v/>
      </c>
      <c r="I126" s="17" t="str">
        <f>IF(Table1[[#This Row],[Quantidade]]="","",Table1[[#This Row],[Quantidade]]*Table1[[#This Row],[Valor Unitário]])</f>
        <v/>
      </c>
      <c r="J126" s="18" t="str">
        <f>IF(H126="","",IF(B126="SK01",'Produto e Custo de Produção'!$H$2*Table1[[#This Row],[Quantidade]],'Produto e Custo de Produção'!$H$3*Table1[[#This Row],[Quantidade]]))</f>
        <v/>
      </c>
      <c r="K126" s="18" t="str">
        <f>IF(H126="","",IF(B126="SK01",'Produto e Custo de Produção'!$I$2*Table1[[#This Row],[Quantidade]],'Produto e Custo de Produção'!$I$2*Table1[[#This Row],[Quantidade]]))</f>
        <v/>
      </c>
      <c r="L126" s="18" t="str">
        <f t="shared" si="4"/>
        <v/>
      </c>
      <c r="M126" s="18" t="str">
        <f>IF(B126="","",Table1[[#This Row],[Total da Venda]]*0.06)</f>
        <v/>
      </c>
      <c r="N126" s="18"/>
      <c r="O126" s="25"/>
      <c r="P126" s="25"/>
    </row>
    <row r="127" spans="1:16" x14ac:dyDescent="0.25">
      <c r="A127" s="28"/>
      <c r="B127" s="4"/>
      <c r="C127" s="1"/>
      <c r="D127" s="1"/>
      <c r="E127" s="39"/>
      <c r="F127" s="2"/>
      <c r="G127" s="21" t="str">
        <f t="shared" si="3"/>
        <v/>
      </c>
      <c r="H127" s="17" t="str">
        <f>IF(B127="","",IF(B127="SK01",VLOOKUP(D127,Clientes!C:I,6,0),VLOOKUP(D127,Clientes!C:I,7,0)))</f>
        <v/>
      </c>
      <c r="I127" s="17" t="str">
        <f>IF(Table1[[#This Row],[Quantidade]]="","",Table1[[#This Row],[Quantidade]]*Table1[[#This Row],[Valor Unitário]])</f>
        <v/>
      </c>
      <c r="J127" s="18" t="str">
        <f>IF(H127="","",IF(B127="SK01",'Produto e Custo de Produção'!$H$2*Table1[[#This Row],[Quantidade]],'Produto e Custo de Produção'!$H$3*Table1[[#This Row],[Quantidade]]))</f>
        <v/>
      </c>
      <c r="K127" s="18" t="str">
        <f>IF(H127="","",IF(B127="SK01",'Produto e Custo de Produção'!$I$2*Table1[[#This Row],[Quantidade]],'Produto e Custo de Produção'!$I$2*Table1[[#This Row],[Quantidade]]))</f>
        <v/>
      </c>
      <c r="L127" s="18" t="str">
        <f t="shared" si="4"/>
        <v/>
      </c>
      <c r="M127" s="18" t="str">
        <f>IF(B127="","",Table1[[#This Row],[Total da Venda]]*0.06)</f>
        <v/>
      </c>
      <c r="N127" s="18"/>
      <c r="O127" s="25"/>
      <c r="P127" s="25"/>
    </row>
    <row r="128" spans="1:16" x14ac:dyDescent="0.25">
      <c r="A128" s="28"/>
      <c r="B128" s="4"/>
      <c r="C128" s="1"/>
      <c r="D128" s="1"/>
      <c r="E128" s="39"/>
      <c r="F128" s="2"/>
      <c r="G128" s="21" t="str">
        <f t="shared" si="3"/>
        <v/>
      </c>
      <c r="H128" s="17" t="str">
        <f>IF(B128="","",IF(B128="SK01",VLOOKUP(D128,Clientes!C:I,6,0),VLOOKUP(D128,Clientes!C:I,7,0)))</f>
        <v/>
      </c>
      <c r="I128" s="17" t="str">
        <f>IF(Table1[[#This Row],[Quantidade]]="","",Table1[[#This Row],[Quantidade]]*Table1[[#This Row],[Valor Unitário]])</f>
        <v/>
      </c>
      <c r="J128" s="18" t="str">
        <f>IF(H128="","",IF(B128="SK01",'Produto e Custo de Produção'!$H$2*Table1[[#This Row],[Quantidade]],'Produto e Custo de Produção'!$H$3*Table1[[#This Row],[Quantidade]]))</f>
        <v/>
      </c>
      <c r="K128" s="18" t="str">
        <f>IF(H128="","",IF(B128="SK01",'Produto e Custo de Produção'!$I$2*Table1[[#This Row],[Quantidade]],'Produto e Custo de Produção'!$I$2*Table1[[#This Row],[Quantidade]]))</f>
        <v/>
      </c>
      <c r="L128" s="18" t="str">
        <f t="shared" si="4"/>
        <v/>
      </c>
      <c r="M128" s="18" t="str">
        <f>IF(B128="","",Table1[[#This Row],[Total da Venda]]*0.06)</f>
        <v/>
      </c>
      <c r="N128" s="18"/>
      <c r="O128" s="25"/>
      <c r="P128" s="25"/>
    </row>
    <row r="129" spans="1:16" x14ac:dyDescent="0.25">
      <c r="A129" s="28"/>
      <c r="B129" s="4"/>
      <c r="C129" s="1"/>
      <c r="D129" s="1"/>
      <c r="E129" s="39"/>
      <c r="F129" s="2"/>
      <c r="G129" s="21" t="str">
        <f t="shared" si="3"/>
        <v/>
      </c>
      <c r="H129" s="17" t="str">
        <f>IF(B129="","",IF(B129="SK01",VLOOKUP(D129,Clientes!C:I,6,0),VLOOKUP(D129,Clientes!C:I,7,0)))</f>
        <v/>
      </c>
      <c r="I129" s="17" t="str">
        <f>IF(Table1[[#This Row],[Quantidade]]="","",Table1[[#This Row],[Quantidade]]*Table1[[#This Row],[Valor Unitário]])</f>
        <v/>
      </c>
      <c r="J129" s="18" t="str">
        <f>IF(H129="","",IF(B129="SK01",'Produto e Custo de Produção'!$H$2*Table1[[#This Row],[Quantidade]],'Produto e Custo de Produção'!$H$3*Table1[[#This Row],[Quantidade]]))</f>
        <v/>
      </c>
      <c r="K129" s="18" t="str">
        <f>IF(H129="","",IF(B129="SK01",'Produto e Custo de Produção'!$I$2*Table1[[#This Row],[Quantidade]],'Produto e Custo de Produção'!$I$2*Table1[[#This Row],[Quantidade]]))</f>
        <v/>
      </c>
      <c r="L129" s="18" t="str">
        <f t="shared" si="4"/>
        <v/>
      </c>
      <c r="M129" s="18" t="str">
        <f>IF(B129="","",Table1[[#This Row],[Total da Venda]]*0.06)</f>
        <v/>
      </c>
      <c r="N129" s="18"/>
      <c r="O129" s="25"/>
      <c r="P129" s="25"/>
    </row>
    <row r="130" spans="1:16" x14ac:dyDescent="0.25">
      <c r="A130" s="28"/>
      <c r="B130" s="4"/>
      <c r="C130" s="1"/>
      <c r="D130" s="1"/>
      <c r="E130" s="39"/>
      <c r="F130" s="2"/>
      <c r="G130" s="21" t="str">
        <f t="shared" ref="G130:G193" si="5">IF(B130="","",IF(B130="SK01",E130*5,E130*3))</f>
        <v/>
      </c>
      <c r="H130" s="17" t="str">
        <f>IF(B130="","",IF(B130="SK01",VLOOKUP(D130,Clientes!C:I,6,0),VLOOKUP(D130,Clientes!C:I,7,0)))</f>
        <v/>
      </c>
      <c r="I130" s="17" t="str">
        <f>IF(Table1[[#This Row],[Quantidade]]="","",Table1[[#This Row],[Quantidade]]*Table1[[#This Row],[Valor Unitário]])</f>
        <v/>
      </c>
      <c r="J130" s="18" t="str">
        <f>IF(H130="","",IF(B130="SK01",'Produto e Custo de Produção'!$H$2*Table1[[#This Row],[Quantidade]],'Produto e Custo de Produção'!$H$3*Table1[[#This Row],[Quantidade]]))</f>
        <v/>
      </c>
      <c r="K130" s="18" t="str">
        <f>IF(H130="","",IF(B130="SK01",'Produto e Custo de Produção'!$I$2*Table1[[#This Row],[Quantidade]],'Produto e Custo de Produção'!$I$2*Table1[[#This Row],[Quantidade]]))</f>
        <v/>
      </c>
      <c r="L130" s="18" t="str">
        <f t="shared" si="4"/>
        <v/>
      </c>
      <c r="M130" s="18" t="str">
        <f>IF(B130="","",Table1[[#This Row],[Total da Venda]]*0.06)</f>
        <v/>
      </c>
      <c r="N130" s="18"/>
      <c r="O130" s="25"/>
      <c r="P130" s="25"/>
    </row>
    <row r="131" spans="1:16" x14ac:dyDescent="0.25">
      <c r="A131" s="28"/>
      <c r="B131" s="4"/>
      <c r="C131" s="1"/>
      <c r="D131" s="1"/>
      <c r="E131" s="39"/>
      <c r="F131" s="2"/>
      <c r="G131" s="21" t="str">
        <f t="shared" si="5"/>
        <v/>
      </c>
      <c r="H131" s="17" t="str">
        <f>IF(B131="","",IF(B131="SK01",VLOOKUP(D131,Clientes!C:I,6,0),VLOOKUP(D131,Clientes!C:I,7,0)))</f>
        <v/>
      </c>
      <c r="I131" s="17" t="str">
        <f>IF(Table1[[#This Row],[Quantidade]]="","",Table1[[#This Row],[Quantidade]]*Table1[[#This Row],[Valor Unitário]])</f>
        <v/>
      </c>
      <c r="J131" s="18" t="str">
        <f>IF(H131="","",IF(B131="SK01",'Produto e Custo de Produção'!$H$2*Table1[[#This Row],[Quantidade]],'Produto e Custo de Produção'!$H$3*Table1[[#This Row],[Quantidade]]))</f>
        <v/>
      </c>
      <c r="K131" s="18" t="str">
        <f>IF(H131="","",IF(B131="SK01",'Produto e Custo de Produção'!$I$2*Table1[[#This Row],[Quantidade]],'Produto e Custo de Produção'!$I$2*Table1[[#This Row],[Quantidade]]))</f>
        <v/>
      </c>
      <c r="L131" s="18" t="str">
        <f t="shared" ref="L131:L194" si="6">IF(B131="","",IF(E131&lt;=2,0,IF(E131&lt;=30,10,IF(E131&lt;=40,15,20))))</f>
        <v/>
      </c>
      <c r="M131" s="18" t="str">
        <f>IF(B131="","",Table1[[#This Row],[Total da Venda]]*0.06)</f>
        <v/>
      </c>
      <c r="N131" s="18"/>
      <c r="O131" s="25"/>
      <c r="P131" s="25"/>
    </row>
    <row r="132" spans="1:16" x14ac:dyDescent="0.25">
      <c r="A132" s="28"/>
      <c r="B132" s="4"/>
      <c r="C132" s="1"/>
      <c r="D132" s="1"/>
      <c r="E132" s="39"/>
      <c r="F132" s="2"/>
      <c r="G132" s="21" t="str">
        <f t="shared" si="5"/>
        <v/>
      </c>
      <c r="H132" s="17" t="str">
        <f>IF(B132="","",IF(B132="SK01",VLOOKUP(D132,Clientes!C:I,6,0),VLOOKUP(D132,Clientes!C:I,7,0)))</f>
        <v/>
      </c>
      <c r="I132" s="17" t="str">
        <f>IF(Table1[[#This Row],[Quantidade]]="","",Table1[[#This Row],[Quantidade]]*Table1[[#This Row],[Valor Unitário]])</f>
        <v/>
      </c>
      <c r="J132" s="18" t="str">
        <f>IF(H132="","",IF(B132="SK01",'Produto e Custo de Produção'!$H$2*Table1[[#This Row],[Quantidade]],'Produto e Custo de Produção'!$H$3*Table1[[#This Row],[Quantidade]]))</f>
        <v/>
      </c>
      <c r="K132" s="18" t="str">
        <f>IF(H132="","",IF(B132="SK01",'Produto e Custo de Produção'!$I$2*Table1[[#This Row],[Quantidade]],'Produto e Custo de Produção'!$I$2*Table1[[#This Row],[Quantidade]]))</f>
        <v/>
      </c>
      <c r="L132" s="18" t="str">
        <f t="shared" si="6"/>
        <v/>
      </c>
      <c r="M132" s="18" t="str">
        <f>IF(B132="","",Table1[[#This Row],[Total da Venda]]*0.06)</f>
        <v/>
      </c>
      <c r="N132" s="18"/>
      <c r="O132" s="25"/>
      <c r="P132" s="25"/>
    </row>
    <row r="133" spans="1:16" x14ac:dyDescent="0.25">
      <c r="A133" s="28"/>
      <c r="B133" s="4"/>
      <c r="C133" s="1"/>
      <c r="D133" s="1"/>
      <c r="E133" s="39"/>
      <c r="F133" s="2"/>
      <c r="G133" s="21" t="str">
        <f t="shared" si="5"/>
        <v/>
      </c>
      <c r="H133" s="17" t="str">
        <f>IF(B133="","",IF(B133="SK01",VLOOKUP(D133,Clientes!C:I,6,0),VLOOKUP(D133,Clientes!C:I,7,0)))</f>
        <v/>
      </c>
      <c r="I133" s="17" t="str">
        <f>IF(Table1[[#This Row],[Quantidade]]="","",Table1[[#This Row],[Quantidade]]*Table1[[#This Row],[Valor Unitário]])</f>
        <v/>
      </c>
      <c r="J133" s="18" t="str">
        <f>IF(H133="","",IF(B133="SK01",'Produto e Custo de Produção'!$H$2*Table1[[#This Row],[Quantidade]],'Produto e Custo de Produção'!$H$3*Table1[[#This Row],[Quantidade]]))</f>
        <v/>
      </c>
      <c r="K133" s="18" t="str">
        <f>IF(H133="","",IF(B133="SK01",'Produto e Custo de Produção'!$I$2*Table1[[#This Row],[Quantidade]],'Produto e Custo de Produção'!$I$2*Table1[[#This Row],[Quantidade]]))</f>
        <v/>
      </c>
      <c r="L133" s="18" t="str">
        <f t="shared" si="6"/>
        <v/>
      </c>
      <c r="M133" s="18" t="str">
        <f>IF(B133="","",Table1[[#This Row],[Total da Venda]]*0.06)</f>
        <v/>
      </c>
      <c r="N133" s="18"/>
      <c r="O133" s="25"/>
      <c r="P133" s="25"/>
    </row>
    <row r="134" spans="1:16" x14ac:dyDescent="0.25">
      <c r="A134" s="28"/>
      <c r="B134" s="4"/>
      <c r="C134" s="1"/>
      <c r="D134" s="1"/>
      <c r="E134" s="39"/>
      <c r="F134" s="2"/>
      <c r="G134" s="21" t="str">
        <f t="shared" si="5"/>
        <v/>
      </c>
      <c r="H134" s="17" t="str">
        <f>IF(B134="","",IF(B134="SK01",VLOOKUP(D134,Clientes!C:I,6,0),VLOOKUP(D134,Clientes!C:I,7,0)))</f>
        <v/>
      </c>
      <c r="I134" s="17" t="str">
        <f>IF(Table1[[#This Row],[Quantidade]]="","",Table1[[#This Row],[Quantidade]]*Table1[[#This Row],[Valor Unitário]])</f>
        <v/>
      </c>
      <c r="J134" s="18" t="str">
        <f>IF(H134="","",IF(B134="SK01",'Produto e Custo de Produção'!$H$2*Table1[[#This Row],[Quantidade]],'Produto e Custo de Produção'!$H$3*Table1[[#This Row],[Quantidade]]))</f>
        <v/>
      </c>
      <c r="K134" s="18" t="str">
        <f>IF(H134="","",IF(B134="SK01",'Produto e Custo de Produção'!$I$2*Table1[[#This Row],[Quantidade]],'Produto e Custo de Produção'!$I$2*Table1[[#This Row],[Quantidade]]))</f>
        <v/>
      </c>
      <c r="L134" s="18" t="str">
        <f t="shared" si="6"/>
        <v/>
      </c>
      <c r="M134" s="18" t="str">
        <f>IF(B134="","",Table1[[#This Row],[Total da Venda]]*0.06)</f>
        <v/>
      </c>
      <c r="N134" s="18"/>
      <c r="O134" s="25"/>
      <c r="P134" s="25"/>
    </row>
    <row r="135" spans="1:16" x14ac:dyDescent="0.25">
      <c r="A135" s="28"/>
      <c r="B135" s="4"/>
      <c r="C135" s="1"/>
      <c r="D135" s="1"/>
      <c r="E135" s="39"/>
      <c r="F135" s="2"/>
      <c r="G135" s="21" t="str">
        <f t="shared" si="5"/>
        <v/>
      </c>
      <c r="H135" s="17" t="str">
        <f>IF(B135="","",IF(B135="SK01",VLOOKUP(D135,Clientes!C:I,6,0),VLOOKUP(D135,Clientes!C:I,7,0)))</f>
        <v/>
      </c>
      <c r="I135" s="17" t="str">
        <f>IF(Table1[[#This Row],[Quantidade]]="","",Table1[[#This Row],[Quantidade]]*Table1[[#This Row],[Valor Unitário]])</f>
        <v/>
      </c>
      <c r="J135" s="18" t="str">
        <f>IF(H135="","",IF(B135="SK01",'Produto e Custo de Produção'!$H$2*Table1[[#This Row],[Quantidade]],'Produto e Custo de Produção'!$H$3*Table1[[#This Row],[Quantidade]]))</f>
        <v/>
      </c>
      <c r="K135" s="18" t="str">
        <f>IF(H135="","",IF(B135="SK01",'Produto e Custo de Produção'!$I$2*Table1[[#This Row],[Quantidade]],'Produto e Custo de Produção'!$I$2*Table1[[#This Row],[Quantidade]]))</f>
        <v/>
      </c>
      <c r="L135" s="18" t="str">
        <f t="shared" si="6"/>
        <v/>
      </c>
      <c r="M135" s="18" t="str">
        <f>IF(B135="","",Table1[[#This Row],[Total da Venda]]*0.06)</f>
        <v/>
      </c>
      <c r="N135" s="18"/>
      <c r="O135" s="25"/>
      <c r="P135" s="25"/>
    </row>
    <row r="136" spans="1:16" x14ac:dyDescent="0.25">
      <c r="A136" s="28"/>
      <c r="B136" s="4"/>
      <c r="C136" s="1"/>
      <c r="D136" s="1"/>
      <c r="E136" s="39"/>
      <c r="F136" s="2"/>
      <c r="G136" s="21" t="str">
        <f t="shared" si="5"/>
        <v/>
      </c>
      <c r="H136" s="17" t="str">
        <f>IF(B136="","",IF(B136="SK01",VLOOKUP(D136,Clientes!C:I,6,0),VLOOKUP(D136,Clientes!C:I,7,0)))</f>
        <v/>
      </c>
      <c r="I136" s="17" t="str">
        <f>IF(Table1[[#This Row],[Quantidade]]="","",Table1[[#This Row],[Quantidade]]*Table1[[#This Row],[Valor Unitário]])</f>
        <v/>
      </c>
      <c r="J136" s="18" t="str">
        <f>IF(H136="","",IF(B136="SK01",'Produto e Custo de Produção'!$H$2*Table1[[#This Row],[Quantidade]],'Produto e Custo de Produção'!$H$3*Table1[[#This Row],[Quantidade]]))</f>
        <v/>
      </c>
      <c r="K136" s="18" t="str">
        <f>IF(H136="","",IF(B136="SK01",'Produto e Custo de Produção'!$I$2*Table1[[#This Row],[Quantidade]],'Produto e Custo de Produção'!$I$2*Table1[[#This Row],[Quantidade]]))</f>
        <v/>
      </c>
      <c r="L136" s="18" t="str">
        <f t="shared" si="6"/>
        <v/>
      </c>
      <c r="M136" s="18" t="str">
        <f>IF(B136="","",Table1[[#This Row],[Total da Venda]]*0.06)</f>
        <v/>
      </c>
      <c r="N136" s="18"/>
      <c r="O136" s="25"/>
      <c r="P136" s="25"/>
    </row>
    <row r="137" spans="1:16" x14ac:dyDescent="0.25">
      <c r="A137" s="28"/>
      <c r="B137" s="4"/>
      <c r="C137" s="1"/>
      <c r="D137" s="1"/>
      <c r="E137" s="39"/>
      <c r="F137" s="2"/>
      <c r="G137" s="21" t="str">
        <f t="shared" si="5"/>
        <v/>
      </c>
      <c r="H137" s="17" t="str">
        <f>IF(B137="","",IF(B137="SK01",VLOOKUP(D137,Clientes!C:I,6,0),VLOOKUP(D137,Clientes!C:I,7,0)))</f>
        <v/>
      </c>
      <c r="I137" s="17" t="str">
        <f>IF(Table1[[#This Row],[Quantidade]]="","",Table1[[#This Row],[Quantidade]]*Table1[[#This Row],[Valor Unitário]])</f>
        <v/>
      </c>
      <c r="J137" s="18" t="str">
        <f>IF(H137="","",IF(B137="SK01",'Produto e Custo de Produção'!$H$2*Table1[[#This Row],[Quantidade]],'Produto e Custo de Produção'!$H$3*Table1[[#This Row],[Quantidade]]))</f>
        <v/>
      </c>
      <c r="K137" s="18" t="str">
        <f>IF(H137="","",IF(B137="SK01",'Produto e Custo de Produção'!$I$2*Table1[[#This Row],[Quantidade]],'Produto e Custo de Produção'!$I$2*Table1[[#This Row],[Quantidade]]))</f>
        <v/>
      </c>
      <c r="L137" s="18" t="str">
        <f t="shared" si="6"/>
        <v/>
      </c>
      <c r="M137" s="18" t="str">
        <f>IF(B137="","",Table1[[#This Row],[Total da Venda]]*0.06)</f>
        <v/>
      </c>
      <c r="N137" s="18"/>
      <c r="O137" s="25"/>
      <c r="P137" s="25"/>
    </row>
    <row r="138" spans="1:16" x14ac:dyDescent="0.25">
      <c r="A138" s="28"/>
      <c r="B138" s="4"/>
      <c r="C138" s="1"/>
      <c r="D138" s="1"/>
      <c r="E138" s="39"/>
      <c r="F138" s="2"/>
      <c r="G138" s="21" t="str">
        <f t="shared" si="5"/>
        <v/>
      </c>
      <c r="H138" s="17" t="str">
        <f>IF(B138="","",IF(B138="SK01",VLOOKUP(D138,Clientes!C:I,6,0),VLOOKUP(D138,Clientes!C:I,7,0)))</f>
        <v/>
      </c>
      <c r="I138" s="17" t="str">
        <f>IF(Table1[[#This Row],[Quantidade]]="","",Table1[[#This Row],[Quantidade]]*Table1[[#This Row],[Valor Unitário]])</f>
        <v/>
      </c>
      <c r="J138" s="18" t="str">
        <f>IF(H138="","",IF(B138="SK01",'Produto e Custo de Produção'!$H$2*Table1[[#This Row],[Quantidade]],'Produto e Custo de Produção'!$H$3*Table1[[#This Row],[Quantidade]]))</f>
        <v/>
      </c>
      <c r="K138" s="18" t="str">
        <f>IF(H138="","",IF(B138="SK01",'Produto e Custo de Produção'!$I$2*Table1[[#This Row],[Quantidade]],'Produto e Custo de Produção'!$I$2*Table1[[#This Row],[Quantidade]]))</f>
        <v/>
      </c>
      <c r="L138" s="18" t="str">
        <f t="shared" si="6"/>
        <v/>
      </c>
      <c r="M138" s="18" t="str">
        <f>IF(B138="","",Table1[[#This Row],[Total da Venda]]*0.06)</f>
        <v/>
      </c>
      <c r="N138" s="18"/>
      <c r="O138" s="25"/>
      <c r="P138" s="25"/>
    </row>
    <row r="139" spans="1:16" x14ac:dyDescent="0.25">
      <c r="A139" s="28"/>
      <c r="B139" s="4"/>
      <c r="C139" s="1"/>
      <c r="D139" s="1"/>
      <c r="E139" s="39"/>
      <c r="F139" s="2"/>
      <c r="G139" s="21" t="str">
        <f t="shared" si="5"/>
        <v/>
      </c>
      <c r="H139" s="17" t="str">
        <f>IF(B139="","",IF(B139="SK01",VLOOKUP(D139,Clientes!C:I,6,0),VLOOKUP(D139,Clientes!C:I,7,0)))</f>
        <v/>
      </c>
      <c r="I139" s="17" t="str">
        <f>IF(Table1[[#This Row],[Quantidade]]="","",Table1[[#This Row],[Quantidade]]*Table1[[#This Row],[Valor Unitário]])</f>
        <v/>
      </c>
      <c r="J139" s="18" t="str">
        <f>IF(H139="","",IF(B139="SK01",'Produto e Custo de Produção'!$H$2*Table1[[#This Row],[Quantidade]],'Produto e Custo de Produção'!$H$3*Table1[[#This Row],[Quantidade]]))</f>
        <v/>
      </c>
      <c r="K139" s="18" t="str">
        <f>IF(H139="","",IF(B139="SK01",'Produto e Custo de Produção'!$I$2*Table1[[#This Row],[Quantidade]],'Produto e Custo de Produção'!$I$2*Table1[[#This Row],[Quantidade]]))</f>
        <v/>
      </c>
      <c r="L139" s="18" t="str">
        <f t="shared" si="6"/>
        <v/>
      </c>
      <c r="M139" s="18" t="str">
        <f>IF(B139="","",Table1[[#This Row],[Total da Venda]]*0.06)</f>
        <v/>
      </c>
      <c r="N139" s="18"/>
      <c r="O139" s="25"/>
      <c r="P139" s="25"/>
    </row>
    <row r="140" spans="1:16" x14ac:dyDescent="0.25">
      <c r="A140" s="28"/>
      <c r="B140" s="4"/>
      <c r="C140" s="1"/>
      <c r="D140" s="1"/>
      <c r="E140" s="39"/>
      <c r="F140" s="2"/>
      <c r="G140" s="21" t="str">
        <f t="shared" si="5"/>
        <v/>
      </c>
      <c r="H140" s="17" t="str">
        <f>IF(B140="","",IF(B140="SK01",VLOOKUP(D140,Clientes!C:I,6,0),VLOOKUP(D140,Clientes!C:I,7,0)))</f>
        <v/>
      </c>
      <c r="I140" s="17" t="str">
        <f>IF(Table1[[#This Row],[Quantidade]]="","",Table1[[#This Row],[Quantidade]]*Table1[[#This Row],[Valor Unitário]])</f>
        <v/>
      </c>
      <c r="J140" s="18" t="str">
        <f>IF(H140="","",IF(B140="SK01",'Produto e Custo de Produção'!$H$2*Table1[[#This Row],[Quantidade]],'Produto e Custo de Produção'!$H$3*Table1[[#This Row],[Quantidade]]))</f>
        <v/>
      </c>
      <c r="K140" s="18" t="str">
        <f>IF(H140="","",IF(B140="SK01",'Produto e Custo de Produção'!$I$2*Table1[[#This Row],[Quantidade]],'Produto e Custo de Produção'!$I$2*Table1[[#This Row],[Quantidade]]))</f>
        <v/>
      </c>
      <c r="L140" s="18" t="str">
        <f t="shared" si="6"/>
        <v/>
      </c>
      <c r="M140" s="18" t="str">
        <f>IF(B140="","",Table1[[#This Row],[Total da Venda]]*0.06)</f>
        <v/>
      </c>
      <c r="N140" s="18"/>
      <c r="O140" s="25"/>
      <c r="P140" s="25"/>
    </row>
    <row r="141" spans="1:16" x14ac:dyDescent="0.25">
      <c r="A141" s="28"/>
      <c r="B141" s="4"/>
      <c r="C141" s="1"/>
      <c r="D141" s="1"/>
      <c r="E141" s="39"/>
      <c r="F141" s="2"/>
      <c r="G141" s="21" t="str">
        <f t="shared" si="5"/>
        <v/>
      </c>
      <c r="H141" s="17" t="str">
        <f>IF(B141="","",IF(B141="SK01",VLOOKUP(D141,Clientes!C:I,6,0),VLOOKUP(D141,Clientes!C:I,7,0)))</f>
        <v/>
      </c>
      <c r="I141" s="17" t="str">
        <f>IF(Table1[[#This Row],[Quantidade]]="","",Table1[[#This Row],[Quantidade]]*Table1[[#This Row],[Valor Unitário]])</f>
        <v/>
      </c>
      <c r="J141" s="18" t="str">
        <f>IF(H141="","",IF(B141="SK01",'Produto e Custo de Produção'!$H$2*Table1[[#This Row],[Quantidade]],'Produto e Custo de Produção'!$H$3*Table1[[#This Row],[Quantidade]]))</f>
        <v/>
      </c>
      <c r="K141" s="18" t="str">
        <f>IF(H141="","",IF(B141="SK01",'Produto e Custo de Produção'!$I$2*Table1[[#This Row],[Quantidade]],'Produto e Custo de Produção'!$I$2*Table1[[#This Row],[Quantidade]]))</f>
        <v/>
      </c>
      <c r="L141" s="18" t="str">
        <f t="shared" si="6"/>
        <v/>
      </c>
      <c r="M141" s="18" t="str">
        <f>IF(B141="","",Table1[[#This Row],[Total da Venda]]*0.06)</f>
        <v/>
      </c>
      <c r="N141" s="18"/>
      <c r="O141" s="25"/>
      <c r="P141" s="25"/>
    </row>
    <row r="142" spans="1:16" x14ac:dyDescent="0.25">
      <c r="A142" s="28"/>
      <c r="B142" s="4"/>
      <c r="C142" s="1"/>
      <c r="D142" s="1"/>
      <c r="E142" s="39"/>
      <c r="F142" s="2"/>
      <c r="G142" s="21" t="str">
        <f t="shared" si="5"/>
        <v/>
      </c>
      <c r="H142" s="17" t="str">
        <f>IF(B142="","",IF(B142="SK01",VLOOKUP(D142,Clientes!C:I,6,0),VLOOKUP(D142,Clientes!C:I,7,0)))</f>
        <v/>
      </c>
      <c r="I142" s="17" t="str">
        <f>IF(Table1[[#This Row],[Quantidade]]="","",Table1[[#This Row],[Quantidade]]*Table1[[#This Row],[Valor Unitário]])</f>
        <v/>
      </c>
      <c r="J142" s="18" t="str">
        <f>IF(H142="","",IF(B142="SK01",'Produto e Custo de Produção'!$H$2*Table1[[#This Row],[Quantidade]],'Produto e Custo de Produção'!$H$3*Table1[[#This Row],[Quantidade]]))</f>
        <v/>
      </c>
      <c r="K142" s="18" t="str">
        <f>IF(H142="","",IF(B142="SK01",'Produto e Custo de Produção'!$I$2*Table1[[#This Row],[Quantidade]],'Produto e Custo de Produção'!$I$2*Table1[[#This Row],[Quantidade]]))</f>
        <v/>
      </c>
      <c r="L142" s="18" t="str">
        <f t="shared" si="6"/>
        <v/>
      </c>
      <c r="M142" s="18" t="str">
        <f>IF(B142="","",Table1[[#This Row],[Total da Venda]]*0.06)</f>
        <v/>
      </c>
      <c r="N142" s="18"/>
      <c r="O142" s="25"/>
      <c r="P142" s="25"/>
    </row>
    <row r="143" spans="1:16" x14ac:dyDescent="0.25">
      <c r="A143" s="28"/>
      <c r="B143" s="4"/>
      <c r="C143" s="1"/>
      <c r="D143" s="1"/>
      <c r="E143" s="39"/>
      <c r="F143" s="2"/>
      <c r="G143" s="21" t="str">
        <f t="shared" si="5"/>
        <v/>
      </c>
      <c r="H143" s="17" t="str">
        <f>IF(B143="","",IF(B143="SK01",VLOOKUP(D143,Clientes!C:I,6,0),VLOOKUP(D143,Clientes!C:I,7,0)))</f>
        <v/>
      </c>
      <c r="I143" s="17" t="str">
        <f>IF(Table1[[#This Row],[Quantidade]]="","",Table1[[#This Row],[Quantidade]]*Table1[[#This Row],[Valor Unitário]])</f>
        <v/>
      </c>
      <c r="J143" s="18" t="str">
        <f>IF(H143="","",IF(B143="SK01",'Produto e Custo de Produção'!$H$2*Table1[[#This Row],[Quantidade]],'Produto e Custo de Produção'!$H$3*Table1[[#This Row],[Quantidade]]))</f>
        <v/>
      </c>
      <c r="K143" s="18" t="str">
        <f>IF(H143="","",IF(B143="SK01",'Produto e Custo de Produção'!$I$2*Table1[[#This Row],[Quantidade]],'Produto e Custo de Produção'!$I$2*Table1[[#This Row],[Quantidade]]))</f>
        <v/>
      </c>
      <c r="L143" s="18" t="str">
        <f t="shared" si="6"/>
        <v/>
      </c>
      <c r="M143" s="18" t="str">
        <f>IF(B143="","",Table1[[#This Row],[Total da Venda]]*0.06)</f>
        <v/>
      </c>
      <c r="N143" s="18"/>
      <c r="O143" s="25"/>
      <c r="P143" s="25"/>
    </row>
    <row r="144" spans="1:16" x14ac:dyDescent="0.25">
      <c r="A144" s="28"/>
      <c r="B144" s="4"/>
      <c r="C144" s="1"/>
      <c r="D144" s="1"/>
      <c r="E144" s="39"/>
      <c r="F144" s="2"/>
      <c r="G144" s="21" t="str">
        <f t="shared" si="5"/>
        <v/>
      </c>
      <c r="H144" s="17" t="str">
        <f>IF(B144="","",IF(B144="SK01",VLOOKUP(D144,Clientes!C:I,6,0),VLOOKUP(D144,Clientes!C:I,7,0)))</f>
        <v/>
      </c>
      <c r="I144" s="17" t="str">
        <f>IF(Table1[[#This Row],[Quantidade]]="","",Table1[[#This Row],[Quantidade]]*Table1[[#This Row],[Valor Unitário]])</f>
        <v/>
      </c>
      <c r="J144" s="18" t="str">
        <f>IF(H144="","",IF(B144="SK01",'Produto e Custo de Produção'!$H$2*Table1[[#This Row],[Quantidade]],'Produto e Custo de Produção'!$H$3*Table1[[#This Row],[Quantidade]]))</f>
        <v/>
      </c>
      <c r="K144" s="18" t="str">
        <f>IF(H144="","",IF(B144="SK01",'Produto e Custo de Produção'!$I$2*Table1[[#This Row],[Quantidade]],'Produto e Custo de Produção'!$I$2*Table1[[#This Row],[Quantidade]]))</f>
        <v/>
      </c>
      <c r="L144" s="18" t="str">
        <f t="shared" si="6"/>
        <v/>
      </c>
      <c r="M144" s="18" t="str">
        <f>IF(B144="","",Table1[[#This Row],[Total da Venda]]*0.06)</f>
        <v/>
      </c>
      <c r="N144" s="18"/>
      <c r="O144" s="25"/>
      <c r="P144" s="25"/>
    </row>
    <row r="145" spans="1:16" x14ac:dyDescent="0.25">
      <c r="A145" s="28"/>
      <c r="B145" s="4"/>
      <c r="C145" s="1"/>
      <c r="D145" s="1"/>
      <c r="E145" s="39"/>
      <c r="F145" s="2"/>
      <c r="G145" s="21" t="str">
        <f t="shared" si="5"/>
        <v/>
      </c>
      <c r="H145" s="17" t="str">
        <f>IF(B145="","",IF(B145="SK01",VLOOKUP(D145,Clientes!C:I,6,0),VLOOKUP(D145,Clientes!C:I,7,0)))</f>
        <v/>
      </c>
      <c r="I145" s="17" t="str">
        <f>IF(Table1[[#This Row],[Quantidade]]="","",Table1[[#This Row],[Quantidade]]*Table1[[#This Row],[Valor Unitário]])</f>
        <v/>
      </c>
      <c r="J145" s="18" t="str">
        <f>IF(H145="","",IF(B145="SK01",'Produto e Custo de Produção'!$H$2*Table1[[#This Row],[Quantidade]],'Produto e Custo de Produção'!$H$3*Table1[[#This Row],[Quantidade]]))</f>
        <v/>
      </c>
      <c r="K145" s="18" t="str">
        <f>IF(H145="","",IF(B145="SK01",'Produto e Custo de Produção'!$I$2*Table1[[#This Row],[Quantidade]],'Produto e Custo de Produção'!$I$2*Table1[[#This Row],[Quantidade]]))</f>
        <v/>
      </c>
      <c r="L145" s="18" t="str">
        <f t="shared" si="6"/>
        <v/>
      </c>
      <c r="M145" s="18" t="str">
        <f>IF(B145="","",Table1[[#This Row],[Total da Venda]]*0.06)</f>
        <v/>
      </c>
      <c r="N145" s="18"/>
      <c r="O145" s="25"/>
      <c r="P145" s="25"/>
    </row>
    <row r="146" spans="1:16" x14ac:dyDescent="0.25">
      <c r="A146" s="28"/>
      <c r="B146" s="4"/>
      <c r="C146" s="1"/>
      <c r="D146" s="1"/>
      <c r="E146" s="39"/>
      <c r="F146" s="2"/>
      <c r="G146" s="21" t="str">
        <f t="shared" si="5"/>
        <v/>
      </c>
      <c r="H146" s="17" t="str">
        <f>IF(B146="","",IF(B146="SK01",VLOOKUP(D146,Clientes!C:I,6,0),VLOOKUP(D146,Clientes!C:I,7,0)))</f>
        <v/>
      </c>
      <c r="I146" s="17" t="str">
        <f>IF(Table1[[#This Row],[Quantidade]]="","",Table1[[#This Row],[Quantidade]]*Table1[[#This Row],[Valor Unitário]])</f>
        <v/>
      </c>
      <c r="J146" s="18" t="str">
        <f>IF(H146="","",IF(B146="SK01",'Produto e Custo de Produção'!$H$2*Table1[[#This Row],[Quantidade]],'Produto e Custo de Produção'!$H$3*Table1[[#This Row],[Quantidade]]))</f>
        <v/>
      </c>
      <c r="K146" s="18" t="str">
        <f>IF(H146="","",IF(B146="SK01",'Produto e Custo de Produção'!$I$2*Table1[[#This Row],[Quantidade]],'Produto e Custo de Produção'!$I$2*Table1[[#This Row],[Quantidade]]))</f>
        <v/>
      </c>
      <c r="L146" s="18" t="str">
        <f t="shared" si="6"/>
        <v/>
      </c>
      <c r="M146" s="18" t="str">
        <f>IF(B146="","",Table1[[#This Row],[Total da Venda]]*0.06)</f>
        <v/>
      </c>
      <c r="N146" s="18"/>
      <c r="O146" s="25"/>
      <c r="P146" s="25"/>
    </row>
    <row r="147" spans="1:16" x14ac:dyDescent="0.25">
      <c r="A147" s="28"/>
      <c r="B147" s="4"/>
      <c r="C147" s="1"/>
      <c r="D147" s="1"/>
      <c r="E147" s="39"/>
      <c r="F147" s="2"/>
      <c r="G147" s="21" t="str">
        <f t="shared" si="5"/>
        <v/>
      </c>
      <c r="H147" s="17" t="str">
        <f>IF(B147="","",IF(B147="SK01",VLOOKUP(D147,Clientes!C:I,6,0),VLOOKUP(D147,Clientes!C:I,7,0)))</f>
        <v/>
      </c>
      <c r="I147" s="17" t="str">
        <f>IF(Table1[[#This Row],[Quantidade]]="","",Table1[[#This Row],[Quantidade]]*Table1[[#This Row],[Valor Unitário]])</f>
        <v/>
      </c>
      <c r="J147" s="18" t="str">
        <f>IF(H147="","",IF(B147="SK01",'Produto e Custo de Produção'!$H$2*Table1[[#This Row],[Quantidade]],'Produto e Custo de Produção'!$H$3*Table1[[#This Row],[Quantidade]]))</f>
        <v/>
      </c>
      <c r="K147" s="18" t="str">
        <f>IF(H147="","",IF(B147="SK01",'Produto e Custo de Produção'!$I$2*Table1[[#This Row],[Quantidade]],'Produto e Custo de Produção'!$I$2*Table1[[#This Row],[Quantidade]]))</f>
        <v/>
      </c>
      <c r="L147" s="18" t="str">
        <f t="shared" si="6"/>
        <v/>
      </c>
      <c r="M147" s="18" t="str">
        <f>IF(B147="","",Table1[[#This Row],[Total da Venda]]*0.06)</f>
        <v/>
      </c>
      <c r="N147" s="18"/>
      <c r="O147" s="25"/>
      <c r="P147" s="25"/>
    </row>
    <row r="148" spans="1:16" x14ac:dyDescent="0.25">
      <c r="A148" s="28"/>
      <c r="B148" s="4"/>
      <c r="C148" s="1"/>
      <c r="D148" s="1"/>
      <c r="E148" s="39"/>
      <c r="F148" s="2"/>
      <c r="G148" s="21" t="str">
        <f t="shared" si="5"/>
        <v/>
      </c>
      <c r="H148" s="17" t="str">
        <f>IF(B148="","",IF(B148="SK01",VLOOKUP(D148,Clientes!C:I,6,0),VLOOKUP(D148,Clientes!C:I,7,0)))</f>
        <v/>
      </c>
      <c r="I148" s="17" t="str">
        <f>IF(Table1[[#This Row],[Quantidade]]="","",Table1[[#This Row],[Quantidade]]*Table1[[#This Row],[Valor Unitário]])</f>
        <v/>
      </c>
      <c r="J148" s="18" t="str">
        <f>IF(H148="","",IF(B148="SK01",'Produto e Custo de Produção'!$H$2*Table1[[#This Row],[Quantidade]],'Produto e Custo de Produção'!$H$3*Table1[[#This Row],[Quantidade]]))</f>
        <v/>
      </c>
      <c r="K148" s="18" t="str">
        <f>IF(H148="","",IF(B148="SK01",'Produto e Custo de Produção'!$I$2*Table1[[#This Row],[Quantidade]],'Produto e Custo de Produção'!$I$2*Table1[[#This Row],[Quantidade]]))</f>
        <v/>
      </c>
      <c r="L148" s="18" t="str">
        <f t="shared" si="6"/>
        <v/>
      </c>
      <c r="M148" s="18" t="str">
        <f>IF(B148="","",Table1[[#This Row],[Total da Venda]]*0.06)</f>
        <v/>
      </c>
      <c r="N148" s="18"/>
      <c r="O148" s="25"/>
      <c r="P148" s="25"/>
    </row>
    <row r="149" spans="1:16" x14ac:dyDescent="0.25">
      <c r="A149" s="28"/>
      <c r="B149" s="4"/>
      <c r="C149" s="1"/>
      <c r="D149" s="1"/>
      <c r="E149" s="39"/>
      <c r="F149" s="2"/>
      <c r="G149" s="21" t="str">
        <f t="shared" si="5"/>
        <v/>
      </c>
      <c r="H149" s="17" t="str">
        <f>IF(B149="","",IF(B149="SK01",VLOOKUP(D149,Clientes!C:I,6,0),VLOOKUP(D149,Clientes!C:I,7,0)))</f>
        <v/>
      </c>
      <c r="I149" s="17" t="str">
        <f>IF(Table1[[#This Row],[Quantidade]]="","",Table1[[#This Row],[Quantidade]]*Table1[[#This Row],[Valor Unitário]])</f>
        <v/>
      </c>
      <c r="J149" s="18" t="str">
        <f>IF(H149="","",IF(B149="SK01",'Produto e Custo de Produção'!$H$2*Table1[[#This Row],[Quantidade]],'Produto e Custo de Produção'!$H$3*Table1[[#This Row],[Quantidade]]))</f>
        <v/>
      </c>
      <c r="K149" s="18" t="str">
        <f>IF(H149="","",IF(B149="SK01",'Produto e Custo de Produção'!$I$2*Table1[[#This Row],[Quantidade]],'Produto e Custo de Produção'!$I$2*Table1[[#This Row],[Quantidade]]))</f>
        <v/>
      </c>
      <c r="L149" s="18" t="str">
        <f t="shared" si="6"/>
        <v/>
      </c>
      <c r="M149" s="18" t="str">
        <f>IF(B149="","",Table1[[#This Row],[Total da Venda]]*0.06)</f>
        <v/>
      </c>
      <c r="N149" s="18"/>
      <c r="O149" s="25"/>
      <c r="P149" s="25"/>
    </row>
    <row r="150" spans="1:16" x14ac:dyDescent="0.25">
      <c r="A150" s="28"/>
      <c r="B150" s="4"/>
      <c r="C150" s="1"/>
      <c r="D150" s="1"/>
      <c r="E150" s="39"/>
      <c r="F150" s="2"/>
      <c r="G150" s="21" t="str">
        <f t="shared" si="5"/>
        <v/>
      </c>
      <c r="H150" s="17" t="str">
        <f>IF(B150="","",IF(B150="SK01",VLOOKUP(D150,Clientes!C:I,6,0),VLOOKUP(D150,Clientes!C:I,7,0)))</f>
        <v/>
      </c>
      <c r="I150" s="17" t="str">
        <f>IF(Table1[[#This Row],[Quantidade]]="","",Table1[[#This Row],[Quantidade]]*Table1[[#This Row],[Valor Unitário]])</f>
        <v/>
      </c>
      <c r="J150" s="18" t="str">
        <f>IF(H150="","",IF(B150="SK01",'Produto e Custo de Produção'!$H$2*Table1[[#This Row],[Quantidade]],'Produto e Custo de Produção'!$H$3*Table1[[#This Row],[Quantidade]]))</f>
        <v/>
      </c>
      <c r="K150" s="18" t="str">
        <f>IF(H150="","",IF(B150="SK01",'Produto e Custo de Produção'!$I$2*Table1[[#This Row],[Quantidade]],'Produto e Custo de Produção'!$I$2*Table1[[#This Row],[Quantidade]]))</f>
        <v/>
      </c>
      <c r="L150" s="18" t="str">
        <f t="shared" si="6"/>
        <v/>
      </c>
      <c r="M150" s="18" t="str">
        <f>IF(B150="","",Table1[[#This Row],[Total da Venda]]*0.06)</f>
        <v/>
      </c>
      <c r="N150" s="18"/>
      <c r="O150" s="25"/>
      <c r="P150" s="25"/>
    </row>
    <row r="151" spans="1:16" x14ac:dyDescent="0.25">
      <c r="A151" s="28"/>
      <c r="B151" s="4"/>
      <c r="C151" s="1"/>
      <c r="D151" s="1"/>
      <c r="E151" s="39"/>
      <c r="F151" s="2"/>
      <c r="G151" s="21" t="str">
        <f t="shared" si="5"/>
        <v/>
      </c>
      <c r="H151" s="17" t="str">
        <f>IF(B151="","",IF(B151="SK01",VLOOKUP(D151,Clientes!C:I,6,0),VLOOKUP(D151,Clientes!C:I,7,0)))</f>
        <v/>
      </c>
      <c r="I151" s="17" t="str">
        <f>IF(Table1[[#This Row],[Quantidade]]="","",Table1[[#This Row],[Quantidade]]*Table1[[#This Row],[Valor Unitário]])</f>
        <v/>
      </c>
      <c r="J151" s="18" t="str">
        <f>IF(H151="","",IF(B151="SK01",'Produto e Custo de Produção'!$H$2*Table1[[#This Row],[Quantidade]],'Produto e Custo de Produção'!$H$3*Table1[[#This Row],[Quantidade]]))</f>
        <v/>
      </c>
      <c r="K151" s="18" t="str">
        <f>IF(H151="","",IF(B151="SK01",'Produto e Custo de Produção'!$I$2*Table1[[#This Row],[Quantidade]],'Produto e Custo de Produção'!$I$2*Table1[[#This Row],[Quantidade]]))</f>
        <v/>
      </c>
      <c r="L151" s="18" t="str">
        <f t="shared" si="6"/>
        <v/>
      </c>
      <c r="M151" s="18" t="str">
        <f>IF(B151="","",Table1[[#This Row],[Total da Venda]]*0.06)</f>
        <v/>
      </c>
      <c r="N151" s="18"/>
      <c r="O151" s="25"/>
      <c r="P151" s="25"/>
    </row>
    <row r="152" spans="1:16" x14ac:dyDescent="0.25">
      <c r="A152" s="28"/>
      <c r="B152" s="4"/>
      <c r="C152" s="1"/>
      <c r="D152" s="1"/>
      <c r="E152" s="39"/>
      <c r="F152" s="2"/>
      <c r="G152" s="21" t="str">
        <f t="shared" si="5"/>
        <v/>
      </c>
      <c r="H152" s="17" t="str">
        <f>IF(B152="","",IF(B152="SK01",VLOOKUP(D152,Clientes!C:I,6,0),VLOOKUP(D152,Clientes!C:I,7,0)))</f>
        <v/>
      </c>
      <c r="I152" s="17" t="str">
        <f>IF(Table1[[#This Row],[Quantidade]]="","",Table1[[#This Row],[Quantidade]]*Table1[[#This Row],[Valor Unitário]])</f>
        <v/>
      </c>
      <c r="J152" s="18" t="str">
        <f>IF(H152="","",IF(B152="SK01",'Produto e Custo de Produção'!$H$2*Table1[[#This Row],[Quantidade]],'Produto e Custo de Produção'!$H$3*Table1[[#This Row],[Quantidade]]))</f>
        <v/>
      </c>
      <c r="K152" s="18" t="str">
        <f>IF(H152="","",IF(B152="SK01",'Produto e Custo de Produção'!$I$2*Table1[[#This Row],[Quantidade]],'Produto e Custo de Produção'!$I$2*Table1[[#This Row],[Quantidade]]))</f>
        <v/>
      </c>
      <c r="L152" s="18" t="str">
        <f t="shared" si="6"/>
        <v/>
      </c>
      <c r="M152" s="18" t="str">
        <f>IF(B152="","",Table1[[#This Row],[Total da Venda]]*0.06)</f>
        <v/>
      </c>
      <c r="N152" s="18"/>
      <c r="O152" s="25"/>
      <c r="P152" s="25"/>
    </row>
    <row r="153" spans="1:16" x14ac:dyDescent="0.25">
      <c r="A153" s="28"/>
      <c r="B153" s="4"/>
      <c r="C153" s="1"/>
      <c r="D153" s="1"/>
      <c r="E153" s="39"/>
      <c r="F153" s="2"/>
      <c r="G153" s="21" t="str">
        <f t="shared" si="5"/>
        <v/>
      </c>
      <c r="H153" s="17" t="str">
        <f>IF(B153="","",IF(B153="SK01",VLOOKUP(D153,Clientes!C:I,6,0),VLOOKUP(D153,Clientes!C:I,7,0)))</f>
        <v/>
      </c>
      <c r="I153" s="17" t="str">
        <f>IF(Table1[[#This Row],[Quantidade]]="","",Table1[[#This Row],[Quantidade]]*Table1[[#This Row],[Valor Unitário]])</f>
        <v/>
      </c>
      <c r="J153" s="18" t="str">
        <f>IF(H153="","",IF(B153="SK01",'Produto e Custo de Produção'!$H$2*Table1[[#This Row],[Quantidade]],'Produto e Custo de Produção'!$H$3*Table1[[#This Row],[Quantidade]]))</f>
        <v/>
      </c>
      <c r="K153" s="18" t="str">
        <f>IF(H153="","",IF(B153="SK01",'Produto e Custo de Produção'!$I$2*Table1[[#This Row],[Quantidade]],'Produto e Custo de Produção'!$I$2*Table1[[#This Row],[Quantidade]]))</f>
        <v/>
      </c>
      <c r="L153" s="18" t="str">
        <f t="shared" si="6"/>
        <v/>
      </c>
      <c r="M153" s="18" t="str">
        <f>IF(B153="","",Table1[[#This Row],[Total da Venda]]*0.06)</f>
        <v/>
      </c>
      <c r="N153" s="18"/>
      <c r="O153" s="25"/>
      <c r="P153" s="25"/>
    </row>
    <row r="154" spans="1:16" x14ac:dyDescent="0.25">
      <c r="A154" s="28"/>
      <c r="B154" s="4"/>
      <c r="C154" s="1"/>
      <c r="D154" s="1"/>
      <c r="E154" s="39"/>
      <c r="F154" s="2"/>
      <c r="G154" s="21" t="str">
        <f t="shared" si="5"/>
        <v/>
      </c>
      <c r="H154" s="17" t="str">
        <f>IF(B154="","",IF(B154="SK01",VLOOKUP(D154,Clientes!C:I,6,0),VLOOKUP(D154,Clientes!C:I,7,0)))</f>
        <v/>
      </c>
      <c r="I154" s="17" t="str">
        <f>IF(Table1[[#This Row],[Quantidade]]="","",Table1[[#This Row],[Quantidade]]*Table1[[#This Row],[Valor Unitário]])</f>
        <v/>
      </c>
      <c r="J154" s="18" t="str">
        <f>IF(H154="","",IF(B154="SK01",'Produto e Custo de Produção'!$H$2*Table1[[#This Row],[Quantidade]],'Produto e Custo de Produção'!$H$3*Table1[[#This Row],[Quantidade]]))</f>
        <v/>
      </c>
      <c r="K154" s="18" t="str">
        <f>IF(H154="","",IF(B154="SK01",'Produto e Custo de Produção'!$I$2*Table1[[#This Row],[Quantidade]],'Produto e Custo de Produção'!$I$2*Table1[[#This Row],[Quantidade]]))</f>
        <v/>
      </c>
      <c r="L154" s="18" t="str">
        <f t="shared" si="6"/>
        <v/>
      </c>
      <c r="M154" s="18" t="str">
        <f>IF(B154="","",Table1[[#This Row],[Total da Venda]]*0.06)</f>
        <v/>
      </c>
      <c r="N154" s="18"/>
      <c r="O154" s="25"/>
      <c r="P154" s="25"/>
    </row>
    <row r="155" spans="1:16" x14ac:dyDescent="0.25">
      <c r="A155" s="28"/>
      <c r="B155" s="4"/>
      <c r="C155" s="1"/>
      <c r="D155" s="1"/>
      <c r="E155" s="39"/>
      <c r="F155" s="2"/>
      <c r="G155" s="21" t="str">
        <f t="shared" si="5"/>
        <v/>
      </c>
      <c r="H155" s="17" t="str">
        <f>IF(B155="","",IF(B155="SK01",VLOOKUP(D155,Clientes!C:I,6,0),VLOOKUP(D155,Clientes!C:I,7,0)))</f>
        <v/>
      </c>
      <c r="I155" s="17" t="str">
        <f>IF(Table1[[#This Row],[Quantidade]]="","",Table1[[#This Row],[Quantidade]]*Table1[[#This Row],[Valor Unitário]])</f>
        <v/>
      </c>
      <c r="J155" s="18" t="str">
        <f>IF(H155="","",IF(B155="SK01",'Produto e Custo de Produção'!$H$2*Table1[[#This Row],[Quantidade]],'Produto e Custo de Produção'!$H$3*Table1[[#This Row],[Quantidade]]))</f>
        <v/>
      </c>
      <c r="K155" s="18" t="str">
        <f>IF(H155="","",IF(B155="SK01",'Produto e Custo de Produção'!$I$2*Table1[[#This Row],[Quantidade]],'Produto e Custo de Produção'!$I$2*Table1[[#This Row],[Quantidade]]))</f>
        <v/>
      </c>
      <c r="L155" s="18" t="str">
        <f t="shared" si="6"/>
        <v/>
      </c>
      <c r="M155" s="18" t="str">
        <f>IF(B155="","",Table1[[#This Row],[Total da Venda]]*0.06)</f>
        <v/>
      </c>
      <c r="N155" s="18"/>
      <c r="O155" s="25"/>
      <c r="P155" s="25"/>
    </row>
    <row r="156" spans="1:16" x14ac:dyDescent="0.25">
      <c r="A156" s="28"/>
      <c r="B156" s="4"/>
      <c r="C156" s="1"/>
      <c r="D156" s="1"/>
      <c r="E156" s="39"/>
      <c r="F156" s="2"/>
      <c r="G156" s="21" t="str">
        <f t="shared" si="5"/>
        <v/>
      </c>
      <c r="H156" s="17" t="str">
        <f>IF(B156="","",IF(B156="SK01",VLOOKUP(D156,Clientes!C:I,6,0),VLOOKUP(D156,Clientes!C:I,7,0)))</f>
        <v/>
      </c>
      <c r="I156" s="17" t="str">
        <f>IF(Table1[[#This Row],[Quantidade]]="","",Table1[[#This Row],[Quantidade]]*Table1[[#This Row],[Valor Unitário]])</f>
        <v/>
      </c>
      <c r="J156" s="18" t="str">
        <f>IF(H156="","",IF(B156="SK01",'Produto e Custo de Produção'!$H$2*Table1[[#This Row],[Quantidade]],'Produto e Custo de Produção'!$H$3*Table1[[#This Row],[Quantidade]]))</f>
        <v/>
      </c>
      <c r="K156" s="18" t="str">
        <f>IF(H156="","",IF(B156="SK01",'Produto e Custo de Produção'!$I$2*Table1[[#This Row],[Quantidade]],'Produto e Custo de Produção'!$I$2*Table1[[#This Row],[Quantidade]]))</f>
        <v/>
      </c>
      <c r="L156" s="18" t="str">
        <f t="shared" si="6"/>
        <v/>
      </c>
      <c r="M156" s="18" t="str">
        <f>IF(B156="","",Table1[[#This Row],[Total da Venda]]*0.06)</f>
        <v/>
      </c>
      <c r="N156" s="18"/>
      <c r="O156" s="25"/>
      <c r="P156" s="25"/>
    </row>
    <row r="157" spans="1:16" x14ac:dyDescent="0.25">
      <c r="A157" s="28"/>
      <c r="B157" s="4"/>
      <c r="C157" s="1"/>
      <c r="D157" s="1"/>
      <c r="E157" s="39"/>
      <c r="F157" s="2"/>
      <c r="G157" s="21" t="str">
        <f t="shared" si="5"/>
        <v/>
      </c>
      <c r="H157" s="17" t="str">
        <f>IF(B157="","",IF(B157="SK01",VLOOKUP(D157,Clientes!C:I,6,0),VLOOKUP(D157,Clientes!C:I,7,0)))</f>
        <v/>
      </c>
      <c r="I157" s="17" t="str">
        <f>IF(Table1[[#This Row],[Quantidade]]="","",Table1[[#This Row],[Quantidade]]*Table1[[#This Row],[Valor Unitário]])</f>
        <v/>
      </c>
      <c r="J157" s="18" t="str">
        <f>IF(H157="","",IF(B157="SK01",'Produto e Custo de Produção'!$H$2*Table1[[#This Row],[Quantidade]],'Produto e Custo de Produção'!$H$3*Table1[[#This Row],[Quantidade]]))</f>
        <v/>
      </c>
      <c r="K157" s="18" t="str">
        <f>IF(H157="","",IF(B157="SK01",'Produto e Custo de Produção'!$I$2*Table1[[#This Row],[Quantidade]],'Produto e Custo de Produção'!$I$2*Table1[[#This Row],[Quantidade]]))</f>
        <v/>
      </c>
      <c r="L157" s="18" t="str">
        <f t="shared" si="6"/>
        <v/>
      </c>
      <c r="M157" s="18" t="str">
        <f>IF(B157="","",Table1[[#This Row],[Total da Venda]]*0.06)</f>
        <v/>
      </c>
      <c r="N157" s="18"/>
      <c r="O157" s="25"/>
      <c r="P157" s="25"/>
    </row>
    <row r="158" spans="1:16" x14ac:dyDescent="0.25">
      <c r="A158" s="28"/>
      <c r="B158" s="4"/>
      <c r="C158" s="1"/>
      <c r="D158" s="1"/>
      <c r="E158" s="39"/>
      <c r="F158" s="2"/>
      <c r="G158" s="21" t="str">
        <f t="shared" si="5"/>
        <v/>
      </c>
      <c r="H158" s="17" t="str">
        <f>IF(B158="","",IF(B158="SK01",VLOOKUP(D158,Clientes!C:I,6,0),VLOOKUP(D158,Clientes!C:I,7,0)))</f>
        <v/>
      </c>
      <c r="I158" s="17" t="str">
        <f>IF(Table1[[#This Row],[Quantidade]]="","",Table1[[#This Row],[Quantidade]]*Table1[[#This Row],[Valor Unitário]])</f>
        <v/>
      </c>
      <c r="J158" s="18" t="str">
        <f>IF(H158="","",IF(B158="SK01",'Produto e Custo de Produção'!$H$2*Table1[[#This Row],[Quantidade]],'Produto e Custo de Produção'!$H$3*Table1[[#This Row],[Quantidade]]))</f>
        <v/>
      </c>
      <c r="K158" s="18" t="str">
        <f>IF(H158="","",IF(B158="SK01",'Produto e Custo de Produção'!$I$2*Table1[[#This Row],[Quantidade]],'Produto e Custo de Produção'!$I$2*Table1[[#This Row],[Quantidade]]))</f>
        <v/>
      </c>
      <c r="L158" s="18" t="str">
        <f t="shared" si="6"/>
        <v/>
      </c>
      <c r="M158" s="18" t="str">
        <f>IF(B158="","",Table1[[#This Row],[Total da Venda]]*0.06)</f>
        <v/>
      </c>
      <c r="N158" s="18"/>
      <c r="O158" s="25"/>
      <c r="P158" s="25"/>
    </row>
    <row r="159" spans="1:16" x14ac:dyDescent="0.25">
      <c r="A159" s="28"/>
      <c r="B159" s="4"/>
      <c r="C159" s="1"/>
      <c r="D159" s="1"/>
      <c r="E159" s="39"/>
      <c r="F159" s="2"/>
      <c r="G159" s="21" t="str">
        <f t="shared" si="5"/>
        <v/>
      </c>
      <c r="H159" s="17" t="str">
        <f>IF(B159="","",IF(B159="SK01",VLOOKUP(D159,Clientes!C:I,6,0),VLOOKUP(D159,Clientes!C:I,7,0)))</f>
        <v/>
      </c>
      <c r="I159" s="17" t="str">
        <f>IF(Table1[[#This Row],[Quantidade]]="","",Table1[[#This Row],[Quantidade]]*Table1[[#This Row],[Valor Unitário]])</f>
        <v/>
      </c>
      <c r="J159" s="18" t="str">
        <f>IF(H159="","",IF(B159="SK01",'Produto e Custo de Produção'!$H$2*Table1[[#This Row],[Quantidade]],'Produto e Custo de Produção'!$H$3*Table1[[#This Row],[Quantidade]]))</f>
        <v/>
      </c>
      <c r="K159" s="18" t="str">
        <f>IF(H159="","",IF(B159="SK01",'Produto e Custo de Produção'!$I$2*Table1[[#This Row],[Quantidade]],'Produto e Custo de Produção'!$I$2*Table1[[#This Row],[Quantidade]]))</f>
        <v/>
      </c>
      <c r="L159" s="18" t="str">
        <f t="shared" si="6"/>
        <v/>
      </c>
      <c r="M159" s="18" t="str">
        <f>IF(B159="","",Table1[[#This Row],[Total da Venda]]*0.06)</f>
        <v/>
      </c>
      <c r="N159" s="18"/>
      <c r="O159" s="25"/>
      <c r="P159" s="25"/>
    </row>
    <row r="160" spans="1:16" x14ac:dyDescent="0.25">
      <c r="A160" s="28"/>
      <c r="B160" s="4"/>
      <c r="C160" s="1"/>
      <c r="D160" s="1"/>
      <c r="E160" s="39"/>
      <c r="F160" s="2"/>
      <c r="G160" s="21" t="str">
        <f t="shared" si="5"/>
        <v/>
      </c>
      <c r="H160" s="17" t="str">
        <f>IF(B160="","",IF(B160="SK01",VLOOKUP(D160,Clientes!C:I,6,0),VLOOKUP(D160,Clientes!C:I,7,0)))</f>
        <v/>
      </c>
      <c r="I160" s="17" t="str">
        <f>IF(Table1[[#This Row],[Quantidade]]="","",Table1[[#This Row],[Quantidade]]*Table1[[#This Row],[Valor Unitário]])</f>
        <v/>
      </c>
      <c r="J160" s="18" t="str">
        <f>IF(H160="","",IF(B160="SK01",'Produto e Custo de Produção'!$H$2*Table1[[#This Row],[Quantidade]],'Produto e Custo de Produção'!$H$3*Table1[[#This Row],[Quantidade]]))</f>
        <v/>
      </c>
      <c r="K160" s="18" t="str">
        <f>IF(H160="","",IF(B160="SK01",'Produto e Custo de Produção'!$I$2*Table1[[#This Row],[Quantidade]],'Produto e Custo de Produção'!$I$2*Table1[[#This Row],[Quantidade]]))</f>
        <v/>
      </c>
      <c r="L160" s="18" t="str">
        <f t="shared" si="6"/>
        <v/>
      </c>
      <c r="M160" s="18" t="str">
        <f>IF(B160="","",Table1[[#This Row],[Total da Venda]]*0.06)</f>
        <v/>
      </c>
      <c r="N160" s="18"/>
      <c r="O160" s="25"/>
      <c r="P160" s="25"/>
    </row>
    <row r="161" spans="1:16" x14ac:dyDescent="0.25">
      <c r="A161" s="28"/>
      <c r="B161" s="4"/>
      <c r="C161" s="1"/>
      <c r="D161" s="1"/>
      <c r="E161" s="39"/>
      <c r="F161" s="2"/>
      <c r="G161" s="21" t="str">
        <f t="shared" si="5"/>
        <v/>
      </c>
      <c r="H161" s="17" t="str">
        <f>IF(B161="","",IF(B161="SK01",VLOOKUP(D161,Clientes!C:I,6,0),VLOOKUP(D161,Clientes!C:I,7,0)))</f>
        <v/>
      </c>
      <c r="I161" s="17" t="str">
        <f>IF(Table1[[#This Row],[Quantidade]]="","",Table1[[#This Row],[Quantidade]]*Table1[[#This Row],[Valor Unitário]])</f>
        <v/>
      </c>
      <c r="J161" s="18" t="str">
        <f>IF(H161="","",IF(B161="SK01",'Produto e Custo de Produção'!$H$2*Table1[[#This Row],[Quantidade]],'Produto e Custo de Produção'!$H$3*Table1[[#This Row],[Quantidade]]))</f>
        <v/>
      </c>
      <c r="K161" s="18" t="str">
        <f>IF(H161="","",IF(B161="SK01",'Produto e Custo de Produção'!$I$2*Table1[[#This Row],[Quantidade]],'Produto e Custo de Produção'!$I$2*Table1[[#This Row],[Quantidade]]))</f>
        <v/>
      </c>
      <c r="L161" s="18" t="str">
        <f t="shared" si="6"/>
        <v/>
      </c>
      <c r="M161" s="18" t="str">
        <f>IF(B161="","",Table1[[#This Row],[Total da Venda]]*0.06)</f>
        <v/>
      </c>
      <c r="N161" s="18"/>
      <c r="O161" s="25"/>
      <c r="P161" s="25"/>
    </row>
    <row r="162" spans="1:16" x14ac:dyDescent="0.25">
      <c r="A162" s="28"/>
      <c r="B162" s="4"/>
      <c r="C162" s="1"/>
      <c r="D162" s="1"/>
      <c r="E162" s="39"/>
      <c r="F162" s="2"/>
      <c r="G162" s="21" t="str">
        <f t="shared" si="5"/>
        <v/>
      </c>
      <c r="H162" s="17" t="str">
        <f>IF(B162="","",IF(B162="SK01",VLOOKUP(D162,Clientes!C:I,6,0),VLOOKUP(D162,Clientes!C:I,7,0)))</f>
        <v/>
      </c>
      <c r="I162" s="17" t="str">
        <f>IF(Table1[[#This Row],[Quantidade]]="","",Table1[[#This Row],[Quantidade]]*Table1[[#This Row],[Valor Unitário]])</f>
        <v/>
      </c>
      <c r="J162" s="18" t="str">
        <f>IF(H162="","",IF(B162="SK01",'Produto e Custo de Produção'!$H$2*Table1[[#This Row],[Quantidade]],'Produto e Custo de Produção'!$H$3*Table1[[#This Row],[Quantidade]]))</f>
        <v/>
      </c>
      <c r="K162" s="18" t="str">
        <f>IF(H162="","",IF(B162="SK01",'Produto e Custo de Produção'!$I$2*Table1[[#This Row],[Quantidade]],'Produto e Custo de Produção'!$I$2*Table1[[#This Row],[Quantidade]]))</f>
        <v/>
      </c>
      <c r="L162" s="18" t="str">
        <f t="shared" si="6"/>
        <v/>
      </c>
      <c r="M162" s="18" t="str">
        <f>IF(B162="","",Table1[[#This Row],[Total da Venda]]*0.06)</f>
        <v/>
      </c>
      <c r="N162" s="18"/>
      <c r="O162" s="25"/>
      <c r="P162" s="25"/>
    </row>
    <row r="163" spans="1:16" x14ac:dyDescent="0.25">
      <c r="A163" s="28"/>
      <c r="B163" s="4"/>
      <c r="C163" s="1"/>
      <c r="D163" s="1"/>
      <c r="E163" s="39"/>
      <c r="F163" s="2"/>
      <c r="G163" s="21" t="str">
        <f t="shared" si="5"/>
        <v/>
      </c>
      <c r="H163" s="17" t="str">
        <f>IF(B163="","",IF(B163="SK01",VLOOKUP(D163,Clientes!C:I,6,0),VLOOKUP(D163,Clientes!C:I,7,0)))</f>
        <v/>
      </c>
      <c r="I163" s="17" t="str">
        <f>IF(Table1[[#This Row],[Quantidade]]="","",Table1[[#This Row],[Quantidade]]*Table1[[#This Row],[Valor Unitário]])</f>
        <v/>
      </c>
      <c r="J163" s="18" t="str">
        <f>IF(H163="","",IF(B163="SK01",'Produto e Custo de Produção'!$H$2*Table1[[#This Row],[Quantidade]],'Produto e Custo de Produção'!$H$3*Table1[[#This Row],[Quantidade]]))</f>
        <v/>
      </c>
      <c r="K163" s="18" t="str">
        <f>IF(H163="","",IF(B163="SK01",'Produto e Custo de Produção'!$I$2*Table1[[#This Row],[Quantidade]],'Produto e Custo de Produção'!$I$2*Table1[[#This Row],[Quantidade]]))</f>
        <v/>
      </c>
      <c r="L163" s="18" t="str">
        <f t="shared" si="6"/>
        <v/>
      </c>
      <c r="M163" s="18" t="str">
        <f>IF(B163="","",Table1[[#This Row],[Total da Venda]]*0.06)</f>
        <v/>
      </c>
      <c r="N163" s="18"/>
      <c r="O163" s="25"/>
      <c r="P163" s="25"/>
    </row>
    <row r="164" spans="1:16" x14ac:dyDescent="0.25">
      <c r="A164" s="28"/>
      <c r="B164" s="4"/>
      <c r="C164" s="1"/>
      <c r="D164" s="1"/>
      <c r="E164" s="39"/>
      <c r="F164" s="2"/>
      <c r="G164" s="21" t="str">
        <f t="shared" si="5"/>
        <v/>
      </c>
      <c r="H164" s="17" t="str">
        <f>IF(B164="","",IF(B164="SK01",VLOOKUP(D164,Clientes!C:I,6,0),VLOOKUP(D164,Clientes!C:I,7,0)))</f>
        <v/>
      </c>
      <c r="I164" s="17" t="str">
        <f>IF(Table1[[#This Row],[Quantidade]]="","",Table1[[#This Row],[Quantidade]]*Table1[[#This Row],[Valor Unitário]])</f>
        <v/>
      </c>
      <c r="J164" s="18" t="str">
        <f>IF(H164="","",IF(B164="SK01",'Produto e Custo de Produção'!$H$2*Table1[[#This Row],[Quantidade]],'Produto e Custo de Produção'!$H$3*Table1[[#This Row],[Quantidade]]))</f>
        <v/>
      </c>
      <c r="K164" s="18" t="str">
        <f>IF(H164="","",IF(B164="SK01",'Produto e Custo de Produção'!$I$2*Table1[[#This Row],[Quantidade]],'Produto e Custo de Produção'!$I$2*Table1[[#This Row],[Quantidade]]))</f>
        <v/>
      </c>
      <c r="L164" s="18" t="str">
        <f t="shared" si="6"/>
        <v/>
      </c>
      <c r="M164" s="18" t="str">
        <f>IF(B164="","",Table1[[#This Row],[Total da Venda]]*0.06)</f>
        <v/>
      </c>
      <c r="N164" s="18"/>
      <c r="O164" s="25"/>
      <c r="P164" s="25"/>
    </row>
    <row r="165" spans="1:16" x14ac:dyDescent="0.25">
      <c r="A165" s="28"/>
      <c r="B165" s="4"/>
      <c r="C165" s="1"/>
      <c r="D165" s="1"/>
      <c r="E165" s="39"/>
      <c r="F165" s="2"/>
      <c r="G165" s="21" t="str">
        <f t="shared" si="5"/>
        <v/>
      </c>
      <c r="H165" s="17" t="str">
        <f>IF(B165="","",IF(B165="SK01",VLOOKUP(D165,Clientes!C:I,6,0),VLOOKUP(D165,Clientes!C:I,7,0)))</f>
        <v/>
      </c>
      <c r="I165" s="17" t="str">
        <f>IF(Table1[[#This Row],[Quantidade]]="","",Table1[[#This Row],[Quantidade]]*Table1[[#This Row],[Valor Unitário]])</f>
        <v/>
      </c>
      <c r="J165" s="18" t="str">
        <f>IF(H165="","",IF(B165="SK01",'Produto e Custo de Produção'!$H$2*Table1[[#This Row],[Quantidade]],'Produto e Custo de Produção'!$H$3*Table1[[#This Row],[Quantidade]]))</f>
        <v/>
      </c>
      <c r="K165" s="18" t="str">
        <f>IF(H165="","",IF(B165="SK01",'Produto e Custo de Produção'!$I$2*Table1[[#This Row],[Quantidade]],'Produto e Custo de Produção'!$I$2*Table1[[#This Row],[Quantidade]]))</f>
        <v/>
      </c>
      <c r="L165" s="18" t="str">
        <f t="shared" si="6"/>
        <v/>
      </c>
      <c r="M165" s="18" t="str">
        <f>IF(B165="","",Table1[[#This Row],[Total da Venda]]*0.06)</f>
        <v/>
      </c>
      <c r="N165" s="18"/>
      <c r="O165" s="25"/>
      <c r="P165" s="25"/>
    </row>
    <row r="166" spans="1:16" x14ac:dyDescent="0.25">
      <c r="A166" s="28"/>
      <c r="B166" s="4"/>
      <c r="C166" s="1"/>
      <c r="D166" s="1"/>
      <c r="E166" s="39"/>
      <c r="F166" s="2"/>
      <c r="G166" s="21" t="str">
        <f t="shared" si="5"/>
        <v/>
      </c>
      <c r="H166" s="17" t="str">
        <f>IF(B166="","",IF(B166="SK01",VLOOKUP(D166,Clientes!C:I,6,0),VLOOKUP(D166,Clientes!C:I,7,0)))</f>
        <v/>
      </c>
      <c r="I166" s="17" t="str">
        <f>IF(Table1[[#This Row],[Quantidade]]="","",Table1[[#This Row],[Quantidade]]*Table1[[#This Row],[Valor Unitário]])</f>
        <v/>
      </c>
      <c r="J166" s="18" t="str">
        <f>IF(H166="","",IF(B166="SK01",'Produto e Custo de Produção'!$H$2*Table1[[#This Row],[Quantidade]],'Produto e Custo de Produção'!$H$3*Table1[[#This Row],[Quantidade]]))</f>
        <v/>
      </c>
      <c r="K166" s="18" t="str">
        <f>IF(H166="","",IF(B166="SK01",'Produto e Custo de Produção'!$I$2*Table1[[#This Row],[Quantidade]],'Produto e Custo de Produção'!$I$2*Table1[[#This Row],[Quantidade]]))</f>
        <v/>
      </c>
      <c r="L166" s="18" t="str">
        <f t="shared" si="6"/>
        <v/>
      </c>
      <c r="M166" s="18" t="str">
        <f>IF(B166="","",Table1[[#This Row],[Total da Venda]]*0.06)</f>
        <v/>
      </c>
      <c r="N166" s="18"/>
      <c r="O166" s="25"/>
      <c r="P166" s="25"/>
    </row>
    <row r="167" spans="1:16" x14ac:dyDescent="0.25">
      <c r="A167" s="28"/>
      <c r="B167" s="4"/>
      <c r="C167" s="1"/>
      <c r="D167" s="1"/>
      <c r="E167" s="39"/>
      <c r="F167" s="2"/>
      <c r="G167" s="21" t="str">
        <f t="shared" si="5"/>
        <v/>
      </c>
      <c r="H167" s="17" t="str">
        <f>IF(B167="","",IF(B167="SK01",VLOOKUP(D167,Clientes!C:I,6,0),VLOOKUP(D167,Clientes!C:I,7,0)))</f>
        <v/>
      </c>
      <c r="I167" s="17" t="str">
        <f>IF(Table1[[#This Row],[Quantidade]]="","",Table1[[#This Row],[Quantidade]]*Table1[[#This Row],[Valor Unitário]])</f>
        <v/>
      </c>
      <c r="J167" s="18" t="str">
        <f>IF(H167="","",IF(B167="SK01",'Produto e Custo de Produção'!$H$2*Table1[[#This Row],[Quantidade]],'Produto e Custo de Produção'!$H$3*Table1[[#This Row],[Quantidade]]))</f>
        <v/>
      </c>
      <c r="K167" s="18" t="str">
        <f>IF(H167="","",IF(B167="SK01",'Produto e Custo de Produção'!$I$2*Table1[[#This Row],[Quantidade]],'Produto e Custo de Produção'!$I$2*Table1[[#This Row],[Quantidade]]))</f>
        <v/>
      </c>
      <c r="L167" s="18" t="str">
        <f t="shared" si="6"/>
        <v/>
      </c>
      <c r="M167" s="18" t="str">
        <f>IF(B167="","",Table1[[#This Row],[Total da Venda]]*0.06)</f>
        <v/>
      </c>
      <c r="N167" s="18"/>
      <c r="O167" s="25"/>
      <c r="P167" s="25"/>
    </row>
    <row r="168" spans="1:16" x14ac:dyDescent="0.25">
      <c r="A168" s="28"/>
      <c r="B168" s="4"/>
      <c r="C168" s="1"/>
      <c r="D168" s="1"/>
      <c r="E168" s="39"/>
      <c r="F168" s="2"/>
      <c r="G168" s="21" t="str">
        <f t="shared" si="5"/>
        <v/>
      </c>
      <c r="H168" s="17" t="str">
        <f>IF(B168="","",IF(B168="SK01",VLOOKUP(D168,Clientes!C:I,6,0),VLOOKUP(D168,Clientes!C:I,7,0)))</f>
        <v/>
      </c>
      <c r="I168" s="17" t="str">
        <f>IF(Table1[[#This Row],[Quantidade]]="","",Table1[[#This Row],[Quantidade]]*Table1[[#This Row],[Valor Unitário]])</f>
        <v/>
      </c>
      <c r="J168" s="18" t="str">
        <f>IF(H168="","",IF(B168="SK01",'Produto e Custo de Produção'!$H$2*Table1[[#This Row],[Quantidade]],'Produto e Custo de Produção'!$H$3*Table1[[#This Row],[Quantidade]]))</f>
        <v/>
      </c>
      <c r="K168" s="18" t="str">
        <f>IF(H168="","",IF(B168="SK01",'Produto e Custo de Produção'!$I$2*Table1[[#This Row],[Quantidade]],'Produto e Custo de Produção'!$I$2*Table1[[#This Row],[Quantidade]]))</f>
        <v/>
      </c>
      <c r="L168" s="18" t="str">
        <f t="shared" si="6"/>
        <v/>
      </c>
      <c r="M168" s="18" t="str">
        <f>IF(B168="","",Table1[[#This Row],[Total da Venda]]*0.06)</f>
        <v/>
      </c>
      <c r="N168" s="18"/>
      <c r="O168" s="25"/>
      <c r="P168" s="25"/>
    </row>
    <row r="169" spans="1:16" x14ac:dyDescent="0.25">
      <c r="A169" s="28"/>
      <c r="B169" s="4"/>
      <c r="C169" s="1"/>
      <c r="D169" s="1"/>
      <c r="E169" s="39"/>
      <c r="F169" s="2"/>
      <c r="G169" s="21" t="str">
        <f t="shared" si="5"/>
        <v/>
      </c>
      <c r="H169" s="17" t="str">
        <f>IF(B169="","",IF(B169="SK01",VLOOKUP(D169,Clientes!C:I,6,0),VLOOKUP(D169,Clientes!C:I,7,0)))</f>
        <v/>
      </c>
      <c r="I169" s="17" t="str">
        <f>IF(Table1[[#This Row],[Quantidade]]="","",Table1[[#This Row],[Quantidade]]*Table1[[#This Row],[Valor Unitário]])</f>
        <v/>
      </c>
      <c r="J169" s="18" t="str">
        <f>IF(H169="","",IF(B169="SK01",'Produto e Custo de Produção'!$H$2*Table1[[#This Row],[Quantidade]],'Produto e Custo de Produção'!$H$3*Table1[[#This Row],[Quantidade]]))</f>
        <v/>
      </c>
      <c r="K169" s="18" t="str">
        <f>IF(H169="","",IF(B169="SK01",'Produto e Custo de Produção'!$I$2*Table1[[#This Row],[Quantidade]],'Produto e Custo de Produção'!$I$2*Table1[[#This Row],[Quantidade]]))</f>
        <v/>
      </c>
      <c r="L169" s="18" t="str">
        <f t="shared" si="6"/>
        <v/>
      </c>
      <c r="M169" s="18" t="str">
        <f>IF(B169="","",Table1[[#This Row],[Total da Venda]]*0.06)</f>
        <v/>
      </c>
      <c r="N169" s="18"/>
      <c r="O169" s="25"/>
      <c r="P169" s="25"/>
    </row>
    <row r="170" spans="1:16" x14ac:dyDescent="0.25">
      <c r="A170" s="28"/>
      <c r="B170" s="4"/>
      <c r="C170" s="1"/>
      <c r="D170" s="1"/>
      <c r="E170" s="39"/>
      <c r="F170" s="2"/>
      <c r="G170" s="21" t="str">
        <f t="shared" si="5"/>
        <v/>
      </c>
      <c r="H170" s="17" t="str">
        <f>IF(B170="","",IF(B170="SK01",VLOOKUP(D170,Clientes!C:I,6,0),VLOOKUP(D170,Clientes!C:I,7,0)))</f>
        <v/>
      </c>
      <c r="I170" s="17" t="str">
        <f>IF(Table1[[#This Row],[Quantidade]]="","",Table1[[#This Row],[Quantidade]]*Table1[[#This Row],[Valor Unitário]])</f>
        <v/>
      </c>
      <c r="J170" s="18" t="str">
        <f>IF(H170="","",IF(B170="SK01",'Produto e Custo de Produção'!$H$2*Table1[[#This Row],[Quantidade]],'Produto e Custo de Produção'!$H$3*Table1[[#This Row],[Quantidade]]))</f>
        <v/>
      </c>
      <c r="K170" s="18" t="str">
        <f>IF(H170="","",IF(B170="SK01",'Produto e Custo de Produção'!$I$2*Table1[[#This Row],[Quantidade]],'Produto e Custo de Produção'!$I$2*Table1[[#This Row],[Quantidade]]))</f>
        <v/>
      </c>
      <c r="L170" s="18" t="str">
        <f t="shared" si="6"/>
        <v/>
      </c>
      <c r="M170" s="18" t="str">
        <f>IF(B170="","",Table1[[#This Row],[Total da Venda]]*0.06)</f>
        <v/>
      </c>
      <c r="N170" s="18"/>
      <c r="O170" s="25"/>
      <c r="P170" s="25"/>
    </row>
    <row r="171" spans="1:16" x14ac:dyDescent="0.25">
      <c r="A171" s="28"/>
      <c r="B171" s="4"/>
      <c r="C171" s="1"/>
      <c r="D171" s="1"/>
      <c r="E171" s="39"/>
      <c r="F171" s="2"/>
      <c r="G171" s="21" t="str">
        <f t="shared" si="5"/>
        <v/>
      </c>
      <c r="H171" s="17" t="str">
        <f>IF(B171="","",IF(B171="SK01",VLOOKUP(D171,Clientes!C:I,6,0),VLOOKUP(D171,Clientes!C:I,7,0)))</f>
        <v/>
      </c>
      <c r="I171" s="17" t="str">
        <f>IF(Table1[[#This Row],[Quantidade]]="","",Table1[[#This Row],[Quantidade]]*Table1[[#This Row],[Valor Unitário]])</f>
        <v/>
      </c>
      <c r="J171" s="18" t="str">
        <f>IF(H171="","",IF(B171="SK01",'Produto e Custo de Produção'!$H$2*Table1[[#This Row],[Quantidade]],'Produto e Custo de Produção'!$H$3*Table1[[#This Row],[Quantidade]]))</f>
        <v/>
      </c>
      <c r="K171" s="18" t="str">
        <f>IF(H171="","",IF(B171="SK01",'Produto e Custo de Produção'!$I$2*Table1[[#This Row],[Quantidade]],'Produto e Custo de Produção'!$I$2*Table1[[#This Row],[Quantidade]]))</f>
        <v/>
      </c>
      <c r="L171" s="18" t="str">
        <f t="shared" si="6"/>
        <v/>
      </c>
      <c r="M171" s="18" t="str">
        <f>IF(B171="","",Table1[[#This Row],[Total da Venda]]*0.06)</f>
        <v/>
      </c>
      <c r="N171" s="18"/>
      <c r="O171" s="25"/>
      <c r="P171" s="25"/>
    </row>
    <row r="172" spans="1:16" x14ac:dyDescent="0.25">
      <c r="A172" s="28"/>
      <c r="B172" s="4"/>
      <c r="C172" s="1"/>
      <c r="D172" s="1"/>
      <c r="E172" s="39"/>
      <c r="F172" s="2"/>
      <c r="G172" s="21" t="str">
        <f t="shared" si="5"/>
        <v/>
      </c>
      <c r="H172" s="17" t="str">
        <f>IF(B172="","",IF(B172="SK01",VLOOKUP(D172,Clientes!C:I,6,0),VLOOKUP(D172,Clientes!C:I,7,0)))</f>
        <v/>
      </c>
      <c r="I172" s="17" t="str">
        <f>IF(Table1[[#This Row],[Quantidade]]="","",Table1[[#This Row],[Quantidade]]*Table1[[#This Row],[Valor Unitário]])</f>
        <v/>
      </c>
      <c r="J172" s="18" t="str">
        <f>IF(H172="","",IF(B172="SK01",'Produto e Custo de Produção'!$H$2*Table1[[#This Row],[Quantidade]],'Produto e Custo de Produção'!$H$3*Table1[[#This Row],[Quantidade]]))</f>
        <v/>
      </c>
      <c r="K172" s="18" t="str">
        <f>IF(H172="","",IF(B172="SK01",'Produto e Custo de Produção'!$I$2*Table1[[#This Row],[Quantidade]],'Produto e Custo de Produção'!$I$2*Table1[[#This Row],[Quantidade]]))</f>
        <v/>
      </c>
      <c r="L172" s="18" t="str">
        <f t="shared" si="6"/>
        <v/>
      </c>
      <c r="M172" s="18" t="str">
        <f>IF(B172="","",Table1[[#This Row],[Total da Venda]]*0.06)</f>
        <v/>
      </c>
      <c r="N172" s="18"/>
      <c r="O172" s="25"/>
      <c r="P172" s="25"/>
    </row>
    <row r="173" spans="1:16" x14ac:dyDescent="0.25">
      <c r="A173" s="28"/>
      <c r="B173" s="4"/>
      <c r="C173" s="1"/>
      <c r="D173" s="1"/>
      <c r="E173" s="39"/>
      <c r="F173" s="2"/>
      <c r="G173" s="21" t="str">
        <f t="shared" si="5"/>
        <v/>
      </c>
      <c r="H173" s="17" t="str">
        <f>IF(B173="","",IF(B173="SK01",VLOOKUP(D173,Clientes!C:I,6,0),VLOOKUP(D173,Clientes!C:I,7,0)))</f>
        <v/>
      </c>
      <c r="I173" s="17" t="str">
        <f>IF(Table1[[#This Row],[Quantidade]]="","",Table1[[#This Row],[Quantidade]]*Table1[[#This Row],[Valor Unitário]])</f>
        <v/>
      </c>
      <c r="J173" s="18" t="str">
        <f>IF(H173="","",IF(B173="SK01",'Produto e Custo de Produção'!$H$2*Table1[[#This Row],[Quantidade]],'Produto e Custo de Produção'!$H$3*Table1[[#This Row],[Quantidade]]))</f>
        <v/>
      </c>
      <c r="K173" s="18" t="str">
        <f>IF(H173="","",IF(B173="SK01",'Produto e Custo de Produção'!$I$2*Table1[[#This Row],[Quantidade]],'Produto e Custo de Produção'!$I$2*Table1[[#This Row],[Quantidade]]))</f>
        <v/>
      </c>
      <c r="L173" s="18" t="str">
        <f t="shared" si="6"/>
        <v/>
      </c>
      <c r="M173" s="18" t="str">
        <f>IF(B173="","",Table1[[#This Row],[Total da Venda]]*0.06)</f>
        <v/>
      </c>
      <c r="N173" s="18"/>
      <c r="O173" s="25"/>
      <c r="P173" s="25"/>
    </row>
    <row r="174" spans="1:16" x14ac:dyDescent="0.25">
      <c r="A174" s="28"/>
      <c r="B174" s="4"/>
      <c r="C174" s="1"/>
      <c r="D174" s="1"/>
      <c r="E174" s="39"/>
      <c r="F174" s="2"/>
      <c r="G174" s="21" t="str">
        <f t="shared" si="5"/>
        <v/>
      </c>
      <c r="H174" s="17" t="str">
        <f>IF(B174="","",IF(B174="SK01",VLOOKUP(D174,Clientes!C:I,6,0),VLOOKUP(D174,Clientes!C:I,7,0)))</f>
        <v/>
      </c>
      <c r="I174" s="17" t="str">
        <f>IF(Table1[[#This Row],[Quantidade]]="","",Table1[[#This Row],[Quantidade]]*Table1[[#This Row],[Valor Unitário]])</f>
        <v/>
      </c>
      <c r="J174" s="18" t="str">
        <f>IF(H174="","",IF(B174="SK01",'Produto e Custo de Produção'!$H$2*Table1[[#This Row],[Quantidade]],'Produto e Custo de Produção'!$H$3*Table1[[#This Row],[Quantidade]]))</f>
        <v/>
      </c>
      <c r="K174" s="18" t="str">
        <f>IF(H174="","",IF(B174="SK01",'Produto e Custo de Produção'!$I$2*Table1[[#This Row],[Quantidade]],'Produto e Custo de Produção'!$I$2*Table1[[#This Row],[Quantidade]]))</f>
        <v/>
      </c>
      <c r="L174" s="18" t="str">
        <f t="shared" si="6"/>
        <v/>
      </c>
      <c r="M174" s="18" t="str">
        <f>IF(B174="","",Table1[[#This Row],[Total da Venda]]*0.06)</f>
        <v/>
      </c>
      <c r="N174" s="18"/>
      <c r="O174" s="25"/>
      <c r="P174" s="25"/>
    </row>
    <row r="175" spans="1:16" x14ac:dyDescent="0.25">
      <c r="A175" s="28"/>
      <c r="B175" s="4"/>
      <c r="C175" s="1"/>
      <c r="D175" s="1"/>
      <c r="E175" s="39"/>
      <c r="F175" s="2"/>
      <c r="G175" s="21" t="str">
        <f t="shared" si="5"/>
        <v/>
      </c>
      <c r="H175" s="17" t="str">
        <f>IF(B175="","",IF(B175="SK01",VLOOKUP(D175,Clientes!C:I,6,0),VLOOKUP(D175,Clientes!C:I,7,0)))</f>
        <v/>
      </c>
      <c r="I175" s="17" t="str">
        <f>IF(Table1[[#This Row],[Quantidade]]="","",Table1[[#This Row],[Quantidade]]*Table1[[#This Row],[Valor Unitário]])</f>
        <v/>
      </c>
      <c r="J175" s="18" t="str">
        <f>IF(H175="","",IF(B175="SK01",'Produto e Custo de Produção'!$H$2*Table1[[#This Row],[Quantidade]],'Produto e Custo de Produção'!$H$3*Table1[[#This Row],[Quantidade]]))</f>
        <v/>
      </c>
      <c r="K175" s="18" t="str">
        <f>IF(H175="","",IF(B175="SK01",'Produto e Custo de Produção'!$I$2*Table1[[#This Row],[Quantidade]],'Produto e Custo de Produção'!$I$2*Table1[[#This Row],[Quantidade]]))</f>
        <v/>
      </c>
      <c r="L175" s="18" t="str">
        <f t="shared" si="6"/>
        <v/>
      </c>
      <c r="M175" s="18" t="str">
        <f>IF(B175="","",Table1[[#This Row],[Total da Venda]]*0.06)</f>
        <v/>
      </c>
      <c r="N175" s="18"/>
      <c r="O175" s="25"/>
      <c r="P175" s="25"/>
    </row>
    <row r="176" spans="1:16" x14ac:dyDescent="0.25">
      <c r="A176" s="28"/>
      <c r="B176" s="4"/>
      <c r="C176" s="1"/>
      <c r="D176" s="1"/>
      <c r="E176" s="39"/>
      <c r="F176" s="2"/>
      <c r="G176" s="21" t="str">
        <f t="shared" si="5"/>
        <v/>
      </c>
      <c r="H176" s="17" t="str">
        <f>IF(B176="","",IF(B176="SK01",VLOOKUP(D176,Clientes!C:I,6,0),VLOOKUP(D176,Clientes!C:I,7,0)))</f>
        <v/>
      </c>
      <c r="I176" s="17" t="str">
        <f>IF(Table1[[#This Row],[Quantidade]]="","",Table1[[#This Row],[Quantidade]]*Table1[[#This Row],[Valor Unitário]])</f>
        <v/>
      </c>
      <c r="J176" s="18" t="str">
        <f>IF(H176="","",IF(B176="SK01",'Produto e Custo de Produção'!$H$2*Table1[[#This Row],[Quantidade]],'Produto e Custo de Produção'!$H$3*Table1[[#This Row],[Quantidade]]))</f>
        <v/>
      </c>
      <c r="K176" s="18" t="str">
        <f>IF(H176="","",IF(B176="SK01",'Produto e Custo de Produção'!$I$2*Table1[[#This Row],[Quantidade]],'Produto e Custo de Produção'!$I$2*Table1[[#This Row],[Quantidade]]))</f>
        <v/>
      </c>
      <c r="L176" s="18" t="str">
        <f t="shared" si="6"/>
        <v/>
      </c>
      <c r="M176" s="18" t="str">
        <f>IF(B176="","",Table1[[#This Row],[Total da Venda]]*0.06)</f>
        <v/>
      </c>
      <c r="N176" s="18"/>
      <c r="O176" s="25"/>
      <c r="P176" s="25"/>
    </row>
    <row r="177" spans="1:16" x14ac:dyDescent="0.25">
      <c r="A177" s="28"/>
      <c r="B177" s="4"/>
      <c r="C177" s="1"/>
      <c r="D177" s="1"/>
      <c r="E177" s="39"/>
      <c r="F177" s="2"/>
      <c r="G177" s="21" t="str">
        <f t="shared" si="5"/>
        <v/>
      </c>
      <c r="H177" s="17" t="str">
        <f>IF(B177="","",IF(B177="SK01",VLOOKUP(D177,Clientes!C:I,6,0),VLOOKUP(D177,Clientes!C:I,7,0)))</f>
        <v/>
      </c>
      <c r="I177" s="17" t="str">
        <f>IF(Table1[[#This Row],[Quantidade]]="","",Table1[[#This Row],[Quantidade]]*Table1[[#This Row],[Valor Unitário]])</f>
        <v/>
      </c>
      <c r="J177" s="18" t="str">
        <f>IF(H177="","",IF(B177="SK01",'Produto e Custo de Produção'!$H$2*Table1[[#This Row],[Quantidade]],'Produto e Custo de Produção'!$H$3*Table1[[#This Row],[Quantidade]]))</f>
        <v/>
      </c>
      <c r="K177" s="18" t="str">
        <f>IF(H177="","",IF(B177="SK01",'Produto e Custo de Produção'!$I$2*Table1[[#This Row],[Quantidade]],'Produto e Custo de Produção'!$I$2*Table1[[#This Row],[Quantidade]]))</f>
        <v/>
      </c>
      <c r="L177" s="18" t="str">
        <f t="shared" si="6"/>
        <v/>
      </c>
      <c r="M177" s="18" t="str">
        <f>IF(B177="","",Table1[[#This Row],[Total da Venda]]*0.06)</f>
        <v/>
      </c>
      <c r="N177" s="18"/>
      <c r="O177" s="25"/>
      <c r="P177" s="25"/>
    </row>
    <row r="178" spans="1:16" x14ac:dyDescent="0.25">
      <c r="A178" s="28"/>
      <c r="B178" s="4"/>
      <c r="C178" s="1"/>
      <c r="D178" s="1"/>
      <c r="E178" s="39"/>
      <c r="F178" s="2"/>
      <c r="G178" s="21" t="str">
        <f t="shared" si="5"/>
        <v/>
      </c>
      <c r="H178" s="17" t="str">
        <f>IF(B178="","",IF(B178="SK01",VLOOKUP(D178,Clientes!C:I,6,0),VLOOKUP(D178,Clientes!C:I,7,0)))</f>
        <v/>
      </c>
      <c r="I178" s="17" t="str">
        <f>IF(Table1[[#This Row],[Quantidade]]="","",Table1[[#This Row],[Quantidade]]*Table1[[#This Row],[Valor Unitário]])</f>
        <v/>
      </c>
      <c r="J178" s="18" t="str">
        <f>IF(H178="","",IF(B178="SK01",'Produto e Custo de Produção'!$H$2*Table1[[#This Row],[Quantidade]],'Produto e Custo de Produção'!$H$3*Table1[[#This Row],[Quantidade]]))</f>
        <v/>
      </c>
      <c r="K178" s="18" t="str">
        <f>IF(H178="","",IF(B178="SK01",'Produto e Custo de Produção'!$I$2*Table1[[#This Row],[Quantidade]],'Produto e Custo de Produção'!$I$2*Table1[[#This Row],[Quantidade]]))</f>
        <v/>
      </c>
      <c r="L178" s="18" t="str">
        <f t="shared" si="6"/>
        <v/>
      </c>
      <c r="M178" s="18" t="str">
        <f>IF(B178="","",Table1[[#This Row],[Total da Venda]]*0.06)</f>
        <v/>
      </c>
      <c r="N178" s="18"/>
      <c r="O178" s="25"/>
      <c r="P178" s="25"/>
    </row>
    <row r="179" spans="1:16" x14ac:dyDescent="0.25">
      <c r="A179" s="28"/>
      <c r="B179" s="4"/>
      <c r="C179" s="1"/>
      <c r="D179" s="1"/>
      <c r="E179" s="39"/>
      <c r="F179" s="2"/>
      <c r="G179" s="21" t="str">
        <f t="shared" si="5"/>
        <v/>
      </c>
      <c r="H179" s="17" t="str">
        <f>IF(B179="","",IF(B179="SK01",VLOOKUP(D179,Clientes!C:I,6,0),VLOOKUP(D179,Clientes!C:I,7,0)))</f>
        <v/>
      </c>
      <c r="I179" s="17" t="str">
        <f>IF(Table1[[#This Row],[Quantidade]]="","",Table1[[#This Row],[Quantidade]]*Table1[[#This Row],[Valor Unitário]])</f>
        <v/>
      </c>
      <c r="J179" s="18" t="str">
        <f>IF(H179="","",IF(B179="SK01",'Produto e Custo de Produção'!$H$2*Table1[[#This Row],[Quantidade]],'Produto e Custo de Produção'!$H$3*Table1[[#This Row],[Quantidade]]))</f>
        <v/>
      </c>
      <c r="K179" s="18" t="str">
        <f>IF(H179="","",IF(B179="SK01",'Produto e Custo de Produção'!$I$2*Table1[[#This Row],[Quantidade]],'Produto e Custo de Produção'!$I$2*Table1[[#This Row],[Quantidade]]))</f>
        <v/>
      </c>
      <c r="L179" s="18" t="str">
        <f t="shared" si="6"/>
        <v/>
      </c>
      <c r="M179" s="18" t="str">
        <f>IF(B179="","",Table1[[#This Row],[Total da Venda]]*0.06)</f>
        <v/>
      </c>
      <c r="N179" s="18"/>
      <c r="O179" s="25"/>
      <c r="P179" s="25"/>
    </row>
    <row r="180" spans="1:16" x14ac:dyDescent="0.25">
      <c r="A180" s="28"/>
      <c r="B180" s="4"/>
      <c r="C180" s="1"/>
      <c r="D180" s="1"/>
      <c r="E180" s="39"/>
      <c r="F180" s="2"/>
      <c r="G180" s="21" t="str">
        <f t="shared" si="5"/>
        <v/>
      </c>
      <c r="H180" s="17" t="str">
        <f>IF(B180="","",IF(B180="SK01",VLOOKUP(D180,Clientes!C:I,6,0),VLOOKUP(D180,Clientes!C:I,7,0)))</f>
        <v/>
      </c>
      <c r="I180" s="17" t="str">
        <f>IF(Table1[[#This Row],[Quantidade]]="","",Table1[[#This Row],[Quantidade]]*Table1[[#This Row],[Valor Unitário]])</f>
        <v/>
      </c>
      <c r="J180" s="18" t="str">
        <f>IF(H180="","",IF(B180="SK01",'Produto e Custo de Produção'!$H$2*Table1[[#This Row],[Quantidade]],'Produto e Custo de Produção'!$H$3*Table1[[#This Row],[Quantidade]]))</f>
        <v/>
      </c>
      <c r="K180" s="18" t="str">
        <f>IF(H180="","",IF(B180="SK01",'Produto e Custo de Produção'!$I$2*Table1[[#This Row],[Quantidade]],'Produto e Custo de Produção'!$I$2*Table1[[#This Row],[Quantidade]]))</f>
        <v/>
      </c>
      <c r="L180" s="18" t="str">
        <f t="shared" si="6"/>
        <v/>
      </c>
      <c r="M180" s="18" t="str">
        <f>IF(B180="","",Table1[[#This Row],[Total da Venda]]*0.06)</f>
        <v/>
      </c>
      <c r="N180" s="18"/>
      <c r="O180" s="25"/>
      <c r="P180" s="25"/>
    </row>
    <row r="181" spans="1:16" x14ac:dyDescent="0.25">
      <c r="A181" s="28"/>
      <c r="B181" s="4"/>
      <c r="C181" s="1"/>
      <c r="D181" s="1"/>
      <c r="E181" s="39"/>
      <c r="F181" s="2"/>
      <c r="G181" s="21" t="str">
        <f t="shared" si="5"/>
        <v/>
      </c>
      <c r="H181" s="17" t="str">
        <f>IF(B181="","",IF(B181="SK01",VLOOKUP(D181,Clientes!C:I,6,0),VLOOKUP(D181,Clientes!C:I,7,0)))</f>
        <v/>
      </c>
      <c r="I181" s="17" t="str">
        <f>IF(Table1[[#This Row],[Quantidade]]="","",Table1[[#This Row],[Quantidade]]*Table1[[#This Row],[Valor Unitário]])</f>
        <v/>
      </c>
      <c r="J181" s="18" t="str">
        <f>IF(H181="","",IF(B181="SK01",'Produto e Custo de Produção'!$H$2*Table1[[#This Row],[Quantidade]],'Produto e Custo de Produção'!$H$3*Table1[[#This Row],[Quantidade]]))</f>
        <v/>
      </c>
      <c r="K181" s="18" t="str">
        <f>IF(H181="","",IF(B181="SK01",'Produto e Custo de Produção'!$I$2*Table1[[#This Row],[Quantidade]],'Produto e Custo de Produção'!$I$2*Table1[[#This Row],[Quantidade]]))</f>
        <v/>
      </c>
      <c r="L181" s="18" t="str">
        <f t="shared" si="6"/>
        <v/>
      </c>
      <c r="M181" s="18" t="str">
        <f>IF(B181="","",Table1[[#This Row],[Total da Venda]]*0.06)</f>
        <v/>
      </c>
      <c r="N181" s="18"/>
      <c r="O181" s="25"/>
      <c r="P181" s="25"/>
    </row>
    <row r="182" spans="1:16" x14ac:dyDescent="0.25">
      <c r="A182" s="28"/>
      <c r="B182" s="4"/>
      <c r="C182" s="1"/>
      <c r="D182" s="1"/>
      <c r="E182" s="39"/>
      <c r="F182" s="2"/>
      <c r="G182" s="21" t="str">
        <f t="shared" si="5"/>
        <v/>
      </c>
      <c r="H182" s="17" t="str">
        <f>IF(B182="","",IF(B182="SK01",VLOOKUP(D182,Clientes!C:I,6,0),VLOOKUP(D182,Clientes!C:I,7,0)))</f>
        <v/>
      </c>
      <c r="I182" s="17" t="str">
        <f>IF(Table1[[#This Row],[Quantidade]]="","",Table1[[#This Row],[Quantidade]]*Table1[[#This Row],[Valor Unitário]])</f>
        <v/>
      </c>
      <c r="J182" s="18" t="str">
        <f>IF(H182="","",IF(B182="SK01",'Produto e Custo de Produção'!$H$2*Table1[[#This Row],[Quantidade]],'Produto e Custo de Produção'!$H$3*Table1[[#This Row],[Quantidade]]))</f>
        <v/>
      </c>
      <c r="K182" s="18" t="str">
        <f>IF(H182="","",IF(B182="SK01",'Produto e Custo de Produção'!$I$2*Table1[[#This Row],[Quantidade]],'Produto e Custo de Produção'!$I$2*Table1[[#This Row],[Quantidade]]))</f>
        <v/>
      </c>
      <c r="L182" s="18" t="str">
        <f t="shared" si="6"/>
        <v/>
      </c>
      <c r="M182" s="18" t="str">
        <f>IF(B182="","",Table1[[#This Row],[Total da Venda]]*0.06)</f>
        <v/>
      </c>
      <c r="N182" s="18"/>
      <c r="O182" s="25"/>
      <c r="P182" s="25"/>
    </row>
    <row r="183" spans="1:16" x14ac:dyDescent="0.25">
      <c r="A183" s="28"/>
      <c r="B183" s="4"/>
      <c r="C183" s="1"/>
      <c r="D183" s="1"/>
      <c r="E183" s="39"/>
      <c r="F183" s="2"/>
      <c r="G183" s="21" t="str">
        <f t="shared" si="5"/>
        <v/>
      </c>
      <c r="H183" s="17" t="str">
        <f>IF(B183="","",IF(B183="SK01",VLOOKUP(D183,Clientes!C:I,6,0),VLOOKUP(D183,Clientes!C:I,7,0)))</f>
        <v/>
      </c>
      <c r="I183" s="17" t="str">
        <f>IF(Table1[[#This Row],[Quantidade]]="","",Table1[[#This Row],[Quantidade]]*Table1[[#This Row],[Valor Unitário]])</f>
        <v/>
      </c>
      <c r="J183" s="18" t="str">
        <f>IF(H183="","",IF(B183="SK01",'Produto e Custo de Produção'!$H$2*Table1[[#This Row],[Quantidade]],'Produto e Custo de Produção'!$H$3*Table1[[#This Row],[Quantidade]]))</f>
        <v/>
      </c>
      <c r="K183" s="18" t="str">
        <f>IF(H183="","",IF(B183="SK01",'Produto e Custo de Produção'!$I$2*Table1[[#This Row],[Quantidade]],'Produto e Custo de Produção'!$I$2*Table1[[#This Row],[Quantidade]]))</f>
        <v/>
      </c>
      <c r="L183" s="18" t="str">
        <f t="shared" si="6"/>
        <v/>
      </c>
      <c r="M183" s="18" t="str">
        <f>IF(B183="","",Table1[[#This Row],[Total da Venda]]*0.06)</f>
        <v/>
      </c>
      <c r="N183" s="18"/>
      <c r="O183" s="25"/>
      <c r="P183" s="25"/>
    </row>
    <row r="184" spans="1:16" x14ac:dyDescent="0.25">
      <c r="A184" s="28"/>
      <c r="B184" s="4"/>
      <c r="C184" s="1"/>
      <c r="D184" s="1"/>
      <c r="E184" s="39"/>
      <c r="F184" s="2"/>
      <c r="G184" s="21" t="str">
        <f t="shared" si="5"/>
        <v/>
      </c>
      <c r="H184" s="17" t="str">
        <f>IF(B184="","",IF(B184="SK01",VLOOKUP(D184,Clientes!C:I,6,0),VLOOKUP(D184,Clientes!C:I,7,0)))</f>
        <v/>
      </c>
      <c r="I184" s="17" t="str">
        <f>IF(Table1[[#This Row],[Quantidade]]="","",Table1[[#This Row],[Quantidade]]*Table1[[#This Row],[Valor Unitário]])</f>
        <v/>
      </c>
      <c r="J184" s="18" t="str">
        <f>IF(H184="","",IF(B184="SK01",'Produto e Custo de Produção'!$H$2*Table1[[#This Row],[Quantidade]],'Produto e Custo de Produção'!$H$3*Table1[[#This Row],[Quantidade]]))</f>
        <v/>
      </c>
      <c r="K184" s="18" t="str">
        <f>IF(H184="","",IF(B184="SK01",'Produto e Custo de Produção'!$I$2*Table1[[#This Row],[Quantidade]],'Produto e Custo de Produção'!$I$2*Table1[[#This Row],[Quantidade]]))</f>
        <v/>
      </c>
      <c r="L184" s="18" t="str">
        <f t="shared" si="6"/>
        <v/>
      </c>
      <c r="M184" s="18" t="str">
        <f>IF(B184="","",Table1[[#This Row],[Total da Venda]]*0.06)</f>
        <v/>
      </c>
      <c r="N184" s="18"/>
      <c r="O184" s="25"/>
      <c r="P184" s="25"/>
    </row>
    <row r="185" spans="1:16" x14ac:dyDescent="0.25">
      <c r="A185" s="28"/>
      <c r="B185" s="4"/>
      <c r="C185" s="1"/>
      <c r="D185" s="1"/>
      <c r="E185" s="39"/>
      <c r="F185" s="2"/>
      <c r="G185" s="21" t="str">
        <f t="shared" si="5"/>
        <v/>
      </c>
      <c r="H185" s="17" t="str">
        <f>IF(B185="","",IF(B185="SK01",VLOOKUP(D185,Clientes!C:I,6,0),VLOOKUP(D185,Clientes!C:I,7,0)))</f>
        <v/>
      </c>
      <c r="I185" s="17" t="str">
        <f>IF(Table1[[#This Row],[Quantidade]]="","",Table1[[#This Row],[Quantidade]]*Table1[[#This Row],[Valor Unitário]])</f>
        <v/>
      </c>
      <c r="J185" s="18" t="str">
        <f>IF(H185="","",IF(B185="SK01",'Produto e Custo de Produção'!$H$2*Table1[[#This Row],[Quantidade]],'Produto e Custo de Produção'!$H$3*Table1[[#This Row],[Quantidade]]))</f>
        <v/>
      </c>
      <c r="K185" s="18" t="str">
        <f>IF(H185="","",IF(B185="SK01",'Produto e Custo de Produção'!$I$2*Table1[[#This Row],[Quantidade]],'Produto e Custo de Produção'!$I$2*Table1[[#This Row],[Quantidade]]))</f>
        <v/>
      </c>
      <c r="L185" s="18" t="str">
        <f t="shared" si="6"/>
        <v/>
      </c>
      <c r="M185" s="18" t="str">
        <f>IF(B185="","",Table1[[#This Row],[Total da Venda]]*0.06)</f>
        <v/>
      </c>
      <c r="N185" s="18"/>
      <c r="O185" s="25"/>
      <c r="P185" s="25"/>
    </row>
    <row r="186" spans="1:16" x14ac:dyDescent="0.25">
      <c r="A186" s="28"/>
      <c r="B186" s="4"/>
      <c r="C186" s="1"/>
      <c r="D186" s="1"/>
      <c r="E186" s="39"/>
      <c r="F186" s="2"/>
      <c r="G186" s="21" t="str">
        <f t="shared" si="5"/>
        <v/>
      </c>
      <c r="H186" s="17" t="str">
        <f>IF(B186="","",IF(B186="SK01",VLOOKUP(D186,Clientes!C:I,6,0),VLOOKUP(D186,Clientes!C:I,7,0)))</f>
        <v/>
      </c>
      <c r="I186" s="17" t="str">
        <f>IF(Table1[[#This Row],[Quantidade]]="","",Table1[[#This Row],[Quantidade]]*Table1[[#This Row],[Valor Unitário]])</f>
        <v/>
      </c>
      <c r="J186" s="18" t="str">
        <f>IF(H186="","",IF(B186="SK01",'Produto e Custo de Produção'!$H$2*Table1[[#This Row],[Quantidade]],'Produto e Custo de Produção'!$H$3*Table1[[#This Row],[Quantidade]]))</f>
        <v/>
      </c>
      <c r="K186" s="18" t="str">
        <f>IF(H186="","",IF(B186="SK01",'Produto e Custo de Produção'!$I$2*Table1[[#This Row],[Quantidade]],'Produto e Custo de Produção'!$I$2*Table1[[#This Row],[Quantidade]]))</f>
        <v/>
      </c>
      <c r="L186" s="18" t="str">
        <f t="shared" si="6"/>
        <v/>
      </c>
      <c r="M186" s="18" t="str">
        <f>IF(B186="","",Table1[[#This Row],[Total da Venda]]*0.06)</f>
        <v/>
      </c>
      <c r="N186" s="18"/>
      <c r="O186" s="25"/>
      <c r="P186" s="25"/>
    </row>
    <row r="187" spans="1:16" x14ac:dyDescent="0.25">
      <c r="A187" s="28"/>
      <c r="B187" s="4"/>
      <c r="C187" s="1"/>
      <c r="D187" s="1"/>
      <c r="E187" s="39"/>
      <c r="F187" s="2"/>
      <c r="G187" s="21" t="str">
        <f t="shared" si="5"/>
        <v/>
      </c>
      <c r="H187" s="17" t="str">
        <f>IF(B187="","",IF(B187="SK01",VLOOKUP(D187,Clientes!C:I,6,0),VLOOKUP(D187,Clientes!C:I,7,0)))</f>
        <v/>
      </c>
      <c r="I187" s="17" t="str">
        <f>IF(Table1[[#This Row],[Quantidade]]="","",Table1[[#This Row],[Quantidade]]*Table1[[#This Row],[Valor Unitário]])</f>
        <v/>
      </c>
      <c r="J187" s="18" t="str">
        <f>IF(H187="","",IF(B187="SK01",'Produto e Custo de Produção'!$H$2*Table1[[#This Row],[Quantidade]],'Produto e Custo de Produção'!$H$3*Table1[[#This Row],[Quantidade]]))</f>
        <v/>
      </c>
      <c r="K187" s="18" t="str">
        <f>IF(H187="","",IF(B187="SK01",'Produto e Custo de Produção'!$I$2*Table1[[#This Row],[Quantidade]],'Produto e Custo de Produção'!$I$2*Table1[[#This Row],[Quantidade]]))</f>
        <v/>
      </c>
      <c r="L187" s="18" t="str">
        <f t="shared" si="6"/>
        <v/>
      </c>
      <c r="M187" s="18" t="str">
        <f>IF(B187="","",Table1[[#This Row],[Total da Venda]]*0.06)</f>
        <v/>
      </c>
      <c r="N187" s="18"/>
      <c r="O187" s="25"/>
      <c r="P187" s="25"/>
    </row>
    <row r="188" spans="1:16" x14ac:dyDescent="0.25">
      <c r="A188" s="28"/>
      <c r="B188" s="4"/>
      <c r="C188" s="1"/>
      <c r="D188" s="1"/>
      <c r="E188" s="39"/>
      <c r="F188" s="2"/>
      <c r="G188" s="21" t="str">
        <f t="shared" si="5"/>
        <v/>
      </c>
      <c r="H188" s="17" t="str">
        <f>IF(B188="","",IF(B188="SK01",VLOOKUP(D188,Clientes!C:I,6,0),VLOOKUP(D188,Clientes!C:I,7,0)))</f>
        <v/>
      </c>
      <c r="I188" s="17" t="str">
        <f>IF(Table1[[#This Row],[Quantidade]]="","",Table1[[#This Row],[Quantidade]]*Table1[[#This Row],[Valor Unitário]])</f>
        <v/>
      </c>
      <c r="J188" s="18" t="str">
        <f>IF(H188="","",IF(B188="SK01",'Produto e Custo de Produção'!$H$2*Table1[[#This Row],[Quantidade]],'Produto e Custo de Produção'!$H$3*Table1[[#This Row],[Quantidade]]))</f>
        <v/>
      </c>
      <c r="K188" s="18" t="str">
        <f>IF(H188="","",IF(B188="SK01",'Produto e Custo de Produção'!$I$2*Table1[[#This Row],[Quantidade]],'Produto e Custo de Produção'!$I$2*Table1[[#This Row],[Quantidade]]))</f>
        <v/>
      </c>
      <c r="L188" s="18" t="str">
        <f t="shared" si="6"/>
        <v/>
      </c>
      <c r="M188" s="18" t="str">
        <f>IF(B188="","",Table1[[#This Row],[Total da Venda]]*0.06)</f>
        <v/>
      </c>
      <c r="N188" s="18"/>
      <c r="O188" s="25"/>
      <c r="P188" s="25"/>
    </row>
    <row r="189" spans="1:16" x14ac:dyDescent="0.25">
      <c r="A189" s="28"/>
      <c r="B189" s="4"/>
      <c r="C189" s="1"/>
      <c r="D189" s="1"/>
      <c r="E189" s="39"/>
      <c r="F189" s="2"/>
      <c r="G189" s="21" t="str">
        <f t="shared" si="5"/>
        <v/>
      </c>
      <c r="H189" s="17" t="str">
        <f>IF(B189="","",IF(B189="SK01",VLOOKUP(D189,Clientes!C:I,6,0),VLOOKUP(D189,Clientes!C:I,7,0)))</f>
        <v/>
      </c>
      <c r="I189" s="17" t="str">
        <f>IF(Table1[[#This Row],[Quantidade]]="","",Table1[[#This Row],[Quantidade]]*Table1[[#This Row],[Valor Unitário]])</f>
        <v/>
      </c>
      <c r="J189" s="18" t="str">
        <f>IF(H189="","",IF(B189="SK01",'Produto e Custo de Produção'!$H$2*Table1[[#This Row],[Quantidade]],'Produto e Custo de Produção'!$H$3*Table1[[#This Row],[Quantidade]]))</f>
        <v/>
      </c>
      <c r="K189" s="18" t="str">
        <f>IF(H189="","",IF(B189="SK01",'Produto e Custo de Produção'!$I$2*Table1[[#This Row],[Quantidade]],'Produto e Custo de Produção'!$I$2*Table1[[#This Row],[Quantidade]]))</f>
        <v/>
      </c>
      <c r="L189" s="18" t="str">
        <f t="shared" si="6"/>
        <v/>
      </c>
      <c r="M189" s="18" t="str">
        <f>IF(B189="","",Table1[[#This Row],[Total da Venda]]*0.06)</f>
        <v/>
      </c>
      <c r="N189" s="18"/>
      <c r="O189" s="25"/>
      <c r="P189" s="25"/>
    </row>
    <row r="190" spans="1:16" x14ac:dyDescent="0.25">
      <c r="A190" s="28"/>
      <c r="B190" s="4"/>
      <c r="C190" s="1"/>
      <c r="D190" s="1"/>
      <c r="E190" s="39"/>
      <c r="F190" s="2"/>
      <c r="G190" s="21" t="str">
        <f t="shared" si="5"/>
        <v/>
      </c>
      <c r="H190" s="17" t="str">
        <f>IF(B190="","",IF(B190="SK01",VLOOKUP(D190,Clientes!C:I,6,0),VLOOKUP(D190,Clientes!C:I,7,0)))</f>
        <v/>
      </c>
      <c r="I190" s="17" t="str">
        <f>IF(Table1[[#This Row],[Quantidade]]="","",Table1[[#This Row],[Quantidade]]*Table1[[#This Row],[Valor Unitário]])</f>
        <v/>
      </c>
      <c r="J190" s="18" t="str">
        <f>IF(H190="","",IF(B190="SK01",'Produto e Custo de Produção'!$H$2*Table1[[#This Row],[Quantidade]],'Produto e Custo de Produção'!$H$3*Table1[[#This Row],[Quantidade]]))</f>
        <v/>
      </c>
      <c r="K190" s="18" t="str">
        <f>IF(H190="","",IF(B190="SK01",'Produto e Custo de Produção'!$I$2*Table1[[#This Row],[Quantidade]],'Produto e Custo de Produção'!$I$2*Table1[[#This Row],[Quantidade]]))</f>
        <v/>
      </c>
      <c r="L190" s="18" t="str">
        <f t="shared" si="6"/>
        <v/>
      </c>
      <c r="M190" s="18" t="str">
        <f>IF(B190="","",Table1[[#This Row],[Total da Venda]]*0.06)</f>
        <v/>
      </c>
      <c r="N190" s="18"/>
      <c r="O190" s="25"/>
      <c r="P190" s="25"/>
    </row>
    <row r="191" spans="1:16" x14ac:dyDescent="0.25">
      <c r="A191" s="28"/>
      <c r="B191" s="4"/>
      <c r="C191" s="1"/>
      <c r="D191" s="1"/>
      <c r="E191" s="39"/>
      <c r="F191" s="2"/>
      <c r="G191" s="21" t="str">
        <f t="shared" si="5"/>
        <v/>
      </c>
      <c r="H191" s="17" t="str">
        <f>IF(B191="","",IF(B191="SK01",VLOOKUP(D191,Clientes!C:I,6,0),VLOOKUP(D191,Clientes!C:I,7,0)))</f>
        <v/>
      </c>
      <c r="I191" s="17" t="str">
        <f>IF(Table1[[#This Row],[Quantidade]]="","",Table1[[#This Row],[Quantidade]]*Table1[[#This Row],[Valor Unitário]])</f>
        <v/>
      </c>
      <c r="J191" s="18" t="str">
        <f>IF(H191="","",IF(B191="SK01",'Produto e Custo de Produção'!$H$2*Table1[[#This Row],[Quantidade]],'Produto e Custo de Produção'!$H$3*Table1[[#This Row],[Quantidade]]))</f>
        <v/>
      </c>
      <c r="K191" s="18" t="str">
        <f>IF(H191="","",IF(B191="SK01",'Produto e Custo de Produção'!$I$2*Table1[[#This Row],[Quantidade]],'Produto e Custo de Produção'!$I$2*Table1[[#This Row],[Quantidade]]))</f>
        <v/>
      </c>
      <c r="L191" s="18" t="str">
        <f t="shared" si="6"/>
        <v/>
      </c>
      <c r="M191" s="18" t="str">
        <f>IF(B191="","",Table1[[#This Row],[Total da Venda]]*0.06)</f>
        <v/>
      </c>
      <c r="N191" s="18"/>
      <c r="O191" s="25"/>
      <c r="P191" s="25"/>
    </row>
    <row r="192" spans="1:16" x14ac:dyDescent="0.25">
      <c r="A192" s="28"/>
      <c r="B192" s="4"/>
      <c r="C192" s="1"/>
      <c r="D192" s="1"/>
      <c r="E192" s="39"/>
      <c r="F192" s="2"/>
      <c r="G192" s="21" t="str">
        <f t="shared" si="5"/>
        <v/>
      </c>
      <c r="H192" s="17" t="str">
        <f>IF(B192="","",IF(B192="SK01",VLOOKUP(D192,Clientes!C:I,6,0),VLOOKUP(D192,Clientes!C:I,7,0)))</f>
        <v/>
      </c>
      <c r="I192" s="17" t="str">
        <f>IF(Table1[[#This Row],[Quantidade]]="","",Table1[[#This Row],[Quantidade]]*Table1[[#This Row],[Valor Unitário]])</f>
        <v/>
      </c>
      <c r="J192" s="18" t="str">
        <f>IF(H192="","",IF(B192="SK01",'Produto e Custo de Produção'!$H$2*Table1[[#This Row],[Quantidade]],'Produto e Custo de Produção'!$H$3*Table1[[#This Row],[Quantidade]]))</f>
        <v/>
      </c>
      <c r="K192" s="18" t="str">
        <f>IF(H192="","",IF(B192="SK01",'Produto e Custo de Produção'!$I$2*Table1[[#This Row],[Quantidade]],'Produto e Custo de Produção'!$I$2*Table1[[#This Row],[Quantidade]]))</f>
        <v/>
      </c>
      <c r="L192" s="18" t="str">
        <f t="shared" si="6"/>
        <v/>
      </c>
      <c r="M192" s="18" t="str">
        <f>IF(B192="","",Table1[[#This Row],[Total da Venda]]*0.06)</f>
        <v/>
      </c>
      <c r="N192" s="18"/>
      <c r="O192" s="25"/>
      <c r="P192" s="25"/>
    </row>
    <row r="193" spans="1:16" x14ac:dyDescent="0.25">
      <c r="A193" s="28"/>
      <c r="B193" s="4"/>
      <c r="C193" s="1"/>
      <c r="D193" s="1"/>
      <c r="E193" s="39"/>
      <c r="F193" s="2"/>
      <c r="G193" s="21" t="str">
        <f t="shared" si="5"/>
        <v/>
      </c>
      <c r="H193" s="17" t="str">
        <f>IF(B193="","",IF(B193="SK01",VLOOKUP(D193,Clientes!C:I,6,0),VLOOKUP(D193,Clientes!C:I,7,0)))</f>
        <v/>
      </c>
      <c r="I193" s="17" t="str">
        <f>IF(Table1[[#This Row],[Quantidade]]="","",Table1[[#This Row],[Quantidade]]*Table1[[#This Row],[Valor Unitário]])</f>
        <v/>
      </c>
      <c r="J193" s="18" t="str">
        <f>IF(H193="","",IF(B193="SK01",'Produto e Custo de Produção'!$H$2*Table1[[#This Row],[Quantidade]],'Produto e Custo de Produção'!$H$3*Table1[[#This Row],[Quantidade]]))</f>
        <v/>
      </c>
      <c r="K193" s="18" t="str">
        <f>IF(H193="","",IF(B193="SK01",'Produto e Custo de Produção'!$I$2*Table1[[#This Row],[Quantidade]],'Produto e Custo de Produção'!$I$2*Table1[[#This Row],[Quantidade]]))</f>
        <v/>
      </c>
      <c r="L193" s="18" t="str">
        <f t="shared" si="6"/>
        <v/>
      </c>
      <c r="M193" s="18" t="str">
        <f>IF(B193="","",Table1[[#This Row],[Total da Venda]]*0.06)</f>
        <v/>
      </c>
      <c r="N193" s="18"/>
      <c r="O193" s="25"/>
      <c r="P193" s="25"/>
    </row>
    <row r="194" spans="1:16" x14ac:dyDescent="0.25">
      <c r="A194" s="28"/>
      <c r="B194" s="4"/>
      <c r="C194" s="1"/>
      <c r="D194" s="1"/>
      <c r="E194" s="39"/>
      <c r="F194" s="2"/>
      <c r="G194" s="21" t="str">
        <f t="shared" ref="G194:G205" si="7">IF(B194="","",IF(B194="SK01",E194*5,E194*3))</f>
        <v/>
      </c>
      <c r="H194" s="17" t="str">
        <f>IF(B194="","",IF(B194="SK01",VLOOKUP(D194,Clientes!C:I,6,0),VLOOKUP(D194,Clientes!C:I,7,0)))</f>
        <v/>
      </c>
      <c r="I194" s="17" t="str">
        <f>IF(Table1[[#This Row],[Quantidade]]="","",Table1[[#This Row],[Quantidade]]*Table1[[#This Row],[Valor Unitário]])</f>
        <v/>
      </c>
      <c r="J194" s="18" t="str">
        <f>IF(H194="","",IF(B194="SK01",'Produto e Custo de Produção'!$H$2*Table1[[#This Row],[Quantidade]],'Produto e Custo de Produção'!$H$3*Table1[[#This Row],[Quantidade]]))</f>
        <v/>
      </c>
      <c r="K194" s="18" t="str">
        <f>IF(H194="","",IF(B194="SK01",'Produto e Custo de Produção'!$I$2*Table1[[#This Row],[Quantidade]],'Produto e Custo de Produção'!$I$2*Table1[[#This Row],[Quantidade]]))</f>
        <v/>
      </c>
      <c r="L194" s="18" t="str">
        <f t="shared" si="6"/>
        <v/>
      </c>
      <c r="M194" s="18" t="str">
        <f>IF(B194="","",Table1[[#This Row],[Total da Venda]]*0.06)</f>
        <v/>
      </c>
      <c r="N194" s="18"/>
      <c r="O194" s="25"/>
      <c r="P194" s="25"/>
    </row>
    <row r="195" spans="1:16" x14ac:dyDescent="0.25">
      <c r="A195" s="28"/>
      <c r="B195" s="4"/>
      <c r="C195" s="1"/>
      <c r="D195" s="1"/>
      <c r="E195" s="39"/>
      <c r="F195" s="2"/>
      <c r="G195" s="21" t="str">
        <f t="shared" si="7"/>
        <v/>
      </c>
      <c r="H195" s="17" t="str">
        <f>IF(B195="","",IF(B195="SK01",VLOOKUP(D195,Clientes!C:I,6,0),VLOOKUP(D195,Clientes!C:I,7,0)))</f>
        <v/>
      </c>
      <c r="I195" s="17" t="str">
        <f>IF(Table1[[#This Row],[Quantidade]]="","",Table1[[#This Row],[Quantidade]]*Table1[[#This Row],[Valor Unitário]])</f>
        <v/>
      </c>
      <c r="J195" s="18" t="str">
        <f>IF(H195="","",IF(B195="SK01",'Produto e Custo de Produção'!$H$2*Table1[[#This Row],[Quantidade]],'Produto e Custo de Produção'!$H$3*Table1[[#This Row],[Quantidade]]))</f>
        <v/>
      </c>
      <c r="K195" s="18" t="str">
        <f>IF(H195="","",IF(B195="SK01",'Produto e Custo de Produção'!$I$2*Table1[[#This Row],[Quantidade]],'Produto e Custo de Produção'!$I$2*Table1[[#This Row],[Quantidade]]))</f>
        <v/>
      </c>
      <c r="L195" s="18" t="str">
        <f t="shared" ref="L195:L205" si="8">IF(B195="","",IF(E195&lt;=2,0,IF(E195&lt;=30,10,IF(E195&lt;=40,15,20))))</f>
        <v/>
      </c>
      <c r="M195" s="18" t="str">
        <f>IF(B195="","",Table1[[#This Row],[Total da Venda]]*0.06)</f>
        <v/>
      </c>
      <c r="N195" s="18"/>
      <c r="O195" s="25"/>
      <c r="P195" s="25"/>
    </row>
    <row r="196" spans="1:16" x14ac:dyDescent="0.25">
      <c r="A196" s="28"/>
      <c r="B196" s="4"/>
      <c r="C196" s="1"/>
      <c r="D196" s="1"/>
      <c r="E196" s="39"/>
      <c r="F196" s="2"/>
      <c r="G196" s="21" t="str">
        <f t="shared" si="7"/>
        <v/>
      </c>
      <c r="H196" s="17" t="str">
        <f>IF(B196="","",IF(B196="SK01",VLOOKUP(D196,Clientes!C:I,6,0),VLOOKUP(D196,Clientes!C:I,7,0)))</f>
        <v/>
      </c>
      <c r="I196" s="17" t="str">
        <f>IF(Table1[[#This Row],[Quantidade]]="","",Table1[[#This Row],[Quantidade]]*Table1[[#This Row],[Valor Unitário]])</f>
        <v/>
      </c>
      <c r="J196" s="18" t="str">
        <f>IF(H196="","",IF(B196="SK01",'Produto e Custo de Produção'!$H$2*Table1[[#This Row],[Quantidade]],'Produto e Custo de Produção'!$H$3*Table1[[#This Row],[Quantidade]]))</f>
        <v/>
      </c>
      <c r="K196" s="18" t="str">
        <f>IF(H196="","",IF(B196="SK01",'Produto e Custo de Produção'!$I$2*Table1[[#This Row],[Quantidade]],'Produto e Custo de Produção'!$I$2*Table1[[#This Row],[Quantidade]]))</f>
        <v/>
      </c>
      <c r="L196" s="18" t="str">
        <f t="shared" si="8"/>
        <v/>
      </c>
      <c r="M196" s="18" t="str">
        <f>IF(B196="","",Table1[[#This Row],[Total da Venda]]*0.06)</f>
        <v/>
      </c>
      <c r="N196" s="18"/>
      <c r="O196" s="25"/>
      <c r="P196" s="25"/>
    </row>
    <row r="197" spans="1:16" x14ac:dyDescent="0.25">
      <c r="A197" s="28"/>
      <c r="B197" s="4"/>
      <c r="C197" s="1"/>
      <c r="D197" s="1"/>
      <c r="E197" s="39"/>
      <c r="F197" s="2"/>
      <c r="G197" s="21" t="str">
        <f t="shared" si="7"/>
        <v/>
      </c>
      <c r="H197" s="17" t="str">
        <f>IF(B197="","",IF(B197="SK01",VLOOKUP(D197,Clientes!C:I,6,0),VLOOKUP(D197,Clientes!C:I,7,0)))</f>
        <v/>
      </c>
      <c r="I197" s="17" t="str">
        <f>IF(Table1[[#This Row],[Quantidade]]="","",Table1[[#This Row],[Quantidade]]*Table1[[#This Row],[Valor Unitário]])</f>
        <v/>
      </c>
      <c r="J197" s="18" t="str">
        <f>IF(H197="","",IF(B197="SK01",'Produto e Custo de Produção'!$H$2*Table1[[#This Row],[Quantidade]],'Produto e Custo de Produção'!$H$3*Table1[[#This Row],[Quantidade]]))</f>
        <v/>
      </c>
      <c r="K197" s="18" t="str">
        <f>IF(H197="","",IF(B197="SK01",'Produto e Custo de Produção'!$I$2*Table1[[#This Row],[Quantidade]],'Produto e Custo de Produção'!$I$2*Table1[[#This Row],[Quantidade]]))</f>
        <v/>
      </c>
      <c r="L197" s="18" t="str">
        <f t="shared" si="8"/>
        <v/>
      </c>
      <c r="M197" s="18" t="str">
        <f>IF(B197="","",Table1[[#This Row],[Total da Venda]]*0.06)</f>
        <v/>
      </c>
      <c r="N197" s="18"/>
      <c r="O197" s="25"/>
      <c r="P197" s="25"/>
    </row>
    <row r="198" spans="1:16" x14ac:dyDescent="0.25">
      <c r="A198" s="28"/>
      <c r="B198" s="4"/>
      <c r="C198" s="1"/>
      <c r="D198" s="1"/>
      <c r="E198" s="39"/>
      <c r="F198" s="2"/>
      <c r="G198" s="21" t="str">
        <f t="shared" si="7"/>
        <v/>
      </c>
      <c r="H198" s="17" t="str">
        <f>IF(B198="","",IF(B198="SK01",VLOOKUP(D198,Clientes!C:I,6,0),VLOOKUP(D198,Clientes!C:I,7,0)))</f>
        <v/>
      </c>
      <c r="I198" s="17" t="str">
        <f>IF(Table1[[#This Row],[Quantidade]]="","",Table1[[#This Row],[Quantidade]]*Table1[[#This Row],[Valor Unitário]])</f>
        <v/>
      </c>
      <c r="J198" s="18" t="str">
        <f>IF(H198="","",IF(B198="SK01",'Produto e Custo de Produção'!$H$2*Table1[[#This Row],[Quantidade]],'Produto e Custo de Produção'!$H$3*Table1[[#This Row],[Quantidade]]))</f>
        <v/>
      </c>
      <c r="K198" s="18" t="str">
        <f>IF(H198="","",IF(B198="SK01",'Produto e Custo de Produção'!$I$2*Table1[[#This Row],[Quantidade]],'Produto e Custo de Produção'!$I$2*Table1[[#This Row],[Quantidade]]))</f>
        <v/>
      </c>
      <c r="L198" s="18" t="str">
        <f t="shared" si="8"/>
        <v/>
      </c>
      <c r="M198" s="18" t="str">
        <f>IF(B198="","",Table1[[#This Row],[Total da Venda]]*0.06)</f>
        <v/>
      </c>
      <c r="N198" s="18"/>
      <c r="O198" s="25"/>
      <c r="P198" s="25"/>
    </row>
    <row r="199" spans="1:16" x14ac:dyDescent="0.25">
      <c r="A199" s="28"/>
      <c r="B199" s="4"/>
      <c r="C199" s="1"/>
      <c r="D199" s="1"/>
      <c r="E199" s="39"/>
      <c r="F199" s="2"/>
      <c r="G199" s="21" t="str">
        <f t="shared" si="7"/>
        <v/>
      </c>
      <c r="H199" s="17" t="str">
        <f>IF(B199="","",IF(B199="SK01",VLOOKUP(D199,Clientes!C:I,6,0),VLOOKUP(D199,Clientes!C:I,7,0)))</f>
        <v/>
      </c>
      <c r="I199" s="17" t="str">
        <f>IF(Table1[[#This Row],[Quantidade]]="","",Table1[[#This Row],[Quantidade]]*Table1[[#This Row],[Valor Unitário]])</f>
        <v/>
      </c>
      <c r="J199" s="18" t="str">
        <f>IF(H199="","",IF(B199="SK01",'Produto e Custo de Produção'!$H$2*Table1[[#This Row],[Quantidade]],'Produto e Custo de Produção'!$H$3*Table1[[#This Row],[Quantidade]]))</f>
        <v/>
      </c>
      <c r="K199" s="18" t="str">
        <f>IF(H199="","",IF(B199="SK01",'Produto e Custo de Produção'!$I$2*Table1[[#This Row],[Quantidade]],'Produto e Custo de Produção'!$I$2*Table1[[#This Row],[Quantidade]]))</f>
        <v/>
      </c>
      <c r="L199" s="18" t="str">
        <f t="shared" si="8"/>
        <v/>
      </c>
      <c r="M199" s="18" t="str">
        <f>IF(B199="","",Table1[[#This Row],[Total da Venda]]*0.06)</f>
        <v/>
      </c>
      <c r="N199" s="18"/>
      <c r="O199" s="25"/>
      <c r="P199" s="25"/>
    </row>
    <row r="200" spans="1:16" x14ac:dyDescent="0.25">
      <c r="A200" s="28"/>
      <c r="B200" s="4"/>
      <c r="C200" s="1"/>
      <c r="D200" s="1"/>
      <c r="E200" s="39"/>
      <c r="F200" s="2"/>
      <c r="G200" s="21" t="str">
        <f t="shared" si="7"/>
        <v/>
      </c>
      <c r="H200" s="17" t="str">
        <f>IF(B200="","",IF(B200="SK01",VLOOKUP(D200,Clientes!C:I,6,0),VLOOKUP(D200,Clientes!C:I,7,0)))</f>
        <v/>
      </c>
      <c r="I200" s="17" t="str">
        <f>IF(Table1[[#This Row],[Quantidade]]="","",Table1[[#This Row],[Quantidade]]*Table1[[#This Row],[Valor Unitário]])</f>
        <v/>
      </c>
      <c r="J200" s="18" t="str">
        <f>IF(H200="","",IF(B200="SK01",'Produto e Custo de Produção'!$H$2*Table1[[#This Row],[Quantidade]],'Produto e Custo de Produção'!$H$3*Table1[[#This Row],[Quantidade]]))</f>
        <v/>
      </c>
      <c r="K200" s="18" t="str">
        <f>IF(H200="","",IF(B200="SK01",'Produto e Custo de Produção'!$I$2*Table1[[#This Row],[Quantidade]],'Produto e Custo de Produção'!$I$2*Table1[[#This Row],[Quantidade]]))</f>
        <v/>
      </c>
      <c r="L200" s="18" t="str">
        <f t="shared" si="8"/>
        <v/>
      </c>
      <c r="M200" s="18" t="str">
        <f>IF(B200="","",Table1[[#This Row],[Total da Venda]]*0.06)</f>
        <v/>
      </c>
      <c r="N200" s="18"/>
      <c r="O200" s="25"/>
      <c r="P200" s="25"/>
    </row>
    <row r="201" spans="1:16" x14ac:dyDescent="0.25">
      <c r="A201" s="28"/>
      <c r="B201" s="4"/>
      <c r="C201" s="1"/>
      <c r="D201" s="1"/>
      <c r="E201" s="39"/>
      <c r="F201" s="2"/>
      <c r="G201" s="21" t="str">
        <f t="shared" si="7"/>
        <v/>
      </c>
      <c r="H201" s="17" t="str">
        <f>IF(B201="","",IF(B201="SK01",VLOOKUP(D201,Clientes!C:I,6,0),VLOOKUP(D201,Clientes!C:I,7,0)))</f>
        <v/>
      </c>
      <c r="I201" s="17" t="str">
        <f>IF(Table1[[#This Row],[Quantidade]]="","",Table1[[#This Row],[Quantidade]]*Table1[[#This Row],[Valor Unitário]])</f>
        <v/>
      </c>
      <c r="J201" s="18" t="str">
        <f>IF(H201="","",IF(B201="SK01",'Produto e Custo de Produção'!$H$2*Table1[[#This Row],[Quantidade]],'Produto e Custo de Produção'!$H$3*Table1[[#This Row],[Quantidade]]))</f>
        <v/>
      </c>
      <c r="K201" s="18" t="str">
        <f>IF(H201="","",IF(B201="SK01",'Produto e Custo de Produção'!$I$2*Table1[[#This Row],[Quantidade]],'Produto e Custo de Produção'!$I$2*Table1[[#This Row],[Quantidade]]))</f>
        <v/>
      </c>
      <c r="L201" s="18" t="str">
        <f t="shared" si="8"/>
        <v/>
      </c>
      <c r="M201" s="18" t="str">
        <f>IF(B201="","",Table1[[#This Row],[Total da Venda]]*0.06)</f>
        <v/>
      </c>
      <c r="N201" s="18"/>
      <c r="O201" s="25"/>
      <c r="P201" s="25"/>
    </row>
    <row r="202" spans="1:16" x14ac:dyDescent="0.25">
      <c r="A202" s="28"/>
      <c r="B202" s="4"/>
      <c r="C202" s="1"/>
      <c r="D202" s="1"/>
      <c r="E202" s="39"/>
      <c r="F202" s="2"/>
      <c r="G202" s="21" t="str">
        <f t="shared" si="7"/>
        <v/>
      </c>
      <c r="H202" s="17" t="str">
        <f>IF(B202="","",IF(B202="SK01",VLOOKUP(D202,Clientes!C:I,6,0),VLOOKUP(D202,Clientes!C:I,7,0)))</f>
        <v/>
      </c>
      <c r="I202" s="17" t="str">
        <f>IF(Table1[[#This Row],[Quantidade]]="","",Table1[[#This Row],[Quantidade]]*Table1[[#This Row],[Valor Unitário]])</f>
        <v/>
      </c>
      <c r="J202" s="18" t="str">
        <f>IF(H202="","",IF(B202="SK01",'Produto e Custo de Produção'!$H$2*Table1[[#This Row],[Quantidade]],'Produto e Custo de Produção'!$H$3*Table1[[#This Row],[Quantidade]]))</f>
        <v/>
      </c>
      <c r="K202" s="18" t="str">
        <f>IF(H202="","",IF(B202="SK01",'Produto e Custo de Produção'!$I$2*Table1[[#This Row],[Quantidade]],'Produto e Custo de Produção'!$I$2*Table1[[#This Row],[Quantidade]]))</f>
        <v/>
      </c>
      <c r="L202" s="18" t="str">
        <f t="shared" si="8"/>
        <v/>
      </c>
      <c r="M202" s="18" t="str">
        <f>IF(B202="","",Table1[[#This Row],[Total da Venda]]*0.06)</f>
        <v/>
      </c>
      <c r="N202" s="18"/>
      <c r="O202" s="25"/>
      <c r="P202" s="25"/>
    </row>
    <row r="203" spans="1:16" x14ac:dyDescent="0.25">
      <c r="A203" s="28"/>
      <c r="B203" s="4"/>
      <c r="C203" s="1"/>
      <c r="D203" s="1"/>
      <c r="E203" s="39"/>
      <c r="F203" s="2"/>
      <c r="G203" s="21" t="str">
        <f t="shared" si="7"/>
        <v/>
      </c>
      <c r="H203" s="17" t="str">
        <f>IF(B203="","",IF(B203="SK01",VLOOKUP(D203,Clientes!C:I,6,0),VLOOKUP(D203,Clientes!C:I,7,0)))</f>
        <v/>
      </c>
      <c r="I203" s="17" t="str">
        <f>IF(Table1[[#This Row],[Quantidade]]="","",Table1[[#This Row],[Quantidade]]*Table1[[#This Row],[Valor Unitário]])</f>
        <v/>
      </c>
      <c r="J203" s="18" t="str">
        <f>IF(H203="","",IF(B203="SK01",'Produto e Custo de Produção'!$H$2*Table1[[#This Row],[Quantidade]],'Produto e Custo de Produção'!$H$3*Table1[[#This Row],[Quantidade]]))</f>
        <v/>
      </c>
      <c r="K203" s="18" t="str">
        <f>IF(H203="","",IF(B203="SK01",'Produto e Custo de Produção'!$I$2*Table1[[#This Row],[Quantidade]],'Produto e Custo de Produção'!$I$2*Table1[[#This Row],[Quantidade]]))</f>
        <v/>
      </c>
      <c r="L203" s="18" t="str">
        <f t="shared" si="8"/>
        <v/>
      </c>
      <c r="M203" s="18" t="str">
        <f>IF(B203="","",Table1[[#This Row],[Total da Venda]]*0.06)</f>
        <v/>
      </c>
      <c r="N203" s="18"/>
      <c r="O203" s="25"/>
      <c r="P203" s="25"/>
    </row>
    <row r="204" spans="1:16" x14ac:dyDescent="0.25">
      <c r="A204" s="28"/>
      <c r="B204" s="4"/>
      <c r="C204" s="1"/>
      <c r="D204" s="1"/>
      <c r="E204" s="39"/>
      <c r="F204" s="2"/>
      <c r="G204" s="21" t="str">
        <f t="shared" si="7"/>
        <v/>
      </c>
      <c r="H204" s="17" t="str">
        <f>IF(B204="","",IF(B204="SK01",VLOOKUP(D204,Clientes!C:I,6,0),VLOOKUP(D204,Clientes!C:I,7,0)))</f>
        <v/>
      </c>
      <c r="I204" s="17" t="str">
        <f>IF(Table1[[#This Row],[Quantidade]]="","",Table1[[#This Row],[Quantidade]]*Table1[[#This Row],[Valor Unitário]])</f>
        <v/>
      </c>
      <c r="J204" s="18" t="str">
        <f>IF(H204="","",IF(B204="SK01",'Produto e Custo de Produção'!$H$2*Table1[[#This Row],[Quantidade]],'Produto e Custo de Produção'!$H$3*Table1[[#This Row],[Quantidade]]))</f>
        <v/>
      </c>
      <c r="K204" s="18" t="str">
        <f>IF(H204="","",IF(B204="SK01",'Produto e Custo de Produção'!$I$2*Table1[[#This Row],[Quantidade]],'Produto e Custo de Produção'!$I$2*Table1[[#This Row],[Quantidade]]))</f>
        <v/>
      </c>
      <c r="L204" s="18" t="str">
        <f t="shared" si="8"/>
        <v/>
      </c>
      <c r="M204" s="18" t="str">
        <f>IF(B204="","",Table1[[#This Row],[Total da Venda]]*0.06)</f>
        <v/>
      </c>
      <c r="N204" s="18"/>
      <c r="O204" s="25"/>
      <c r="P204" s="25"/>
    </row>
    <row r="205" spans="1:16" x14ac:dyDescent="0.25">
      <c r="A205" s="29"/>
      <c r="B205" s="4"/>
      <c r="C205" s="1"/>
      <c r="D205" s="1"/>
      <c r="E205" s="39"/>
      <c r="F205" s="2"/>
      <c r="G205" s="21" t="str">
        <f t="shared" si="7"/>
        <v/>
      </c>
      <c r="H205" s="17" t="str">
        <f>IF(B205="","",IF(B205="SK01",VLOOKUP(D205,Clientes!C:I,6,0),VLOOKUP(D205,Clientes!C:I,7,0)))</f>
        <v/>
      </c>
      <c r="I205" s="17" t="str">
        <f>IF(Table1[[#This Row],[Quantidade]]="","",Table1[[#This Row],[Quantidade]]*Table1[[#This Row],[Valor Unitário]])</f>
        <v/>
      </c>
      <c r="J205" s="18" t="str">
        <f>IF(H205="","",IF(B205="SK01",'Produto e Custo de Produção'!$H$2*Table1[[#This Row],[Quantidade]],'Produto e Custo de Produção'!$H$3*Table1[[#This Row],[Quantidade]]))</f>
        <v/>
      </c>
      <c r="K205" s="18" t="str">
        <f>IF(H205="","",IF(B205="SK01",'Produto e Custo de Produção'!$I$2*Table1[[#This Row],[Quantidade]],'Produto e Custo de Produção'!$I$2*Table1[[#This Row],[Quantidade]]))</f>
        <v/>
      </c>
      <c r="L205" s="18" t="str">
        <f t="shared" si="8"/>
        <v/>
      </c>
      <c r="M205" s="18" t="str">
        <f>IF(B205="","",Table1[[#This Row],[Total da Venda]]*0.06)</f>
        <v/>
      </c>
      <c r="N205" s="18"/>
      <c r="O205" s="25"/>
      <c r="P205" s="25"/>
    </row>
  </sheetData>
  <phoneticPr fontId="4" type="noConversion"/>
  <dataValidations count="1">
    <dataValidation type="list" allowBlank="1" showInputMessage="1" showErrorMessage="1" sqref="B206:B380 C2:C205" xr:uid="{B13B00F3-9111-4FEE-B040-773BD70D2DB6}">
      <formula1>"Atacado,Varejo"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9345674-BCA3-4725-8FB6-6BE027F9B898}">
          <x14:formula1>
            <xm:f>Clientes!$C$2:$C$48</xm:f>
          </x14:formula1>
          <xm:sqref>D2:D205</xm:sqref>
        </x14:dataValidation>
        <x14:dataValidation type="list" allowBlank="1" showInputMessage="1" showErrorMessage="1" xr:uid="{7AD9FF45-AD55-40EA-9284-863FD9A7062B}">
          <x14:formula1>
            <xm:f>'Produto e Custo de Produção'!$A$2:$A$3</xm:f>
          </x14:formula1>
          <xm:sqref>A320:A380 B2:B205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D3D98-1ECC-42B0-90E8-40816C659B8E}">
  <sheetPr codeName="Planilha5"/>
  <dimension ref="A1:D77"/>
  <sheetViews>
    <sheetView topLeftCell="A52" workbookViewId="0">
      <selection activeCell="H56" sqref="H56"/>
    </sheetView>
  </sheetViews>
  <sheetFormatPr defaultRowHeight="15" x14ac:dyDescent="0.25"/>
  <cols>
    <col min="1" max="1" width="10.7109375" style="19" bestFit="1" customWidth="1"/>
    <col min="2" max="2" width="17.5703125" customWidth="1"/>
  </cols>
  <sheetData>
    <row r="1" spans="1:4" x14ac:dyDescent="0.25">
      <c r="A1" s="49" t="s">
        <v>38</v>
      </c>
      <c r="B1" s="37" t="s">
        <v>92</v>
      </c>
      <c r="C1" s="37" t="s">
        <v>4</v>
      </c>
      <c r="D1" s="37" t="s">
        <v>5</v>
      </c>
    </row>
    <row r="2" spans="1:4" x14ac:dyDescent="0.25">
      <c r="A2" s="19">
        <v>44566</v>
      </c>
      <c r="B2">
        <v>100</v>
      </c>
      <c r="C2">
        <v>14</v>
      </c>
      <c r="D2">
        <v>10</v>
      </c>
    </row>
    <row r="3" spans="1:4" x14ac:dyDescent="0.25">
      <c r="A3" s="19">
        <v>44567</v>
      </c>
      <c r="B3" s="14">
        <v>100</v>
      </c>
      <c r="C3">
        <v>14</v>
      </c>
      <c r="D3">
        <v>10</v>
      </c>
    </row>
    <row r="4" spans="1:4" x14ac:dyDescent="0.25">
      <c r="A4" s="19">
        <v>44568</v>
      </c>
      <c r="B4" s="14">
        <v>100</v>
      </c>
      <c r="C4">
        <v>14</v>
      </c>
      <c r="D4">
        <v>10</v>
      </c>
    </row>
    <row r="5" spans="1:4" x14ac:dyDescent="0.25">
      <c r="A5" s="19">
        <v>44569</v>
      </c>
      <c r="B5" s="14">
        <v>100</v>
      </c>
      <c r="C5">
        <v>14</v>
      </c>
      <c r="D5">
        <v>10</v>
      </c>
    </row>
    <row r="6" spans="1:4" x14ac:dyDescent="0.25">
      <c r="A6" s="19">
        <v>44570</v>
      </c>
      <c r="B6" s="14">
        <v>100</v>
      </c>
      <c r="C6">
        <v>14</v>
      </c>
      <c r="D6">
        <v>10</v>
      </c>
    </row>
    <row r="7" spans="1:4" x14ac:dyDescent="0.25">
      <c r="A7" s="19">
        <v>44571</v>
      </c>
      <c r="B7" s="14">
        <v>100</v>
      </c>
      <c r="C7">
        <v>14</v>
      </c>
      <c r="D7">
        <v>10</v>
      </c>
    </row>
    <row r="8" spans="1:4" x14ac:dyDescent="0.25">
      <c r="A8" s="19">
        <v>44572</v>
      </c>
      <c r="B8" s="14">
        <v>100</v>
      </c>
      <c r="C8">
        <v>14</v>
      </c>
      <c r="D8">
        <v>10</v>
      </c>
    </row>
    <row r="9" spans="1:4" x14ac:dyDescent="0.25">
      <c r="A9" s="19">
        <v>44573</v>
      </c>
      <c r="B9" s="14">
        <v>100</v>
      </c>
      <c r="C9">
        <v>14</v>
      </c>
      <c r="D9">
        <v>10</v>
      </c>
    </row>
    <row r="10" spans="1:4" x14ac:dyDescent="0.25">
      <c r="A10" s="19">
        <v>44574</v>
      </c>
      <c r="B10" s="14">
        <v>100</v>
      </c>
      <c r="C10">
        <v>14</v>
      </c>
      <c r="D10">
        <v>10</v>
      </c>
    </row>
    <row r="11" spans="1:4" x14ac:dyDescent="0.25">
      <c r="A11" s="19">
        <v>44575</v>
      </c>
      <c r="B11" s="14">
        <v>100</v>
      </c>
      <c r="C11">
        <v>14</v>
      </c>
      <c r="D11">
        <v>10</v>
      </c>
    </row>
    <row r="12" spans="1:4" x14ac:dyDescent="0.25">
      <c r="A12" s="19">
        <v>44576</v>
      </c>
      <c r="B12" s="14">
        <v>100</v>
      </c>
      <c r="C12">
        <v>14</v>
      </c>
      <c r="D12">
        <v>10</v>
      </c>
    </row>
    <row r="13" spans="1:4" x14ac:dyDescent="0.25">
      <c r="A13" s="19">
        <v>44577</v>
      </c>
      <c r="B13" s="14">
        <v>100</v>
      </c>
      <c r="C13">
        <v>14</v>
      </c>
      <c r="D13">
        <v>10</v>
      </c>
    </row>
    <row r="14" spans="1:4" x14ac:dyDescent="0.25">
      <c r="A14" s="19">
        <v>44578</v>
      </c>
      <c r="B14" s="14">
        <v>100</v>
      </c>
      <c r="C14">
        <v>14</v>
      </c>
      <c r="D14">
        <v>10</v>
      </c>
    </row>
    <row r="15" spans="1:4" x14ac:dyDescent="0.25">
      <c r="A15" s="19">
        <v>44579</v>
      </c>
      <c r="B15" s="14">
        <v>100</v>
      </c>
      <c r="C15">
        <v>14</v>
      </c>
      <c r="D15">
        <v>10</v>
      </c>
    </row>
    <row r="16" spans="1:4" x14ac:dyDescent="0.25">
      <c r="A16" s="19">
        <v>44580</v>
      </c>
      <c r="B16" s="14">
        <v>100</v>
      </c>
      <c r="C16">
        <v>14</v>
      </c>
      <c r="D16">
        <v>10</v>
      </c>
    </row>
    <row r="17" spans="1:4" x14ac:dyDescent="0.25">
      <c r="A17" s="19">
        <v>44581</v>
      </c>
      <c r="B17" s="14">
        <v>100</v>
      </c>
      <c r="C17">
        <v>14</v>
      </c>
      <c r="D17">
        <v>10</v>
      </c>
    </row>
    <row r="18" spans="1:4" x14ac:dyDescent="0.25">
      <c r="A18" s="19">
        <v>44582</v>
      </c>
      <c r="B18" s="14">
        <v>100</v>
      </c>
      <c r="C18">
        <v>14</v>
      </c>
      <c r="D18">
        <v>10</v>
      </c>
    </row>
    <row r="19" spans="1:4" x14ac:dyDescent="0.25">
      <c r="A19" s="19">
        <v>44583</v>
      </c>
      <c r="B19" s="14">
        <v>100</v>
      </c>
      <c r="C19">
        <v>14</v>
      </c>
      <c r="D19">
        <v>10</v>
      </c>
    </row>
    <row r="20" spans="1:4" x14ac:dyDescent="0.25">
      <c r="A20" s="19">
        <v>44584</v>
      </c>
      <c r="B20" s="14">
        <v>100</v>
      </c>
      <c r="C20">
        <v>14</v>
      </c>
      <c r="D20">
        <v>10</v>
      </c>
    </row>
    <row r="21" spans="1:4" x14ac:dyDescent="0.25">
      <c r="A21" s="19">
        <v>44585</v>
      </c>
      <c r="B21" s="14">
        <v>100</v>
      </c>
      <c r="C21">
        <v>14</v>
      </c>
      <c r="D21">
        <v>10</v>
      </c>
    </row>
    <row r="22" spans="1:4" x14ac:dyDescent="0.25">
      <c r="A22" s="19">
        <v>44586</v>
      </c>
      <c r="B22" s="14">
        <v>100</v>
      </c>
      <c r="C22">
        <v>14</v>
      </c>
      <c r="D22">
        <v>10</v>
      </c>
    </row>
    <row r="23" spans="1:4" x14ac:dyDescent="0.25">
      <c r="A23" s="19">
        <v>44587</v>
      </c>
      <c r="B23" s="14">
        <v>100</v>
      </c>
      <c r="C23">
        <v>14</v>
      </c>
      <c r="D23">
        <v>10</v>
      </c>
    </row>
    <row r="24" spans="1:4" x14ac:dyDescent="0.25">
      <c r="A24" s="19">
        <v>44588</v>
      </c>
      <c r="B24" s="14">
        <v>100</v>
      </c>
      <c r="C24">
        <v>14</v>
      </c>
      <c r="D24">
        <v>10</v>
      </c>
    </row>
    <row r="25" spans="1:4" x14ac:dyDescent="0.25">
      <c r="A25" s="19">
        <v>44589</v>
      </c>
      <c r="B25" s="14">
        <v>100</v>
      </c>
      <c r="C25">
        <v>14</v>
      </c>
      <c r="D25">
        <v>10</v>
      </c>
    </row>
    <row r="26" spans="1:4" x14ac:dyDescent="0.25">
      <c r="A26" s="19">
        <v>44590</v>
      </c>
      <c r="B26" s="14">
        <v>100</v>
      </c>
      <c r="C26">
        <v>14</v>
      </c>
      <c r="D26">
        <v>10</v>
      </c>
    </row>
    <row r="27" spans="1:4" x14ac:dyDescent="0.25">
      <c r="A27" s="19">
        <v>44591</v>
      </c>
      <c r="B27" s="14">
        <v>100</v>
      </c>
      <c r="C27">
        <v>14</v>
      </c>
      <c r="D27">
        <v>10</v>
      </c>
    </row>
    <row r="28" spans="1:4" x14ac:dyDescent="0.25">
      <c r="A28" s="19">
        <v>44592</v>
      </c>
      <c r="B28" s="14">
        <v>100</v>
      </c>
      <c r="C28">
        <v>14</v>
      </c>
      <c r="D28">
        <v>10</v>
      </c>
    </row>
    <row r="29" spans="1:4" x14ac:dyDescent="0.25">
      <c r="A29" s="19">
        <v>44593</v>
      </c>
      <c r="B29" s="14">
        <v>100</v>
      </c>
      <c r="C29">
        <v>14</v>
      </c>
      <c r="D29">
        <v>10</v>
      </c>
    </row>
    <row r="30" spans="1:4" x14ac:dyDescent="0.25">
      <c r="A30" s="19">
        <v>44594</v>
      </c>
      <c r="B30" s="14">
        <v>100</v>
      </c>
      <c r="C30">
        <v>14</v>
      </c>
      <c r="D30">
        <v>10</v>
      </c>
    </row>
    <row r="31" spans="1:4" x14ac:dyDescent="0.25">
      <c r="A31" s="19">
        <v>44595</v>
      </c>
      <c r="B31" s="14">
        <v>100</v>
      </c>
      <c r="C31">
        <v>14</v>
      </c>
      <c r="D31">
        <v>10</v>
      </c>
    </row>
    <row r="32" spans="1:4" x14ac:dyDescent="0.25">
      <c r="A32" s="19">
        <v>44596</v>
      </c>
      <c r="B32" s="14">
        <v>100</v>
      </c>
      <c r="C32">
        <v>14</v>
      </c>
      <c r="D32">
        <v>10</v>
      </c>
    </row>
    <row r="33" spans="1:4" x14ac:dyDescent="0.25">
      <c r="A33" s="19">
        <v>44597</v>
      </c>
      <c r="B33" s="14">
        <v>100</v>
      </c>
      <c r="C33">
        <v>14</v>
      </c>
      <c r="D33">
        <v>10</v>
      </c>
    </row>
    <row r="34" spans="1:4" x14ac:dyDescent="0.25">
      <c r="A34" s="19">
        <v>44598</v>
      </c>
      <c r="B34" s="14">
        <v>100</v>
      </c>
      <c r="C34">
        <v>14</v>
      </c>
      <c r="D34">
        <v>10</v>
      </c>
    </row>
    <row r="35" spans="1:4" x14ac:dyDescent="0.25">
      <c r="A35" s="19">
        <v>44599</v>
      </c>
      <c r="B35" s="14">
        <v>100</v>
      </c>
      <c r="C35">
        <v>14</v>
      </c>
      <c r="D35">
        <v>10</v>
      </c>
    </row>
    <row r="36" spans="1:4" x14ac:dyDescent="0.25">
      <c r="A36" s="19">
        <v>44600</v>
      </c>
      <c r="B36" s="14">
        <v>100</v>
      </c>
      <c r="C36">
        <v>14</v>
      </c>
      <c r="D36">
        <v>10</v>
      </c>
    </row>
    <row r="37" spans="1:4" x14ac:dyDescent="0.25">
      <c r="A37" s="19">
        <v>44601</v>
      </c>
      <c r="B37" s="14">
        <v>100</v>
      </c>
      <c r="C37">
        <v>14</v>
      </c>
      <c r="D37">
        <v>10</v>
      </c>
    </row>
    <row r="38" spans="1:4" x14ac:dyDescent="0.25">
      <c r="A38" s="19">
        <v>44602</v>
      </c>
      <c r="B38" s="14">
        <v>100</v>
      </c>
      <c r="C38">
        <v>14</v>
      </c>
      <c r="D38">
        <v>10</v>
      </c>
    </row>
    <row r="39" spans="1:4" x14ac:dyDescent="0.25">
      <c r="A39" s="19">
        <v>44603</v>
      </c>
      <c r="B39" s="14">
        <v>100</v>
      </c>
      <c r="C39">
        <v>14</v>
      </c>
      <c r="D39">
        <v>10</v>
      </c>
    </row>
    <row r="40" spans="1:4" x14ac:dyDescent="0.25">
      <c r="A40" s="19">
        <v>44604</v>
      </c>
      <c r="B40" s="14">
        <v>100</v>
      </c>
      <c r="C40">
        <v>14</v>
      </c>
      <c r="D40">
        <v>10</v>
      </c>
    </row>
    <row r="41" spans="1:4" x14ac:dyDescent="0.25">
      <c r="A41" s="19">
        <v>44605</v>
      </c>
      <c r="B41" s="14">
        <v>100</v>
      </c>
      <c r="C41">
        <v>14</v>
      </c>
      <c r="D41">
        <v>10</v>
      </c>
    </row>
    <row r="42" spans="1:4" x14ac:dyDescent="0.25">
      <c r="A42" s="19">
        <v>44606</v>
      </c>
      <c r="B42" s="14">
        <v>100</v>
      </c>
      <c r="C42">
        <v>14</v>
      </c>
      <c r="D42">
        <v>10</v>
      </c>
    </row>
    <row r="43" spans="1:4" x14ac:dyDescent="0.25">
      <c r="A43" s="19">
        <v>44607</v>
      </c>
      <c r="B43" s="14">
        <v>100</v>
      </c>
      <c r="C43">
        <v>14</v>
      </c>
      <c r="D43">
        <v>10</v>
      </c>
    </row>
    <row r="44" spans="1:4" x14ac:dyDescent="0.25">
      <c r="A44" s="19">
        <v>44608</v>
      </c>
      <c r="B44" s="14">
        <v>100</v>
      </c>
      <c r="C44">
        <v>14</v>
      </c>
      <c r="D44">
        <v>10</v>
      </c>
    </row>
    <row r="45" spans="1:4" x14ac:dyDescent="0.25">
      <c r="A45" s="19">
        <v>44609</v>
      </c>
      <c r="B45" s="14">
        <v>100</v>
      </c>
      <c r="C45">
        <v>14</v>
      </c>
      <c r="D45">
        <v>10</v>
      </c>
    </row>
    <row r="46" spans="1:4" x14ac:dyDescent="0.25">
      <c r="A46" s="19">
        <v>44610</v>
      </c>
      <c r="B46" s="14">
        <v>100</v>
      </c>
      <c r="C46">
        <v>14</v>
      </c>
      <c r="D46">
        <v>10</v>
      </c>
    </row>
    <row r="47" spans="1:4" x14ac:dyDescent="0.25">
      <c r="A47" s="19">
        <v>44611</v>
      </c>
      <c r="B47" s="14">
        <v>100</v>
      </c>
      <c r="C47">
        <v>14</v>
      </c>
      <c r="D47">
        <v>10</v>
      </c>
    </row>
    <row r="48" spans="1:4" x14ac:dyDescent="0.25">
      <c r="A48" s="19">
        <v>44612</v>
      </c>
      <c r="B48" s="14">
        <v>100</v>
      </c>
      <c r="C48">
        <v>14</v>
      </c>
      <c r="D48">
        <v>10</v>
      </c>
    </row>
    <row r="49" spans="1:4" x14ac:dyDescent="0.25">
      <c r="A49" s="19">
        <v>44613</v>
      </c>
      <c r="B49" s="14">
        <v>100</v>
      </c>
      <c r="C49">
        <v>14</v>
      </c>
      <c r="D49">
        <v>10</v>
      </c>
    </row>
    <row r="50" spans="1:4" x14ac:dyDescent="0.25">
      <c r="A50" s="19">
        <v>44614</v>
      </c>
      <c r="B50" s="14">
        <v>100</v>
      </c>
      <c r="C50">
        <v>14</v>
      </c>
      <c r="D50">
        <v>10</v>
      </c>
    </row>
    <row r="51" spans="1:4" x14ac:dyDescent="0.25">
      <c r="A51" s="19">
        <v>44615</v>
      </c>
      <c r="B51" s="14">
        <v>100</v>
      </c>
      <c r="C51">
        <v>14</v>
      </c>
      <c r="D51">
        <v>10</v>
      </c>
    </row>
    <row r="52" spans="1:4" x14ac:dyDescent="0.25">
      <c r="A52" s="19">
        <v>44616</v>
      </c>
      <c r="B52" s="14">
        <v>100</v>
      </c>
      <c r="C52">
        <v>14</v>
      </c>
      <c r="D52">
        <v>10</v>
      </c>
    </row>
    <row r="53" spans="1:4" x14ac:dyDescent="0.25">
      <c r="A53" s="19">
        <v>44617</v>
      </c>
      <c r="B53" s="14">
        <v>100</v>
      </c>
      <c r="C53">
        <v>14</v>
      </c>
      <c r="D53">
        <v>10</v>
      </c>
    </row>
    <row r="54" spans="1:4" x14ac:dyDescent="0.25">
      <c r="A54" s="19">
        <v>44618</v>
      </c>
      <c r="B54" s="14">
        <v>100</v>
      </c>
      <c r="C54">
        <v>14</v>
      </c>
      <c r="D54">
        <v>10</v>
      </c>
    </row>
    <row r="55" spans="1:4" x14ac:dyDescent="0.25">
      <c r="A55" s="19">
        <v>44619</v>
      </c>
      <c r="B55" s="14">
        <v>100</v>
      </c>
      <c r="C55">
        <v>14</v>
      </c>
      <c r="D55">
        <v>10</v>
      </c>
    </row>
    <row r="56" spans="1:4" x14ac:dyDescent="0.25">
      <c r="A56" s="19">
        <v>44620</v>
      </c>
      <c r="B56" s="14">
        <v>100</v>
      </c>
      <c r="C56">
        <v>14</v>
      </c>
      <c r="D56">
        <v>10</v>
      </c>
    </row>
    <row r="57" spans="1:4" x14ac:dyDescent="0.25">
      <c r="B57" s="14"/>
    </row>
    <row r="58" spans="1:4" x14ac:dyDescent="0.25">
      <c r="B58" s="14"/>
    </row>
    <row r="59" spans="1:4" x14ac:dyDescent="0.25">
      <c r="B59" s="14"/>
    </row>
    <row r="60" spans="1:4" x14ac:dyDescent="0.25">
      <c r="B60" s="14"/>
    </row>
    <row r="61" spans="1:4" x14ac:dyDescent="0.25">
      <c r="B61" s="14"/>
    </row>
    <row r="62" spans="1:4" x14ac:dyDescent="0.25">
      <c r="B62" s="14"/>
    </row>
    <row r="63" spans="1:4" x14ac:dyDescent="0.25">
      <c r="B63" s="14"/>
    </row>
    <row r="64" spans="1:4" x14ac:dyDescent="0.25">
      <c r="B64" s="14"/>
    </row>
    <row r="65" spans="2:2" x14ac:dyDescent="0.25">
      <c r="B65" s="14"/>
    </row>
    <row r="66" spans="2:2" x14ac:dyDescent="0.25">
      <c r="B66" s="14"/>
    </row>
    <row r="67" spans="2:2" x14ac:dyDescent="0.25">
      <c r="B67" s="14"/>
    </row>
    <row r="68" spans="2:2" x14ac:dyDescent="0.25">
      <c r="B68" s="14"/>
    </row>
    <row r="69" spans="2:2" x14ac:dyDescent="0.25">
      <c r="B69" s="14"/>
    </row>
    <row r="70" spans="2:2" x14ac:dyDescent="0.25">
      <c r="B70" s="14"/>
    </row>
    <row r="71" spans="2:2" x14ac:dyDescent="0.25">
      <c r="B71" s="14"/>
    </row>
    <row r="72" spans="2:2" x14ac:dyDescent="0.25">
      <c r="B72" s="14"/>
    </row>
    <row r="73" spans="2:2" x14ac:dyDescent="0.25">
      <c r="B73" s="14"/>
    </row>
    <row r="74" spans="2:2" x14ac:dyDescent="0.25">
      <c r="B74" s="14"/>
    </row>
    <row r="75" spans="2:2" x14ac:dyDescent="0.25">
      <c r="B75" s="14"/>
    </row>
    <row r="76" spans="2:2" x14ac:dyDescent="0.25">
      <c r="B76" s="14"/>
    </row>
    <row r="77" spans="2:2" x14ac:dyDescent="0.25">
      <c r="B77" s="14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3D1F4-11D8-4EAA-B345-17BA859E6FDB}">
  <sheetPr codeName="Planilha6"/>
  <dimension ref="A1:E3"/>
  <sheetViews>
    <sheetView workbookViewId="0">
      <selection activeCell="C4" sqref="C4"/>
    </sheetView>
  </sheetViews>
  <sheetFormatPr defaultRowHeight="15" x14ac:dyDescent="0.25"/>
  <cols>
    <col min="2" max="2" width="14.5703125" customWidth="1"/>
    <col min="3" max="3" width="25.28515625" customWidth="1"/>
    <col min="4" max="4" width="15.140625" customWidth="1"/>
    <col min="5" max="5" width="19.7109375" customWidth="1"/>
  </cols>
  <sheetData>
    <row r="1" spans="1:5" x14ac:dyDescent="0.25">
      <c r="A1" s="43" t="s">
        <v>0</v>
      </c>
      <c r="B1" s="24" t="s">
        <v>91</v>
      </c>
      <c r="C1" s="24" t="s">
        <v>94</v>
      </c>
      <c r="D1" s="24" t="s">
        <v>93</v>
      </c>
      <c r="E1" s="42" t="s">
        <v>95</v>
      </c>
    </row>
    <row r="2" spans="1:5" x14ac:dyDescent="0.25">
      <c r="A2" s="44" t="s">
        <v>4</v>
      </c>
      <c r="B2" s="36">
        <v>1500</v>
      </c>
      <c r="C2" s="35">
        <v>1200</v>
      </c>
      <c r="D2" s="36">
        <f>B2-C2</f>
        <v>300</v>
      </c>
      <c r="E2" s="36">
        <f>D2*'Produto e Custo de Produção'!E2</f>
        <v>153</v>
      </c>
    </row>
    <row r="3" spans="1:5" x14ac:dyDescent="0.25">
      <c r="A3" s="45" t="s">
        <v>5</v>
      </c>
      <c r="B3" s="46">
        <v>2000</v>
      </c>
      <c r="C3" s="47">
        <v>1650</v>
      </c>
      <c r="D3" s="46">
        <f>B3-C3</f>
        <v>350</v>
      </c>
      <c r="E3" s="46">
        <f>D3*'Produto e Custo de Produção'!E3</f>
        <v>107.1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0DBCC-EDFF-4A25-8806-14EEDA19DD04}">
  <sheetPr codeName="Planilha7"/>
  <dimension ref="A1:E4"/>
  <sheetViews>
    <sheetView tabSelected="1" workbookViewId="0">
      <selection activeCell="F13" sqref="F13"/>
    </sheetView>
  </sheetViews>
  <sheetFormatPr defaultRowHeight="15" x14ac:dyDescent="0.25"/>
  <cols>
    <col min="1" max="1" width="21.42578125" bestFit="1" customWidth="1"/>
    <col min="2" max="2" width="15.7109375" bestFit="1" customWidth="1"/>
    <col min="3" max="3" width="7.85546875" bestFit="1" customWidth="1"/>
    <col min="4" max="4" width="10.7109375" style="19" bestFit="1" customWidth="1"/>
    <col min="5" max="5" width="12.42578125" style="19" customWidth="1"/>
  </cols>
  <sheetData>
    <row r="1" spans="1:5" x14ac:dyDescent="0.25">
      <c r="A1" t="s">
        <v>47</v>
      </c>
      <c r="B1" t="s">
        <v>52</v>
      </c>
      <c r="C1" t="s">
        <v>53</v>
      </c>
      <c r="D1" s="19" t="s">
        <v>38</v>
      </c>
      <c r="E1" s="19" t="s">
        <v>48</v>
      </c>
    </row>
    <row r="2" spans="1:5" x14ac:dyDescent="0.25">
      <c r="A2" t="s">
        <v>45</v>
      </c>
      <c r="C2" s="22"/>
      <c r="D2" s="19">
        <v>44566</v>
      </c>
      <c r="E2" s="19">
        <v>44747</v>
      </c>
    </row>
    <row r="3" spans="1:5" x14ac:dyDescent="0.25">
      <c r="A3" t="s">
        <v>46</v>
      </c>
      <c r="C3" s="22"/>
      <c r="D3" s="19">
        <v>44566</v>
      </c>
      <c r="E3" s="19">
        <v>44747</v>
      </c>
    </row>
    <row r="4" spans="1:5" x14ac:dyDescent="0.25">
      <c r="A4" t="s">
        <v>51</v>
      </c>
      <c r="C4" s="22"/>
      <c r="D4" s="19">
        <v>44566</v>
      </c>
      <c r="E4" s="19">
        <v>44747</v>
      </c>
    </row>
  </sheetData>
  <dataValidations count="1">
    <dataValidation type="list" allowBlank="1" showInputMessage="1" showErrorMessage="1" sqref="B2:B59" xr:uid="{9B3C4ABE-956C-4D5C-A0C7-3827BE09BE96}">
      <formula1>"Recorrente,Pontual"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2404D-0635-48ED-97A4-B3F5463FC207}">
  <sheetPr codeName="Planilha8"/>
  <dimension ref="A1:K10"/>
  <sheetViews>
    <sheetView workbookViewId="0">
      <selection activeCell="C11" sqref="C11:C12"/>
    </sheetView>
  </sheetViews>
  <sheetFormatPr defaultRowHeight="15" x14ac:dyDescent="0.25"/>
  <cols>
    <col min="1" max="1" width="17.28515625" bestFit="1" customWidth="1"/>
    <col min="2" max="3" width="12.5703125" bestFit="1" customWidth="1"/>
    <col min="5" max="5" width="14.140625" bestFit="1" customWidth="1"/>
    <col min="6" max="7" width="14.85546875" customWidth="1"/>
    <col min="9" max="9" width="42.42578125" bestFit="1" customWidth="1"/>
  </cols>
  <sheetData>
    <row r="1" spans="1:11" x14ac:dyDescent="0.25">
      <c r="A1" s="50" t="s">
        <v>36</v>
      </c>
      <c r="B1" s="50"/>
      <c r="C1" s="50"/>
      <c r="E1" s="50" t="s">
        <v>35</v>
      </c>
      <c r="F1" s="50"/>
      <c r="G1" s="50"/>
      <c r="I1" t="s">
        <v>55</v>
      </c>
      <c r="K1" t="s">
        <v>59</v>
      </c>
    </row>
    <row r="2" spans="1:11" x14ac:dyDescent="0.25">
      <c r="E2" t="s">
        <v>28</v>
      </c>
      <c r="F2" t="s">
        <v>30</v>
      </c>
      <c r="G2" t="s">
        <v>29</v>
      </c>
      <c r="I2" t="s">
        <v>54</v>
      </c>
      <c r="K2" t="s">
        <v>60</v>
      </c>
    </row>
    <row r="3" spans="1:11" x14ac:dyDescent="0.25">
      <c r="E3" t="s">
        <v>31</v>
      </c>
      <c r="F3">
        <v>8</v>
      </c>
      <c r="G3">
        <v>10</v>
      </c>
      <c r="I3" t="s">
        <v>56</v>
      </c>
    </row>
    <row r="4" spans="1:11" x14ac:dyDescent="0.25">
      <c r="I4" t="s">
        <v>57</v>
      </c>
    </row>
    <row r="5" spans="1:11" x14ac:dyDescent="0.25">
      <c r="I5" t="s">
        <v>58</v>
      </c>
    </row>
    <row r="7" spans="1:11" x14ac:dyDescent="0.25">
      <c r="A7" s="50" t="s">
        <v>83</v>
      </c>
      <c r="B7" s="50"/>
      <c r="C7" s="50"/>
    </row>
    <row r="8" spans="1:11" x14ac:dyDescent="0.25">
      <c r="A8" t="s">
        <v>84</v>
      </c>
      <c r="B8">
        <v>1.3701000000000001</v>
      </c>
    </row>
    <row r="9" spans="1:11" ht="60" x14ac:dyDescent="0.25">
      <c r="A9" s="34" t="s">
        <v>85</v>
      </c>
      <c r="B9">
        <v>1.6666000000000001</v>
      </c>
    </row>
    <row r="10" spans="1:11" x14ac:dyDescent="0.25">
      <c r="A10" t="s">
        <v>82</v>
      </c>
    </row>
  </sheetData>
  <mergeCells count="3">
    <mergeCell ref="E1:G1"/>
    <mergeCell ref="A1:C1"/>
    <mergeCell ref="A7:C7"/>
  </mergeCell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a 6 o h V L M X v D 2 j A A A A 9 Q A A A B I A H A B D b 2 5 m a W c v U G F j a 2 F n Z S 5 4 b W w g o h g A K K A U A A A A A A A A A A A A A A A A A A A A A A A A A A A A h Y + x D o I w G I R f h X S n L X U R 8 l M S X S U x m h j X p l R o h E J o s b y b g 4 / k K 4 h R 1 M 3 x v r t L 7 u 7 X G 2 R j U w c X 1 V v d m h R F m K J A G d k W 2 p Q p G t w p X K K M w 1 b I s y h V M I W N T U a r U 1 Q 5 1 y W E e O + x X + C 2 L w m j N C L H f L O X l W p E q I 1 1 w k i F P q 3 i f w t x O L z G c I b j G D P K M A U y M 8 i 1 + f p s m v t 0 f y C s h 9 o N v e K d C 1 c 7 I L M E 8 r 7 A H 1 B L A w Q U A A I A C A B r q i F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6 o h V C i K R 7 g O A A A A E Q A A A B M A H A B G b 3 J t d W x h c y 9 T Z W N 0 a W 9 u M S 5 t I K I Y A C i g F A A A A A A A A A A A A A A A A A A A A A A A A A A A A C t O T S 7 J z M 9 T C I b Q h t Y A U E s B A i 0 A F A A C A A g A a 6 o h V L M X v D 2 j A A A A 9 Q A A A B I A A A A A A A A A A A A A A A A A A A A A A E N v b m Z p Z y 9 Q Y W N r Y W d l L n h t b F B L A Q I t A B Q A A g A I A G u q I V Q P y u m r p A A A A O k A A A A T A A A A A A A A A A A A A A A A A O 8 A A A B b Q 2 9 u d G V u d F 9 U e X B l c 1 0 u e G 1 s U E s B A i 0 A F A A C A A g A a 6 o h V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M l J 6 0 Q p A L h N v G n t j 1 K 9 0 T 4 A A A A A A g A A A A A A E G Y A A A A B A A A g A A A A 4 Y W G p M g Z G B 7 g R U B s B 5 B S 2 H 9 U q u O i m v / o W A x 3 e q m q + z A A A A A A D o A A A A A C A A A g A A A A 9 o q l b 3 j n C Y s B L 5 r C 1 e L M W y f S b Q C E M W N x f e v W c X j R 0 C x Q A A A A J u M B E t d t R K U e W K N 6 9 6 8 S B w p 8 k H i 6 e S 6 Q p N R g j f 0 9 c c M L c d j P w w / 8 H j e l z m l a y e R q g B T d 3 2 l Z Z H e m 2 1 P J + t T C j B K C C j M r s l n O 1 a c W k l y I R B Z A A A A A 7 p J Y d P O m o f M 3 4 / 3 q x 1 L X y 2 4 p X 7 7 z x Y 5 x c I W o B a / d f Q f E u w y V m h N o I S 9 Z a 7 y A K b u r v N D Z c / M I k r J v h l K h l B 3 F 4 w = = < / D a t a M a s h u p > 
</file>

<file path=customXml/itemProps1.xml><?xml version="1.0" encoding="utf-8"?>
<ds:datastoreItem xmlns:ds="http://schemas.openxmlformats.org/officeDocument/2006/customXml" ds:itemID="{E4F10C53-680F-4506-BCA3-25175F17B5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Produto e Custo de Produção</vt:lpstr>
      <vt:lpstr>Clientes</vt:lpstr>
      <vt:lpstr>Gastos Fixos</vt:lpstr>
      <vt:lpstr>Vendas</vt:lpstr>
      <vt:lpstr>Produção</vt:lpstr>
      <vt:lpstr>Estoque</vt:lpstr>
      <vt:lpstr>Manutenção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Fonseca</dc:creator>
  <cp:lastModifiedBy>Mateus Fonseca</cp:lastModifiedBy>
  <dcterms:created xsi:type="dcterms:W3CDTF">2021-12-31T04:28:42Z</dcterms:created>
  <dcterms:modified xsi:type="dcterms:W3CDTF">2022-03-27T16:11:27Z</dcterms:modified>
</cp:coreProperties>
</file>